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style1.xml" ContentType="application/vnd.ms-office.chartstyle+xml"/>
  <Override PartName="/xl/charts/colors1.xml" ContentType="application/vnd.ms-office.chartcolorstyle+xml"/>
  <Override PartName="/xl/charts/chart6.xml" ContentType="application/vnd.openxmlformats-officedocument.drawingml.chart+xml"/>
  <Override PartName="/xl/charts/style2.xml" ContentType="application/vnd.ms-office.chartstyle+xml"/>
  <Override PartName="/xl/charts/colors2.xml" ContentType="application/vnd.ms-office.chartcolorstyle+xml"/>
  <Override PartName="/xl/charts/chart7.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drawings/drawing5.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drawings/drawing6.xml" ContentType="application/vnd.openxmlformats-officedocument.drawing+xml"/>
  <Override PartName="/xl/charts/chart17.xml" ContentType="application/vnd.openxmlformats-officedocument.drawingml.chart+xml"/>
  <Override PartName="/xl/charts/style5.xml" ContentType="application/vnd.ms-office.chartstyle+xml"/>
  <Override PartName="/xl/charts/colors5.xml" ContentType="application/vnd.ms-office.chartcolorstyle+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charts/chart22.xml" ContentType="application/vnd.openxmlformats-officedocument.drawingml.chart+xml"/>
  <Override PartName="/xl/charts/chart23.xml" ContentType="application/vnd.openxmlformats-officedocument.drawingml.chart+xml"/>
  <Override PartName="/xl/charts/style6.xml" ContentType="application/vnd.ms-office.chartstyle+xml"/>
  <Override PartName="/xl/charts/colors6.xml" ContentType="application/vnd.ms-office.chartcolorstyle+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24226"/>
  <mc:AlternateContent xmlns:mc="http://schemas.openxmlformats.org/markup-compatibility/2006">
    <mc:Choice Requires="x15">
      <x15ac:absPath xmlns:x15ac="http://schemas.microsoft.com/office/spreadsheetml/2010/11/ac" url="https://varstecllc.sharepoint.com/sites/VarStecPowerSolutions/Shared Documents/Spreadsheet Tools/"/>
    </mc:Choice>
  </mc:AlternateContent>
  <xr:revisionPtr revIDLastSave="11266" documentId="8_{DC2E6D82-73BB-4B97-BA73-F6DF5DCF6C29}" xr6:coauthVersionLast="47" xr6:coauthVersionMax="47" xr10:uidLastSave="{7466D29B-81C2-4543-A7DF-0B322927BFB3}"/>
  <bookViews>
    <workbookView xWindow="-120" yWindow="-120" windowWidth="29040" windowHeight="15720" activeTab="3" xr2:uid="{469F1F31-2AE8-43F5-B31C-E85300623460}"/>
  </bookViews>
  <sheets>
    <sheet name="Overview and Purpose" sheetId="8" r:id="rId1"/>
    <sheet name="5-Branch HP Filter Design" sheetId="10" r:id="rId2"/>
    <sheet name="4-Branch H-Filter Configuration" sheetId="9" r:id="rId3"/>
    <sheet name="Notch Filter Design" sheetId="1" r:id="rId4"/>
    <sheet name="HP Filter Design" sheetId="2" r:id="rId5"/>
    <sheet name="C-HP Filter Design" sheetId="3" r:id="rId6"/>
    <sheet name="Notch Reverse Calculator" sheetId="4" r:id="rId7"/>
    <sheet name="High-Pass Reverse Calculator" sheetId="5" r:id="rId8"/>
    <sheet name="C-High-Pass Reverse Calculator" sheetId="6" r:id="rId9"/>
  </sheets>
  <definedNames>
    <definedName name="_xlnm.Print_Area" localSheetId="2">'4-Branch H-Filter Configuration'!$B$2:$AP$49,'4-Branch H-Filter Configuration'!$AR$2:$CF$49,'4-Branch H-Filter Configuration'!$B$51:$AP$98,'4-Branch H-Filter Configuration'!$AR$51:$CF$98,'4-Branch H-Filter Configuration'!$B$100:$AP$147,'4-Branch H-Filter Configuration'!$AR$100:$CF$147,'4-Branch H-Filter Configuration'!$B$149:$AP$196,'4-Branch H-Filter Configuration'!$AR$149:$CF$196,'4-Branch H-Filter Configuration'!$B$198:$AP$245,'4-Branch H-Filter Configuration'!$AR$198:$CF$245,'4-Branch H-Filter Configuration'!$B$247:$AP$294,'4-Branch H-Filter Configuration'!$AR$247:$CF$294</definedName>
    <definedName name="_xlnm.Print_Area" localSheetId="1">'5-Branch HP Filter Design'!$B$2:$AP$49,'5-Branch HP Filter Design'!$AR$2:$CF$49,'5-Branch HP Filter Design'!$B$51:$AP$98,'5-Branch HP Filter Design'!$AR$51:$CF$98,'5-Branch HP Filter Design'!$B$100:$AP$147,'5-Branch HP Filter Design'!$AR$100:$CF$147,'5-Branch HP Filter Design'!$B$149:$AP$196,'5-Branch HP Filter Design'!$AR$149:$CF$196,'5-Branch HP Filter Design'!$B$198:$AP$245,'5-Branch HP Filter Design'!$AR$198:$CF$245,'5-Branch HP Filter Design'!$B$247:$AP$294,'5-Branch HP Filter Design'!$AR$247:$CF$294,'5-Branch HP Filter Design'!$B$296:$AP$343,'5-Branch HP Filter Design'!$AR$296:$CF$343,'5-Branch HP Filter Design'!$B$345:$AP$392,'5-Branch HP Filter Design'!$AR$345:$CF$392,'5-Branch HP Filter Design'!$B$394:$AP$441,'5-Branch HP Filter Design'!$AR$394:$CF$441</definedName>
    <definedName name="_xlnm.Print_Area" localSheetId="8">'C-High-Pass Reverse Calculator'!$B$2:$AP$49</definedName>
    <definedName name="_xlnm.Print_Area" localSheetId="5">'C-HP Filter Design'!$B$2:$AP$49,'C-HP Filter Design'!$AR$2:$CF$49,'C-HP Filter Design'!$B$51:$AP$98,'C-HP Filter Design'!$AR$51:$CF$98,'C-HP Filter Design'!$B$100:$AP$147,'C-HP Filter Design'!$AR$100:$CF$147,'C-HP Filter Design'!$B$149:$AP$196,'C-HP Filter Design'!$AR$149:$CF$196,'C-HP Filter Design'!$B$198:$AP$245,'C-HP Filter Design'!$AR$198:$CF$245,'C-HP Filter Design'!$B$247:$AP$294,'C-HP Filter Design'!$AR$247:$CF$294</definedName>
    <definedName name="_xlnm.Print_Area" localSheetId="7">'High-Pass Reverse Calculator'!$B$2:$AP$49</definedName>
    <definedName name="_xlnm.Print_Area" localSheetId="4">'HP Filter Design'!$B$2:$AP$49,'HP Filter Design'!$AR$2:$CF$49,'HP Filter Design'!$B$51:$AP$98,'HP Filter Design'!$AR$51:$CF$98,'HP Filter Design'!$B$100:$AP$147,'HP Filter Design'!$AR$100:$CF$147,'HP Filter Design'!$B$149:$AP$196,'HP Filter Design'!$AR$149:$CF$196,'HP Filter Design'!$B$198:$AP$245,'HP Filter Design'!$AR$198:$CF$245,'HP Filter Design'!$B$247:$AP$294,'HP Filter Design'!$AR$247:$CF$294</definedName>
    <definedName name="_xlnm.Print_Area" localSheetId="3">'Notch Filter Design'!$B$2:$AP$49,'Notch Filter Design'!$AR$2:$CF$49,'Notch Filter Design'!$B$51:$AP$98,'Notch Filter Design'!$AR$51:$CF$98,'Notch Filter Design'!$B$100:$AP$147,'Notch Filter Design'!$AR$100:$CF$147,'Notch Filter Design'!$B$149:$AP$196,'Notch Filter Design'!$AR$149:$CF$196,'Notch Filter Design'!$B$198:$AP$245,'Notch Filter Design'!$AR$198:$CF$245,'Notch Filter Design'!$B$247:$AP$294,'Notch Filter Design'!$AR$247:$CF$294</definedName>
    <definedName name="_xlnm.Print_Area" localSheetId="6">'Notch Reverse Calculator'!$B$2:$AP$49</definedName>
    <definedName name="_xlnm.Print_Area" localSheetId="0">'Overview and Purpose'!$B$2:$AP$49,'Overview and Purpose'!$AR$2:$CF$49,'Overview and Purpose'!$B$51:$AP$98,'Overview and Purpose'!$AR$51:$CF$98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I40" i="9" l="1"/>
  <c r="CI41" i="9"/>
  <c r="CI42" i="9"/>
  <c r="CI43" i="9"/>
  <c r="JI41" i="9"/>
  <c r="JI42" i="9"/>
  <c r="JI43" i="9"/>
  <c r="JH41" i="9"/>
  <c r="JG41" i="9"/>
  <c r="JG42" i="9"/>
  <c r="JG43" i="9"/>
  <c r="G141" i="9"/>
  <c r="C80" i="9"/>
  <c r="C81" i="9"/>
  <c r="C79" i="9"/>
  <c r="KB20" i="9"/>
  <c r="CH41" i="9"/>
  <c r="GV18" i="9"/>
  <c r="GW18" i="9"/>
  <c r="GZ18" i="9"/>
  <c r="HA18" i="9"/>
  <c r="HD18" i="9"/>
  <c r="HE18" i="9"/>
  <c r="HL18" i="9" s="1"/>
  <c r="HF18" i="9"/>
  <c r="HG18" i="9"/>
  <c r="HV18" i="9" s="1"/>
  <c r="HX18" i="9" s="1"/>
  <c r="HH18" i="9"/>
  <c r="HI18" i="9"/>
  <c r="HW18" i="9" s="1"/>
  <c r="HJ18" i="9"/>
  <c r="HM18" i="9"/>
  <c r="JD18" i="9"/>
  <c r="JJ18" i="9" s="1"/>
  <c r="JS18" i="9"/>
  <c r="JY18" i="9" s="1"/>
  <c r="JT18" i="9"/>
  <c r="KC18" i="9" s="1"/>
  <c r="JU18" i="9"/>
  <c r="KG18" i="9" s="1"/>
  <c r="GU18" i="9"/>
  <c r="DH28" i="3"/>
  <c r="DI28" i="3"/>
  <c r="DH29" i="3"/>
  <c r="DI29" i="3"/>
  <c r="DH30" i="3"/>
  <c r="DI30" i="3"/>
  <c r="DH31" i="3"/>
  <c r="DI31" i="3"/>
  <c r="DH32" i="3"/>
  <c r="DI32" i="3"/>
  <c r="DH33" i="3"/>
  <c r="DI33" i="3"/>
  <c r="DH34" i="3"/>
  <c r="DI34" i="3"/>
  <c r="DH35" i="3"/>
  <c r="DI35" i="3"/>
  <c r="DH36" i="3"/>
  <c r="DI36" i="3"/>
  <c r="DH37" i="3"/>
  <c r="DI37" i="3"/>
  <c r="DH38" i="3"/>
  <c r="DI38" i="3"/>
  <c r="DH39" i="3"/>
  <c r="DI39" i="3"/>
  <c r="DH40" i="3"/>
  <c r="DI40" i="3"/>
  <c r="DH41" i="3"/>
  <c r="DI41" i="3"/>
  <c r="DH42" i="3"/>
  <c r="DI42" i="3"/>
  <c r="DH43" i="3"/>
  <c r="DI43" i="3"/>
  <c r="DH44" i="3"/>
  <c r="DI44" i="3"/>
  <c r="DH45" i="3"/>
  <c r="DI45" i="3"/>
  <c r="DH46" i="3"/>
  <c r="DI46" i="3"/>
  <c r="DH47" i="3"/>
  <c r="DI47" i="3"/>
  <c r="DH48" i="3"/>
  <c r="DI48" i="3"/>
  <c r="DH49" i="3"/>
  <c r="DI49" i="3"/>
  <c r="DH50" i="3"/>
  <c r="DI50" i="3"/>
  <c r="DH51" i="3"/>
  <c r="DI51" i="3"/>
  <c r="DH52" i="3"/>
  <c r="DI52" i="3"/>
  <c r="DH53" i="3"/>
  <c r="DI53" i="3"/>
  <c r="DH54" i="3"/>
  <c r="DI54" i="3"/>
  <c r="DH55" i="3"/>
  <c r="DI55" i="3"/>
  <c r="DH56" i="3"/>
  <c r="DI56" i="3"/>
  <c r="DH57" i="3"/>
  <c r="DI57" i="3"/>
  <c r="DH58" i="3"/>
  <c r="DI58" i="3"/>
  <c r="DH59" i="3"/>
  <c r="DI59" i="3"/>
  <c r="DH60" i="3"/>
  <c r="DI60" i="3"/>
  <c r="DH61" i="3"/>
  <c r="DI61" i="3"/>
  <c r="DH62" i="3"/>
  <c r="DI62" i="3"/>
  <c r="DH63" i="3"/>
  <c r="DI63" i="3"/>
  <c r="DH64" i="3"/>
  <c r="DI64" i="3"/>
  <c r="DH65" i="3"/>
  <c r="DI65" i="3"/>
  <c r="DH66" i="3"/>
  <c r="DI66" i="3"/>
  <c r="DH67" i="3"/>
  <c r="DI67" i="3"/>
  <c r="DH68" i="3"/>
  <c r="DI68" i="3"/>
  <c r="DH69" i="3"/>
  <c r="DI69" i="3"/>
  <c r="DH70" i="3"/>
  <c r="DI70" i="3"/>
  <c r="DH71" i="3"/>
  <c r="DI71" i="3"/>
  <c r="DH72" i="3"/>
  <c r="DI72" i="3"/>
  <c r="DH73" i="3"/>
  <c r="DI73" i="3"/>
  <c r="DH74" i="3"/>
  <c r="DI74" i="3"/>
  <c r="DH75" i="3"/>
  <c r="DI75" i="3"/>
  <c r="DH76" i="3"/>
  <c r="DI76" i="3"/>
  <c r="DH77" i="3"/>
  <c r="DI77" i="3"/>
  <c r="DH78" i="3"/>
  <c r="DI78" i="3"/>
  <c r="DH79" i="3"/>
  <c r="DI79" i="3"/>
  <c r="DH80" i="3"/>
  <c r="DI80" i="3"/>
  <c r="DH81" i="3"/>
  <c r="DI81" i="3"/>
  <c r="DH82" i="3"/>
  <c r="DI82" i="3"/>
  <c r="DH83" i="3"/>
  <c r="DI83" i="3"/>
  <c r="DH84" i="3"/>
  <c r="DI84" i="3"/>
  <c r="DH85" i="3"/>
  <c r="DI85" i="3"/>
  <c r="DH86" i="3"/>
  <c r="DI86" i="3"/>
  <c r="DH87" i="3"/>
  <c r="DI87" i="3"/>
  <c r="DH88" i="3"/>
  <c r="DI88" i="3"/>
  <c r="DH89" i="3"/>
  <c r="DI89" i="3"/>
  <c r="DH90" i="3"/>
  <c r="DI90" i="3"/>
  <c r="DH91" i="3"/>
  <c r="DI91" i="3"/>
  <c r="DH92" i="3"/>
  <c r="DI92" i="3"/>
  <c r="DH93" i="3"/>
  <c r="DI93" i="3"/>
  <c r="DH94" i="3"/>
  <c r="DI94" i="3"/>
  <c r="DH95" i="3"/>
  <c r="DI95" i="3"/>
  <c r="DH96" i="3"/>
  <c r="DI96" i="3"/>
  <c r="DH97" i="3"/>
  <c r="DI97" i="3"/>
  <c r="DH98" i="3"/>
  <c r="DI98" i="3"/>
  <c r="DH99" i="3"/>
  <c r="DI99" i="3"/>
  <c r="DH100" i="3"/>
  <c r="DI100" i="3"/>
  <c r="DH101" i="3"/>
  <c r="DI101" i="3"/>
  <c r="DH102" i="3"/>
  <c r="DI102" i="3"/>
  <c r="DH103" i="3"/>
  <c r="DI103" i="3"/>
  <c r="DH104" i="3"/>
  <c r="DI104" i="3"/>
  <c r="DH105" i="3"/>
  <c r="DI105" i="3"/>
  <c r="DH106" i="3"/>
  <c r="DI106" i="3"/>
  <c r="DH107" i="3"/>
  <c r="DI107" i="3"/>
  <c r="DH108" i="3"/>
  <c r="DI108" i="3"/>
  <c r="DH109" i="3"/>
  <c r="DI109" i="3"/>
  <c r="DH110" i="3"/>
  <c r="DI110" i="3"/>
  <c r="DH111" i="3"/>
  <c r="DI111" i="3"/>
  <c r="DH112" i="3"/>
  <c r="DI112" i="3"/>
  <c r="DH113" i="3"/>
  <c r="DI113" i="3"/>
  <c r="DH114" i="3"/>
  <c r="DI114" i="3"/>
  <c r="DH115" i="3"/>
  <c r="DI115" i="3"/>
  <c r="DH116" i="3"/>
  <c r="DI116" i="3"/>
  <c r="DH117" i="3"/>
  <c r="DI117" i="3"/>
  <c r="DH118" i="3"/>
  <c r="DI118" i="3"/>
  <c r="DH119" i="3"/>
  <c r="DI119" i="3"/>
  <c r="DH120" i="3"/>
  <c r="DI120" i="3"/>
  <c r="DH121" i="3"/>
  <c r="DI121" i="3"/>
  <c r="DH122" i="3"/>
  <c r="DI122" i="3"/>
  <c r="DH123" i="3"/>
  <c r="DI123" i="3"/>
  <c r="DH124" i="3"/>
  <c r="DI124" i="3"/>
  <c r="DH125" i="3"/>
  <c r="DI125" i="3"/>
  <c r="DH126" i="3"/>
  <c r="DI126" i="3"/>
  <c r="DH127" i="3"/>
  <c r="DI127" i="3"/>
  <c r="DH128" i="3"/>
  <c r="DI128" i="3"/>
  <c r="DH129" i="3"/>
  <c r="DI129" i="3"/>
  <c r="DH130" i="3"/>
  <c r="DI130" i="3"/>
  <c r="DH131" i="3"/>
  <c r="DI131" i="3"/>
  <c r="DH132" i="3"/>
  <c r="DI132" i="3"/>
  <c r="DH133" i="3"/>
  <c r="DI133" i="3"/>
  <c r="DH134" i="3"/>
  <c r="DI134" i="3"/>
  <c r="DH135" i="3"/>
  <c r="DI135" i="3"/>
  <c r="DH136" i="3"/>
  <c r="DI136" i="3"/>
  <c r="DH137" i="3"/>
  <c r="DI137" i="3"/>
  <c r="DH138" i="3"/>
  <c r="DI138" i="3"/>
  <c r="DH139" i="3"/>
  <c r="DI139" i="3"/>
  <c r="DH140" i="3"/>
  <c r="DI140" i="3"/>
  <c r="DH141" i="3"/>
  <c r="DI141" i="3"/>
  <c r="DH142" i="3"/>
  <c r="DI142" i="3"/>
  <c r="DH143" i="3"/>
  <c r="DI143" i="3"/>
  <c r="DH144" i="3"/>
  <c r="DI144" i="3"/>
  <c r="DH145" i="3"/>
  <c r="DI145" i="3"/>
  <c r="DH146" i="3"/>
  <c r="DI146" i="3"/>
  <c r="DH147" i="3"/>
  <c r="DI147" i="3"/>
  <c r="DH148" i="3"/>
  <c r="DI148" i="3"/>
  <c r="DH149" i="3"/>
  <c r="DI149" i="3"/>
  <c r="DH150" i="3"/>
  <c r="DI150" i="3"/>
  <c r="DH151" i="3"/>
  <c r="DI151" i="3"/>
  <c r="DH152" i="3"/>
  <c r="DI152" i="3"/>
  <c r="DH153" i="3"/>
  <c r="DI153" i="3"/>
  <c r="DH154" i="3"/>
  <c r="DI154" i="3"/>
  <c r="DH155" i="3"/>
  <c r="DI155" i="3"/>
  <c r="DH156" i="3"/>
  <c r="DI156" i="3"/>
  <c r="DH157" i="3"/>
  <c r="DI157" i="3"/>
  <c r="DH158" i="3"/>
  <c r="DI158" i="3"/>
  <c r="DH159" i="3"/>
  <c r="DI159" i="3"/>
  <c r="DH160" i="3"/>
  <c r="DI160" i="3"/>
  <c r="DH161" i="3"/>
  <c r="DI161" i="3"/>
  <c r="DH162" i="3"/>
  <c r="DI162" i="3"/>
  <c r="DH163" i="3"/>
  <c r="DI163" i="3"/>
  <c r="DH164" i="3"/>
  <c r="DI164" i="3"/>
  <c r="DH165" i="3"/>
  <c r="DI165" i="3"/>
  <c r="DH166" i="3"/>
  <c r="DI166" i="3"/>
  <c r="DH167" i="3"/>
  <c r="DI167" i="3"/>
  <c r="DH168" i="3"/>
  <c r="DI168" i="3"/>
  <c r="DH169" i="3"/>
  <c r="DI169" i="3"/>
  <c r="DH170" i="3"/>
  <c r="DI170" i="3"/>
  <c r="DH171" i="3"/>
  <c r="DI171" i="3"/>
  <c r="DH172" i="3"/>
  <c r="DI172" i="3"/>
  <c r="DH173" i="3"/>
  <c r="DI173" i="3"/>
  <c r="DH174" i="3"/>
  <c r="DI174" i="3"/>
  <c r="DH175" i="3"/>
  <c r="DI175" i="3"/>
  <c r="DH176" i="3"/>
  <c r="DI176" i="3"/>
  <c r="DH177" i="3"/>
  <c r="DI177" i="3"/>
  <c r="DH178" i="3"/>
  <c r="DI178" i="3"/>
  <c r="DH179" i="3"/>
  <c r="DI179" i="3"/>
  <c r="DH180" i="3"/>
  <c r="DI180" i="3"/>
  <c r="DH181" i="3"/>
  <c r="DI181" i="3"/>
  <c r="DH182" i="3"/>
  <c r="DI182" i="3"/>
  <c r="DH183" i="3"/>
  <c r="DI183" i="3"/>
  <c r="DH184" i="3"/>
  <c r="DI184" i="3"/>
  <c r="DH185" i="3"/>
  <c r="DI185" i="3"/>
  <c r="DH186" i="3"/>
  <c r="DI186" i="3"/>
  <c r="DH187" i="3"/>
  <c r="DI187" i="3"/>
  <c r="DH188" i="3"/>
  <c r="DI188" i="3"/>
  <c r="DH189" i="3"/>
  <c r="DI189" i="3"/>
  <c r="DH190" i="3"/>
  <c r="DI190" i="3"/>
  <c r="DH191" i="3"/>
  <c r="DI191" i="3"/>
  <c r="DH192" i="3"/>
  <c r="DI192" i="3"/>
  <c r="DH193" i="3"/>
  <c r="DI193" i="3"/>
  <c r="DH194" i="3"/>
  <c r="DI194" i="3"/>
  <c r="DH195" i="3"/>
  <c r="DI195" i="3"/>
  <c r="DH196" i="3"/>
  <c r="DI196" i="3"/>
  <c r="DH197" i="3"/>
  <c r="DI197" i="3"/>
  <c r="DH198" i="3"/>
  <c r="DI198" i="3"/>
  <c r="DH199" i="3"/>
  <c r="DI199" i="3"/>
  <c r="DH200" i="3"/>
  <c r="DI200" i="3"/>
  <c r="DH201" i="3"/>
  <c r="DI201" i="3"/>
  <c r="DH202" i="3"/>
  <c r="DI202" i="3"/>
  <c r="DH203" i="3"/>
  <c r="DI203" i="3"/>
  <c r="DH204" i="3"/>
  <c r="DI204" i="3"/>
  <c r="DH205" i="3"/>
  <c r="DI205" i="3"/>
  <c r="DH206" i="3"/>
  <c r="DI206" i="3"/>
  <c r="DH207" i="3"/>
  <c r="DI207" i="3"/>
  <c r="DH208" i="3"/>
  <c r="DI208" i="3"/>
  <c r="DH209" i="3"/>
  <c r="DI209" i="3"/>
  <c r="DH210" i="3"/>
  <c r="DI210" i="3"/>
  <c r="DH211" i="3"/>
  <c r="DI211" i="3"/>
  <c r="DH212" i="3"/>
  <c r="DI212" i="3"/>
  <c r="DH213" i="3"/>
  <c r="DI213" i="3"/>
  <c r="DH214" i="3"/>
  <c r="DI214" i="3"/>
  <c r="DH215" i="3"/>
  <c r="DI215" i="3"/>
  <c r="DH216" i="3"/>
  <c r="DI216" i="3"/>
  <c r="DH217" i="3"/>
  <c r="DI217" i="3"/>
  <c r="DH218" i="3"/>
  <c r="DI218" i="3"/>
  <c r="DH219" i="3"/>
  <c r="DI219" i="3"/>
  <c r="DH220" i="3"/>
  <c r="DI220" i="3"/>
  <c r="DH221" i="3"/>
  <c r="DI221" i="3"/>
  <c r="DH222" i="3"/>
  <c r="DI222" i="3"/>
  <c r="DH223" i="3"/>
  <c r="DI223" i="3"/>
  <c r="DH224" i="3"/>
  <c r="DI224" i="3"/>
  <c r="DH225" i="3"/>
  <c r="DI225" i="3"/>
  <c r="DH226" i="3"/>
  <c r="DI226" i="3"/>
  <c r="DH227" i="3"/>
  <c r="DI227" i="3"/>
  <c r="DH228" i="3"/>
  <c r="DI228" i="3"/>
  <c r="DH229" i="3"/>
  <c r="DI229" i="3"/>
  <c r="DH230" i="3"/>
  <c r="DI230" i="3"/>
  <c r="DH231" i="3"/>
  <c r="DI231" i="3"/>
  <c r="DH232" i="3"/>
  <c r="DI232" i="3"/>
  <c r="DH233" i="3"/>
  <c r="DI233" i="3"/>
  <c r="DH234" i="3"/>
  <c r="DI234" i="3"/>
  <c r="DH235" i="3"/>
  <c r="DI235" i="3"/>
  <c r="DH236" i="3"/>
  <c r="DI236" i="3"/>
  <c r="DH237" i="3"/>
  <c r="DI237" i="3"/>
  <c r="DH238" i="3"/>
  <c r="DI238" i="3"/>
  <c r="DH239" i="3"/>
  <c r="DI239" i="3"/>
  <c r="DH240" i="3"/>
  <c r="DI240" i="3"/>
  <c r="DH241" i="3"/>
  <c r="DI241" i="3"/>
  <c r="DH242" i="3"/>
  <c r="DI242" i="3"/>
  <c r="DH243" i="3"/>
  <c r="DI243" i="3"/>
  <c r="DH244" i="3"/>
  <c r="DI244" i="3"/>
  <c r="DH245" i="3"/>
  <c r="DI245" i="3"/>
  <c r="DH246" i="3"/>
  <c r="DI246" i="3"/>
  <c r="DH247" i="3"/>
  <c r="DI247" i="3"/>
  <c r="DH248" i="3"/>
  <c r="DI248" i="3"/>
  <c r="DH249" i="3"/>
  <c r="DI249" i="3"/>
  <c r="DH250" i="3"/>
  <c r="DI250" i="3"/>
  <c r="DH251" i="3"/>
  <c r="DI251" i="3"/>
  <c r="DH252" i="3"/>
  <c r="DI252" i="3"/>
  <c r="DH253" i="3"/>
  <c r="DI253" i="3"/>
  <c r="DH254" i="3"/>
  <c r="DI254" i="3"/>
  <c r="DH255" i="3"/>
  <c r="DI255" i="3"/>
  <c r="DH256" i="3"/>
  <c r="DI256" i="3"/>
  <c r="DH257" i="3"/>
  <c r="DI257" i="3"/>
  <c r="DH258" i="3"/>
  <c r="DI258" i="3"/>
  <c r="DH259" i="3"/>
  <c r="DI259" i="3"/>
  <c r="DH260" i="3"/>
  <c r="DI260" i="3"/>
  <c r="DH261" i="3"/>
  <c r="DI261" i="3"/>
  <c r="DH262" i="3"/>
  <c r="DI262" i="3"/>
  <c r="DH263" i="3"/>
  <c r="DI263" i="3"/>
  <c r="DH264" i="3"/>
  <c r="DI264" i="3"/>
  <c r="DH265" i="3"/>
  <c r="DI265" i="3"/>
  <c r="DH266" i="3"/>
  <c r="DI266" i="3"/>
  <c r="DH267" i="3"/>
  <c r="DI267" i="3"/>
  <c r="DH268" i="3"/>
  <c r="DI268" i="3"/>
  <c r="DH269" i="3"/>
  <c r="DI269" i="3"/>
  <c r="DH270" i="3"/>
  <c r="DI270" i="3"/>
  <c r="DH271" i="3"/>
  <c r="DI271" i="3"/>
  <c r="DH272" i="3"/>
  <c r="DI272" i="3"/>
  <c r="DI27" i="3"/>
  <c r="DH27" i="3"/>
  <c r="DE28" i="3"/>
  <c r="DF28" i="3"/>
  <c r="DE29" i="3"/>
  <c r="DF29" i="3"/>
  <c r="DE30" i="3"/>
  <c r="DF30" i="3"/>
  <c r="DE31" i="3"/>
  <c r="DF31" i="3"/>
  <c r="DE32" i="3"/>
  <c r="DF32" i="3"/>
  <c r="DE33" i="3"/>
  <c r="DF33" i="3"/>
  <c r="DE34" i="3"/>
  <c r="DF34" i="3"/>
  <c r="DE35" i="3"/>
  <c r="DF35" i="3"/>
  <c r="DE36" i="3"/>
  <c r="DF36" i="3"/>
  <c r="DE37" i="3"/>
  <c r="DF37" i="3"/>
  <c r="DE38" i="3"/>
  <c r="DF38" i="3"/>
  <c r="DE39" i="3"/>
  <c r="DF39" i="3"/>
  <c r="DE40" i="3"/>
  <c r="DF40" i="3"/>
  <c r="DE41" i="3"/>
  <c r="DF41" i="3"/>
  <c r="DE42" i="3"/>
  <c r="DF42" i="3"/>
  <c r="DE43" i="3"/>
  <c r="DF43" i="3"/>
  <c r="DE44" i="3"/>
  <c r="DF44" i="3"/>
  <c r="DE45" i="3"/>
  <c r="DF45" i="3"/>
  <c r="DE46" i="3"/>
  <c r="DF46" i="3"/>
  <c r="DE47" i="3"/>
  <c r="DF47" i="3"/>
  <c r="DE48" i="3"/>
  <c r="DF48" i="3"/>
  <c r="DE49" i="3"/>
  <c r="DF49" i="3"/>
  <c r="DE50" i="3"/>
  <c r="DF50" i="3"/>
  <c r="DE51" i="3"/>
  <c r="DF51" i="3"/>
  <c r="DE52" i="3"/>
  <c r="DF52" i="3"/>
  <c r="DE53" i="3"/>
  <c r="DF53" i="3"/>
  <c r="DE54" i="3"/>
  <c r="DF54" i="3"/>
  <c r="DE55" i="3"/>
  <c r="DF55" i="3"/>
  <c r="DE56" i="3"/>
  <c r="DF56" i="3"/>
  <c r="DE57" i="3"/>
  <c r="DF57" i="3"/>
  <c r="DE58" i="3"/>
  <c r="DF58" i="3"/>
  <c r="DE59" i="3"/>
  <c r="DF59" i="3"/>
  <c r="DE60" i="3"/>
  <c r="DF60" i="3"/>
  <c r="DE61" i="3"/>
  <c r="DF61" i="3"/>
  <c r="DE62" i="3"/>
  <c r="DF62" i="3"/>
  <c r="DE63" i="3"/>
  <c r="DF63" i="3"/>
  <c r="DE64" i="3"/>
  <c r="DF64" i="3"/>
  <c r="DE65" i="3"/>
  <c r="DF65" i="3"/>
  <c r="DE66" i="3"/>
  <c r="DF66" i="3"/>
  <c r="DE67" i="3"/>
  <c r="DF67" i="3"/>
  <c r="DE68" i="3"/>
  <c r="DF68" i="3"/>
  <c r="DE69" i="3"/>
  <c r="DF69" i="3"/>
  <c r="DE70" i="3"/>
  <c r="DF70" i="3"/>
  <c r="DE71" i="3"/>
  <c r="DF71" i="3"/>
  <c r="DE72" i="3"/>
  <c r="DF72" i="3"/>
  <c r="DE73" i="3"/>
  <c r="DF73" i="3"/>
  <c r="DE74" i="3"/>
  <c r="DF74" i="3"/>
  <c r="DE75" i="3"/>
  <c r="DF75" i="3"/>
  <c r="DE76" i="3"/>
  <c r="DF76" i="3"/>
  <c r="DE77" i="3"/>
  <c r="DF77" i="3"/>
  <c r="DE78" i="3"/>
  <c r="DF78" i="3"/>
  <c r="DE79" i="3"/>
  <c r="DF79" i="3"/>
  <c r="DE80" i="3"/>
  <c r="DF80" i="3"/>
  <c r="DE81" i="3"/>
  <c r="DF81" i="3"/>
  <c r="DE82" i="3"/>
  <c r="DF82" i="3"/>
  <c r="DE83" i="3"/>
  <c r="DF83" i="3"/>
  <c r="DE84" i="3"/>
  <c r="DF84" i="3"/>
  <c r="DE85" i="3"/>
  <c r="DF85" i="3"/>
  <c r="DE86" i="3"/>
  <c r="DF86" i="3"/>
  <c r="DE87" i="3"/>
  <c r="DF87" i="3"/>
  <c r="DE88" i="3"/>
  <c r="DF88" i="3"/>
  <c r="DE89" i="3"/>
  <c r="DF89" i="3"/>
  <c r="DE90" i="3"/>
  <c r="DF90" i="3"/>
  <c r="DE91" i="3"/>
  <c r="DF91" i="3"/>
  <c r="DE92" i="3"/>
  <c r="DF92" i="3"/>
  <c r="DE93" i="3"/>
  <c r="DF93" i="3"/>
  <c r="DE94" i="3"/>
  <c r="DF94" i="3"/>
  <c r="DE95" i="3"/>
  <c r="DF95" i="3"/>
  <c r="DE96" i="3"/>
  <c r="DF96" i="3"/>
  <c r="DE97" i="3"/>
  <c r="DF97" i="3"/>
  <c r="DE98" i="3"/>
  <c r="DF98" i="3"/>
  <c r="DE99" i="3"/>
  <c r="DF99" i="3"/>
  <c r="DE100" i="3"/>
  <c r="DF100" i="3"/>
  <c r="DE101" i="3"/>
  <c r="DF101" i="3"/>
  <c r="DE102" i="3"/>
  <c r="DF102" i="3"/>
  <c r="DE103" i="3"/>
  <c r="DF103" i="3"/>
  <c r="DE104" i="3"/>
  <c r="DF104" i="3"/>
  <c r="DE105" i="3"/>
  <c r="DF105" i="3"/>
  <c r="DE106" i="3"/>
  <c r="DF106" i="3"/>
  <c r="DE107" i="3"/>
  <c r="DF107" i="3"/>
  <c r="DE108" i="3"/>
  <c r="DF108" i="3"/>
  <c r="DE109" i="3"/>
  <c r="DF109" i="3"/>
  <c r="DE110" i="3"/>
  <c r="DF110" i="3"/>
  <c r="DE111" i="3"/>
  <c r="DF111" i="3"/>
  <c r="DE112" i="3"/>
  <c r="DF112" i="3"/>
  <c r="DE113" i="3"/>
  <c r="DF113" i="3"/>
  <c r="DE114" i="3"/>
  <c r="DF114" i="3"/>
  <c r="DE115" i="3"/>
  <c r="DF115" i="3"/>
  <c r="DE116" i="3"/>
  <c r="DF116" i="3"/>
  <c r="DE117" i="3"/>
  <c r="DF117" i="3"/>
  <c r="DE118" i="3"/>
  <c r="DF118" i="3"/>
  <c r="DE119" i="3"/>
  <c r="DF119" i="3"/>
  <c r="DE120" i="3"/>
  <c r="DF120" i="3"/>
  <c r="DE121" i="3"/>
  <c r="DF121" i="3"/>
  <c r="DE122" i="3"/>
  <c r="DF122" i="3"/>
  <c r="DE123" i="3"/>
  <c r="DF123" i="3"/>
  <c r="DE124" i="3"/>
  <c r="DF124" i="3"/>
  <c r="DE125" i="3"/>
  <c r="DF125" i="3"/>
  <c r="DE126" i="3"/>
  <c r="DF126" i="3"/>
  <c r="DE127" i="3"/>
  <c r="DF127" i="3"/>
  <c r="DE128" i="3"/>
  <c r="DF128" i="3"/>
  <c r="DE129" i="3"/>
  <c r="DF129" i="3"/>
  <c r="DE130" i="3"/>
  <c r="DF130" i="3"/>
  <c r="DE131" i="3"/>
  <c r="DF131" i="3"/>
  <c r="DE132" i="3"/>
  <c r="DF132" i="3"/>
  <c r="DE133" i="3"/>
  <c r="DF133" i="3"/>
  <c r="DE134" i="3"/>
  <c r="DF134" i="3"/>
  <c r="DE135" i="3"/>
  <c r="DF135" i="3"/>
  <c r="DE136" i="3"/>
  <c r="DF136" i="3"/>
  <c r="DE137" i="3"/>
  <c r="DF137" i="3"/>
  <c r="DE138" i="3"/>
  <c r="DF138" i="3"/>
  <c r="DE139" i="3"/>
  <c r="DF139" i="3"/>
  <c r="DE140" i="3"/>
  <c r="DF140" i="3"/>
  <c r="DE141" i="3"/>
  <c r="DF141" i="3"/>
  <c r="DE142" i="3"/>
  <c r="DF142" i="3"/>
  <c r="DE143" i="3"/>
  <c r="DF143" i="3"/>
  <c r="DE144" i="3"/>
  <c r="DF144" i="3"/>
  <c r="DE145" i="3"/>
  <c r="DF145" i="3"/>
  <c r="DE146" i="3"/>
  <c r="DF146" i="3"/>
  <c r="DE147" i="3"/>
  <c r="DF147" i="3"/>
  <c r="DE148" i="3"/>
  <c r="DF148" i="3"/>
  <c r="DE149" i="3"/>
  <c r="DF149" i="3"/>
  <c r="DE150" i="3"/>
  <c r="DF150" i="3"/>
  <c r="DE151" i="3"/>
  <c r="DF151" i="3"/>
  <c r="DE152" i="3"/>
  <c r="DF152" i="3"/>
  <c r="DE153" i="3"/>
  <c r="DF153" i="3"/>
  <c r="DE154" i="3"/>
  <c r="DF154" i="3"/>
  <c r="DE155" i="3"/>
  <c r="DF155" i="3"/>
  <c r="DE156" i="3"/>
  <c r="DF156" i="3"/>
  <c r="DE157" i="3"/>
  <c r="DF157" i="3"/>
  <c r="DE158" i="3"/>
  <c r="DF158" i="3"/>
  <c r="DE159" i="3"/>
  <c r="DF159" i="3"/>
  <c r="DE160" i="3"/>
  <c r="DF160" i="3"/>
  <c r="DE161" i="3"/>
  <c r="DF161" i="3"/>
  <c r="DE162" i="3"/>
  <c r="DF162" i="3"/>
  <c r="DE163" i="3"/>
  <c r="DF163" i="3"/>
  <c r="DE164" i="3"/>
  <c r="DF164" i="3"/>
  <c r="DE165" i="3"/>
  <c r="DF165" i="3"/>
  <c r="DE166" i="3"/>
  <c r="DF166" i="3"/>
  <c r="DE167" i="3"/>
  <c r="DF167" i="3"/>
  <c r="DE168" i="3"/>
  <c r="DF168" i="3"/>
  <c r="DE169" i="3"/>
  <c r="DF169" i="3"/>
  <c r="DE170" i="3"/>
  <c r="DF170" i="3"/>
  <c r="DE171" i="3"/>
  <c r="DF171" i="3"/>
  <c r="DE172" i="3"/>
  <c r="DF172" i="3"/>
  <c r="DE173" i="3"/>
  <c r="DF173" i="3"/>
  <c r="DE174" i="3"/>
  <c r="DF174" i="3"/>
  <c r="DE175" i="3"/>
  <c r="DF175" i="3"/>
  <c r="DE176" i="3"/>
  <c r="DF176" i="3"/>
  <c r="DE177" i="3"/>
  <c r="DF177" i="3"/>
  <c r="DE178" i="3"/>
  <c r="DF178" i="3"/>
  <c r="DE179" i="3"/>
  <c r="DF179" i="3"/>
  <c r="DE180" i="3"/>
  <c r="DF180" i="3"/>
  <c r="DE181" i="3"/>
  <c r="DF181" i="3"/>
  <c r="DE182" i="3"/>
  <c r="DF182" i="3"/>
  <c r="DE183" i="3"/>
  <c r="DF183" i="3"/>
  <c r="DE184" i="3"/>
  <c r="DF184" i="3"/>
  <c r="DE185" i="3"/>
  <c r="DF185" i="3"/>
  <c r="DE186" i="3"/>
  <c r="DF186" i="3"/>
  <c r="DE187" i="3"/>
  <c r="DF187" i="3"/>
  <c r="DE188" i="3"/>
  <c r="DF188" i="3"/>
  <c r="DE189" i="3"/>
  <c r="DF189" i="3"/>
  <c r="DE190" i="3"/>
  <c r="DF190" i="3"/>
  <c r="DE191" i="3"/>
  <c r="DF191" i="3"/>
  <c r="DE192" i="3"/>
  <c r="DF192" i="3"/>
  <c r="DE193" i="3"/>
  <c r="DF193" i="3"/>
  <c r="DE194" i="3"/>
  <c r="DF194" i="3"/>
  <c r="DE195" i="3"/>
  <c r="DF195" i="3"/>
  <c r="DE196" i="3"/>
  <c r="DF196" i="3"/>
  <c r="DE197" i="3"/>
  <c r="DF197" i="3"/>
  <c r="DE198" i="3"/>
  <c r="DF198" i="3"/>
  <c r="DE199" i="3"/>
  <c r="DF199" i="3"/>
  <c r="DE200" i="3"/>
  <c r="DF200" i="3"/>
  <c r="DE201" i="3"/>
  <c r="DF201" i="3"/>
  <c r="DE202" i="3"/>
  <c r="DF202" i="3"/>
  <c r="DE203" i="3"/>
  <c r="DF203" i="3"/>
  <c r="DE204" i="3"/>
  <c r="DF204" i="3"/>
  <c r="DE205" i="3"/>
  <c r="DF205" i="3"/>
  <c r="DE206" i="3"/>
  <c r="DF206" i="3"/>
  <c r="DE207" i="3"/>
  <c r="DF207" i="3"/>
  <c r="DE208" i="3"/>
  <c r="DF208" i="3"/>
  <c r="DE209" i="3"/>
  <c r="DF209" i="3"/>
  <c r="DE210" i="3"/>
  <c r="DF210" i="3"/>
  <c r="DE211" i="3"/>
  <c r="DF211" i="3"/>
  <c r="DE212" i="3"/>
  <c r="DF212" i="3"/>
  <c r="DE213" i="3"/>
  <c r="DF213" i="3"/>
  <c r="DE214" i="3"/>
  <c r="DF214" i="3"/>
  <c r="DE215" i="3"/>
  <c r="DF215" i="3"/>
  <c r="DE216" i="3"/>
  <c r="DF216" i="3"/>
  <c r="DE217" i="3"/>
  <c r="DF217" i="3"/>
  <c r="DE218" i="3"/>
  <c r="DF218" i="3"/>
  <c r="DE219" i="3"/>
  <c r="DF219" i="3"/>
  <c r="DE220" i="3"/>
  <c r="DF220" i="3"/>
  <c r="DE221" i="3"/>
  <c r="DF221" i="3"/>
  <c r="DE222" i="3"/>
  <c r="DF222" i="3"/>
  <c r="DE223" i="3"/>
  <c r="DF223" i="3"/>
  <c r="DE224" i="3"/>
  <c r="DF224" i="3"/>
  <c r="DE225" i="3"/>
  <c r="DF225" i="3"/>
  <c r="DE226" i="3"/>
  <c r="DF226" i="3"/>
  <c r="DE227" i="3"/>
  <c r="DF227" i="3"/>
  <c r="DE228" i="3"/>
  <c r="DF228" i="3"/>
  <c r="DE229" i="3"/>
  <c r="DF229" i="3"/>
  <c r="DE230" i="3"/>
  <c r="DF230" i="3"/>
  <c r="DE231" i="3"/>
  <c r="DF231" i="3"/>
  <c r="DE232" i="3"/>
  <c r="DF232" i="3"/>
  <c r="DE233" i="3"/>
  <c r="DF233" i="3"/>
  <c r="DE234" i="3"/>
  <c r="DF234" i="3"/>
  <c r="DE235" i="3"/>
  <c r="DF235" i="3"/>
  <c r="DE236" i="3"/>
  <c r="DF236" i="3"/>
  <c r="DE237" i="3"/>
  <c r="DF237" i="3"/>
  <c r="DE238" i="3"/>
  <c r="DF238" i="3"/>
  <c r="DE239" i="3"/>
  <c r="DF239" i="3"/>
  <c r="DE240" i="3"/>
  <c r="DF240" i="3"/>
  <c r="DE241" i="3"/>
  <c r="DF241" i="3"/>
  <c r="DE242" i="3"/>
  <c r="DF242" i="3"/>
  <c r="DE243" i="3"/>
  <c r="DF243" i="3"/>
  <c r="DE244" i="3"/>
  <c r="DF244" i="3"/>
  <c r="DE245" i="3"/>
  <c r="DF245" i="3"/>
  <c r="DE246" i="3"/>
  <c r="DF246" i="3"/>
  <c r="DE247" i="3"/>
  <c r="DF247" i="3"/>
  <c r="DE248" i="3"/>
  <c r="DF248" i="3"/>
  <c r="DE249" i="3"/>
  <c r="DF249" i="3"/>
  <c r="DE250" i="3"/>
  <c r="DF250" i="3"/>
  <c r="DE251" i="3"/>
  <c r="DF251" i="3"/>
  <c r="DE252" i="3"/>
  <c r="DF252" i="3"/>
  <c r="DE253" i="3"/>
  <c r="DF253" i="3"/>
  <c r="DE254" i="3"/>
  <c r="DF254" i="3"/>
  <c r="DE255" i="3"/>
  <c r="DF255" i="3"/>
  <c r="DE256" i="3"/>
  <c r="DF256" i="3"/>
  <c r="DE257" i="3"/>
  <c r="DF257" i="3"/>
  <c r="DE258" i="3"/>
  <c r="DF258" i="3"/>
  <c r="DE259" i="3"/>
  <c r="DF259" i="3"/>
  <c r="DE260" i="3"/>
  <c r="DF260" i="3"/>
  <c r="DE261" i="3"/>
  <c r="DF261" i="3"/>
  <c r="DE262" i="3"/>
  <c r="DF262" i="3"/>
  <c r="DE263" i="3"/>
  <c r="DF263" i="3"/>
  <c r="DE264" i="3"/>
  <c r="DF264" i="3"/>
  <c r="DE265" i="3"/>
  <c r="DF265" i="3"/>
  <c r="DE266" i="3"/>
  <c r="DF266" i="3"/>
  <c r="DE267" i="3"/>
  <c r="DF267" i="3"/>
  <c r="DE268" i="3"/>
  <c r="DF268" i="3"/>
  <c r="DE269" i="3"/>
  <c r="DF269" i="3"/>
  <c r="DE270" i="3"/>
  <c r="DF270" i="3"/>
  <c r="DE271" i="3"/>
  <c r="DF271" i="3"/>
  <c r="DE272" i="3"/>
  <c r="DF272" i="3"/>
  <c r="DF27" i="3"/>
  <c r="DE27" i="3"/>
  <c r="BH118" i="3"/>
  <c r="BH117" i="3"/>
  <c r="BH113" i="3"/>
  <c r="BH112" i="3"/>
  <c r="CZ28" i="3"/>
  <c r="CZ29" i="3"/>
  <c r="CZ30" i="3"/>
  <c r="CZ31" i="3"/>
  <c r="CZ32" i="3"/>
  <c r="CZ33" i="3"/>
  <c r="CZ34" i="3"/>
  <c r="CZ35" i="3"/>
  <c r="CZ36" i="3"/>
  <c r="CZ37" i="3"/>
  <c r="CZ38" i="3"/>
  <c r="CZ39" i="3"/>
  <c r="CZ40" i="3"/>
  <c r="CZ41" i="3"/>
  <c r="CZ42" i="3"/>
  <c r="CZ43" i="3"/>
  <c r="CZ44" i="3"/>
  <c r="CZ45" i="3"/>
  <c r="CZ46" i="3"/>
  <c r="CZ47" i="3"/>
  <c r="CZ48" i="3"/>
  <c r="CZ49" i="3"/>
  <c r="CZ50" i="3"/>
  <c r="CZ51" i="3"/>
  <c r="CZ52" i="3"/>
  <c r="CZ53" i="3"/>
  <c r="CZ54" i="3"/>
  <c r="CZ55" i="3"/>
  <c r="CZ56" i="3"/>
  <c r="CZ57" i="3"/>
  <c r="CZ58" i="3"/>
  <c r="CZ59" i="3"/>
  <c r="CZ60" i="3"/>
  <c r="CZ61" i="3"/>
  <c r="CZ62" i="3"/>
  <c r="CZ63" i="3"/>
  <c r="CZ64" i="3"/>
  <c r="CZ65" i="3"/>
  <c r="CZ66" i="3"/>
  <c r="CZ67" i="3"/>
  <c r="CZ68" i="3"/>
  <c r="CZ69" i="3"/>
  <c r="CZ70" i="3"/>
  <c r="CZ71" i="3"/>
  <c r="CZ72" i="3"/>
  <c r="CZ73" i="3"/>
  <c r="CZ74" i="3"/>
  <c r="CZ75" i="3"/>
  <c r="CZ76" i="3"/>
  <c r="CZ77" i="3"/>
  <c r="CZ78" i="3"/>
  <c r="CZ79" i="3"/>
  <c r="CZ80" i="3"/>
  <c r="CZ81" i="3"/>
  <c r="CZ82" i="3"/>
  <c r="CZ83" i="3"/>
  <c r="CZ84" i="3"/>
  <c r="CZ85" i="3"/>
  <c r="CZ86" i="3"/>
  <c r="CZ87" i="3"/>
  <c r="CZ88" i="3"/>
  <c r="CZ89" i="3"/>
  <c r="CZ90" i="3"/>
  <c r="CZ91" i="3"/>
  <c r="CZ92" i="3"/>
  <c r="CZ93" i="3"/>
  <c r="CZ94" i="3"/>
  <c r="CZ95" i="3"/>
  <c r="CZ96" i="3"/>
  <c r="CZ97" i="3"/>
  <c r="CZ98" i="3"/>
  <c r="CZ99" i="3"/>
  <c r="CZ100" i="3"/>
  <c r="CZ101" i="3"/>
  <c r="CZ102" i="3"/>
  <c r="CZ103" i="3"/>
  <c r="CZ104" i="3"/>
  <c r="CZ105" i="3"/>
  <c r="CZ106" i="3"/>
  <c r="CZ107" i="3"/>
  <c r="CZ108" i="3"/>
  <c r="CZ109" i="3"/>
  <c r="CZ110" i="3"/>
  <c r="CZ111" i="3"/>
  <c r="CZ112" i="3"/>
  <c r="CZ113" i="3"/>
  <c r="CZ114" i="3"/>
  <c r="CZ115" i="3"/>
  <c r="CZ116" i="3"/>
  <c r="CZ117" i="3"/>
  <c r="CZ118" i="3"/>
  <c r="CZ119" i="3"/>
  <c r="CZ120" i="3"/>
  <c r="CZ121" i="3"/>
  <c r="CZ122" i="3"/>
  <c r="CZ123" i="3"/>
  <c r="CZ124" i="3"/>
  <c r="CZ125" i="3"/>
  <c r="CZ126" i="3"/>
  <c r="CZ127" i="3"/>
  <c r="CZ128" i="3"/>
  <c r="CZ129" i="3"/>
  <c r="CZ130" i="3"/>
  <c r="CZ131" i="3"/>
  <c r="CZ132" i="3"/>
  <c r="CZ133" i="3"/>
  <c r="CZ134" i="3"/>
  <c r="CZ135" i="3"/>
  <c r="CZ136" i="3"/>
  <c r="CZ137" i="3"/>
  <c r="CZ138" i="3"/>
  <c r="CZ139" i="3"/>
  <c r="CZ140" i="3"/>
  <c r="CZ141" i="3"/>
  <c r="CZ142" i="3"/>
  <c r="CZ143" i="3"/>
  <c r="CZ144" i="3"/>
  <c r="CZ145" i="3"/>
  <c r="CZ146" i="3"/>
  <c r="CZ147" i="3"/>
  <c r="CZ148" i="3"/>
  <c r="CZ149" i="3"/>
  <c r="CZ150" i="3"/>
  <c r="CZ151" i="3"/>
  <c r="CZ152" i="3"/>
  <c r="CZ153" i="3"/>
  <c r="CZ154" i="3"/>
  <c r="CZ155" i="3"/>
  <c r="CZ156" i="3"/>
  <c r="CZ157" i="3"/>
  <c r="CZ158" i="3"/>
  <c r="CZ159" i="3"/>
  <c r="CZ160" i="3"/>
  <c r="CZ161" i="3"/>
  <c r="CZ162" i="3"/>
  <c r="CZ163" i="3"/>
  <c r="CZ164" i="3"/>
  <c r="CZ165" i="3"/>
  <c r="CZ166" i="3"/>
  <c r="CZ167" i="3"/>
  <c r="CZ168" i="3"/>
  <c r="CZ169" i="3"/>
  <c r="CZ170" i="3"/>
  <c r="CZ171" i="3"/>
  <c r="CZ172" i="3"/>
  <c r="CZ173" i="3"/>
  <c r="CZ174" i="3"/>
  <c r="CZ175" i="3"/>
  <c r="CZ176" i="3"/>
  <c r="CZ177" i="3"/>
  <c r="CZ178" i="3"/>
  <c r="CZ179" i="3"/>
  <c r="CZ180" i="3"/>
  <c r="CZ181" i="3"/>
  <c r="CZ182" i="3"/>
  <c r="CZ183" i="3"/>
  <c r="CZ184" i="3"/>
  <c r="CZ185" i="3"/>
  <c r="CZ186" i="3"/>
  <c r="CZ187" i="3"/>
  <c r="CZ188" i="3"/>
  <c r="CZ189" i="3"/>
  <c r="CZ190" i="3"/>
  <c r="CZ191" i="3"/>
  <c r="CZ192" i="3"/>
  <c r="CZ193" i="3"/>
  <c r="CZ194" i="3"/>
  <c r="CZ195" i="3"/>
  <c r="CZ196" i="3"/>
  <c r="CZ197" i="3"/>
  <c r="CZ198" i="3"/>
  <c r="CZ199" i="3"/>
  <c r="CZ200" i="3"/>
  <c r="CZ201" i="3"/>
  <c r="CZ202" i="3"/>
  <c r="CZ203" i="3"/>
  <c r="CZ204" i="3"/>
  <c r="CZ205" i="3"/>
  <c r="CZ206" i="3"/>
  <c r="CZ207" i="3"/>
  <c r="CZ208" i="3"/>
  <c r="CZ209" i="3"/>
  <c r="CZ210" i="3"/>
  <c r="CZ211" i="3"/>
  <c r="CZ212" i="3"/>
  <c r="CZ213" i="3"/>
  <c r="CZ214" i="3"/>
  <c r="CZ215" i="3"/>
  <c r="CZ216" i="3"/>
  <c r="CZ217" i="3"/>
  <c r="CZ218" i="3"/>
  <c r="CZ219" i="3"/>
  <c r="CZ220" i="3"/>
  <c r="CZ221" i="3"/>
  <c r="CZ222" i="3"/>
  <c r="CZ223" i="3"/>
  <c r="CZ224" i="3"/>
  <c r="CZ225" i="3"/>
  <c r="CZ226" i="3"/>
  <c r="CZ227" i="3"/>
  <c r="CZ228" i="3"/>
  <c r="CZ229" i="3"/>
  <c r="CZ230" i="3"/>
  <c r="CZ231" i="3"/>
  <c r="CZ232" i="3"/>
  <c r="CZ233" i="3"/>
  <c r="CZ234" i="3"/>
  <c r="CZ235" i="3"/>
  <c r="CZ236" i="3"/>
  <c r="CZ237" i="3"/>
  <c r="CZ238" i="3"/>
  <c r="CZ239" i="3"/>
  <c r="CZ240" i="3"/>
  <c r="CZ241" i="3"/>
  <c r="CZ242" i="3"/>
  <c r="CZ243" i="3"/>
  <c r="CZ244" i="3"/>
  <c r="CZ245" i="3"/>
  <c r="CZ246" i="3"/>
  <c r="CZ247" i="3"/>
  <c r="CZ248" i="3"/>
  <c r="CZ249" i="3"/>
  <c r="CZ250" i="3"/>
  <c r="CZ251" i="3"/>
  <c r="CZ252" i="3"/>
  <c r="CZ253" i="3"/>
  <c r="CZ254" i="3"/>
  <c r="CZ255" i="3"/>
  <c r="CZ256" i="3"/>
  <c r="CZ257" i="3"/>
  <c r="CZ258" i="3"/>
  <c r="CZ259" i="3"/>
  <c r="CZ260" i="3"/>
  <c r="CZ261" i="3"/>
  <c r="CZ262" i="3"/>
  <c r="CZ263" i="3"/>
  <c r="CZ264" i="3"/>
  <c r="CZ265" i="3"/>
  <c r="CZ266" i="3"/>
  <c r="CZ267" i="3"/>
  <c r="CZ268" i="3"/>
  <c r="CZ269" i="3"/>
  <c r="CZ270" i="3"/>
  <c r="CZ271" i="3"/>
  <c r="CZ272" i="3"/>
  <c r="CZ27" i="3"/>
  <c r="CV28" i="3"/>
  <c r="CV29" i="3"/>
  <c r="CV30" i="3"/>
  <c r="CV31" i="3"/>
  <c r="CV32" i="3"/>
  <c r="CV33" i="3"/>
  <c r="CV34" i="3"/>
  <c r="CV35" i="3"/>
  <c r="CV36" i="3"/>
  <c r="CV37" i="3"/>
  <c r="CV38" i="3"/>
  <c r="CV39" i="3"/>
  <c r="CV40" i="3"/>
  <c r="CV41" i="3"/>
  <c r="CV42" i="3"/>
  <c r="CV43" i="3"/>
  <c r="CV44" i="3"/>
  <c r="CV45" i="3"/>
  <c r="CV46" i="3"/>
  <c r="CV47" i="3"/>
  <c r="CV48" i="3"/>
  <c r="CV49" i="3"/>
  <c r="CV50" i="3"/>
  <c r="CV51" i="3"/>
  <c r="CV52" i="3"/>
  <c r="CV53" i="3"/>
  <c r="CV54" i="3"/>
  <c r="CV55" i="3"/>
  <c r="CV56" i="3"/>
  <c r="CV57" i="3"/>
  <c r="CV58" i="3"/>
  <c r="CV59" i="3"/>
  <c r="CV60" i="3"/>
  <c r="CV61" i="3"/>
  <c r="CV62" i="3"/>
  <c r="CV63" i="3"/>
  <c r="CV64" i="3"/>
  <c r="CV65" i="3"/>
  <c r="CV66" i="3"/>
  <c r="CV67" i="3"/>
  <c r="CV68" i="3"/>
  <c r="CV69" i="3"/>
  <c r="CV70" i="3"/>
  <c r="CV71" i="3"/>
  <c r="CV72" i="3"/>
  <c r="CV73" i="3"/>
  <c r="CV74" i="3"/>
  <c r="CV75" i="3"/>
  <c r="CV76" i="3"/>
  <c r="CV77" i="3"/>
  <c r="CV78" i="3"/>
  <c r="CV79" i="3"/>
  <c r="CV80" i="3"/>
  <c r="CV81" i="3"/>
  <c r="CV82" i="3"/>
  <c r="CV83" i="3"/>
  <c r="CV84" i="3"/>
  <c r="CV85" i="3"/>
  <c r="CV86" i="3"/>
  <c r="CV87" i="3"/>
  <c r="CV88" i="3"/>
  <c r="CV89" i="3"/>
  <c r="CV90" i="3"/>
  <c r="CV91" i="3"/>
  <c r="CV92" i="3"/>
  <c r="CV93" i="3"/>
  <c r="CV94" i="3"/>
  <c r="CV95" i="3"/>
  <c r="CV96" i="3"/>
  <c r="CV97" i="3"/>
  <c r="CV98" i="3"/>
  <c r="CV99" i="3"/>
  <c r="CV100" i="3"/>
  <c r="CV101" i="3"/>
  <c r="CV102" i="3"/>
  <c r="CV103" i="3"/>
  <c r="CV104" i="3"/>
  <c r="CV105" i="3"/>
  <c r="CV106" i="3"/>
  <c r="CV107" i="3"/>
  <c r="CV108" i="3"/>
  <c r="CV109" i="3"/>
  <c r="CV110" i="3"/>
  <c r="CV111" i="3"/>
  <c r="CV112" i="3"/>
  <c r="CV113" i="3"/>
  <c r="CV114" i="3"/>
  <c r="CV115" i="3"/>
  <c r="CV116" i="3"/>
  <c r="CV117" i="3"/>
  <c r="CV118" i="3"/>
  <c r="CV119" i="3"/>
  <c r="CV120" i="3"/>
  <c r="CV121" i="3"/>
  <c r="CV122" i="3"/>
  <c r="CV123" i="3"/>
  <c r="CV124" i="3"/>
  <c r="CV125" i="3"/>
  <c r="CV126" i="3"/>
  <c r="CV127" i="3"/>
  <c r="CV128" i="3"/>
  <c r="CV129" i="3"/>
  <c r="CV130" i="3"/>
  <c r="CV131" i="3"/>
  <c r="CV132" i="3"/>
  <c r="CV133" i="3"/>
  <c r="CV134" i="3"/>
  <c r="CV135" i="3"/>
  <c r="CV136" i="3"/>
  <c r="CV137" i="3"/>
  <c r="CV138" i="3"/>
  <c r="CV139" i="3"/>
  <c r="CV140" i="3"/>
  <c r="CV141" i="3"/>
  <c r="CV142" i="3"/>
  <c r="CV143" i="3"/>
  <c r="CV144" i="3"/>
  <c r="CV145" i="3"/>
  <c r="CV146" i="3"/>
  <c r="CV147" i="3"/>
  <c r="CV148" i="3"/>
  <c r="CV149" i="3"/>
  <c r="CV150" i="3"/>
  <c r="CV151" i="3"/>
  <c r="CV152" i="3"/>
  <c r="CV153" i="3"/>
  <c r="CV154" i="3"/>
  <c r="CV155" i="3"/>
  <c r="CV156" i="3"/>
  <c r="CV157" i="3"/>
  <c r="CV158" i="3"/>
  <c r="CV159" i="3"/>
  <c r="CV160" i="3"/>
  <c r="CV161" i="3"/>
  <c r="CV162" i="3"/>
  <c r="CV163" i="3"/>
  <c r="CV164" i="3"/>
  <c r="CV165" i="3"/>
  <c r="CV166" i="3"/>
  <c r="CV167" i="3"/>
  <c r="CV168" i="3"/>
  <c r="CV169" i="3"/>
  <c r="CV170" i="3"/>
  <c r="CV171" i="3"/>
  <c r="CV172" i="3"/>
  <c r="CV173" i="3"/>
  <c r="CV174" i="3"/>
  <c r="CV175" i="3"/>
  <c r="CV176" i="3"/>
  <c r="CV177" i="3"/>
  <c r="CV178" i="3"/>
  <c r="CV179" i="3"/>
  <c r="CV180" i="3"/>
  <c r="CV181" i="3"/>
  <c r="CV182" i="3"/>
  <c r="CV183" i="3"/>
  <c r="CV184" i="3"/>
  <c r="CV185" i="3"/>
  <c r="CV186" i="3"/>
  <c r="CV187" i="3"/>
  <c r="CV188" i="3"/>
  <c r="CV189" i="3"/>
  <c r="CV190" i="3"/>
  <c r="CV191" i="3"/>
  <c r="CV192" i="3"/>
  <c r="CV193" i="3"/>
  <c r="CV194" i="3"/>
  <c r="CV195" i="3"/>
  <c r="CV196" i="3"/>
  <c r="CV197" i="3"/>
  <c r="CV198" i="3"/>
  <c r="CV199" i="3"/>
  <c r="CV200" i="3"/>
  <c r="CV201" i="3"/>
  <c r="CV202" i="3"/>
  <c r="CV203" i="3"/>
  <c r="CV204" i="3"/>
  <c r="CV205" i="3"/>
  <c r="CV206" i="3"/>
  <c r="CV207" i="3"/>
  <c r="CV208" i="3"/>
  <c r="CV209" i="3"/>
  <c r="CV210" i="3"/>
  <c r="CV211" i="3"/>
  <c r="CV212" i="3"/>
  <c r="CV213" i="3"/>
  <c r="CV214" i="3"/>
  <c r="CV215" i="3"/>
  <c r="CV216" i="3"/>
  <c r="CV217" i="3"/>
  <c r="CV218" i="3"/>
  <c r="CV219" i="3"/>
  <c r="CV220" i="3"/>
  <c r="CV221" i="3"/>
  <c r="CV222" i="3"/>
  <c r="CV223" i="3"/>
  <c r="CV224" i="3"/>
  <c r="CV225" i="3"/>
  <c r="CV226" i="3"/>
  <c r="CV227" i="3"/>
  <c r="CV228" i="3"/>
  <c r="CV229" i="3"/>
  <c r="CV230" i="3"/>
  <c r="CV231" i="3"/>
  <c r="CV232" i="3"/>
  <c r="CV233" i="3"/>
  <c r="CV234" i="3"/>
  <c r="CV235" i="3"/>
  <c r="CV236" i="3"/>
  <c r="CV237" i="3"/>
  <c r="CV238" i="3"/>
  <c r="CV239" i="3"/>
  <c r="CV240" i="3"/>
  <c r="CV241" i="3"/>
  <c r="CV242" i="3"/>
  <c r="CV243" i="3"/>
  <c r="CV244" i="3"/>
  <c r="CV245" i="3"/>
  <c r="CV246" i="3"/>
  <c r="CV247" i="3"/>
  <c r="CV248" i="3"/>
  <c r="CV249" i="3"/>
  <c r="CV250" i="3"/>
  <c r="CV251" i="3"/>
  <c r="CV252" i="3"/>
  <c r="CV253" i="3"/>
  <c r="CV254" i="3"/>
  <c r="CV255" i="3"/>
  <c r="CV256" i="3"/>
  <c r="CV257" i="3"/>
  <c r="CV258" i="3"/>
  <c r="CV259" i="3"/>
  <c r="CV260" i="3"/>
  <c r="CV261" i="3"/>
  <c r="CV262" i="3"/>
  <c r="CV263" i="3"/>
  <c r="CV264" i="3"/>
  <c r="CV265" i="3"/>
  <c r="CV266" i="3"/>
  <c r="CV267" i="3"/>
  <c r="CV268" i="3"/>
  <c r="CV269" i="3"/>
  <c r="CV270" i="3"/>
  <c r="CV271" i="3"/>
  <c r="CV272" i="3"/>
  <c r="CV27" i="3"/>
  <c r="CU28" i="3"/>
  <c r="CU29" i="3"/>
  <c r="CU30" i="3"/>
  <c r="CU31" i="3"/>
  <c r="CU32" i="3"/>
  <c r="CU33" i="3"/>
  <c r="CU34" i="3"/>
  <c r="CU35" i="3"/>
  <c r="CU36" i="3"/>
  <c r="CU37" i="3"/>
  <c r="CU38" i="3"/>
  <c r="CU39" i="3"/>
  <c r="CU40" i="3"/>
  <c r="CU41" i="3"/>
  <c r="CU42" i="3"/>
  <c r="CU43" i="3"/>
  <c r="CU44" i="3"/>
  <c r="CU45" i="3"/>
  <c r="CU46" i="3"/>
  <c r="CU47" i="3"/>
  <c r="CU48" i="3"/>
  <c r="CU49" i="3"/>
  <c r="CU50" i="3"/>
  <c r="CU51" i="3"/>
  <c r="CU52" i="3"/>
  <c r="CU53" i="3"/>
  <c r="CU54" i="3"/>
  <c r="CU55" i="3"/>
  <c r="CU56" i="3"/>
  <c r="CU57" i="3"/>
  <c r="CU58" i="3"/>
  <c r="CU59" i="3"/>
  <c r="CU60" i="3"/>
  <c r="CU61" i="3"/>
  <c r="CU62" i="3"/>
  <c r="CU63" i="3"/>
  <c r="CU64" i="3"/>
  <c r="CU65" i="3"/>
  <c r="CU66" i="3"/>
  <c r="CU67" i="3"/>
  <c r="CU68" i="3"/>
  <c r="CU69" i="3"/>
  <c r="CU70" i="3"/>
  <c r="CU71" i="3"/>
  <c r="CU72" i="3"/>
  <c r="CU73" i="3"/>
  <c r="CU74" i="3"/>
  <c r="CU75" i="3"/>
  <c r="CU76" i="3"/>
  <c r="CU77" i="3"/>
  <c r="CU78" i="3"/>
  <c r="CU79" i="3"/>
  <c r="CU80" i="3"/>
  <c r="CU81" i="3"/>
  <c r="CU82" i="3"/>
  <c r="CU83" i="3"/>
  <c r="CU84" i="3"/>
  <c r="CU85" i="3"/>
  <c r="CU86" i="3"/>
  <c r="CU87" i="3"/>
  <c r="CU88" i="3"/>
  <c r="CU89" i="3"/>
  <c r="CU90" i="3"/>
  <c r="CU91" i="3"/>
  <c r="CU92" i="3"/>
  <c r="CU93" i="3"/>
  <c r="CU94" i="3"/>
  <c r="CU95" i="3"/>
  <c r="CU96" i="3"/>
  <c r="CU97" i="3"/>
  <c r="CU98" i="3"/>
  <c r="CU99" i="3"/>
  <c r="CU100" i="3"/>
  <c r="CU101" i="3"/>
  <c r="CU102" i="3"/>
  <c r="CU103" i="3"/>
  <c r="CU104" i="3"/>
  <c r="CU105" i="3"/>
  <c r="CU106" i="3"/>
  <c r="CU107" i="3"/>
  <c r="CU108" i="3"/>
  <c r="CU109" i="3"/>
  <c r="CU110" i="3"/>
  <c r="CU111" i="3"/>
  <c r="CU112" i="3"/>
  <c r="CU113" i="3"/>
  <c r="CU114" i="3"/>
  <c r="CU115" i="3"/>
  <c r="CU116" i="3"/>
  <c r="CU117" i="3"/>
  <c r="CU118" i="3"/>
  <c r="CU119" i="3"/>
  <c r="CU120" i="3"/>
  <c r="CU121" i="3"/>
  <c r="CU122" i="3"/>
  <c r="CU123" i="3"/>
  <c r="CU124" i="3"/>
  <c r="CU125" i="3"/>
  <c r="CU126" i="3"/>
  <c r="CU127" i="3"/>
  <c r="CU128" i="3"/>
  <c r="CU129" i="3"/>
  <c r="CU130" i="3"/>
  <c r="CU131" i="3"/>
  <c r="CU132" i="3"/>
  <c r="CU133" i="3"/>
  <c r="CU134" i="3"/>
  <c r="CU135" i="3"/>
  <c r="CU136" i="3"/>
  <c r="CU137" i="3"/>
  <c r="CU138" i="3"/>
  <c r="CU139" i="3"/>
  <c r="CU140" i="3"/>
  <c r="CU141" i="3"/>
  <c r="CU142" i="3"/>
  <c r="CU143" i="3"/>
  <c r="CU144" i="3"/>
  <c r="CU145" i="3"/>
  <c r="CU146" i="3"/>
  <c r="CU147" i="3"/>
  <c r="CU148" i="3"/>
  <c r="CU149" i="3"/>
  <c r="CU150" i="3"/>
  <c r="CU151" i="3"/>
  <c r="CU152" i="3"/>
  <c r="CU153" i="3"/>
  <c r="CU154" i="3"/>
  <c r="CU155" i="3"/>
  <c r="CU156" i="3"/>
  <c r="CU157" i="3"/>
  <c r="CU158" i="3"/>
  <c r="CU159" i="3"/>
  <c r="CU160" i="3"/>
  <c r="CU161" i="3"/>
  <c r="CU162" i="3"/>
  <c r="CU163" i="3"/>
  <c r="CU164" i="3"/>
  <c r="CU165" i="3"/>
  <c r="CU166" i="3"/>
  <c r="CU167" i="3"/>
  <c r="CU168" i="3"/>
  <c r="CU169" i="3"/>
  <c r="CU170" i="3"/>
  <c r="CU171" i="3"/>
  <c r="CU172" i="3"/>
  <c r="CU173" i="3"/>
  <c r="CU174" i="3"/>
  <c r="CU175" i="3"/>
  <c r="CU176" i="3"/>
  <c r="CU177" i="3"/>
  <c r="CU178" i="3"/>
  <c r="CU179" i="3"/>
  <c r="CU180" i="3"/>
  <c r="CU181" i="3"/>
  <c r="CU182" i="3"/>
  <c r="CU183" i="3"/>
  <c r="CU184" i="3"/>
  <c r="CU185" i="3"/>
  <c r="CU186" i="3"/>
  <c r="CU187" i="3"/>
  <c r="CU188" i="3"/>
  <c r="CU189" i="3"/>
  <c r="CU190" i="3"/>
  <c r="CU191" i="3"/>
  <c r="CU192" i="3"/>
  <c r="CU193" i="3"/>
  <c r="CU194" i="3"/>
  <c r="CU195" i="3"/>
  <c r="CU196" i="3"/>
  <c r="CU197" i="3"/>
  <c r="CU198" i="3"/>
  <c r="CU199" i="3"/>
  <c r="CU200" i="3"/>
  <c r="CU201" i="3"/>
  <c r="CU202" i="3"/>
  <c r="CU203" i="3"/>
  <c r="CU204" i="3"/>
  <c r="CU205" i="3"/>
  <c r="CU206" i="3"/>
  <c r="CU207" i="3"/>
  <c r="CU208" i="3"/>
  <c r="CU209" i="3"/>
  <c r="CU210" i="3"/>
  <c r="CU211" i="3"/>
  <c r="CU212" i="3"/>
  <c r="CU213" i="3"/>
  <c r="CU214" i="3"/>
  <c r="CU215" i="3"/>
  <c r="CU216" i="3"/>
  <c r="CU217" i="3"/>
  <c r="CU218" i="3"/>
  <c r="CU219" i="3"/>
  <c r="CU220" i="3"/>
  <c r="CU221" i="3"/>
  <c r="CU222" i="3"/>
  <c r="CU223" i="3"/>
  <c r="CU224" i="3"/>
  <c r="CU225" i="3"/>
  <c r="CU226" i="3"/>
  <c r="CU227" i="3"/>
  <c r="CU228" i="3"/>
  <c r="CU229" i="3"/>
  <c r="CU230" i="3"/>
  <c r="CU231" i="3"/>
  <c r="CU232" i="3"/>
  <c r="CU233" i="3"/>
  <c r="CU234" i="3"/>
  <c r="CU235" i="3"/>
  <c r="CU236" i="3"/>
  <c r="CU237" i="3"/>
  <c r="CU238" i="3"/>
  <c r="CU239" i="3"/>
  <c r="CU240" i="3"/>
  <c r="CU241" i="3"/>
  <c r="CU242" i="3"/>
  <c r="CU243" i="3"/>
  <c r="CU244" i="3"/>
  <c r="CU245" i="3"/>
  <c r="CU246" i="3"/>
  <c r="CU247" i="3"/>
  <c r="CU248" i="3"/>
  <c r="CU249" i="3"/>
  <c r="CU250" i="3"/>
  <c r="CU251" i="3"/>
  <c r="CU252" i="3"/>
  <c r="CU253" i="3"/>
  <c r="CU254" i="3"/>
  <c r="CU255" i="3"/>
  <c r="CU256" i="3"/>
  <c r="CU257" i="3"/>
  <c r="CU258" i="3"/>
  <c r="CU259" i="3"/>
  <c r="CU260" i="3"/>
  <c r="CU261" i="3"/>
  <c r="CU262" i="3"/>
  <c r="CU263" i="3"/>
  <c r="CU264" i="3"/>
  <c r="CU265" i="3"/>
  <c r="CU266" i="3"/>
  <c r="CU267" i="3"/>
  <c r="CU268" i="3"/>
  <c r="CU269" i="3"/>
  <c r="CU270" i="3"/>
  <c r="CU271" i="3"/>
  <c r="CU272" i="3"/>
  <c r="CU27" i="3"/>
  <c r="CY28" i="3"/>
  <c r="CY29" i="3"/>
  <c r="CY30" i="3"/>
  <c r="CY31" i="3"/>
  <c r="CY32" i="3"/>
  <c r="CY33" i="3"/>
  <c r="CY34" i="3"/>
  <c r="CY35" i="3"/>
  <c r="CY36" i="3"/>
  <c r="CY37" i="3"/>
  <c r="CY38" i="3"/>
  <c r="CY39" i="3"/>
  <c r="CY40" i="3"/>
  <c r="CY41" i="3"/>
  <c r="CY42" i="3"/>
  <c r="CY43" i="3"/>
  <c r="CY44" i="3"/>
  <c r="CY45" i="3"/>
  <c r="CY46" i="3"/>
  <c r="CY47" i="3"/>
  <c r="CY48" i="3"/>
  <c r="CY49" i="3"/>
  <c r="CY50" i="3"/>
  <c r="CY51" i="3"/>
  <c r="CY52" i="3"/>
  <c r="CY53" i="3"/>
  <c r="CY54" i="3"/>
  <c r="CY55" i="3"/>
  <c r="CY56" i="3"/>
  <c r="CY57" i="3"/>
  <c r="CY58" i="3"/>
  <c r="CY59" i="3"/>
  <c r="CY60" i="3"/>
  <c r="CY61" i="3"/>
  <c r="CY62" i="3"/>
  <c r="CY63" i="3"/>
  <c r="CY64" i="3"/>
  <c r="CY65" i="3"/>
  <c r="CY66" i="3"/>
  <c r="CY67" i="3"/>
  <c r="CY68" i="3"/>
  <c r="CY69" i="3"/>
  <c r="CY70" i="3"/>
  <c r="CY71" i="3"/>
  <c r="CY72" i="3"/>
  <c r="CY73" i="3"/>
  <c r="CY74" i="3"/>
  <c r="CY75" i="3"/>
  <c r="CY76" i="3"/>
  <c r="CY77" i="3"/>
  <c r="CY78" i="3"/>
  <c r="CY79" i="3"/>
  <c r="CY80" i="3"/>
  <c r="CY81" i="3"/>
  <c r="CY82" i="3"/>
  <c r="CY83" i="3"/>
  <c r="CY84" i="3"/>
  <c r="CY85" i="3"/>
  <c r="CY86" i="3"/>
  <c r="CY87" i="3"/>
  <c r="CY88" i="3"/>
  <c r="CY89" i="3"/>
  <c r="CY90" i="3"/>
  <c r="CY91" i="3"/>
  <c r="CY92" i="3"/>
  <c r="CY93" i="3"/>
  <c r="CY94" i="3"/>
  <c r="CY95" i="3"/>
  <c r="CY96" i="3"/>
  <c r="CY97" i="3"/>
  <c r="CY98" i="3"/>
  <c r="CY99" i="3"/>
  <c r="CY100" i="3"/>
  <c r="CY101" i="3"/>
  <c r="CY102" i="3"/>
  <c r="CY103" i="3"/>
  <c r="CY104" i="3"/>
  <c r="CY105" i="3"/>
  <c r="CY106" i="3"/>
  <c r="CY107" i="3"/>
  <c r="CY108" i="3"/>
  <c r="CY109" i="3"/>
  <c r="CY110" i="3"/>
  <c r="CY111" i="3"/>
  <c r="CY112" i="3"/>
  <c r="CY113" i="3"/>
  <c r="CY114" i="3"/>
  <c r="CY115" i="3"/>
  <c r="CY116" i="3"/>
  <c r="CY117" i="3"/>
  <c r="CY118" i="3"/>
  <c r="CY119" i="3"/>
  <c r="CY120" i="3"/>
  <c r="CY121" i="3"/>
  <c r="CY122" i="3"/>
  <c r="CY123" i="3"/>
  <c r="CY124" i="3"/>
  <c r="CY125" i="3"/>
  <c r="CY126" i="3"/>
  <c r="CY127" i="3"/>
  <c r="CY128" i="3"/>
  <c r="CY129" i="3"/>
  <c r="CY130" i="3"/>
  <c r="CY131" i="3"/>
  <c r="CY132" i="3"/>
  <c r="CY133" i="3"/>
  <c r="CY134" i="3"/>
  <c r="CY135" i="3"/>
  <c r="CY136" i="3"/>
  <c r="CY137" i="3"/>
  <c r="CY138" i="3"/>
  <c r="CY139" i="3"/>
  <c r="CY140" i="3"/>
  <c r="CY141" i="3"/>
  <c r="CY142" i="3"/>
  <c r="CY143" i="3"/>
  <c r="CY144" i="3"/>
  <c r="CY145" i="3"/>
  <c r="CY146" i="3"/>
  <c r="CY147" i="3"/>
  <c r="CY148" i="3"/>
  <c r="CY149" i="3"/>
  <c r="CY150" i="3"/>
  <c r="CY151" i="3"/>
  <c r="CY152" i="3"/>
  <c r="CY153" i="3"/>
  <c r="CY154" i="3"/>
  <c r="CY155" i="3"/>
  <c r="CY156" i="3"/>
  <c r="CY157" i="3"/>
  <c r="CY158" i="3"/>
  <c r="CY159" i="3"/>
  <c r="CY160" i="3"/>
  <c r="CY161" i="3"/>
  <c r="CY162" i="3"/>
  <c r="CY163" i="3"/>
  <c r="CY164" i="3"/>
  <c r="CY165" i="3"/>
  <c r="CY166" i="3"/>
  <c r="CY167" i="3"/>
  <c r="CY168" i="3"/>
  <c r="CY169" i="3"/>
  <c r="CY170" i="3"/>
  <c r="CY171" i="3"/>
  <c r="CY172" i="3"/>
  <c r="CY173" i="3"/>
  <c r="CY174" i="3"/>
  <c r="CY175" i="3"/>
  <c r="CY176" i="3"/>
  <c r="CY177" i="3"/>
  <c r="CY178" i="3"/>
  <c r="CY179" i="3"/>
  <c r="CY180" i="3"/>
  <c r="CY181" i="3"/>
  <c r="CY182" i="3"/>
  <c r="CY183" i="3"/>
  <c r="CY184" i="3"/>
  <c r="CY185" i="3"/>
  <c r="CY186" i="3"/>
  <c r="CY187" i="3"/>
  <c r="CY188" i="3"/>
  <c r="CY189" i="3"/>
  <c r="CY190" i="3"/>
  <c r="CY191" i="3"/>
  <c r="CY192" i="3"/>
  <c r="CY193" i="3"/>
  <c r="CY194" i="3"/>
  <c r="CY195" i="3"/>
  <c r="CY196" i="3"/>
  <c r="CY197" i="3"/>
  <c r="CY198" i="3"/>
  <c r="CY199" i="3"/>
  <c r="CY200" i="3"/>
  <c r="CY201" i="3"/>
  <c r="CY202" i="3"/>
  <c r="CY203" i="3"/>
  <c r="CY204" i="3"/>
  <c r="CY205" i="3"/>
  <c r="CY206" i="3"/>
  <c r="CY207" i="3"/>
  <c r="CY208" i="3"/>
  <c r="CY209" i="3"/>
  <c r="CY210" i="3"/>
  <c r="CY211" i="3"/>
  <c r="CY212" i="3"/>
  <c r="CY213" i="3"/>
  <c r="CY214" i="3"/>
  <c r="CY215" i="3"/>
  <c r="CY216" i="3"/>
  <c r="CY217" i="3"/>
  <c r="CY218" i="3"/>
  <c r="CY219" i="3"/>
  <c r="CY220" i="3"/>
  <c r="CY221" i="3"/>
  <c r="CY222" i="3"/>
  <c r="CY223" i="3"/>
  <c r="CY224" i="3"/>
  <c r="CY225" i="3"/>
  <c r="CY226" i="3"/>
  <c r="CY227" i="3"/>
  <c r="CY228" i="3"/>
  <c r="CY229" i="3"/>
  <c r="CY230" i="3"/>
  <c r="CY231" i="3"/>
  <c r="CY232" i="3"/>
  <c r="CY233" i="3"/>
  <c r="CY234" i="3"/>
  <c r="CY235" i="3"/>
  <c r="CY236" i="3"/>
  <c r="CY237" i="3"/>
  <c r="CY238" i="3"/>
  <c r="CY239" i="3"/>
  <c r="CY240" i="3"/>
  <c r="CY241" i="3"/>
  <c r="CY242" i="3"/>
  <c r="CY243" i="3"/>
  <c r="CY244" i="3"/>
  <c r="CY245" i="3"/>
  <c r="CY246" i="3"/>
  <c r="CY247" i="3"/>
  <c r="CY248" i="3"/>
  <c r="CY249" i="3"/>
  <c r="CY250" i="3"/>
  <c r="CY251" i="3"/>
  <c r="CY252" i="3"/>
  <c r="CY253" i="3"/>
  <c r="CY254" i="3"/>
  <c r="CY255" i="3"/>
  <c r="CY256" i="3"/>
  <c r="CY257" i="3"/>
  <c r="CY258" i="3"/>
  <c r="CY259" i="3"/>
  <c r="CY260" i="3"/>
  <c r="CY261" i="3"/>
  <c r="CY262" i="3"/>
  <c r="CY263" i="3"/>
  <c r="CY264" i="3"/>
  <c r="CY265" i="3"/>
  <c r="CY266" i="3"/>
  <c r="CY267" i="3"/>
  <c r="CY268" i="3"/>
  <c r="CY269" i="3"/>
  <c r="CY270" i="3"/>
  <c r="CY271" i="3"/>
  <c r="CY272" i="3"/>
  <c r="CY27" i="3"/>
  <c r="DC33" i="3"/>
  <c r="DC30" i="3"/>
  <c r="CX28" i="3"/>
  <c r="CX29" i="3"/>
  <c r="CX30" i="3"/>
  <c r="CX31" i="3"/>
  <c r="CX32" i="3"/>
  <c r="CX33" i="3"/>
  <c r="CX34" i="3"/>
  <c r="CX35" i="3"/>
  <c r="CX36" i="3"/>
  <c r="CX37" i="3"/>
  <c r="CX38" i="3"/>
  <c r="CX39" i="3"/>
  <c r="CX40" i="3"/>
  <c r="CX41" i="3"/>
  <c r="CX42" i="3"/>
  <c r="CX43" i="3"/>
  <c r="CX44" i="3"/>
  <c r="CX45" i="3"/>
  <c r="CX46" i="3"/>
  <c r="CX47" i="3"/>
  <c r="CX48" i="3"/>
  <c r="CX49" i="3"/>
  <c r="CX50" i="3"/>
  <c r="CX51" i="3"/>
  <c r="CX52" i="3"/>
  <c r="CX53" i="3"/>
  <c r="CX54" i="3"/>
  <c r="CX55" i="3"/>
  <c r="CX56" i="3"/>
  <c r="CX57" i="3"/>
  <c r="CX58" i="3"/>
  <c r="CX59" i="3"/>
  <c r="CX60" i="3"/>
  <c r="CX61" i="3"/>
  <c r="CX62" i="3"/>
  <c r="CX63" i="3"/>
  <c r="CX64" i="3"/>
  <c r="CX65" i="3"/>
  <c r="CX66" i="3"/>
  <c r="CX67" i="3"/>
  <c r="CX68" i="3"/>
  <c r="CX69" i="3"/>
  <c r="CX70" i="3"/>
  <c r="CX71" i="3"/>
  <c r="CX72" i="3"/>
  <c r="CX73" i="3"/>
  <c r="CX74" i="3"/>
  <c r="CX75" i="3"/>
  <c r="CX76" i="3"/>
  <c r="CX77" i="3"/>
  <c r="CX78" i="3"/>
  <c r="CX79" i="3"/>
  <c r="CX80" i="3"/>
  <c r="CX81" i="3"/>
  <c r="CX82" i="3"/>
  <c r="CX83" i="3"/>
  <c r="CX84" i="3"/>
  <c r="CX85" i="3"/>
  <c r="CX86" i="3"/>
  <c r="CX87" i="3"/>
  <c r="CX88" i="3"/>
  <c r="CX89" i="3"/>
  <c r="CX90" i="3"/>
  <c r="CX91" i="3"/>
  <c r="CX92" i="3"/>
  <c r="CX93" i="3"/>
  <c r="CX94" i="3"/>
  <c r="CX95" i="3"/>
  <c r="CX96" i="3"/>
  <c r="CX97" i="3"/>
  <c r="CX98" i="3"/>
  <c r="CX99" i="3"/>
  <c r="CX100" i="3"/>
  <c r="CX101" i="3"/>
  <c r="CX102" i="3"/>
  <c r="CX103" i="3"/>
  <c r="CX104" i="3"/>
  <c r="CX105" i="3"/>
  <c r="CX106" i="3"/>
  <c r="CX107" i="3"/>
  <c r="CX108" i="3"/>
  <c r="CX109" i="3"/>
  <c r="CX110" i="3"/>
  <c r="CX111" i="3"/>
  <c r="CX112" i="3"/>
  <c r="CX113" i="3"/>
  <c r="CX114" i="3"/>
  <c r="CX115" i="3"/>
  <c r="CX116" i="3"/>
  <c r="CX117" i="3"/>
  <c r="CX118" i="3"/>
  <c r="CX119" i="3"/>
  <c r="CX120" i="3"/>
  <c r="CX121" i="3"/>
  <c r="CX122" i="3"/>
  <c r="CX123" i="3"/>
  <c r="CX124" i="3"/>
  <c r="CX125" i="3"/>
  <c r="CX126" i="3"/>
  <c r="CX127" i="3"/>
  <c r="CX128" i="3"/>
  <c r="CX129" i="3"/>
  <c r="CX130" i="3"/>
  <c r="CX131" i="3"/>
  <c r="CX132" i="3"/>
  <c r="CX133" i="3"/>
  <c r="CX134" i="3"/>
  <c r="CX135" i="3"/>
  <c r="CX136" i="3"/>
  <c r="CX137" i="3"/>
  <c r="CX138" i="3"/>
  <c r="CX139" i="3"/>
  <c r="CX140" i="3"/>
  <c r="CX141" i="3"/>
  <c r="CX142" i="3"/>
  <c r="CX143" i="3"/>
  <c r="CX144" i="3"/>
  <c r="CX145" i="3"/>
  <c r="CX146" i="3"/>
  <c r="CX147" i="3"/>
  <c r="CX148" i="3"/>
  <c r="CX149" i="3"/>
  <c r="CX150" i="3"/>
  <c r="CX151" i="3"/>
  <c r="CX152" i="3"/>
  <c r="CX153" i="3"/>
  <c r="CX154" i="3"/>
  <c r="CX155" i="3"/>
  <c r="CX156" i="3"/>
  <c r="CX157" i="3"/>
  <c r="CX158" i="3"/>
  <c r="CX159" i="3"/>
  <c r="CX160" i="3"/>
  <c r="CX161" i="3"/>
  <c r="CX162" i="3"/>
  <c r="CX163" i="3"/>
  <c r="CX164" i="3"/>
  <c r="CX165" i="3"/>
  <c r="CX166" i="3"/>
  <c r="CX167" i="3"/>
  <c r="CX168" i="3"/>
  <c r="CX169" i="3"/>
  <c r="CX170" i="3"/>
  <c r="CX171" i="3"/>
  <c r="CX172" i="3"/>
  <c r="CX173" i="3"/>
  <c r="CX174" i="3"/>
  <c r="CX175" i="3"/>
  <c r="CX176" i="3"/>
  <c r="CX177" i="3"/>
  <c r="CX178" i="3"/>
  <c r="CX179" i="3"/>
  <c r="CX180" i="3"/>
  <c r="CX181" i="3"/>
  <c r="CX182" i="3"/>
  <c r="CX183" i="3"/>
  <c r="CX184" i="3"/>
  <c r="CX185" i="3"/>
  <c r="CX186" i="3"/>
  <c r="CX187" i="3"/>
  <c r="CX188" i="3"/>
  <c r="CX189" i="3"/>
  <c r="CX190" i="3"/>
  <c r="CX191" i="3"/>
  <c r="CX192" i="3"/>
  <c r="CX193" i="3"/>
  <c r="CX194" i="3"/>
  <c r="CX195" i="3"/>
  <c r="CX196" i="3"/>
  <c r="CX197" i="3"/>
  <c r="CX198" i="3"/>
  <c r="CX199" i="3"/>
  <c r="CX200" i="3"/>
  <c r="CX201" i="3"/>
  <c r="CX202" i="3"/>
  <c r="CX203" i="3"/>
  <c r="CX204" i="3"/>
  <c r="CX205" i="3"/>
  <c r="CX206" i="3"/>
  <c r="CX207" i="3"/>
  <c r="CX208" i="3"/>
  <c r="CX209" i="3"/>
  <c r="CX210" i="3"/>
  <c r="CX211" i="3"/>
  <c r="CX212" i="3"/>
  <c r="CX213" i="3"/>
  <c r="CX214" i="3"/>
  <c r="CX215" i="3"/>
  <c r="CX216" i="3"/>
  <c r="CX217" i="3"/>
  <c r="CX218" i="3"/>
  <c r="CX219" i="3"/>
  <c r="CX220" i="3"/>
  <c r="CX221" i="3"/>
  <c r="CX222" i="3"/>
  <c r="CX223" i="3"/>
  <c r="CX224" i="3"/>
  <c r="CX225" i="3"/>
  <c r="CX226" i="3"/>
  <c r="CX227" i="3"/>
  <c r="CX228" i="3"/>
  <c r="CX229" i="3"/>
  <c r="CX230" i="3"/>
  <c r="CX231" i="3"/>
  <c r="CX232" i="3"/>
  <c r="CX233" i="3"/>
  <c r="CX234" i="3"/>
  <c r="CX235" i="3"/>
  <c r="CX236" i="3"/>
  <c r="CX237" i="3"/>
  <c r="CX238" i="3"/>
  <c r="CX239" i="3"/>
  <c r="CX240" i="3"/>
  <c r="CX241" i="3"/>
  <c r="CX242" i="3"/>
  <c r="CX243" i="3"/>
  <c r="CX244" i="3"/>
  <c r="CX245" i="3"/>
  <c r="CX246" i="3"/>
  <c r="CX247" i="3"/>
  <c r="CX248" i="3"/>
  <c r="CX249" i="3"/>
  <c r="CX250" i="3"/>
  <c r="CX251" i="3"/>
  <c r="CX252" i="3"/>
  <c r="CX253" i="3"/>
  <c r="CX254" i="3"/>
  <c r="CX255" i="3"/>
  <c r="CX256" i="3"/>
  <c r="CX257" i="3"/>
  <c r="CX258" i="3"/>
  <c r="CX259" i="3"/>
  <c r="CX260" i="3"/>
  <c r="CX261" i="3"/>
  <c r="CX262" i="3"/>
  <c r="CX263" i="3"/>
  <c r="CX264" i="3"/>
  <c r="CX265" i="3"/>
  <c r="CX266" i="3"/>
  <c r="CX267" i="3"/>
  <c r="CX268" i="3"/>
  <c r="CX269" i="3"/>
  <c r="CX270" i="3"/>
  <c r="CX271" i="3"/>
  <c r="CX272" i="3"/>
  <c r="CX25" i="3"/>
  <c r="CX27" i="3"/>
  <c r="CW28" i="3"/>
  <c r="CW29" i="3"/>
  <c r="CW30" i="3"/>
  <c r="CW31" i="3"/>
  <c r="CW32" i="3"/>
  <c r="CW33" i="3"/>
  <c r="CW34" i="3"/>
  <c r="CW35" i="3"/>
  <c r="CW36" i="3"/>
  <c r="CW37" i="3"/>
  <c r="CW38" i="3"/>
  <c r="CW39" i="3"/>
  <c r="CW40" i="3"/>
  <c r="CW41" i="3"/>
  <c r="CW42" i="3"/>
  <c r="CW43" i="3"/>
  <c r="CW44" i="3"/>
  <c r="CW45" i="3"/>
  <c r="CW46" i="3"/>
  <c r="CW47" i="3"/>
  <c r="CW48" i="3"/>
  <c r="CW49" i="3"/>
  <c r="CW50" i="3"/>
  <c r="CW51" i="3"/>
  <c r="CW52" i="3"/>
  <c r="CW53" i="3"/>
  <c r="CW54" i="3"/>
  <c r="CW55" i="3"/>
  <c r="CW56" i="3"/>
  <c r="CW57" i="3"/>
  <c r="CW58" i="3"/>
  <c r="CW59" i="3"/>
  <c r="CW60" i="3"/>
  <c r="CW61" i="3"/>
  <c r="CW62" i="3"/>
  <c r="CW63" i="3"/>
  <c r="CW64" i="3"/>
  <c r="CW65" i="3"/>
  <c r="CW66" i="3"/>
  <c r="CW67" i="3"/>
  <c r="CW68" i="3"/>
  <c r="CW69" i="3"/>
  <c r="CW70" i="3"/>
  <c r="CW71" i="3"/>
  <c r="CW72" i="3"/>
  <c r="CW73" i="3"/>
  <c r="CW74" i="3"/>
  <c r="CW75" i="3"/>
  <c r="CW76" i="3"/>
  <c r="CW77" i="3"/>
  <c r="CW78" i="3"/>
  <c r="CW79" i="3"/>
  <c r="CW80" i="3"/>
  <c r="CW81" i="3"/>
  <c r="CW82" i="3"/>
  <c r="CW83" i="3"/>
  <c r="CW84" i="3"/>
  <c r="CW85" i="3"/>
  <c r="CW86" i="3"/>
  <c r="CW87" i="3"/>
  <c r="CW88" i="3"/>
  <c r="CW89" i="3"/>
  <c r="CW90" i="3"/>
  <c r="CW91" i="3"/>
  <c r="CW92" i="3"/>
  <c r="CW93" i="3"/>
  <c r="CW94" i="3"/>
  <c r="CW95" i="3"/>
  <c r="CW96" i="3"/>
  <c r="CW97" i="3"/>
  <c r="CW98" i="3"/>
  <c r="CW99" i="3"/>
  <c r="CW100" i="3"/>
  <c r="CW101" i="3"/>
  <c r="CW102" i="3"/>
  <c r="CW103" i="3"/>
  <c r="CW104" i="3"/>
  <c r="CW105" i="3"/>
  <c r="CW106" i="3"/>
  <c r="CW107" i="3"/>
  <c r="CW108" i="3"/>
  <c r="CW109" i="3"/>
  <c r="CW110" i="3"/>
  <c r="CW111" i="3"/>
  <c r="CW112" i="3"/>
  <c r="CW113" i="3"/>
  <c r="CW114" i="3"/>
  <c r="CW115" i="3"/>
  <c r="CW116" i="3"/>
  <c r="CW117" i="3"/>
  <c r="CW118" i="3"/>
  <c r="CW119" i="3"/>
  <c r="CW120" i="3"/>
  <c r="CW121" i="3"/>
  <c r="CW122" i="3"/>
  <c r="CW123" i="3"/>
  <c r="CW124" i="3"/>
  <c r="CW125" i="3"/>
  <c r="CW126" i="3"/>
  <c r="CW127" i="3"/>
  <c r="CW128" i="3"/>
  <c r="CW129" i="3"/>
  <c r="CW130" i="3"/>
  <c r="CW131" i="3"/>
  <c r="CW132" i="3"/>
  <c r="CW133" i="3"/>
  <c r="CW134" i="3"/>
  <c r="CW135" i="3"/>
  <c r="CW136" i="3"/>
  <c r="CW137" i="3"/>
  <c r="CW138" i="3"/>
  <c r="CW139" i="3"/>
  <c r="CW140" i="3"/>
  <c r="CW141" i="3"/>
  <c r="CW142" i="3"/>
  <c r="CW143" i="3"/>
  <c r="CW144" i="3"/>
  <c r="CW145" i="3"/>
  <c r="CW146" i="3"/>
  <c r="CW147" i="3"/>
  <c r="CW148" i="3"/>
  <c r="CW149" i="3"/>
  <c r="CW150" i="3"/>
  <c r="CW151" i="3"/>
  <c r="CW152" i="3"/>
  <c r="CW153" i="3"/>
  <c r="CW154" i="3"/>
  <c r="CW155" i="3"/>
  <c r="CW156" i="3"/>
  <c r="CW157" i="3"/>
  <c r="CW158" i="3"/>
  <c r="CW159" i="3"/>
  <c r="CW160" i="3"/>
  <c r="CW161" i="3"/>
  <c r="CW162" i="3"/>
  <c r="CW163" i="3"/>
  <c r="CW164" i="3"/>
  <c r="CW165" i="3"/>
  <c r="CW166" i="3"/>
  <c r="CW167" i="3"/>
  <c r="CW168" i="3"/>
  <c r="CW169" i="3"/>
  <c r="CW170" i="3"/>
  <c r="CW171" i="3"/>
  <c r="CW172" i="3"/>
  <c r="CW173" i="3"/>
  <c r="CW174" i="3"/>
  <c r="CW175" i="3"/>
  <c r="CW176" i="3"/>
  <c r="CW177" i="3"/>
  <c r="CW178" i="3"/>
  <c r="CW179" i="3"/>
  <c r="CW180" i="3"/>
  <c r="CW181" i="3"/>
  <c r="CW182" i="3"/>
  <c r="CW183" i="3"/>
  <c r="CW184" i="3"/>
  <c r="CW185" i="3"/>
  <c r="CW186" i="3"/>
  <c r="CW187" i="3"/>
  <c r="CW188" i="3"/>
  <c r="CW189" i="3"/>
  <c r="CW190" i="3"/>
  <c r="CW191" i="3"/>
  <c r="CW192" i="3"/>
  <c r="CW193" i="3"/>
  <c r="CW194" i="3"/>
  <c r="CW195" i="3"/>
  <c r="CW196" i="3"/>
  <c r="CW197" i="3"/>
  <c r="CW198" i="3"/>
  <c r="CW199" i="3"/>
  <c r="CW200" i="3"/>
  <c r="CW201" i="3"/>
  <c r="CW202" i="3"/>
  <c r="CW203" i="3"/>
  <c r="CW204" i="3"/>
  <c r="CW205" i="3"/>
  <c r="CW206" i="3"/>
  <c r="CW207" i="3"/>
  <c r="CW208" i="3"/>
  <c r="CW209" i="3"/>
  <c r="CW210" i="3"/>
  <c r="CW211" i="3"/>
  <c r="CW212" i="3"/>
  <c r="CW213" i="3"/>
  <c r="CW214" i="3"/>
  <c r="CW215" i="3"/>
  <c r="CW216" i="3"/>
  <c r="CW217" i="3"/>
  <c r="CW218" i="3"/>
  <c r="CW219" i="3"/>
  <c r="CW220" i="3"/>
  <c r="CW221" i="3"/>
  <c r="CW222" i="3"/>
  <c r="CW223" i="3"/>
  <c r="CW224" i="3"/>
  <c r="CW225" i="3"/>
  <c r="CW226" i="3"/>
  <c r="CW227" i="3"/>
  <c r="CW228" i="3"/>
  <c r="CW229" i="3"/>
  <c r="CW230" i="3"/>
  <c r="CW231" i="3"/>
  <c r="CW232" i="3"/>
  <c r="CW233" i="3"/>
  <c r="CW234" i="3"/>
  <c r="CW235" i="3"/>
  <c r="CW236" i="3"/>
  <c r="CW237" i="3"/>
  <c r="CW238" i="3"/>
  <c r="CW239" i="3"/>
  <c r="CW240" i="3"/>
  <c r="CW241" i="3"/>
  <c r="CW242" i="3"/>
  <c r="CW243" i="3"/>
  <c r="CW244" i="3"/>
  <c r="CW245" i="3"/>
  <c r="CW246" i="3"/>
  <c r="CW247" i="3"/>
  <c r="CW248" i="3"/>
  <c r="CW249" i="3"/>
  <c r="CW250" i="3"/>
  <c r="CW251" i="3"/>
  <c r="CW252" i="3"/>
  <c r="CW253" i="3"/>
  <c r="CW254" i="3"/>
  <c r="CW255" i="3"/>
  <c r="CW256" i="3"/>
  <c r="CW257" i="3"/>
  <c r="CW258" i="3"/>
  <c r="CW259" i="3"/>
  <c r="CW260" i="3"/>
  <c r="CW261" i="3"/>
  <c r="CW262" i="3"/>
  <c r="CW263" i="3"/>
  <c r="CW264" i="3"/>
  <c r="CW265" i="3"/>
  <c r="CW266" i="3"/>
  <c r="CW267" i="3"/>
  <c r="CW268" i="3"/>
  <c r="CW269" i="3"/>
  <c r="CW270" i="3"/>
  <c r="CW271" i="3"/>
  <c r="CW272" i="3"/>
  <c r="CW27" i="3"/>
  <c r="CW26" i="3"/>
  <c r="CN28" i="3"/>
  <c r="CO28" i="3"/>
  <c r="CR28" i="3" s="1"/>
  <c r="CS28" i="3" s="1"/>
  <c r="CT28" i="3" s="1"/>
  <c r="CP28" i="3"/>
  <c r="CQ28" i="3"/>
  <c r="CN29" i="3"/>
  <c r="CR29" i="3" s="1"/>
  <c r="CS29" i="3" s="1"/>
  <c r="CT29" i="3" s="1"/>
  <c r="CO29" i="3"/>
  <c r="CP29" i="3"/>
  <c r="CQ29" i="3"/>
  <c r="CN30" i="3"/>
  <c r="CR30" i="3" s="1"/>
  <c r="CS30" i="3" s="1"/>
  <c r="CT30" i="3" s="1"/>
  <c r="CO30" i="3"/>
  <c r="CP30" i="3"/>
  <c r="CQ30" i="3"/>
  <c r="CN31" i="3"/>
  <c r="CO31" i="3"/>
  <c r="CR31" i="3" s="1"/>
  <c r="CP31" i="3"/>
  <c r="CQ31" i="3"/>
  <c r="CN32" i="3"/>
  <c r="CR32" i="3" s="1"/>
  <c r="CS32" i="3" s="1"/>
  <c r="CT32" i="3" s="1"/>
  <c r="CO32" i="3"/>
  <c r="CP32" i="3"/>
  <c r="CQ32" i="3"/>
  <c r="CN33" i="3"/>
  <c r="CO33" i="3"/>
  <c r="CP33" i="3"/>
  <c r="CQ33" i="3"/>
  <c r="CR33" i="3"/>
  <c r="CS33" i="3" s="1"/>
  <c r="CT33" i="3" s="1"/>
  <c r="CN34" i="3"/>
  <c r="CO34" i="3"/>
  <c r="CP34" i="3"/>
  <c r="CQ34" i="3"/>
  <c r="CR34" i="3"/>
  <c r="CS34" i="3"/>
  <c r="CT34" i="3" s="1"/>
  <c r="CN35" i="3"/>
  <c r="CR35" i="3" s="1"/>
  <c r="CO35" i="3"/>
  <c r="CP35" i="3"/>
  <c r="CQ35" i="3"/>
  <c r="CS35" i="3"/>
  <c r="CT35" i="3" s="1"/>
  <c r="CN36" i="3"/>
  <c r="CO36" i="3"/>
  <c r="CP36" i="3"/>
  <c r="CQ36" i="3"/>
  <c r="CR36" i="3"/>
  <c r="CS36" i="3" s="1"/>
  <c r="CT36" i="3" s="1"/>
  <c r="CN37" i="3"/>
  <c r="CR37" i="3" s="1"/>
  <c r="CS37" i="3" s="1"/>
  <c r="CT37" i="3" s="1"/>
  <c r="CO37" i="3"/>
  <c r="CP37" i="3"/>
  <c r="CQ37" i="3"/>
  <c r="CN38" i="3"/>
  <c r="CO38" i="3"/>
  <c r="CP38" i="3"/>
  <c r="CQ38" i="3"/>
  <c r="CN39" i="3"/>
  <c r="CO39" i="3"/>
  <c r="CR39" i="3" s="1"/>
  <c r="CP39" i="3"/>
  <c r="CQ39" i="3"/>
  <c r="CN40" i="3"/>
  <c r="CR40" i="3" s="1"/>
  <c r="CO40" i="3"/>
  <c r="CP40" i="3"/>
  <c r="CQ40" i="3"/>
  <c r="CN41" i="3"/>
  <c r="CO41" i="3"/>
  <c r="CP41" i="3"/>
  <c r="CQ41" i="3"/>
  <c r="CR41" i="3"/>
  <c r="CS41" i="3" s="1"/>
  <c r="CN42" i="3"/>
  <c r="CO42" i="3"/>
  <c r="CP42" i="3"/>
  <c r="CQ42" i="3"/>
  <c r="CR42" i="3"/>
  <c r="CS42" i="3"/>
  <c r="CT42" i="3" s="1"/>
  <c r="CN43" i="3"/>
  <c r="CR43" i="3" s="1"/>
  <c r="CS43" i="3" s="1"/>
  <c r="CT43" i="3" s="1"/>
  <c r="CO43" i="3"/>
  <c r="CP43" i="3"/>
  <c r="CQ43" i="3"/>
  <c r="CN44" i="3"/>
  <c r="CO44" i="3"/>
  <c r="CP44" i="3"/>
  <c r="CQ44" i="3"/>
  <c r="CR44" i="3"/>
  <c r="CS44" i="3" s="1"/>
  <c r="CT44" i="3" s="1"/>
  <c r="CN45" i="3"/>
  <c r="CR45" i="3" s="1"/>
  <c r="CS45" i="3" s="1"/>
  <c r="CT45" i="3" s="1"/>
  <c r="CO45" i="3"/>
  <c r="CP45" i="3"/>
  <c r="CQ45" i="3"/>
  <c r="CN46" i="3"/>
  <c r="CR46" i="3" s="1"/>
  <c r="CS46" i="3" s="1"/>
  <c r="CT46" i="3" s="1"/>
  <c r="CO46" i="3"/>
  <c r="CP46" i="3"/>
  <c r="CQ46" i="3"/>
  <c r="CN47" i="3"/>
  <c r="CO47" i="3"/>
  <c r="CR47" i="3" s="1"/>
  <c r="CS47" i="3" s="1"/>
  <c r="CT47" i="3" s="1"/>
  <c r="CP47" i="3"/>
  <c r="CQ47" i="3"/>
  <c r="CN48" i="3"/>
  <c r="CR48" i="3" s="1"/>
  <c r="CS48" i="3" s="1"/>
  <c r="CT48" i="3" s="1"/>
  <c r="CO48" i="3"/>
  <c r="CP48" i="3"/>
  <c r="CQ48" i="3"/>
  <c r="CN49" i="3"/>
  <c r="CO49" i="3"/>
  <c r="CP49" i="3"/>
  <c r="CQ49" i="3"/>
  <c r="CR49" i="3"/>
  <c r="CS49" i="3" s="1"/>
  <c r="CT49" i="3" s="1"/>
  <c r="CN50" i="3"/>
  <c r="CO50" i="3"/>
  <c r="CP50" i="3"/>
  <c r="CQ50" i="3"/>
  <c r="CR50" i="3"/>
  <c r="CS50" i="3" s="1"/>
  <c r="CT50" i="3" s="1"/>
  <c r="CN51" i="3"/>
  <c r="CR51" i="3" s="1"/>
  <c r="CS51" i="3" s="1"/>
  <c r="CT51" i="3" s="1"/>
  <c r="CO51" i="3"/>
  <c r="CP51" i="3"/>
  <c r="CQ51" i="3"/>
  <c r="CN52" i="3"/>
  <c r="CO52" i="3"/>
  <c r="CP52" i="3"/>
  <c r="CQ52" i="3"/>
  <c r="CR52" i="3"/>
  <c r="CS52" i="3" s="1"/>
  <c r="CT52" i="3"/>
  <c r="CN53" i="3"/>
  <c r="CR53" i="3" s="1"/>
  <c r="CS53" i="3" s="1"/>
  <c r="CT53" i="3" s="1"/>
  <c r="CO53" i="3"/>
  <c r="CP53" i="3"/>
  <c r="CQ53" i="3"/>
  <c r="CN54" i="3"/>
  <c r="CO54" i="3"/>
  <c r="CP54" i="3"/>
  <c r="CQ54" i="3"/>
  <c r="CN55" i="3"/>
  <c r="CO55" i="3"/>
  <c r="CR55" i="3" s="1"/>
  <c r="CP55" i="3"/>
  <c r="CQ55" i="3"/>
  <c r="CN56" i="3"/>
  <c r="CR56" i="3" s="1"/>
  <c r="CS56" i="3" s="1"/>
  <c r="CT56" i="3" s="1"/>
  <c r="CO56" i="3"/>
  <c r="CP56" i="3"/>
  <c r="CQ56" i="3"/>
  <c r="CN57" i="3"/>
  <c r="CO57" i="3"/>
  <c r="CP57" i="3"/>
  <c r="CQ57" i="3"/>
  <c r="CR57" i="3"/>
  <c r="CS57" i="3" s="1"/>
  <c r="CT57" i="3" s="1"/>
  <c r="CN58" i="3"/>
  <c r="CO58" i="3"/>
  <c r="CP58" i="3"/>
  <c r="CQ58" i="3"/>
  <c r="CR58" i="3"/>
  <c r="CS58" i="3"/>
  <c r="CT58" i="3" s="1"/>
  <c r="CN59" i="3"/>
  <c r="CR59" i="3" s="1"/>
  <c r="CO59" i="3"/>
  <c r="CP59" i="3"/>
  <c r="CQ59" i="3"/>
  <c r="CS59" i="3"/>
  <c r="CT59" i="3" s="1"/>
  <c r="CN60" i="3"/>
  <c r="CO60" i="3"/>
  <c r="CP60" i="3"/>
  <c r="CQ60" i="3"/>
  <c r="CR60" i="3"/>
  <c r="CS60" i="3" s="1"/>
  <c r="CT60" i="3" s="1"/>
  <c r="CN61" i="3"/>
  <c r="CR61" i="3" s="1"/>
  <c r="CS61" i="3" s="1"/>
  <c r="CT61" i="3" s="1"/>
  <c r="CO61" i="3"/>
  <c r="CP61" i="3"/>
  <c r="CQ61" i="3"/>
  <c r="CN62" i="3"/>
  <c r="CO62" i="3"/>
  <c r="CP62" i="3"/>
  <c r="CQ62" i="3"/>
  <c r="CN63" i="3"/>
  <c r="CO63" i="3"/>
  <c r="CR63" i="3" s="1"/>
  <c r="CS63" i="3" s="1"/>
  <c r="CT63" i="3" s="1"/>
  <c r="CP63" i="3"/>
  <c r="CQ63" i="3"/>
  <c r="CN64" i="3"/>
  <c r="CR64" i="3" s="1"/>
  <c r="CO64" i="3"/>
  <c r="CP64" i="3"/>
  <c r="CQ64" i="3"/>
  <c r="CN65" i="3"/>
  <c r="CO65" i="3"/>
  <c r="CP65" i="3"/>
  <c r="CQ65" i="3"/>
  <c r="CR65" i="3"/>
  <c r="CS65" i="3" s="1"/>
  <c r="CN66" i="3"/>
  <c r="CO66" i="3"/>
  <c r="CP66" i="3"/>
  <c r="CQ66" i="3"/>
  <c r="CR66" i="3"/>
  <c r="CS66" i="3" s="1"/>
  <c r="CT66" i="3" s="1"/>
  <c r="CN67" i="3"/>
  <c r="CR67" i="3" s="1"/>
  <c r="CS67" i="3" s="1"/>
  <c r="CT67" i="3" s="1"/>
  <c r="CO67" i="3"/>
  <c r="CP67" i="3"/>
  <c r="CQ67" i="3"/>
  <c r="CN68" i="3"/>
  <c r="CO68" i="3"/>
  <c r="CP68" i="3"/>
  <c r="CQ68" i="3"/>
  <c r="CR68" i="3"/>
  <c r="CS68" i="3" s="1"/>
  <c r="CT68" i="3"/>
  <c r="CN69" i="3"/>
  <c r="CR69" i="3" s="1"/>
  <c r="CS69" i="3" s="1"/>
  <c r="CT69" i="3" s="1"/>
  <c r="CO69" i="3"/>
  <c r="CP69" i="3"/>
  <c r="CQ69" i="3"/>
  <c r="CN70" i="3"/>
  <c r="CR70" i="3" s="1"/>
  <c r="CS70" i="3" s="1"/>
  <c r="CT70" i="3" s="1"/>
  <c r="CO70" i="3"/>
  <c r="CP70" i="3"/>
  <c r="CQ70" i="3"/>
  <c r="CN71" i="3"/>
  <c r="CO71" i="3"/>
  <c r="CR71" i="3" s="1"/>
  <c r="CS71" i="3" s="1"/>
  <c r="CT71" i="3" s="1"/>
  <c r="CP71" i="3"/>
  <c r="CQ71" i="3"/>
  <c r="CN72" i="3"/>
  <c r="CR72" i="3" s="1"/>
  <c r="CO72" i="3"/>
  <c r="CP72" i="3"/>
  <c r="CQ72" i="3"/>
  <c r="CN73" i="3"/>
  <c r="CO73" i="3"/>
  <c r="CP73" i="3"/>
  <c r="CQ73" i="3"/>
  <c r="CR73" i="3"/>
  <c r="CS73" i="3" s="1"/>
  <c r="CT73" i="3" s="1"/>
  <c r="CN74" i="3"/>
  <c r="CO74" i="3"/>
  <c r="CP74" i="3"/>
  <c r="CQ74" i="3"/>
  <c r="CR74" i="3"/>
  <c r="CS74" i="3" s="1"/>
  <c r="CT74" i="3" s="1"/>
  <c r="CN75" i="3"/>
  <c r="CR75" i="3" s="1"/>
  <c r="CO75" i="3"/>
  <c r="CP75" i="3"/>
  <c r="CQ75" i="3"/>
  <c r="CS75" i="3"/>
  <c r="CT75" i="3" s="1"/>
  <c r="CN76" i="3"/>
  <c r="CO76" i="3"/>
  <c r="CP76" i="3"/>
  <c r="CQ76" i="3"/>
  <c r="CR76" i="3"/>
  <c r="CS76" i="3" s="1"/>
  <c r="CT76" i="3"/>
  <c r="CN77" i="3"/>
  <c r="CR77" i="3" s="1"/>
  <c r="CS77" i="3" s="1"/>
  <c r="CT77" i="3" s="1"/>
  <c r="CO77" i="3"/>
  <c r="CP77" i="3"/>
  <c r="CQ77" i="3"/>
  <c r="CN78" i="3"/>
  <c r="CO78" i="3"/>
  <c r="CP78" i="3"/>
  <c r="CQ78" i="3"/>
  <c r="CN79" i="3"/>
  <c r="CO79" i="3"/>
  <c r="CR79" i="3" s="1"/>
  <c r="CP79" i="3"/>
  <c r="CQ79" i="3"/>
  <c r="CN80" i="3"/>
  <c r="CR80" i="3" s="1"/>
  <c r="CO80" i="3"/>
  <c r="CP80" i="3"/>
  <c r="CQ80" i="3"/>
  <c r="CN81" i="3"/>
  <c r="CO81" i="3"/>
  <c r="CP81" i="3"/>
  <c r="CQ81" i="3"/>
  <c r="CR81" i="3"/>
  <c r="CS81" i="3" s="1"/>
  <c r="CN82" i="3"/>
  <c r="CO82" i="3"/>
  <c r="CP82" i="3"/>
  <c r="CQ82" i="3"/>
  <c r="CR82" i="3"/>
  <c r="CS82" i="3"/>
  <c r="CT82" i="3" s="1"/>
  <c r="CN83" i="3"/>
  <c r="CR83" i="3" s="1"/>
  <c r="CO83" i="3"/>
  <c r="CP83" i="3"/>
  <c r="CQ83" i="3"/>
  <c r="CS83" i="3"/>
  <c r="CT83" i="3"/>
  <c r="CN84" i="3"/>
  <c r="CO84" i="3"/>
  <c r="CP84" i="3"/>
  <c r="CQ84" i="3"/>
  <c r="CR84" i="3"/>
  <c r="CS84" i="3" s="1"/>
  <c r="CT84" i="3" s="1"/>
  <c r="CN85" i="3"/>
  <c r="CR85" i="3" s="1"/>
  <c r="CS85" i="3" s="1"/>
  <c r="CT85" i="3" s="1"/>
  <c r="CO85" i="3"/>
  <c r="CP85" i="3"/>
  <c r="CQ85" i="3"/>
  <c r="CN86" i="3"/>
  <c r="CR86" i="3" s="1"/>
  <c r="CS86" i="3" s="1"/>
  <c r="CT86" i="3" s="1"/>
  <c r="CO86" i="3"/>
  <c r="CP86" i="3"/>
  <c r="CQ86" i="3"/>
  <c r="CN87" i="3"/>
  <c r="CO87" i="3"/>
  <c r="CR87" i="3" s="1"/>
  <c r="CS87" i="3" s="1"/>
  <c r="CT87" i="3" s="1"/>
  <c r="CP87" i="3"/>
  <c r="CQ87" i="3"/>
  <c r="CN88" i="3"/>
  <c r="CR88" i="3" s="1"/>
  <c r="CO88" i="3"/>
  <c r="CP88" i="3"/>
  <c r="CQ88" i="3"/>
  <c r="CN89" i="3"/>
  <c r="CO89" i="3"/>
  <c r="CP89" i="3"/>
  <c r="CQ89" i="3"/>
  <c r="CR89" i="3"/>
  <c r="CS89" i="3" s="1"/>
  <c r="CN90" i="3"/>
  <c r="CO90" i="3"/>
  <c r="CP90" i="3"/>
  <c r="CQ90" i="3"/>
  <c r="CR90" i="3"/>
  <c r="CS90" i="3" s="1"/>
  <c r="CT90" i="3" s="1"/>
  <c r="CN91" i="3"/>
  <c r="CR91" i="3" s="1"/>
  <c r="CS91" i="3" s="1"/>
  <c r="CT91" i="3" s="1"/>
  <c r="CO91" i="3"/>
  <c r="CP91" i="3"/>
  <c r="CQ91" i="3"/>
  <c r="CN92" i="3"/>
  <c r="CO92" i="3"/>
  <c r="CP92" i="3"/>
  <c r="CQ92" i="3"/>
  <c r="CR92" i="3"/>
  <c r="CS92" i="3" s="1"/>
  <c r="CT92" i="3"/>
  <c r="CN93" i="3"/>
  <c r="CR93" i="3" s="1"/>
  <c r="CS93" i="3" s="1"/>
  <c r="CT93" i="3" s="1"/>
  <c r="CO93" i="3"/>
  <c r="CP93" i="3"/>
  <c r="CQ93" i="3"/>
  <c r="CN94" i="3"/>
  <c r="CR94" i="3" s="1"/>
  <c r="CS94" i="3" s="1"/>
  <c r="CT94" i="3" s="1"/>
  <c r="CO94" i="3"/>
  <c r="CP94" i="3"/>
  <c r="CQ94" i="3"/>
  <c r="CN95" i="3"/>
  <c r="CO95" i="3"/>
  <c r="CR95" i="3" s="1"/>
  <c r="CP95" i="3"/>
  <c r="CQ95" i="3"/>
  <c r="CN96" i="3"/>
  <c r="CR96" i="3" s="1"/>
  <c r="CS96" i="3" s="1"/>
  <c r="CT96" i="3" s="1"/>
  <c r="CO96" i="3"/>
  <c r="CP96" i="3"/>
  <c r="CQ96" i="3"/>
  <c r="CN97" i="3"/>
  <c r="CO97" i="3"/>
  <c r="CP97" i="3"/>
  <c r="CQ97" i="3"/>
  <c r="CR97" i="3"/>
  <c r="CS97" i="3" s="1"/>
  <c r="CT97" i="3" s="1"/>
  <c r="CN98" i="3"/>
  <c r="CO98" i="3"/>
  <c r="CP98" i="3"/>
  <c r="CQ98" i="3"/>
  <c r="CR98" i="3"/>
  <c r="CS98" i="3"/>
  <c r="CT98" i="3" s="1"/>
  <c r="CN99" i="3"/>
  <c r="CR99" i="3" s="1"/>
  <c r="CO99" i="3"/>
  <c r="CP99" i="3"/>
  <c r="CQ99" i="3"/>
  <c r="CS99" i="3"/>
  <c r="CT99" i="3" s="1"/>
  <c r="CN100" i="3"/>
  <c r="CO100" i="3"/>
  <c r="CP100" i="3"/>
  <c r="CQ100" i="3"/>
  <c r="CR100" i="3"/>
  <c r="CS100" i="3" s="1"/>
  <c r="CT100" i="3" s="1"/>
  <c r="CN101" i="3"/>
  <c r="CR101" i="3" s="1"/>
  <c r="CS101" i="3" s="1"/>
  <c r="CT101" i="3" s="1"/>
  <c r="CO101" i="3"/>
  <c r="CP101" i="3"/>
  <c r="CQ101" i="3"/>
  <c r="CN102" i="3"/>
  <c r="CO102" i="3"/>
  <c r="CP102" i="3"/>
  <c r="CQ102" i="3"/>
  <c r="CN103" i="3"/>
  <c r="CO103" i="3"/>
  <c r="CR103" i="3" s="1"/>
  <c r="CP103" i="3"/>
  <c r="CQ103" i="3"/>
  <c r="CN104" i="3"/>
  <c r="CR104" i="3" s="1"/>
  <c r="CO104" i="3"/>
  <c r="CP104" i="3"/>
  <c r="CQ104" i="3"/>
  <c r="CN105" i="3"/>
  <c r="CO105" i="3"/>
  <c r="CP105" i="3"/>
  <c r="CQ105" i="3"/>
  <c r="CR105" i="3"/>
  <c r="CS105" i="3" s="1"/>
  <c r="CN106" i="3"/>
  <c r="CO106" i="3"/>
  <c r="CP106" i="3"/>
  <c r="CQ106" i="3"/>
  <c r="CR106" i="3"/>
  <c r="CS106" i="3"/>
  <c r="CT106" i="3" s="1"/>
  <c r="CN107" i="3"/>
  <c r="CR107" i="3" s="1"/>
  <c r="CS107" i="3" s="1"/>
  <c r="CT107" i="3" s="1"/>
  <c r="CO107" i="3"/>
  <c r="CP107" i="3"/>
  <c r="CQ107" i="3"/>
  <c r="CN108" i="3"/>
  <c r="CO108" i="3"/>
  <c r="CP108" i="3"/>
  <c r="CQ108" i="3"/>
  <c r="CR108" i="3"/>
  <c r="CS108" i="3" s="1"/>
  <c r="CT108" i="3" s="1"/>
  <c r="CN109" i="3"/>
  <c r="CR109" i="3" s="1"/>
  <c r="CS109" i="3" s="1"/>
  <c r="CT109" i="3" s="1"/>
  <c r="CO109" i="3"/>
  <c r="CP109" i="3"/>
  <c r="CQ109" i="3"/>
  <c r="CN110" i="3"/>
  <c r="CR110" i="3" s="1"/>
  <c r="CS110" i="3" s="1"/>
  <c r="CT110" i="3" s="1"/>
  <c r="CO110" i="3"/>
  <c r="CP110" i="3"/>
  <c r="CQ110" i="3"/>
  <c r="CN111" i="3"/>
  <c r="CO111" i="3"/>
  <c r="CR111" i="3" s="1"/>
  <c r="CS111" i="3" s="1"/>
  <c r="CT111" i="3" s="1"/>
  <c r="CP111" i="3"/>
  <c r="CQ111" i="3"/>
  <c r="CN112" i="3"/>
  <c r="CR112" i="3" s="1"/>
  <c r="CS112" i="3" s="1"/>
  <c r="CT112" i="3" s="1"/>
  <c r="CO112" i="3"/>
  <c r="CP112" i="3"/>
  <c r="CQ112" i="3"/>
  <c r="CN113" i="3"/>
  <c r="CO113" i="3"/>
  <c r="CP113" i="3"/>
  <c r="CQ113" i="3"/>
  <c r="CR113" i="3"/>
  <c r="CS113" i="3" s="1"/>
  <c r="CT113" i="3" s="1"/>
  <c r="CN114" i="3"/>
  <c r="CO114" i="3"/>
  <c r="CP114" i="3"/>
  <c r="CQ114" i="3"/>
  <c r="CR114" i="3"/>
  <c r="CS114" i="3" s="1"/>
  <c r="CT114" i="3" s="1"/>
  <c r="CN115" i="3"/>
  <c r="CR115" i="3" s="1"/>
  <c r="CS115" i="3" s="1"/>
  <c r="CT115" i="3" s="1"/>
  <c r="CO115" i="3"/>
  <c r="CP115" i="3"/>
  <c r="CQ115" i="3"/>
  <c r="CN116" i="3"/>
  <c r="CO116" i="3"/>
  <c r="CP116" i="3"/>
  <c r="CQ116" i="3"/>
  <c r="CR116" i="3"/>
  <c r="CS116" i="3" s="1"/>
  <c r="CT116" i="3"/>
  <c r="CN117" i="3"/>
  <c r="CR117" i="3" s="1"/>
  <c r="CS117" i="3" s="1"/>
  <c r="CT117" i="3" s="1"/>
  <c r="CO117" i="3"/>
  <c r="CP117" i="3"/>
  <c r="CQ117" i="3"/>
  <c r="CN118" i="3"/>
  <c r="CO118" i="3"/>
  <c r="CP118" i="3"/>
  <c r="CQ118" i="3"/>
  <c r="CN119" i="3"/>
  <c r="CO119" i="3"/>
  <c r="CR119" i="3" s="1"/>
  <c r="CP119" i="3"/>
  <c r="CQ119" i="3"/>
  <c r="CN120" i="3"/>
  <c r="CR120" i="3" s="1"/>
  <c r="CS120" i="3" s="1"/>
  <c r="CT120" i="3" s="1"/>
  <c r="CO120" i="3"/>
  <c r="CP120" i="3"/>
  <c r="CQ120" i="3"/>
  <c r="CN121" i="3"/>
  <c r="CO121" i="3"/>
  <c r="CP121" i="3"/>
  <c r="CQ121" i="3"/>
  <c r="CR121" i="3"/>
  <c r="CS121" i="3" s="1"/>
  <c r="CT121" i="3" s="1"/>
  <c r="CN122" i="3"/>
  <c r="CO122" i="3"/>
  <c r="CP122" i="3"/>
  <c r="CQ122" i="3"/>
  <c r="CR122" i="3"/>
  <c r="CS122" i="3"/>
  <c r="CT122" i="3" s="1"/>
  <c r="CN123" i="3"/>
  <c r="CR123" i="3" s="1"/>
  <c r="CO123" i="3"/>
  <c r="CP123" i="3"/>
  <c r="CQ123" i="3"/>
  <c r="CS123" i="3"/>
  <c r="CT123" i="3" s="1"/>
  <c r="CN124" i="3"/>
  <c r="CO124" i="3"/>
  <c r="CP124" i="3"/>
  <c r="CQ124" i="3"/>
  <c r="CR124" i="3"/>
  <c r="CS124" i="3" s="1"/>
  <c r="CT124" i="3" s="1"/>
  <c r="CN125" i="3"/>
  <c r="CR125" i="3" s="1"/>
  <c r="CS125" i="3" s="1"/>
  <c r="CT125" i="3" s="1"/>
  <c r="CO125" i="3"/>
  <c r="CP125" i="3"/>
  <c r="CQ125" i="3"/>
  <c r="CN126" i="3"/>
  <c r="CO126" i="3"/>
  <c r="CP126" i="3"/>
  <c r="CQ126" i="3"/>
  <c r="CN127" i="3"/>
  <c r="CO127" i="3"/>
  <c r="CR127" i="3" s="1"/>
  <c r="CS127" i="3" s="1"/>
  <c r="CT127" i="3" s="1"/>
  <c r="CP127" i="3"/>
  <c r="CQ127" i="3"/>
  <c r="CN128" i="3"/>
  <c r="CR128" i="3" s="1"/>
  <c r="CO128" i="3"/>
  <c r="CP128" i="3"/>
  <c r="CQ128" i="3"/>
  <c r="CN129" i="3"/>
  <c r="CO129" i="3"/>
  <c r="CP129" i="3"/>
  <c r="CQ129" i="3"/>
  <c r="CR129" i="3"/>
  <c r="CS129" i="3" s="1"/>
  <c r="CN130" i="3"/>
  <c r="CO130" i="3"/>
  <c r="CP130" i="3"/>
  <c r="CQ130" i="3"/>
  <c r="CR130" i="3"/>
  <c r="CS130" i="3" s="1"/>
  <c r="CT130" i="3" s="1"/>
  <c r="CN131" i="3"/>
  <c r="CR131" i="3" s="1"/>
  <c r="CS131" i="3" s="1"/>
  <c r="CT131" i="3" s="1"/>
  <c r="CO131" i="3"/>
  <c r="CP131" i="3"/>
  <c r="CQ131" i="3"/>
  <c r="CN132" i="3"/>
  <c r="CO132" i="3"/>
  <c r="CP132" i="3"/>
  <c r="CQ132" i="3"/>
  <c r="CR132" i="3"/>
  <c r="CS132" i="3" s="1"/>
  <c r="CT132" i="3"/>
  <c r="CN133" i="3"/>
  <c r="CR133" i="3" s="1"/>
  <c r="CS133" i="3" s="1"/>
  <c r="CT133" i="3" s="1"/>
  <c r="CO133" i="3"/>
  <c r="CP133" i="3"/>
  <c r="CQ133" i="3"/>
  <c r="CN134" i="3"/>
  <c r="CR134" i="3" s="1"/>
  <c r="CS134" i="3" s="1"/>
  <c r="CT134" i="3" s="1"/>
  <c r="CO134" i="3"/>
  <c r="CP134" i="3"/>
  <c r="CQ134" i="3"/>
  <c r="CN135" i="3"/>
  <c r="CO135" i="3"/>
  <c r="CR135" i="3" s="1"/>
  <c r="CS135" i="3" s="1"/>
  <c r="CT135" i="3" s="1"/>
  <c r="CP135" i="3"/>
  <c r="CQ135" i="3"/>
  <c r="CN136" i="3"/>
  <c r="CR136" i="3" s="1"/>
  <c r="CO136" i="3"/>
  <c r="CP136" i="3"/>
  <c r="CQ136" i="3"/>
  <c r="CN137" i="3"/>
  <c r="CO137" i="3"/>
  <c r="CP137" i="3"/>
  <c r="CQ137" i="3"/>
  <c r="CR137" i="3"/>
  <c r="CS137" i="3" s="1"/>
  <c r="CT137" i="3" s="1"/>
  <c r="CN138" i="3"/>
  <c r="CO138" i="3"/>
  <c r="CP138" i="3"/>
  <c r="CQ138" i="3"/>
  <c r="CR138" i="3"/>
  <c r="CS138" i="3" s="1"/>
  <c r="CT138" i="3" s="1"/>
  <c r="CN139" i="3"/>
  <c r="CR139" i="3" s="1"/>
  <c r="CO139" i="3"/>
  <c r="CP139" i="3"/>
  <c r="CQ139" i="3"/>
  <c r="CS139" i="3"/>
  <c r="CT139" i="3" s="1"/>
  <c r="CN140" i="3"/>
  <c r="CO140" i="3"/>
  <c r="CP140" i="3"/>
  <c r="CQ140" i="3"/>
  <c r="CR140" i="3"/>
  <c r="CS140" i="3" s="1"/>
  <c r="CT140" i="3"/>
  <c r="CN141" i="3"/>
  <c r="CR141" i="3" s="1"/>
  <c r="CS141" i="3" s="1"/>
  <c r="CT141" i="3" s="1"/>
  <c r="CO141" i="3"/>
  <c r="CP141" i="3"/>
  <c r="CQ141" i="3"/>
  <c r="CN142" i="3"/>
  <c r="CR142" i="3" s="1"/>
  <c r="CS142" i="3" s="1"/>
  <c r="CT142" i="3" s="1"/>
  <c r="CO142" i="3"/>
  <c r="CP142" i="3"/>
  <c r="CQ142" i="3"/>
  <c r="CN143" i="3"/>
  <c r="CO143" i="3"/>
  <c r="CR143" i="3" s="1"/>
  <c r="CS143" i="3" s="1"/>
  <c r="CT143" i="3" s="1"/>
  <c r="CP143" i="3"/>
  <c r="CQ143" i="3"/>
  <c r="CN144" i="3"/>
  <c r="CR144" i="3" s="1"/>
  <c r="CO144" i="3"/>
  <c r="CP144" i="3"/>
  <c r="CQ144" i="3"/>
  <c r="CN145" i="3"/>
  <c r="CO145" i="3"/>
  <c r="CR145" i="3" s="1"/>
  <c r="CS145" i="3" s="1"/>
  <c r="CT145" i="3" s="1"/>
  <c r="CP145" i="3"/>
  <c r="CQ145" i="3"/>
  <c r="CN146" i="3"/>
  <c r="CO146" i="3"/>
  <c r="CP146" i="3"/>
  <c r="CQ146" i="3"/>
  <c r="CR146" i="3"/>
  <c r="CS146" i="3" s="1"/>
  <c r="CT146" i="3" s="1"/>
  <c r="CN147" i="3"/>
  <c r="CR147" i="3" s="1"/>
  <c r="CS147" i="3" s="1"/>
  <c r="CT147" i="3" s="1"/>
  <c r="CO147" i="3"/>
  <c r="CP147" i="3"/>
  <c r="CQ147" i="3"/>
  <c r="CN148" i="3"/>
  <c r="CO148" i="3"/>
  <c r="CP148" i="3"/>
  <c r="CQ148" i="3"/>
  <c r="CR148" i="3"/>
  <c r="CS148" i="3" s="1"/>
  <c r="CT148" i="3"/>
  <c r="CN149" i="3"/>
  <c r="CR149" i="3" s="1"/>
  <c r="CO149" i="3"/>
  <c r="CP149" i="3"/>
  <c r="CQ149" i="3"/>
  <c r="CS149" i="3"/>
  <c r="CT149" i="3" s="1"/>
  <c r="CN150" i="3"/>
  <c r="CO150" i="3"/>
  <c r="CP150" i="3"/>
  <c r="CQ150" i="3"/>
  <c r="CN151" i="3"/>
  <c r="CO151" i="3"/>
  <c r="CR151" i="3" s="1"/>
  <c r="CP151" i="3"/>
  <c r="CQ151" i="3"/>
  <c r="CN152" i="3"/>
  <c r="CR152" i="3" s="1"/>
  <c r="CS152" i="3" s="1"/>
  <c r="CT152" i="3" s="1"/>
  <c r="CO152" i="3"/>
  <c r="CP152" i="3"/>
  <c r="CQ152" i="3"/>
  <c r="CN153" i="3"/>
  <c r="CO153" i="3"/>
  <c r="CP153" i="3"/>
  <c r="CQ153" i="3"/>
  <c r="CR153" i="3"/>
  <c r="CS153" i="3" s="1"/>
  <c r="CT153" i="3" s="1"/>
  <c r="CN154" i="3"/>
  <c r="CO154" i="3"/>
  <c r="CP154" i="3"/>
  <c r="CQ154" i="3"/>
  <c r="CR154" i="3"/>
  <c r="CS154" i="3"/>
  <c r="CT154" i="3" s="1"/>
  <c r="CN155" i="3"/>
  <c r="CR155" i="3" s="1"/>
  <c r="CO155" i="3"/>
  <c r="CP155" i="3"/>
  <c r="CQ155" i="3"/>
  <c r="CS155" i="3"/>
  <c r="CT155" i="3" s="1"/>
  <c r="CN156" i="3"/>
  <c r="CO156" i="3"/>
  <c r="CP156" i="3"/>
  <c r="CQ156" i="3"/>
  <c r="CR156" i="3"/>
  <c r="CS156" i="3" s="1"/>
  <c r="CT156" i="3" s="1"/>
  <c r="CN157" i="3"/>
  <c r="CR157" i="3" s="1"/>
  <c r="CS157" i="3" s="1"/>
  <c r="CT157" i="3" s="1"/>
  <c r="CO157" i="3"/>
  <c r="CP157" i="3"/>
  <c r="CQ157" i="3"/>
  <c r="CN158" i="3"/>
  <c r="CR158" i="3" s="1"/>
  <c r="CS158" i="3" s="1"/>
  <c r="CT158" i="3" s="1"/>
  <c r="CO158" i="3"/>
  <c r="CP158" i="3"/>
  <c r="CQ158" i="3"/>
  <c r="CN159" i="3"/>
  <c r="CO159" i="3"/>
  <c r="CR159" i="3" s="1"/>
  <c r="CS159" i="3" s="1"/>
  <c r="CT159" i="3" s="1"/>
  <c r="CP159" i="3"/>
  <c r="CQ159" i="3"/>
  <c r="CN160" i="3"/>
  <c r="CR160" i="3" s="1"/>
  <c r="CS160" i="3" s="1"/>
  <c r="CT160" i="3" s="1"/>
  <c r="CO160" i="3"/>
  <c r="CP160" i="3"/>
  <c r="CQ160" i="3"/>
  <c r="CN161" i="3"/>
  <c r="CO161" i="3"/>
  <c r="CR161" i="3" s="1"/>
  <c r="CS161" i="3" s="1"/>
  <c r="CT161" i="3" s="1"/>
  <c r="CP161" i="3"/>
  <c r="CQ161" i="3"/>
  <c r="CN162" i="3"/>
  <c r="CO162" i="3"/>
  <c r="CP162" i="3"/>
  <c r="CQ162" i="3"/>
  <c r="CR162" i="3"/>
  <c r="CS162" i="3" s="1"/>
  <c r="CT162" i="3" s="1"/>
  <c r="CN163" i="3"/>
  <c r="CR163" i="3" s="1"/>
  <c r="CS163" i="3" s="1"/>
  <c r="CT163" i="3" s="1"/>
  <c r="CO163" i="3"/>
  <c r="CP163" i="3"/>
  <c r="CQ163" i="3"/>
  <c r="CN164" i="3"/>
  <c r="CO164" i="3"/>
  <c r="CP164" i="3"/>
  <c r="CQ164" i="3"/>
  <c r="CR164" i="3"/>
  <c r="CN165" i="3"/>
  <c r="CO165" i="3"/>
  <c r="CP165" i="3"/>
  <c r="CQ165" i="3"/>
  <c r="CR165" i="3"/>
  <c r="CS165" i="3" s="1"/>
  <c r="CT165" i="3" s="1"/>
  <c r="CN166" i="3"/>
  <c r="CO166" i="3"/>
  <c r="CP166" i="3"/>
  <c r="CQ166" i="3"/>
  <c r="CR166" i="3"/>
  <c r="CS166" i="3" s="1"/>
  <c r="CT166" i="3" s="1"/>
  <c r="CN167" i="3"/>
  <c r="CO167" i="3"/>
  <c r="CP167" i="3"/>
  <c r="CQ167" i="3"/>
  <c r="CR167" i="3"/>
  <c r="CS167" i="3"/>
  <c r="CT167" i="3" s="1"/>
  <c r="CN168" i="3"/>
  <c r="CR168" i="3" s="1"/>
  <c r="CS168" i="3" s="1"/>
  <c r="CT168" i="3" s="1"/>
  <c r="CO168" i="3"/>
  <c r="CP168" i="3"/>
  <c r="CQ168" i="3"/>
  <c r="CN169" i="3"/>
  <c r="CR169" i="3" s="1"/>
  <c r="CS169" i="3" s="1"/>
  <c r="CT169" i="3" s="1"/>
  <c r="CO169" i="3"/>
  <c r="CP169" i="3"/>
  <c r="CQ169" i="3"/>
  <c r="CN170" i="3"/>
  <c r="CO170" i="3"/>
  <c r="CR170" i="3" s="1"/>
  <c r="CS170" i="3" s="1"/>
  <c r="CT170" i="3" s="1"/>
  <c r="CP170" i="3"/>
  <c r="CQ170" i="3"/>
  <c r="CN171" i="3"/>
  <c r="CO171" i="3"/>
  <c r="CP171" i="3"/>
  <c r="CQ171" i="3"/>
  <c r="CN172" i="3"/>
  <c r="CO172" i="3"/>
  <c r="CR172" i="3" s="1"/>
  <c r="CS172" i="3" s="1"/>
  <c r="CT172" i="3" s="1"/>
  <c r="CP172" i="3"/>
  <c r="CQ172" i="3"/>
  <c r="CN173" i="3"/>
  <c r="CR173" i="3" s="1"/>
  <c r="CS173" i="3" s="1"/>
  <c r="CT173" i="3" s="1"/>
  <c r="CO173" i="3"/>
  <c r="CP173" i="3"/>
  <c r="CQ173" i="3"/>
  <c r="CN174" i="3"/>
  <c r="CO174" i="3"/>
  <c r="CR174" i="3" s="1"/>
  <c r="CS174" i="3" s="1"/>
  <c r="CT174" i="3" s="1"/>
  <c r="CP174" i="3"/>
  <c r="CQ174" i="3"/>
  <c r="CN175" i="3"/>
  <c r="CO175" i="3"/>
  <c r="CR175" i="3" s="1"/>
  <c r="CS175" i="3" s="1"/>
  <c r="CT175" i="3" s="1"/>
  <c r="CP175" i="3"/>
  <c r="CQ175" i="3"/>
  <c r="CN176" i="3"/>
  <c r="CR176" i="3" s="1"/>
  <c r="CO176" i="3"/>
  <c r="CP176" i="3"/>
  <c r="CQ176" i="3"/>
  <c r="CS176" i="3"/>
  <c r="CT176" i="3" s="1"/>
  <c r="CN177" i="3"/>
  <c r="CR177" i="3" s="1"/>
  <c r="CS177" i="3" s="1"/>
  <c r="CT177" i="3" s="1"/>
  <c r="CO177" i="3"/>
  <c r="CP177" i="3"/>
  <c r="CQ177" i="3"/>
  <c r="CN178" i="3"/>
  <c r="CR178" i="3" s="1"/>
  <c r="CS178" i="3" s="1"/>
  <c r="CT178" i="3" s="1"/>
  <c r="CO178" i="3"/>
  <c r="CP178" i="3"/>
  <c r="CQ178" i="3"/>
  <c r="CN179" i="3"/>
  <c r="CO179" i="3"/>
  <c r="CP179" i="3"/>
  <c r="CQ179" i="3"/>
  <c r="CN180" i="3"/>
  <c r="CO180" i="3"/>
  <c r="CP180" i="3"/>
  <c r="CQ180" i="3"/>
  <c r="CR180" i="3"/>
  <c r="CS180" i="3" s="1"/>
  <c r="CT180" i="3" s="1"/>
  <c r="CN181" i="3"/>
  <c r="CR181" i="3" s="1"/>
  <c r="CS181" i="3" s="1"/>
  <c r="CT181" i="3" s="1"/>
  <c r="CO181" i="3"/>
  <c r="CP181" i="3"/>
  <c r="CQ181" i="3"/>
  <c r="CN182" i="3"/>
  <c r="CR182" i="3" s="1"/>
  <c r="CS182" i="3" s="1"/>
  <c r="CT182" i="3" s="1"/>
  <c r="CO182" i="3"/>
  <c r="CP182" i="3"/>
  <c r="CQ182" i="3"/>
  <c r="CN183" i="3"/>
  <c r="CO183" i="3"/>
  <c r="CR183" i="3" s="1"/>
  <c r="CS183" i="3" s="1"/>
  <c r="CT183" i="3" s="1"/>
  <c r="CP183" i="3"/>
  <c r="CQ183" i="3"/>
  <c r="CN184" i="3"/>
  <c r="CR184" i="3" s="1"/>
  <c r="CO184" i="3"/>
  <c r="CP184" i="3"/>
  <c r="CS184" i="3" s="1"/>
  <c r="CT184" i="3" s="1"/>
  <c r="CQ184" i="3"/>
  <c r="CN185" i="3"/>
  <c r="CO185" i="3"/>
  <c r="CP185" i="3"/>
  <c r="CQ185" i="3"/>
  <c r="CR185" i="3"/>
  <c r="CS185" i="3" s="1"/>
  <c r="CT185" i="3" s="1"/>
  <c r="CN186" i="3"/>
  <c r="CR186" i="3" s="1"/>
  <c r="CS186" i="3" s="1"/>
  <c r="CT186" i="3" s="1"/>
  <c r="CO186" i="3"/>
  <c r="CP186" i="3"/>
  <c r="CQ186" i="3"/>
  <c r="CN187" i="3"/>
  <c r="CR187" i="3" s="1"/>
  <c r="CS187" i="3" s="1"/>
  <c r="CT187" i="3" s="1"/>
  <c r="CO187" i="3"/>
  <c r="CP187" i="3"/>
  <c r="CQ187" i="3"/>
  <c r="CN188" i="3"/>
  <c r="CO188" i="3"/>
  <c r="CR188" i="3" s="1"/>
  <c r="CS188" i="3" s="1"/>
  <c r="CT188" i="3" s="1"/>
  <c r="CP188" i="3"/>
  <c r="CQ188" i="3"/>
  <c r="CN189" i="3"/>
  <c r="CO189" i="3"/>
  <c r="CP189" i="3"/>
  <c r="CQ189" i="3"/>
  <c r="CR189" i="3"/>
  <c r="CS189" i="3" s="1"/>
  <c r="CT189" i="3" s="1"/>
  <c r="CN190" i="3"/>
  <c r="CR190" i="3" s="1"/>
  <c r="CS190" i="3" s="1"/>
  <c r="CT190" i="3" s="1"/>
  <c r="CO190" i="3"/>
  <c r="CP190" i="3"/>
  <c r="CQ190" i="3"/>
  <c r="CN191" i="3"/>
  <c r="CO191" i="3"/>
  <c r="CP191" i="3"/>
  <c r="CQ191" i="3"/>
  <c r="CR191" i="3"/>
  <c r="CS191" i="3" s="1"/>
  <c r="CT191" i="3" s="1"/>
  <c r="CN192" i="3"/>
  <c r="CR192" i="3" s="1"/>
  <c r="CS192" i="3" s="1"/>
  <c r="CT192" i="3" s="1"/>
  <c r="CO192" i="3"/>
  <c r="CP192" i="3"/>
  <c r="CQ192" i="3"/>
  <c r="CN193" i="3"/>
  <c r="CO193" i="3"/>
  <c r="CR193" i="3" s="1"/>
  <c r="CS193" i="3" s="1"/>
  <c r="CT193" i="3" s="1"/>
  <c r="CP193" i="3"/>
  <c r="CQ193" i="3"/>
  <c r="CN194" i="3"/>
  <c r="CO194" i="3"/>
  <c r="CP194" i="3"/>
  <c r="CQ194" i="3"/>
  <c r="CR194" i="3"/>
  <c r="CS194" i="3" s="1"/>
  <c r="CT194" i="3" s="1"/>
  <c r="CN195" i="3"/>
  <c r="CR195" i="3" s="1"/>
  <c r="CS195" i="3" s="1"/>
  <c r="CT195" i="3" s="1"/>
  <c r="CO195" i="3"/>
  <c r="CP195" i="3"/>
  <c r="CQ195" i="3"/>
  <c r="CN196" i="3"/>
  <c r="CO196" i="3"/>
  <c r="CP196" i="3"/>
  <c r="CQ196" i="3"/>
  <c r="CR196" i="3"/>
  <c r="CN197" i="3"/>
  <c r="CO197" i="3"/>
  <c r="CP197" i="3"/>
  <c r="CQ197" i="3"/>
  <c r="CR197" i="3"/>
  <c r="CS197" i="3" s="1"/>
  <c r="CT197" i="3" s="1"/>
  <c r="CN198" i="3"/>
  <c r="CO198" i="3"/>
  <c r="CP198" i="3"/>
  <c r="CQ198" i="3"/>
  <c r="CR198" i="3"/>
  <c r="CS198" i="3" s="1"/>
  <c r="CT198" i="3" s="1"/>
  <c r="CN199" i="3"/>
  <c r="CO199" i="3"/>
  <c r="CP199" i="3"/>
  <c r="CQ199" i="3"/>
  <c r="CR199" i="3"/>
  <c r="CS199" i="3"/>
  <c r="CT199" i="3" s="1"/>
  <c r="CN200" i="3"/>
  <c r="CR200" i="3" s="1"/>
  <c r="CS200" i="3" s="1"/>
  <c r="CT200" i="3" s="1"/>
  <c r="CO200" i="3"/>
  <c r="CP200" i="3"/>
  <c r="CQ200" i="3"/>
  <c r="CN201" i="3"/>
  <c r="CR201" i="3" s="1"/>
  <c r="CS201" i="3" s="1"/>
  <c r="CT201" i="3" s="1"/>
  <c r="CO201" i="3"/>
  <c r="CP201" i="3"/>
  <c r="CQ201" i="3"/>
  <c r="CN202" i="3"/>
  <c r="CO202" i="3"/>
  <c r="CR202" i="3" s="1"/>
  <c r="CS202" i="3" s="1"/>
  <c r="CT202" i="3" s="1"/>
  <c r="CP202" i="3"/>
  <c r="CQ202" i="3"/>
  <c r="CN203" i="3"/>
  <c r="CO203" i="3"/>
  <c r="CP203" i="3"/>
  <c r="CQ203" i="3"/>
  <c r="CN204" i="3"/>
  <c r="CO204" i="3"/>
  <c r="CR204" i="3" s="1"/>
  <c r="CS204" i="3" s="1"/>
  <c r="CT204" i="3" s="1"/>
  <c r="CP204" i="3"/>
  <c r="CQ204" i="3"/>
  <c r="CN205" i="3"/>
  <c r="CR205" i="3" s="1"/>
  <c r="CS205" i="3" s="1"/>
  <c r="CT205" i="3" s="1"/>
  <c r="CO205" i="3"/>
  <c r="CP205" i="3"/>
  <c r="CQ205" i="3"/>
  <c r="CN206" i="3"/>
  <c r="CO206" i="3"/>
  <c r="CR206" i="3" s="1"/>
  <c r="CS206" i="3" s="1"/>
  <c r="CT206" i="3" s="1"/>
  <c r="CP206" i="3"/>
  <c r="CQ206" i="3"/>
  <c r="CN207" i="3"/>
  <c r="CO207" i="3"/>
  <c r="CR207" i="3" s="1"/>
  <c r="CS207" i="3" s="1"/>
  <c r="CT207" i="3" s="1"/>
  <c r="CP207" i="3"/>
  <c r="CQ207" i="3"/>
  <c r="CN208" i="3"/>
  <c r="CR208" i="3" s="1"/>
  <c r="CO208" i="3"/>
  <c r="CP208" i="3"/>
  <c r="CQ208" i="3"/>
  <c r="CS208" i="3"/>
  <c r="CT208" i="3" s="1"/>
  <c r="CN209" i="3"/>
  <c r="CR209" i="3" s="1"/>
  <c r="CS209" i="3" s="1"/>
  <c r="CT209" i="3" s="1"/>
  <c r="CO209" i="3"/>
  <c r="CP209" i="3"/>
  <c r="CQ209" i="3"/>
  <c r="CN210" i="3"/>
  <c r="CR210" i="3" s="1"/>
  <c r="CS210" i="3" s="1"/>
  <c r="CT210" i="3" s="1"/>
  <c r="CO210" i="3"/>
  <c r="CP210" i="3"/>
  <c r="CQ210" i="3"/>
  <c r="CN211" i="3"/>
  <c r="CO211" i="3"/>
  <c r="CP211" i="3"/>
  <c r="CQ211" i="3"/>
  <c r="CN212" i="3"/>
  <c r="CO212" i="3"/>
  <c r="CP212" i="3"/>
  <c r="CQ212" i="3"/>
  <c r="CR212" i="3"/>
  <c r="CS212" i="3" s="1"/>
  <c r="CT212" i="3" s="1"/>
  <c r="CN213" i="3"/>
  <c r="CR213" i="3" s="1"/>
  <c r="CS213" i="3" s="1"/>
  <c r="CT213" i="3" s="1"/>
  <c r="CO213" i="3"/>
  <c r="CP213" i="3"/>
  <c r="CQ213" i="3"/>
  <c r="CN214" i="3"/>
  <c r="CR214" i="3" s="1"/>
  <c r="CS214" i="3" s="1"/>
  <c r="CT214" i="3" s="1"/>
  <c r="CO214" i="3"/>
  <c r="CP214" i="3"/>
  <c r="CQ214" i="3"/>
  <c r="CN215" i="3"/>
  <c r="CO215" i="3"/>
  <c r="CR215" i="3" s="1"/>
  <c r="CS215" i="3" s="1"/>
  <c r="CT215" i="3" s="1"/>
  <c r="CP215" i="3"/>
  <c r="CQ215" i="3"/>
  <c r="CN216" i="3"/>
  <c r="CR216" i="3" s="1"/>
  <c r="CO216" i="3"/>
  <c r="CP216" i="3"/>
  <c r="CS216" i="3" s="1"/>
  <c r="CT216" i="3" s="1"/>
  <c r="CQ216" i="3"/>
  <c r="CN217" i="3"/>
  <c r="CO217" i="3"/>
  <c r="CP217" i="3"/>
  <c r="CQ217" i="3"/>
  <c r="CR217" i="3"/>
  <c r="CS217" i="3" s="1"/>
  <c r="CT217" i="3" s="1"/>
  <c r="CN218" i="3"/>
  <c r="CR218" i="3" s="1"/>
  <c r="CS218" i="3" s="1"/>
  <c r="CT218" i="3" s="1"/>
  <c r="CO218" i="3"/>
  <c r="CP218" i="3"/>
  <c r="CQ218" i="3"/>
  <c r="CN219" i="3"/>
  <c r="CR219" i="3" s="1"/>
  <c r="CS219" i="3" s="1"/>
  <c r="CT219" i="3" s="1"/>
  <c r="CO219" i="3"/>
  <c r="CP219" i="3"/>
  <c r="CQ219" i="3"/>
  <c r="CN220" i="3"/>
  <c r="CO220" i="3"/>
  <c r="CR220" i="3" s="1"/>
  <c r="CS220" i="3" s="1"/>
  <c r="CT220" i="3" s="1"/>
  <c r="CP220" i="3"/>
  <c r="CQ220" i="3"/>
  <c r="CN221" i="3"/>
  <c r="CO221" i="3"/>
  <c r="CP221" i="3"/>
  <c r="CQ221" i="3"/>
  <c r="CR221" i="3"/>
  <c r="CS221" i="3" s="1"/>
  <c r="CT221" i="3" s="1"/>
  <c r="CN222" i="3"/>
  <c r="CR222" i="3" s="1"/>
  <c r="CS222" i="3" s="1"/>
  <c r="CT222" i="3" s="1"/>
  <c r="CO222" i="3"/>
  <c r="CP222" i="3"/>
  <c r="CQ222" i="3"/>
  <c r="CN223" i="3"/>
  <c r="CO223" i="3"/>
  <c r="CP223" i="3"/>
  <c r="CQ223" i="3"/>
  <c r="CR223" i="3"/>
  <c r="CS223" i="3" s="1"/>
  <c r="CT223" i="3" s="1"/>
  <c r="CN224" i="3"/>
  <c r="CR224" i="3" s="1"/>
  <c r="CS224" i="3" s="1"/>
  <c r="CT224" i="3" s="1"/>
  <c r="CO224" i="3"/>
  <c r="CP224" i="3"/>
  <c r="CQ224" i="3"/>
  <c r="CN225" i="3"/>
  <c r="CO225" i="3"/>
  <c r="CR225" i="3" s="1"/>
  <c r="CS225" i="3" s="1"/>
  <c r="CT225" i="3" s="1"/>
  <c r="CP225" i="3"/>
  <c r="CQ225" i="3"/>
  <c r="CN226" i="3"/>
  <c r="CO226" i="3"/>
  <c r="CP226" i="3"/>
  <c r="CQ226" i="3"/>
  <c r="CR226" i="3"/>
  <c r="CS226" i="3" s="1"/>
  <c r="CT226" i="3" s="1"/>
  <c r="CN227" i="3"/>
  <c r="CR227" i="3" s="1"/>
  <c r="CS227" i="3" s="1"/>
  <c r="CT227" i="3" s="1"/>
  <c r="CO227" i="3"/>
  <c r="CP227" i="3"/>
  <c r="CQ227" i="3"/>
  <c r="CN228" i="3"/>
  <c r="CO228" i="3"/>
  <c r="CP228" i="3"/>
  <c r="CQ228" i="3"/>
  <c r="CR228" i="3"/>
  <c r="CN229" i="3"/>
  <c r="CO229" i="3"/>
  <c r="CP229" i="3"/>
  <c r="CQ229" i="3"/>
  <c r="CR229" i="3"/>
  <c r="CS229" i="3" s="1"/>
  <c r="CT229" i="3" s="1"/>
  <c r="CN230" i="3"/>
  <c r="CO230" i="3"/>
  <c r="CP230" i="3"/>
  <c r="CQ230" i="3"/>
  <c r="CR230" i="3"/>
  <c r="CS230" i="3" s="1"/>
  <c r="CT230" i="3" s="1"/>
  <c r="CN231" i="3"/>
  <c r="CO231" i="3"/>
  <c r="CP231" i="3"/>
  <c r="CQ231" i="3"/>
  <c r="CR231" i="3"/>
  <c r="CS231" i="3"/>
  <c r="CT231" i="3" s="1"/>
  <c r="CN232" i="3"/>
  <c r="CR232" i="3" s="1"/>
  <c r="CS232" i="3" s="1"/>
  <c r="CT232" i="3" s="1"/>
  <c r="CO232" i="3"/>
  <c r="CP232" i="3"/>
  <c r="CQ232" i="3"/>
  <c r="CN233" i="3"/>
  <c r="CR233" i="3" s="1"/>
  <c r="CS233" i="3" s="1"/>
  <c r="CT233" i="3" s="1"/>
  <c r="CO233" i="3"/>
  <c r="CP233" i="3"/>
  <c r="CQ233" i="3"/>
  <c r="CN234" i="3"/>
  <c r="CO234" i="3"/>
  <c r="CR234" i="3" s="1"/>
  <c r="CS234" i="3" s="1"/>
  <c r="CT234" i="3" s="1"/>
  <c r="CP234" i="3"/>
  <c r="CQ234" i="3"/>
  <c r="CN235" i="3"/>
  <c r="CO235" i="3"/>
  <c r="CP235" i="3"/>
  <c r="CQ235" i="3"/>
  <c r="CN236" i="3"/>
  <c r="CO236" i="3"/>
  <c r="CR236" i="3" s="1"/>
  <c r="CS236" i="3" s="1"/>
  <c r="CT236" i="3" s="1"/>
  <c r="CP236" i="3"/>
  <c r="CQ236" i="3"/>
  <c r="CN237" i="3"/>
  <c r="CR237" i="3" s="1"/>
  <c r="CS237" i="3" s="1"/>
  <c r="CT237" i="3" s="1"/>
  <c r="CO237" i="3"/>
  <c r="CP237" i="3"/>
  <c r="CQ237" i="3"/>
  <c r="CN238" i="3"/>
  <c r="CO238" i="3"/>
  <c r="CR238" i="3" s="1"/>
  <c r="CS238" i="3" s="1"/>
  <c r="CT238" i="3" s="1"/>
  <c r="CP238" i="3"/>
  <c r="CQ238" i="3"/>
  <c r="CN239" i="3"/>
  <c r="CO239" i="3"/>
  <c r="CR239" i="3" s="1"/>
  <c r="CS239" i="3" s="1"/>
  <c r="CT239" i="3" s="1"/>
  <c r="CP239" i="3"/>
  <c r="CQ239" i="3"/>
  <c r="CN240" i="3"/>
  <c r="CR240" i="3" s="1"/>
  <c r="CO240" i="3"/>
  <c r="CP240" i="3"/>
  <c r="CQ240" i="3"/>
  <c r="CS240" i="3"/>
  <c r="CT240" i="3" s="1"/>
  <c r="CN241" i="3"/>
  <c r="CR241" i="3" s="1"/>
  <c r="CS241" i="3" s="1"/>
  <c r="CT241" i="3" s="1"/>
  <c r="CO241" i="3"/>
  <c r="CP241" i="3"/>
  <c r="CQ241" i="3"/>
  <c r="CN242" i="3"/>
  <c r="CR242" i="3" s="1"/>
  <c r="CS242" i="3" s="1"/>
  <c r="CT242" i="3" s="1"/>
  <c r="CO242" i="3"/>
  <c r="CP242" i="3"/>
  <c r="CQ242" i="3"/>
  <c r="CN243" i="3"/>
  <c r="CO243" i="3"/>
  <c r="CR243" i="3" s="1"/>
  <c r="CS243" i="3" s="1"/>
  <c r="CT243" i="3" s="1"/>
  <c r="CP243" i="3"/>
  <c r="CQ243" i="3"/>
  <c r="CN244" i="3"/>
  <c r="CO244" i="3"/>
  <c r="CR244" i="3" s="1"/>
  <c r="CS244" i="3" s="1"/>
  <c r="CT244" i="3" s="1"/>
  <c r="CP244" i="3"/>
  <c r="CQ244" i="3"/>
  <c r="CN245" i="3"/>
  <c r="CO245" i="3"/>
  <c r="CP245" i="3"/>
  <c r="CQ245" i="3"/>
  <c r="CR245" i="3"/>
  <c r="CS245" i="3" s="1"/>
  <c r="CT245" i="3" s="1"/>
  <c r="CN246" i="3"/>
  <c r="CO246" i="3"/>
  <c r="CP246" i="3"/>
  <c r="CQ246" i="3"/>
  <c r="CR246" i="3"/>
  <c r="CS246" i="3"/>
  <c r="CT246" i="3" s="1"/>
  <c r="CN247" i="3"/>
  <c r="CR247" i="3" s="1"/>
  <c r="CS247" i="3" s="1"/>
  <c r="CT247" i="3" s="1"/>
  <c r="CO247" i="3"/>
  <c r="CP247" i="3"/>
  <c r="CQ247" i="3"/>
  <c r="CN248" i="3"/>
  <c r="CO248" i="3"/>
  <c r="CP248" i="3"/>
  <c r="CQ248" i="3"/>
  <c r="CN249" i="3"/>
  <c r="CR249" i="3" s="1"/>
  <c r="CS249" i="3" s="1"/>
  <c r="CT249" i="3" s="1"/>
  <c r="CO249" i="3"/>
  <c r="CP249" i="3"/>
  <c r="CQ249" i="3"/>
  <c r="CN250" i="3"/>
  <c r="CR250" i="3" s="1"/>
  <c r="CS250" i="3" s="1"/>
  <c r="CT250" i="3" s="1"/>
  <c r="CO250" i="3"/>
  <c r="CP250" i="3"/>
  <c r="CQ250" i="3"/>
  <c r="CN251" i="3"/>
  <c r="CO251" i="3"/>
  <c r="CP251" i="3"/>
  <c r="CQ251" i="3"/>
  <c r="CR251" i="3"/>
  <c r="CS251" i="3"/>
  <c r="CT251" i="3" s="1"/>
  <c r="CN252" i="3"/>
  <c r="CO252" i="3"/>
  <c r="CR252" i="3" s="1"/>
  <c r="CS252" i="3" s="1"/>
  <c r="CT252" i="3" s="1"/>
  <c r="CP252" i="3"/>
  <c r="CQ252" i="3"/>
  <c r="CN253" i="3"/>
  <c r="CO253" i="3"/>
  <c r="CP253" i="3"/>
  <c r="CQ253" i="3"/>
  <c r="CR253" i="3"/>
  <c r="CS253" i="3" s="1"/>
  <c r="CT253" i="3" s="1"/>
  <c r="CN254" i="3"/>
  <c r="CR254" i="3" s="1"/>
  <c r="CS254" i="3" s="1"/>
  <c r="CT254" i="3" s="1"/>
  <c r="CO254" i="3"/>
  <c r="CP254" i="3"/>
  <c r="CQ254" i="3"/>
  <c r="CN255" i="3"/>
  <c r="CR255" i="3" s="1"/>
  <c r="CS255" i="3" s="1"/>
  <c r="CT255" i="3" s="1"/>
  <c r="CO255" i="3"/>
  <c r="CP255" i="3"/>
  <c r="CQ255" i="3"/>
  <c r="CN256" i="3"/>
  <c r="CO256" i="3"/>
  <c r="CP256" i="3"/>
  <c r="CQ256" i="3"/>
  <c r="CN257" i="3"/>
  <c r="CO257" i="3"/>
  <c r="CP257" i="3"/>
  <c r="CQ257" i="3"/>
  <c r="CR257" i="3"/>
  <c r="CS257" i="3" s="1"/>
  <c r="CT257" i="3" s="1"/>
  <c r="CN258" i="3"/>
  <c r="CO258" i="3"/>
  <c r="CP258" i="3"/>
  <c r="CQ258" i="3"/>
  <c r="CR258" i="3"/>
  <c r="CS258" i="3"/>
  <c r="CT258" i="3" s="1"/>
  <c r="CN259" i="3"/>
  <c r="CR259" i="3" s="1"/>
  <c r="CS259" i="3" s="1"/>
  <c r="CT259" i="3" s="1"/>
  <c r="CO259" i="3"/>
  <c r="CP259" i="3"/>
  <c r="CQ259" i="3"/>
  <c r="CN260" i="3"/>
  <c r="CO260" i="3"/>
  <c r="CP260" i="3"/>
  <c r="CQ260" i="3"/>
  <c r="CR260" i="3"/>
  <c r="CS260" i="3" s="1"/>
  <c r="CT260" i="3" s="1"/>
  <c r="CN261" i="3"/>
  <c r="CR261" i="3" s="1"/>
  <c r="CS261" i="3" s="1"/>
  <c r="CT261" i="3" s="1"/>
  <c r="CO261" i="3"/>
  <c r="CP261" i="3"/>
  <c r="CQ261" i="3"/>
  <c r="CN262" i="3"/>
  <c r="CR262" i="3" s="1"/>
  <c r="CS262" i="3" s="1"/>
  <c r="CT262" i="3" s="1"/>
  <c r="CO262" i="3"/>
  <c r="CP262" i="3"/>
  <c r="CQ262" i="3"/>
  <c r="CN263" i="3"/>
  <c r="CO263" i="3"/>
  <c r="CR263" i="3" s="1"/>
  <c r="CS263" i="3" s="1"/>
  <c r="CT263" i="3" s="1"/>
  <c r="CP263" i="3"/>
  <c r="CQ263" i="3"/>
  <c r="CN264" i="3"/>
  <c r="CR264" i="3" s="1"/>
  <c r="CS264" i="3" s="1"/>
  <c r="CT264" i="3" s="1"/>
  <c r="CO264" i="3"/>
  <c r="CP264" i="3"/>
  <c r="CQ264" i="3"/>
  <c r="CN265" i="3"/>
  <c r="CO265" i="3"/>
  <c r="CP265" i="3"/>
  <c r="CQ265" i="3"/>
  <c r="CR265" i="3"/>
  <c r="CS265" i="3" s="1"/>
  <c r="CT265" i="3" s="1"/>
  <c r="CN266" i="3"/>
  <c r="CO266" i="3"/>
  <c r="CP266" i="3"/>
  <c r="CQ266" i="3"/>
  <c r="CR266" i="3"/>
  <c r="CS266" i="3"/>
  <c r="CT266" i="3" s="1"/>
  <c r="CN267" i="3"/>
  <c r="CR267" i="3" s="1"/>
  <c r="CS267" i="3" s="1"/>
  <c r="CT267" i="3" s="1"/>
  <c r="CO267" i="3"/>
  <c r="CP267" i="3"/>
  <c r="CQ267" i="3"/>
  <c r="CN268" i="3"/>
  <c r="CO268" i="3"/>
  <c r="CP268" i="3"/>
  <c r="CQ268" i="3"/>
  <c r="CR268" i="3"/>
  <c r="CS268" i="3" s="1"/>
  <c r="CT268" i="3" s="1"/>
  <c r="CN269" i="3"/>
  <c r="CR269" i="3" s="1"/>
  <c r="CS269" i="3" s="1"/>
  <c r="CT269" i="3" s="1"/>
  <c r="CO269" i="3"/>
  <c r="CP269" i="3"/>
  <c r="CQ269" i="3"/>
  <c r="CN270" i="3"/>
  <c r="CR270" i="3" s="1"/>
  <c r="CS270" i="3" s="1"/>
  <c r="CT270" i="3" s="1"/>
  <c r="CO270" i="3"/>
  <c r="CP270" i="3"/>
  <c r="CQ270" i="3"/>
  <c r="CN271" i="3"/>
  <c r="CO271" i="3"/>
  <c r="CR271" i="3" s="1"/>
  <c r="CS271" i="3" s="1"/>
  <c r="CT271" i="3" s="1"/>
  <c r="CP271" i="3"/>
  <c r="CQ271" i="3"/>
  <c r="CN272" i="3"/>
  <c r="CR272" i="3" s="1"/>
  <c r="CS272" i="3" s="1"/>
  <c r="CT272" i="3" s="1"/>
  <c r="CO272" i="3"/>
  <c r="CP272" i="3"/>
  <c r="CQ272" i="3"/>
  <c r="CT27" i="3"/>
  <c r="CS27" i="3"/>
  <c r="CR27" i="3"/>
  <c r="CQ27" i="3"/>
  <c r="CO27" i="3"/>
  <c r="CN27" i="3"/>
  <c r="CM29" i="3"/>
  <c r="CM30" i="3" s="1"/>
  <c r="CM31" i="3" s="1"/>
  <c r="CM32" i="3" s="1"/>
  <c r="CM33" i="3" s="1"/>
  <c r="CM34" i="3" s="1"/>
  <c r="CM35" i="3" s="1"/>
  <c r="CM36" i="3" s="1"/>
  <c r="CM37" i="3" s="1"/>
  <c r="CM38" i="3" s="1"/>
  <c r="CM39" i="3" s="1"/>
  <c r="CM40" i="3" s="1"/>
  <c r="CM41" i="3" s="1"/>
  <c r="CM42" i="3" s="1"/>
  <c r="CM43" i="3" s="1"/>
  <c r="CM44" i="3" s="1"/>
  <c r="CM45" i="3" s="1"/>
  <c r="CM46" i="3" s="1"/>
  <c r="CM47" i="3" s="1"/>
  <c r="CM48" i="3" s="1"/>
  <c r="CM49" i="3" s="1"/>
  <c r="CM50" i="3" s="1"/>
  <c r="CM51" i="3" s="1"/>
  <c r="CM52" i="3" s="1"/>
  <c r="CM53" i="3" s="1"/>
  <c r="CM54" i="3" s="1"/>
  <c r="CM55" i="3" s="1"/>
  <c r="CM56" i="3" s="1"/>
  <c r="CM57" i="3" s="1"/>
  <c r="CM58" i="3" s="1"/>
  <c r="CM59" i="3" s="1"/>
  <c r="CM60" i="3" s="1"/>
  <c r="CM61" i="3" s="1"/>
  <c r="CM62" i="3" s="1"/>
  <c r="CM63" i="3" s="1"/>
  <c r="CM64" i="3" s="1"/>
  <c r="CM65" i="3" s="1"/>
  <c r="CM66" i="3" s="1"/>
  <c r="CM67" i="3" s="1"/>
  <c r="CM68" i="3" s="1"/>
  <c r="CM69" i="3" s="1"/>
  <c r="CM70" i="3" s="1"/>
  <c r="CM71" i="3" s="1"/>
  <c r="CM72" i="3" s="1"/>
  <c r="CM73" i="3" s="1"/>
  <c r="CM74" i="3" s="1"/>
  <c r="CM75" i="3" s="1"/>
  <c r="CM76" i="3" s="1"/>
  <c r="CM77" i="3" s="1"/>
  <c r="CM78" i="3" s="1"/>
  <c r="CM79" i="3" s="1"/>
  <c r="CM80" i="3" s="1"/>
  <c r="CM81" i="3" s="1"/>
  <c r="CM82" i="3" s="1"/>
  <c r="CM83" i="3" s="1"/>
  <c r="CM84" i="3" s="1"/>
  <c r="CM85" i="3" s="1"/>
  <c r="CM86" i="3" s="1"/>
  <c r="CM87" i="3" s="1"/>
  <c r="CM88" i="3" s="1"/>
  <c r="CM89" i="3" s="1"/>
  <c r="CM90" i="3" s="1"/>
  <c r="CM91" i="3" s="1"/>
  <c r="CM92" i="3" s="1"/>
  <c r="CM93" i="3" s="1"/>
  <c r="CM94" i="3" s="1"/>
  <c r="CM95" i="3" s="1"/>
  <c r="CM96" i="3" s="1"/>
  <c r="CM97" i="3" s="1"/>
  <c r="CM98" i="3" s="1"/>
  <c r="CM99" i="3" s="1"/>
  <c r="CM100" i="3" s="1"/>
  <c r="CM101" i="3" s="1"/>
  <c r="CM102" i="3" s="1"/>
  <c r="CM103" i="3" s="1"/>
  <c r="CM104" i="3" s="1"/>
  <c r="CM105" i="3" s="1"/>
  <c r="CM106" i="3" s="1"/>
  <c r="CM107" i="3" s="1"/>
  <c r="CM108" i="3" s="1"/>
  <c r="CM109" i="3" s="1"/>
  <c r="CM110" i="3" s="1"/>
  <c r="CM111" i="3" s="1"/>
  <c r="CM112" i="3" s="1"/>
  <c r="CM113" i="3" s="1"/>
  <c r="CM114" i="3" s="1"/>
  <c r="CM115" i="3" s="1"/>
  <c r="CM116" i="3" s="1"/>
  <c r="CM117" i="3" s="1"/>
  <c r="CM118" i="3" s="1"/>
  <c r="CM119" i="3" s="1"/>
  <c r="CM120" i="3" s="1"/>
  <c r="CM121" i="3" s="1"/>
  <c r="CM122" i="3" s="1"/>
  <c r="CM123" i="3" s="1"/>
  <c r="CM124" i="3" s="1"/>
  <c r="CM125" i="3" s="1"/>
  <c r="CM126" i="3" s="1"/>
  <c r="CM127" i="3" s="1"/>
  <c r="CM128" i="3" s="1"/>
  <c r="CM129" i="3" s="1"/>
  <c r="CM130" i="3" s="1"/>
  <c r="CM131" i="3" s="1"/>
  <c r="CM132" i="3" s="1"/>
  <c r="CM133" i="3" s="1"/>
  <c r="CM134" i="3" s="1"/>
  <c r="CM135" i="3" s="1"/>
  <c r="CM136" i="3" s="1"/>
  <c r="CM137" i="3" s="1"/>
  <c r="CM138" i="3" s="1"/>
  <c r="CM139" i="3" s="1"/>
  <c r="CM140" i="3" s="1"/>
  <c r="CM141" i="3" s="1"/>
  <c r="CM142" i="3" s="1"/>
  <c r="CM143" i="3" s="1"/>
  <c r="CM144" i="3" s="1"/>
  <c r="CM145" i="3" s="1"/>
  <c r="CM146" i="3" s="1"/>
  <c r="CM147" i="3" s="1"/>
  <c r="CM148" i="3" s="1"/>
  <c r="CM149" i="3" s="1"/>
  <c r="CM150" i="3" s="1"/>
  <c r="CM151" i="3" s="1"/>
  <c r="CM152" i="3" s="1"/>
  <c r="CM153" i="3" s="1"/>
  <c r="CM154" i="3" s="1"/>
  <c r="CM155" i="3" s="1"/>
  <c r="CM156" i="3" s="1"/>
  <c r="CM157" i="3" s="1"/>
  <c r="CM158" i="3" s="1"/>
  <c r="CM159" i="3" s="1"/>
  <c r="CM160" i="3" s="1"/>
  <c r="CM161" i="3" s="1"/>
  <c r="CM162" i="3" s="1"/>
  <c r="CM163" i="3" s="1"/>
  <c r="CM164" i="3" s="1"/>
  <c r="CM165" i="3" s="1"/>
  <c r="CM166" i="3" s="1"/>
  <c r="CM167" i="3" s="1"/>
  <c r="CM168" i="3" s="1"/>
  <c r="CM169" i="3" s="1"/>
  <c r="CM170" i="3" s="1"/>
  <c r="CM171" i="3" s="1"/>
  <c r="CM172" i="3" s="1"/>
  <c r="CM173" i="3" s="1"/>
  <c r="CM174" i="3" s="1"/>
  <c r="CM175" i="3" s="1"/>
  <c r="CM176" i="3" s="1"/>
  <c r="CM177" i="3" s="1"/>
  <c r="CM178" i="3" s="1"/>
  <c r="CM179" i="3" s="1"/>
  <c r="CM180" i="3" s="1"/>
  <c r="CM181" i="3" s="1"/>
  <c r="CM182" i="3" s="1"/>
  <c r="CM183" i="3" s="1"/>
  <c r="CM184" i="3" s="1"/>
  <c r="CM185" i="3" s="1"/>
  <c r="CM186" i="3" s="1"/>
  <c r="CM187" i="3" s="1"/>
  <c r="CM188" i="3" s="1"/>
  <c r="CM189" i="3" s="1"/>
  <c r="CM190" i="3" s="1"/>
  <c r="CM191" i="3" s="1"/>
  <c r="CM192" i="3" s="1"/>
  <c r="CM193" i="3" s="1"/>
  <c r="CM194" i="3" s="1"/>
  <c r="CM195" i="3" s="1"/>
  <c r="CM196" i="3" s="1"/>
  <c r="CM197" i="3" s="1"/>
  <c r="CM198" i="3" s="1"/>
  <c r="CM199" i="3" s="1"/>
  <c r="CM200" i="3" s="1"/>
  <c r="CM201" i="3" s="1"/>
  <c r="CM202" i="3" s="1"/>
  <c r="CM203" i="3" s="1"/>
  <c r="CM204" i="3" s="1"/>
  <c r="CM205" i="3" s="1"/>
  <c r="CM206" i="3" s="1"/>
  <c r="CM207" i="3" s="1"/>
  <c r="CM208" i="3" s="1"/>
  <c r="CM209" i="3" s="1"/>
  <c r="CM210" i="3" s="1"/>
  <c r="CM211" i="3" s="1"/>
  <c r="CM212" i="3" s="1"/>
  <c r="CM213" i="3" s="1"/>
  <c r="CM214" i="3" s="1"/>
  <c r="CM215" i="3" s="1"/>
  <c r="CM216" i="3" s="1"/>
  <c r="CM217" i="3" s="1"/>
  <c r="CM218" i="3" s="1"/>
  <c r="CM219" i="3" s="1"/>
  <c r="CM220" i="3" s="1"/>
  <c r="CM221" i="3" s="1"/>
  <c r="CM222" i="3" s="1"/>
  <c r="CM223" i="3" s="1"/>
  <c r="CM224" i="3" s="1"/>
  <c r="CM225" i="3" s="1"/>
  <c r="CM226" i="3" s="1"/>
  <c r="CM227" i="3" s="1"/>
  <c r="CM228" i="3" s="1"/>
  <c r="CM229" i="3" s="1"/>
  <c r="CM230" i="3" s="1"/>
  <c r="CM231" i="3" s="1"/>
  <c r="CM232" i="3" s="1"/>
  <c r="CM233" i="3" s="1"/>
  <c r="CM234" i="3" s="1"/>
  <c r="CM235" i="3" s="1"/>
  <c r="CM236" i="3" s="1"/>
  <c r="CM237" i="3" s="1"/>
  <c r="CM238" i="3" s="1"/>
  <c r="CM239" i="3" s="1"/>
  <c r="CM240" i="3" s="1"/>
  <c r="CM241" i="3" s="1"/>
  <c r="CM242" i="3" s="1"/>
  <c r="CM243" i="3" s="1"/>
  <c r="CM244" i="3" s="1"/>
  <c r="CM245" i="3" s="1"/>
  <c r="CM246" i="3" s="1"/>
  <c r="CM247" i="3" s="1"/>
  <c r="CM248" i="3" s="1"/>
  <c r="CM249" i="3" s="1"/>
  <c r="CM250" i="3" s="1"/>
  <c r="CM251" i="3" s="1"/>
  <c r="CM252" i="3" s="1"/>
  <c r="CM253" i="3" s="1"/>
  <c r="CM254" i="3" s="1"/>
  <c r="CM255" i="3" s="1"/>
  <c r="CM256" i="3" s="1"/>
  <c r="CM257" i="3" s="1"/>
  <c r="CM258" i="3" s="1"/>
  <c r="CM259" i="3" s="1"/>
  <c r="CM260" i="3" s="1"/>
  <c r="CM261" i="3" s="1"/>
  <c r="CM262" i="3" s="1"/>
  <c r="CM263" i="3" s="1"/>
  <c r="CM264" i="3" s="1"/>
  <c r="CM265" i="3" s="1"/>
  <c r="CM266" i="3" s="1"/>
  <c r="CM267" i="3" s="1"/>
  <c r="CM268" i="3" s="1"/>
  <c r="CM269" i="3" s="1"/>
  <c r="CM270" i="3" s="1"/>
  <c r="CM271" i="3" s="1"/>
  <c r="CM272" i="3" s="1"/>
  <c r="CM28" i="3"/>
  <c r="CP27" i="3"/>
  <c r="CT25" i="3"/>
  <c r="CS25" i="3"/>
  <c r="CR25" i="3"/>
  <c r="CQ25" i="3"/>
  <c r="CP25" i="3"/>
  <c r="CO25" i="3"/>
  <c r="CN25" i="3"/>
  <c r="CM26" i="3"/>
  <c r="I77" i="3"/>
  <c r="AJ63" i="3"/>
  <c r="AJ64" i="3"/>
  <c r="AJ65" i="3"/>
  <c r="AJ66" i="3"/>
  <c r="AJ67" i="3"/>
  <c r="AJ68" i="3"/>
  <c r="AJ69" i="3"/>
  <c r="AJ70" i="3"/>
  <c r="AJ71" i="3"/>
  <c r="AJ72" i="3"/>
  <c r="AJ73" i="3"/>
  <c r="AJ74" i="3"/>
  <c r="AJ75" i="3"/>
  <c r="AJ76" i="3"/>
  <c r="AJ62" i="3"/>
  <c r="AD77" i="3"/>
  <c r="CW23" i="3"/>
  <c r="AD63" i="3"/>
  <c r="AD64" i="3"/>
  <c r="AD65" i="3"/>
  <c r="AD66" i="3"/>
  <c r="AD67" i="3"/>
  <c r="AD68" i="3"/>
  <c r="AD69" i="3"/>
  <c r="AD70" i="3"/>
  <c r="AD71" i="3"/>
  <c r="AD72" i="3"/>
  <c r="AD73" i="3"/>
  <c r="AD74" i="3"/>
  <c r="AD75" i="3"/>
  <c r="AD76" i="3"/>
  <c r="AD62" i="3"/>
  <c r="AD61" i="3"/>
  <c r="X77" i="3"/>
  <c r="X63" i="3"/>
  <c r="X64" i="3"/>
  <c r="X65" i="3"/>
  <c r="X66" i="3"/>
  <c r="X67" i="3"/>
  <c r="X68" i="3"/>
  <c r="X69" i="3"/>
  <c r="X70" i="3"/>
  <c r="X71" i="3"/>
  <c r="X72" i="3"/>
  <c r="X73" i="3"/>
  <c r="X74" i="3"/>
  <c r="X75" i="3"/>
  <c r="X76" i="3"/>
  <c r="X62" i="3"/>
  <c r="X61" i="3"/>
  <c r="S63" i="3"/>
  <c r="S64" i="3"/>
  <c r="S65" i="3"/>
  <c r="S66" i="3"/>
  <c r="S67" i="3"/>
  <c r="S68" i="3"/>
  <c r="S69" i="3"/>
  <c r="S70" i="3"/>
  <c r="S71" i="3"/>
  <c r="S72" i="3"/>
  <c r="S73" i="3"/>
  <c r="S74" i="3"/>
  <c r="S75" i="3"/>
  <c r="S76" i="3"/>
  <c r="S62" i="3"/>
  <c r="S61" i="3"/>
  <c r="DR7" i="3"/>
  <c r="DR8" i="3"/>
  <c r="DR9" i="3"/>
  <c r="DR10" i="3"/>
  <c r="DR11" i="3"/>
  <c r="DR12" i="3"/>
  <c r="DR13" i="3"/>
  <c r="DR14" i="3"/>
  <c r="DR15" i="3"/>
  <c r="DR16" i="3"/>
  <c r="DR17" i="3"/>
  <c r="DR18" i="3"/>
  <c r="DR19" i="3"/>
  <c r="DR20" i="3"/>
  <c r="DR21" i="3"/>
  <c r="DR6" i="3"/>
  <c r="DP7" i="3"/>
  <c r="DP13" i="3"/>
  <c r="DP15" i="3"/>
  <c r="DP21" i="3"/>
  <c r="DO8" i="3"/>
  <c r="DO11" i="3"/>
  <c r="DO13" i="3"/>
  <c r="DO16" i="3"/>
  <c r="DO19" i="3"/>
  <c r="DO21" i="3"/>
  <c r="CM9" i="3"/>
  <c r="CM17" i="3"/>
  <c r="CL21" i="3"/>
  <c r="CM21" i="3" s="1"/>
  <c r="CL20" i="3"/>
  <c r="CM20" i="3" s="1"/>
  <c r="CL19" i="3"/>
  <c r="CM19" i="3" s="1"/>
  <c r="CL18" i="3"/>
  <c r="CM18" i="3" s="1"/>
  <c r="CL17" i="3"/>
  <c r="DP17" i="3" s="1"/>
  <c r="CL16" i="3"/>
  <c r="DP16" i="3" s="1"/>
  <c r="CL15" i="3"/>
  <c r="CM15" i="3" s="1"/>
  <c r="CL14" i="3"/>
  <c r="DP14" i="3" s="1"/>
  <c r="CL13" i="3"/>
  <c r="CM13" i="3" s="1"/>
  <c r="CL12" i="3"/>
  <c r="CM12" i="3" s="1"/>
  <c r="CL11" i="3"/>
  <c r="DP11" i="3" s="1"/>
  <c r="CL10" i="3"/>
  <c r="CM10" i="3" s="1"/>
  <c r="CL9" i="3"/>
  <c r="DP9" i="3" s="1"/>
  <c r="CL8" i="3"/>
  <c r="DP8" i="3" s="1"/>
  <c r="CL7" i="3"/>
  <c r="CM7" i="3" s="1"/>
  <c r="CK21" i="3"/>
  <c r="CK20" i="3"/>
  <c r="DO20" i="3" s="1"/>
  <c r="CK19" i="3"/>
  <c r="CK18" i="3"/>
  <c r="DO18" i="3" s="1"/>
  <c r="CK17" i="3"/>
  <c r="DO17" i="3" s="1"/>
  <c r="CK16" i="3"/>
  <c r="CK15" i="3"/>
  <c r="DO15" i="3" s="1"/>
  <c r="CK14" i="3"/>
  <c r="DO14" i="3" s="1"/>
  <c r="CK13" i="3"/>
  <c r="CK12" i="3"/>
  <c r="DO12" i="3" s="1"/>
  <c r="CK11" i="3"/>
  <c r="CK10" i="3"/>
  <c r="DO10" i="3" s="1"/>
  <c r="CK9" i="3"/>
  <c r="DO9" i="3" s="1"/>
  <c r="CK8" i="3"/>
  <c r="CK7" i="3"/>
  <c r="DO7" i="3" s="1"/>
  <c r="CK6" i="3"/>
  <c r="DO6" i="3" s="1"/>
  <c r="CT6" i="2"/>
  <c r="CU6" i="2"/>
  <c r="CT7" i="2"/>
  <c r="CU7" i="2"/>
  <c r="CT8" i="2"/>
  <c r="CU8" i="2"/>
  <c r="CT9" i="2"/>
  <c r="CU9" i="2"/>
  <c r="CT10" i="2"/>
  <c r="CU10" i="2"/>
  <c r="CT11" i="2"/>
  <c r="CU11" i="2"/>
  <c r="CT12" i="2"/>
  <c r="CU12" i="2"/>
  <c r="CT13" i="2"/>
  <c r="CU13" i="2"/>
  <c r="CT14" i="2"/>
  <c r="CU14" i="2"/>
  <c r="CT15" i="2"/>
  <c r="CU15" i="2"/>
  <c r="CT16" i="2"/>
  <c r="CU16" i="2"/>
  <c r="CT17" i="2"/>
  <c r="CU17" i="2"/>
  <c r="CT18" i="2"/>
  <c r="CU18" i="2"/>
  <c r="CT19" i="2"/>
  <c r="CU19" i="2"/>
  <c r="CT20" i="2"/>
  <c r="CU20" i="2"/>
  <c r="CT21" i="2"/>
  <c r="CU21" i="2"/>
  <c r="CT22" i="2"/>
  <c r="CU22" i="2"/>
  <c r="CT23" i="2"/>
  <c r="CU23" i="2"/>
  <c r="CT24" i="2"/>
  <c r="CU24" i="2"/>
  <c r="CT25" i="2"/>
  <c r="CU25" i="2"/>
  <c r="CT26" i="2"/>
  <c r="CU26" i="2"/>
  <c r="CT27" i="2"/>
  <c r="CU27" i="2"/>
  <c r="CT28" i="2"/>
  <c r="CU28" i="2"/>
  <c r="CT29" i="2"/>
  <c r="CU29" i="2"/>
  <c r="CT30" i="2"/>
  <c r="CU30" i="2"/>
  <c r="CT31" i="2"/>
  <c r="CU31" i="2"/>
  <c r="CT32" i="2"/>
  <c r="CU32" i="2"/>
  <c r="CT33" i="2"/>
  <c r="CU33" i="2"/>
  <c r="CT34" i="2"/>
  <c r="CU34" i="2"/>
  <c r="CT35" i="2"/>
  <c r="CU35" i="2"/>
  <c r="CT36" i="2"/>
  <c r="CU36" i="2"/>
  <c r="CT37" i="2"/>
  <c r="CU37" i="2"/>
  <c r="CT38" i="2"/>
  <c r="CU38" i="2"/>
  <c r="CT39" i="2"/>
  <c r="CU39" i="2"/>
  <c r="CT40" i="2"/>
  <c r="CU40" i="2"/>
  <c r="CT41" i="2"/>
  <c r="CU41" i="2"/>
  <c r="CT42" i="2"/>
  <c r="CU42" i="2"/>
  <c r="CT43" i="2"/>
  <c r="CU43" i="2"/>
  <c r="CT44" i="2"/>
  <c r="CU44" i="2"/>
  <c r="CT45" i="2"/>
  <c r="CU45" i="2"/>
  <c r="CT46" i="2"/>
  <c r="CU46" i="2"/>
  <c r="CT47" i="2"/>
  <c r="CU47" i="2"/>
  <c r="CT48" i="2"/>
  <c r="CU48" i="2"/>
  <c r="CT49" i="2"/>
  <c r="CU49" i="2"/>
  <c r="CT50" i="2"/>
  <c r="CU50" i="2"/>
  <c r="CT51" i="2"/>
  <c r="CU51" i="2"/>
  <c r="CT52" i="2"/>
  <c r="CU52" i="2"/>
  <c r="CT53" i="2"/>
  <c r="CU53" i="2"/>
  <c r="CT54" i="2"/>
  <c r="CU54" i="2"/>
  <c r="CT55" i="2"/>
  <c r="CU55" i="2"/>
  <c r="CT56" i="2"/>
  <c r="CU56" i="2"/>
  <c r="CT57" i="2"/>
  <c r="CU57" i="2"/>
  <c r="CT58" i="2"/>
  <c r="CU58" i="2"/>
  <c r="CT59" i="2"/>
  <c r="CU59" i="2"/>
  <c r="CT60" i="2"/>
  <c r="CU60" i="2"/>
  <c r="CT61" i="2"/>
  <c r="CU61" i="2"/>
  <c r="CT62" i="2"/>
  <c r="CU62" i="2"/>
  <c r="CT63" i="2"/>
  <c r="CU63" i="2"/>
  <c r="CT64" i="2"/>
  <c r="CU64" i="2"/>
  <c r="CT65" i="2"/>
  <c r="CU65" i="2"/>
  <c r="CT66" i="2"/>
  <c r="CU66" i="2"/>
  <c r="CT67" i="2"/>
  <c r="CU67" i="2"/>
  <c r="CT68" i="2"/>
  <c r="CU68" i="2"/>
  <c r="CT69" i="2"/>
  <c r="CU69" i="2"/>
  <c r="CT70" i="2"/>
  <c r="CU70" i="2"/>
  <c r="CT71" i="2"/>
  <c r="CU71" i="2"/>
  <c r="CT72" i="2"/>
  <c r="CU72" i="2"/>
  <c r="CT73" i="2"/>
  <c r="CU73" i="2"/>
  <c r="CT74" i="2"/>
  <c r="CU74" i="2"/>
  <c r="CT75" i="2"/>
  <c r="CU75" i="2"/>
  <c r="CT76" i="2"/>
  <c r="CU76" i="2"/>
  <c r="CT77" i="2"/>
  <c r="CU77" i="2"/>
  <c r="CT78" i="2"/>
  <c r="CU78" i="2"/>
  <c r="CT79" i="2"/>
  <c r="CU79" i="2"/>
  <c r="CT80" i="2"/>
  <c r="CU80" i="2"/>
  <c r="CT81" i="2"/>
  <c r="CU81" i="2"/>
  <c r="CT82" i="2"/>
  <c r="CU82" i="2"/>
  <c r="CT83" i="2"/>
  <c r="CU83" i="2"/>
  <c r="CT84" i="2"/>
  <c r="CU84" i="2"/>
  <c r="CT85" i="2"/>
  <c r="CU85" i="2"/>
  <c r="CT86" i="2"/>
  <c r="CU86" i="2"/>
  <c r="CT87" i="2"/>
  <c r="CU87" i="2"/>
  <c r="CT88" i="2"/>
  <c r="CU88" i="2"/>
  <c r="CT89" i="2"/>
  <c r="CU89" i="2"/>
  <c r="CT90" i="2"/>
  <c r="CU90" i="2"/>
  <c r="CT91" i="2"/>
  <c r="CU91" i="2"/>
  <c r="CT92" i="2"/>
  <c r="CU92" i="2"/>
  <c r="CT93" i="2"/>
  <c r="CU93" i="2"/>
  <c r="CT94" i="2"/>
  <c r="CU94" i="2"/>
  <c r="CT95" i="2"/>
  <c r="CU95" i="2"/>
  <c r="CT96" i="2"/>
  <c r="CU96" i="2"/>
  <c r="CT97" i="2"/>
  <c r="CU97" i="2"/>
  <c r="CT98" i="2"/>
  <c r="CU98" i="2"/>
  <c r="CT99" i="2"/>
  <c r="CU99" i="2"/>
  <c r="CT100" i="2"/>
  <c r="CU100" i="2"/>
  <c r="CT101" i="2"/>
  <c r="CU101" i="2"/>
  <c r="CT102" i="2"/>
  <c r="CU102" i="2"/>
  <c r="CT103" i="2"/>
  <c r="CU103" i="2"/>
  <c r="CT104" i="2"/>
  <c r="CU104" i="2"/>
  <c r="CT105" i="2"/>
  <c r="CU105" i="2"/>
  <c r="CT106" i="2"/>
  <c r="CU106" i="2"/>
  <c r="CT107" i="2"/>
  <c r="CU107" i="2"/>
  <c r="CT108" i="2"/>
  <c r="CU108" i="2"/>
  <c r="CT109" i="2"/>
  <c r="CU109" i="2"/>
  <c r="CT110" i="2"/>
  <c r="CU110" i="2"/>
  <c r="CT111" i="2"/>
  <c r="CU111" i="2"/>
  <c r="CT112" i="2"/>
  <c r="CU112" i="2"/>
  <c r="CT113" i="2"/>
  <c r="CU113" i="2"/>
  <c r="CT114" i="2"/>
  <c r="CU114" i="2"/>
  <c r="CT115" i="2"/>
  <c r="CU115" i="2"/>
  <c r="CT116" i="2"/>
  <c r="CU116" i="2"/>
  <c r="CT117" i="2"/>
  <c r="CU117" i="2"/>
  <c r="CT118" i="2"/>
  <c r="CU118" i="2"/>
  <c r="CT119" i="2"/>
  <c r="CU119" i="2"/>
  <c r="CT120" i="2"/>
  <c r="CU120" i="2"/>
  <c r="CT121" i="2"/>
  <c r="CU121" i="2"/>
  <c r="CT122" i="2"/>
  <c r="CU122" i="2"/>
  <c r="CT123" i="2"/>
  <c r="CU123" i="2"/>
  <c r="CT124" i="2"/>
  <c r="CU124" i="2"/>
  <c r="CT125" i="2"/>
  <c r="CU125" i="2"/>
  <c r="CT126" i="2"/>
  <c r="CU126" i="2"/>
  <c r="CT127" i="2"/>
  <c r="CU127" i="2"/>
  <c r="CT128" i="2"/>
  <c r="CU128" i="2"/>
  <c r="CT129" i="2"/>
  <c r="CU129" i="2"/>
  <c r="CT130" i="2"/>
  <c r="CU130" i="2"/>
  <c r="CT131" i="2"/>
  <c r="CU131" i="2"/>
  <c r="CT132" i="2"/>
  <c r="CU132" i="2"/>
  <c r="CT133" i="2"/>
  <c r="CU133" i="2"/>
  <c r="CT134" i="2"/>
  <c r="CU134" i="2"/>
  <c r="CT135" i="2"/>
  <c r="CU135" i="2"/>
  <c r="CT136" i="2"/>
  <c r="CU136" i="2"/>
  <c r="CT137" i="2"/>
  <c r="CU137" i="2"/>
  <c r="CT138" i="2"/>
  <c r="CU138" i="2"/>
  <c r="CT139" i="2"/>
  <c r="CU139" i="2"/>
  <c r="CT140" i="2"/>
  <c r="CU140" i="2"/>
  <c r="CT141" i="2"/>
  <c r="CU141" i="2"/>
  <c r="CT142" i="2"/>
  <c r="CU142" i="2"/>
  <c r="CT143" i="2"/>
  <c r="CU143" i="2"/>
  <c r="CT144" i="2"/>
  <c r="CU144" i="2"/>
  <c r="CT145" i="2"/>
  <c r="CU145" i="2"/>
  <c r="CT146" i="2"/>
  <c r="CU146" i="2"/>
  <c r="CT147" i="2"/>
  <c r="CU147" i="2"/>
  <c r="CT148" i="2"/>
  <c r="CU148" i="2"/>
  <c r="CT149" i="2"/>
  <c r="CU149" i="2"/>
  <c r="CT150" i="2"/>
  <c r="CU150" i="2"/>
  <c r="CT151" i="2"/>
  <c r="CU151" i="2"/>
  <c r="CT152" i="2"/>
  <c r="CU152" i="2"/>
  <c r="CT153" i="2"/>
  <c r="CU153" i="2"/>
  <c r="CT154" i="2"/>
  <c r="CU154" i="2"/>
  <c r="CT155" i="2"/>
  <c r="CU155" i="2"/>
  <c r="CT156" i="2"/>
  <c r="CU156" i="2"/>
  <c r="CT157" i="2"/>
  <c r="CU157" i="2"/>
  <c r="CT158" i="2"/>
  <c r="CU158" i="2"/>
  <c r="CT159" i="2"/>
  <c r="CU159" i="2"/>
  <c r="CT160" i="2"/>
  <c r="CU160" i="2"/>
  <c r="CT161" i="2"/>
  <c r="CU161" i="2"/>
  <c r="CT162" i="2"/>
  <c r="CU162" i="2"/>
  <c r="CT163" i="2"/>
  <c r="CU163" i="2"/>
  <c r="CT164" i="2"/>
  <c r="CU164" i="2"/>
  <c r="CT165" i="2"/>
  <c r="CU165" i="2"/>
  <c r="CT166" i="2"/>
  <c r="CU166" i="2"/>
  <c r="CT167" i="2"/>
  <c r="CU167" i="2"/>
  <c r="CT168" i="2"/>
  <c r="CU168" i="2"/>
  <c r="CT169" i="2"/>
  <c r="CU169" i="2"/>
  <c r="CT170" i="2"/>
  <c r="CU170" i="2"/>
  <c r="CT171" i="2"/>
  <c r="CU171" i="2"/>
  <c r="CT172" i="2"/>
  <c r="CU172" i="2"/>
  <c r="CT173" i="2"/>
  <c r="CU173" i="2"/>
  <c r="CT174" i="2"/>
  <c r="CU174" i="2"/>
  <c r="CT175" i="2"/>
  <c r="CU175" i="2"/>
  <c r="CT176" i="2"/>
  <c r="CU176" i="2"/>
  <c r="CT177" i="2"/>
  <c r="CU177" i="2"/>
  <c r="CT178" i="2"/>
  <c r="CU178" i="2"/>
  <c r="CT179" i="2"/>
  <c r="CU179" i="2"/>
  <c r="CT180" i="2"/>
  <c r="CU180" i="2"/>
  <c r="CT181" i="2"/>
  <c r="CU181" i="2"/>
  <c r="CT182" i="2"/>
  <c r="CU182" i="2"/>
  <c r="CT183" i="2"/>
  <c r="CU183" i="2"/>
  <c r="CT184" i="2"/>
  <c r="CU184" i="2"/>
  <c r="CT185" i="2"/>
  <c r="CU185" i="2"/>
  <c r="CT186" i="2"/>
  <c r="CU186" i="2"/>
  <c r="CT187" i="2"/>
  <c r="CU187" i="2"/>
  <c r="CT188" i="2"/>
  <c r="CU188" i="2"/>
  <c r="CT189" i="2"/>
  <c r="CU189" i="2"/>
  <c r="CT190" i="2"/>
  <c r="CU190" i="2"/>
  <c r="CT191" i="2"/>
  <c r="CU191" i="2"/>
  <c r="CT192" i="2"/>
  <c r="CU192" i="2"/>
  <c r="CT193" i="2"/>
  <c r="CU193" i="2"/>
  <c r="CT194" i="2"/>
  <c r="CU194" i="2"/>
  <c r="CT195" i="2"/>
  <c r="CU195" i="2"/>
  <c r="CT196" i="2"/>
  <c r="CU196" i="2"/>
  <c r="CT197" i="2"/>
  <c r="CU197" i="2"/>
  <c r="CT198" i="2"/>
  <c r="CU198" i="2"/>
  <c r="CT199" i="2"/>
  <c r="CU199" i="2"/>
  <c r="CT200" i="2"/>
  <c r="CU200" i="2"/>
  <c r="CT201" i="2"/>
  <c r="CU201" i="2"/>
  <c r="CT202" i="2"/>
  <c r="CU202" i="2"/>
  <c r="CT203" i="2"/>
  <c r="CU203" i="2"/>
  <c r="CT204" i="2"/>
  <c r="CU204" i="2"/>
  <c r="CT205" i="2"/>
  <c r="CU205" i="2"/>
  <c r="CT206" i="2"/>
  <c r="CU206" i="2"/>
  <c r="CT207" i="2"/>
  <c r="CU207" i="2"/>
  <c r="CT208" i="2"/>
  <c r="CU208" i="2"/>
  <c r="CT209" i="2"/>
  <c r="CU209" i="2"/>
  <c r="CT210" i="2"/>
  <c r="CU210" i="2"/>
  <c r="CT211" i="2"/>
  <c r="CU211" i="2"/>
  <c r="CT212" i="2"/>
  <c r="CU212" i="2"/>
  <c r="CT213" i="2"/>
  <c r="CU213" i="2"/>
  <c r="CT214" i="2"/>
  <c r="CU214" i="2"/>
  <c r="CT215" i="2"/>
  <c r="CU215" i="2"/>
  <c r="CT216" i="2"/>
  <c r="CU216" i="2"/>
  <c r="CT217" i="2"/>
  <c r="CU217" i="2"/>
  <c r="CT218" i="2"/>
  <c r="CU218" i="2"/>
  <c r="CT219" i="2"/>
  <c r="CU219" i="2"/>
  <c r="CT220" i="2"/>
  <c r="CU220" i="2"/>
  <c r="CT221" i="2"/>
  <c r="CU221" i="2"/>
  <c r="CT222" i="2"/>
  <c r="CU222" i="2"/>
  <c r="CT223" i="2"/>
  <c r="CU223" i="2"/>
  <c r="CT224" i="2"/>
  <c r="CU224" i="2"/>
  <c r="CT225" i="2"/>
  <c r="CU225" i="2"/>
  <c r="CT226" i="2"/>
  <c r="CU226" i="2"/>
  <c r="CT227" i="2"/>
  <c r="CU227" i="2"/>
  <c r="CT228" i="2"/>
  <c r="CU228" i="2"/>
  <c r="CT229" i="2"/>
  <c r="CU229" i="2"/>
  <c r="CT230" i="2"/>
  <c r="CU230" i="2"/>
  <c r="CT231" i="2"/>
  <c r="CU231" i="2"/>
  <c r="CT232" i="2"/>
  <c r="CU232" i="2"/>
  <c r="CT233" i="2"/>
  <c r="CU233" i="2"/>
  <c r="CT234" i="2"/>
  <c r="CU234" i="2"/>
  <c r="CT235" i="2"/>
  <c r="CU235" i="2"/>
  <c r="CT236" i="2"/>
  <c r="CU236" i="2"/>
  <c r="CT237" i="2"/>
  <c r="CU237" i="2"/>
  <c r="CT238" i="2"/>
  <c r="CU238" i="2"/>
  <c r="CT239" i="2"/>
  <c r="CU239" i="2"/>
  <c r="CT240" i="2"/>
  <c r="CU240" i="2"/>
  <c r="CT241" i="2"/>
  <c r="CU241" i="2"/>
  <c r="CT242" i="2"/>
  <c r="CU242" i="2"/>
  <c r="CT243" i="2"/>
  <c r="CU243" i="2"/>
  <c r="CT244" i="2"/>
  <c r="CU244" i="2"/>
  <c r="CT245" i="2"/>
  <c r="CU245" i="2"/>
  <c r="CT246" i="2"/>
  <c r="CU246" i="2"/>
  <c r="CT247" i="2"/>
  <c r="CU247" i="2"/>
  <c r="CT248" i="2"/>
  <c r="CU248" i="2"/>
  <c r="CT249" i="2"/>
  <c r="CU249" i="2"/>
  <c r="CT250" i="2"/>
  <c r="CU250" i="2"/>
  <c r="CU5" i="2"/>
  <c r="CT5" i="2"/>
  <c r="CR6" i="2"/>
  <c r="CS6" i="2"/>
  <c r="CR7" i="2"/>
  <c r="CS7" i="2"/>
  <c r="CR8" i="2"/>
  <c r="CS8" i="2"/>
  <c r="CR9" i="2"/>
  <c r="CS9" i="2"/>
  <c r="CR10" i="2"/>
  <c r="CS10" i="2"/>
  <c r="CR11" i="2"/>
  <c r="CS11" i="2"/>
  <c r="CR12" i="2"/>
  <c r="CS12" i="2"/>
  <c r="CR13" i="2"/>
  <c r="CS13" i="2"/>
  <c r="CR14" i="2"/>
  <c r="CS14" i="2"/>
  <c r="CR15" i="2"/>
  <c r="CS15" i="2"/>
  <c r="CR16" i="2"/>
  <c r="CS16" i="2"/>
  <c r="CR17" i="2"/>
  <c r="CS17" i="2"/>
  <c r="CR18" i="2"/>
  <c r="CS18" i="2"/>
  <c r="CR19" i="2"/>
  <c r="CS19" i="2"/>
  <c r="CR20" i="2"/>
  <c r="CS20" i="2"/>
  <c r="CR21" i="2"/>
  <c r="CS21" i="2"/>
  <c r="CR22" i="2"/>
  <c r="CS22" i="2"/>
  <c r="CR23" i="2"/>
  <c r="CS23" i="2"/>
  <c r="CR24" i="2"/>
  <c r="CS24" i="2"/>
  <c r="CR25" i="2"/>
  <c r="CS25" i="2"/>
  <c r="CR26" i="2"/>
  <c r="CS26" i="2"/>
  <c r="CR27" i="2"/>
  <c r="CS27" i="2"/>
  <c r="CR28" i="2"/>
  <c r="CS28" i="2"/>
  <c r="CR29" i="2"/>
  <c r="CS29" i="2"/>
  <c r="CR30" i="2"/>
  <c r="CS30" i="2"/>
  <c r="CR31" i="2"/>
  <c r="CS31" i="2"/>
  <c r="CR32" i="2"/>
  <c r="CS32" i="2"/>
  <c r="CR33" i="2"/>
  <c r="CS33" i="2"/>
  <c r="CR34" i="2"/>
  <c r="CS34" i="2"/>
  <c r="CR35" i="2"/>
  <c r="CS35" i="2"/>
  <c r="CR36" i="2"/>
  <c r="CS36" i="2"/>
  <c r="CR37" i="2"/>
  <c r="CS37" i="2"/>
  <c r="CR38" i="2"/>
  <c r="CS38" i="2"/>
  <c r="CR39" i="2"/>
  <c r="CS39" i="2"/>
  <c r="CR40" i="2"/>
  <c r="CS40" i="2"/>
  <c r="CR41" i="2"/>
  <c r="CS41" i="2"/>
  <c r="CR42" i="2"/>
  <c r="CS42" i="2"/>
  <c r="CR43" i="2"/>
  <c r="CS43" i="2"/>
  <c r="CR44" i="2"/>
  <c r="CS44" i="2"/>
  <c r="CR45" i="2"/>
  <c r="CS45" i="2"/>
  <c r="CR46" i="2"/>
  <c r="CS46" i="2"/>
  <c r="CR47" i="2"/>
  <c r="CS47" i="2"/>
  <c r="CR48" i="2"/>
  <c r="CS48" i="2"/>
  <c r="CR49" i="2"/>
  <c r="CS49" i="2"/>
  <c r="CR50" i="2"/>
  <c r="CS50" i="2"/>
  <c r="CR51" i="2"/>
  <c r="CS51" i="2"/>
  <c r="CR52" i="2"/>
  <c r="CS52" i="2"/>
  <c r="CR53" i="2"/>
  <c r="CS53" i="2"/>
  <c r="CR54" i="2"/>
  <c r="CS54" i="2"/>
  <c r="CR55" i="2"/>
  <c r="CS55" i="2"/>
  <c r="CR56" i="2"/>
  <c r="CS56" i="2"/>
  <c r="CR57" i="2"/>
  <c r="CS57" i="2"/>
  <c r="CR58" i="2"/>
  <c r="CS58" i="2"/>
  <c r="CR59" i="2"/>
  <c r="CS59" i="2"/>
  <c r="CR60" i="2"/>
  <c r="CS60" i="2"/>
  <c r="CR61" i="2"/>
  <c r="CS61" i="2"/>
  <c r="CR62" i="2"/>
  <c r="CS62" i="2"/>
  <c r="CR63" i="2"/>
  <c r="CS63" i="2"/>
  <c r="CR64" i="2"/>
  <c r="CS64" i="2"/>
  <c r="CR65" i="2"/>
  <c r="CS65" i="2"/>
  <c r="CR66" i="2"/>
  <c r="CS66" i="2"/>
  <c r="CR67" i="2"/>
  <c r="CS67" i="2"/>
  <c r="CR68" i="2"/>
  <c r="CS68" i="2"/>
  <c r="CR69" i="2"/>
  <c r="CS69" i="2"/>
  <c r="CR70" i="2"/>
  <c r="CS70" i="2"/>
  <c r="CR71" i="2"/>
  <c r="CS71" i="2"/>
  <c r="CR72" i="2"/>
  <c r="CS72" i="2"/>
  <c r="CR73" i="2"/>
  <c r="CS73" i="2"/>
  <c r="CR74" i="2"/>
  <c r="CS74" i="2"/>
  <c r="CR75" i="2"/>
  <c r="CS75" i="2"/>
  <c r="CR76" i="2"/>
  <c r="CS76" i="2"/>
  <c r="CR77" i="2"/>
  <c r="CS77" i="2"/>
  <c r="CR78" i="2"/>
  <c r="CS78" i="2"/>
  <c r="CR79" i="2"/>
  <c r="CS79" i="2"/>
  <c r="CR80" i="2"/>
  <c r="CS80" i="2"/>
  <c r="CR81" i="2"/>
  <c r="CS81" i="2"/>
  <c r="CR82" i="2"/>
  <c r="CS82" i="2"/>
  <c r="CR83" i="2"/>
  <c r="CS83" i="2"/>
  <c r="CR84" i="2"/>
  <c r="CS84" i="2"/>
  <c r="CR85" i="2"/>
  <c r="CS85" i="2"/>
  <c r="CR86" i="2"/>
  <c r="CS86" i="2"/>
  <c r="CR87" i="2"/>
  <c r="CS87" i="2"/>
  <c r="CR88" i="2"/>
  <c r="CS88" i="2"/>
  <c r="CR89" i="2"/>
  <c r="CS89" i="2"/>
  <c r="CR90" i="2"/>
  <c r="CS90" i="2"/>
  <c r="CR91" i="2"/>
  <c r="CS91" i="2"/>
  <c r="CR92" i="2"/>
  <c r="CS92" i="2"/>
  <c r="CR93" i="2"/>
  <c r="CS93" i="2"/>
  <c r="CR94" i="2"/>
  <c r="CS94" i="2"/>
  <c r="CR95" i="2"/>
  <c r="CS95" i="2"/>
  <c r="CR96" i="2"/>
  <c r="CS96" i="2"/>
  <c r="CR97" i="2"/>
  <c r="CS97" i="2"/>
  <c r="CR98" i="2"/>
  <c r="CS98" i="2"/>
  <c r="CR99" i="2"/>
  <c r="CS99" i="2"/>
  <c r="CR100" i="2"/>
  <c r="CS100" i="2"/>
  <c r="CR101" i="2"/>
  <c r="CS101" i="2"/>
  <c r="CR102" i="2"/>
  <c r="CS102" i="2"/>
  <c r="CR103" i="2"/>
  <c r="CS103" i="2"/>
  <c r="CR104" i="2"/>
  <c r="CS104" i="2"/>
  <c r="CR105" i="2"/>
  <c r="CS105" i="2"/>
  <c r="CR106" i="2"/>
  <c r="CS106" i="2"/>
  <c r="CR107" i="2"/>
  <c r="CS107" i="2"/>
  <c r="CR108" i="2"/>
  <c r="CS108" i="2"/>
  <c r="CR109" i="2"/>
  <c r="CS109" i="2"/>
  <c r="CR110" i="2"/>
  <c r="CS110" i="2"/>
  <c r="CR111" i="2"/>
  <c r="CS111" i="2"/>
  <c r="CR112" i="2"/>
  <c r="CS112" i="2"/>
  <c r="CR113" i="2"/>
  <c r="CS113" i="2"/>
  <c r="CR114" i="2"/>
  <c r="CS114" i="2"/>
  <c r="CR115" i="2"/>
  <c r="CS115" i="2"/>
  <c r="CR116" i="2"/>
  <c r="CS116" i="2"/>
  <c r="CR117" i="2"/>
  <c r="CS117" i="2"/>
  <c r="CR118" i="2"/>
  <c r="CS118" i="2"/>
  <c r="CR119" i="2"/>
  <c r="CS119" i="2"/>
  <c r="CR120" i="2"/>
  <c r="CS120" i="2"/>
  <c r="CR121" i="2"/>
  <c r="CS121" i="2"/>
  <c r="CR122" i="2"/>
  <c r="CS122" i="2"/>
  <c r="CR123" i="2"/>
  <c r="CS123" i="2"/>
  <c r="CR124" i="2"/>
  <c r="CS124" i="2"/>
  <c r="CR125" i="2"/>
  <c r="CS125" i="2"/>
  <c r="CR126" i="2"/>
  <c r="CS126" i="2"/>
  <c r="CR127" i="2"/>
  <c r="CS127" i="2"/>
  <c r="CR128" i="2"/>
  <c r="CS128" i="2"/>
  <c r="CR129" i="2"/>
  <c r="CS129" i="2"/>
  <c r="CR130" i="2"/>
  <c r="CS130" i="2"/>
  <c r="CR131" i="2"/>
  <c r="CS131" i="2"/>
  <c r="CR132" i="2"/>
  <c r="CS132" i="2"/>
  <c r="CR133" i="2"/>
  <c r="CS133" i="2"/>
  <c r="CR134" i="2"/>
  <c r="CS134" i="2"/>
  <c r="CR135" i="2"/>
  <c r="CS135" i="2"/>
  <c r="CR136" i="2"/>
  <c r="CS136" i="2"/>
  <c r="CR137" i="2"/>
  <c r="CS137" i="2"/>
  <c r="CR138" i="2"/>
  <c r="CS138" i="2"/>
  <c r="CR139" i="2"/>
  <c r="CS139" i="2"/>
  <c r="CR140" i="2"/>
  <c r="CS140" i="2"/>
  <c r="CR141" i="2"/>
  <c r="CS141" i="2"/>
  <c r="CR142" i="2"/>
  <c r="CS142" i="2"/>
  <c r="CR143" i="2"/>
  <c r="CS143" i="2"/>
  <c r="CR144" i="2"/>
  <c r="CS144" i="2"/>
  <c r="CR145" i="2"/>
  <c r="CS145" i="2"/>
  <c r="CR146" i="2"/>
  <c r="CS146" i="2"/>
  <c r="CR147" i="2"/>
  <c r="CS147" i="2"/>
  <c r="CR148" i="2"/>
  <c r="CS148" i="2"/>
  <c r="CR149" i="2"/>
  <c r="CS149" i="2"/>
  <c r="CR150" i="2"/>
  <c r="CS150" i="2"/>
  <c r="CR151" i="2"/>
  <c r="CS151" i="2"/>
  <c r="CR152" i="2"/>
  <c r="CS152" i="2"/>
  <c r="CR153" i="2"/>
  <c r="CS153" i="2"/>
  <c r="CR154" i="2"/>
  <c r="CS154" i="2"/>
  <c r="CR155" i="2"/>
  <c r="CS155" i="2"/>
  <c r="CR156" i="2"/>
  <c r="CS156" i="2"/>
  <c r="CR157" i="2"/>
  <c r="CS157" i="2"/>
  <c r="CR158" i="2"/>
  <c r="CS158" i="2"/>
  <c r="CR159" i="2"/>
  <c r="CS159" i="2"/>
  <c r="CR160" i="2"/>
  <c r="CS160" i="2"/>
  <c r="CR161" i="2"/>
  <c r="CS161" i="2"/>
  <c r="CR162" i="2"/>
  <c r="CS162" i="2"/>
  <c r="CR163" i="2"/>
  <c r="CS163" i="2"/>
  <c r="CR164" i="2"/>
  <c r="CS164" i="2"/>
  <c r="CR165" i="2"/>
  <c r="CS165" i="2"/>
  <c r="CR166" i="2"/>
  <c r="CS166" i="2"/>
  <c r="CR167" i="2"/>
  <c r="CS167" i="2"/>
  <c r="CR168" i="2"/>
  <c r="CS168" i="2"/>
  <c r="CR169" i="2"/>
  <c r="CS169" i="2"/>
  <c r="CR170" i="2"/>
  <c r="CS170" i="2"/>
  <c r="CR171" i="2"/>
  <c r="CS171" i="2"/>
  <c r="CR172" i="2"/>
  <c r="CS172" i="2"/>
  <c r="CR173" i="2"/>
  <c r="CS173" i="2"/>
  <c r="CR174" i="2"/>
  <c r="CS174" i="2"/>
  <c r="CR175" i="2"/>
  <c r="CS175" i="2"/>
  <c r="CR176" i="2"/>
  <c r="CS176" i="2"/>
  <c r="CR177" i="2"/>
  <c r="CS177" i="2"/>
  <c r="CR178" i="2"/>
  <c r="CS178" i="2"/>
  <c r="CR179" i="2"/>
  <c r="CS179" i="2"/>
  <c r="CR180" i="2"/>
  <c r="CS180" i="2"/>
  <c r="CR181" i="2"/>
  <c r="CS181" i="2"/>
  <c r="CR182" i="2"/>
  <c r="CS182" i="2"/>
  <c r="CR183" i="2"/>
  <c r="CS183" i="2"/>
  <c r="CR184" i="2"/>
  <c r="CS184" i="2"/>
  <c r="CR185" i="2"/>
  <c r="CS185" i="2"/>
  <c r="CR186" i="2"/>
  <c r="CS186" i="2"/>
  <c r="CR187" i="2"/>
  <c r="CS187" i="2"/>
  <c r="CR188" i="2"/>
  <c r="CS188" i="2"/>
  <c r="CR189" i="2"/>
  <c r="CS189" i="2"/>
  <c r="CR190" i="2"/>
  <c r="CS190" i="2"/>
  <c r="CR191" i="2"/>
  <c r="CS191" i="2"/>
  <c r="CR192" i="2"/>
  <c r="CS192" i="2"/>
  <c r="CR193" i="2"/>
  <c r="CS193" i="2"/>
  <c r="CR194" i="2"/>
  <c r="CS194" i="2"/>
  <c r="CR195" i="2"/>
  <c r="CS195" i="2"/>
  <c r="CR196" i="2"/>
  <c r="CS196" i="2"/>
  <c r="CR197" i="2"/>
  <c r="CS197" i="2"/>
  <c r="CR198" i="2"/>
  <c r="CS198" i="2"/>
  <c r="CR199" i="2"/>
  <c r="CS199" i="2"/>
  <c r="CR200" i="2"/>
  <c r="CS200" i="2"/>
  <c r="CR201" i="2"/>
  <c r="CS201" i="2"/>
  <c r="CR202" i="2"/>
  <c r="CS202" i="2"/>
  <c r="CR203" i="2"/>
  <c r="CS203" i="2"/>
  <c r="CR204" i="2"/>
  <c r="CS204" i="2"/>
  <c r="CR205" i="2"/>
  <c r="CS205" i="2"/>
  <c r="CR206" i="2"/>
  <c r="CS206" i="2"/>
  <c r="CR207" i="2"/>
  <c r="CS207" i="2"/>
  <c r="CR208" i="2"/>
  <c r="CS208" i="2"/>
  <c r="CR209" i="2"/>
  <c r="CS209" i="2"/>
  <c r="CR210" i="2"/>
  <c r="CS210" i="2"/>
  <c r="CR211" i="2"/>
  <c r="CS211" i="2"/>
  <c r="CR212" i="2"/>
  <c r="CS212" i="2"/>
  <c r="CR213" i="2"/>
  <c r="CS213" i="2"/>
  <c r="CR214" i="2"/>
  <c r="CS214" i="2"/>
  <c r="CR215" i="2"/>
  <c r="CS215" i="2"/>
  <c r="CR216" i="2"/>
  <c r="CS216" i="2"/>
  <c r="CR217" i="2"/>
  <c r="CS217" i="2"/>
  <c r="CR218" i="2"/>
  <c r="CS218" i="2"/>
  <c r="CR219" i="2"/>
  <c r="CS219" i="2"/>
  <c r="CR220" i="2"/>
  <c r="CS220" i="2"/>
  <c r="CR221" i="2"/>
  <c r="CS221" i="2"/>
  <c r="CR222" i="2"/>
  <c r="CS222" i="2"/>
  <c r="CR223" i="2"/>
  <c r="CS223" i="2"/>
  <c r="CR224" i="2"/>
  <c r="CS224" i="2"/>
  <c r="CR225" i="2"/>
  <c r="CS225" i="2"/>
  <c r="CR226" i="2"/>
  <c r="CS226" i="2"/>
  <c r="CR227" i="2"/>
  <c r="CS227" i="2"/>
  <c r="CR228" i="2"/>
  <c r="CS228" i="2"/>
  <c r="CR229" i="2"/>
  <c r="CS229" i="2"/>
  <c r="CR230" i="2"/>
  <c r="CS230" i="2"/>
  <c r="CR231" i="2"/>
  <c r="CS231" i="2"/>
  <c r="CR232" i="2"/>
  <c r="CS232" i="2"/>
  <c r="CR233" i="2"/>
  <c r="CS233" i="2"/>
  <c r="CR234" i="2"/>
  <c r="CS234" i="2"/>
  <c r="CR235" i="2"/>
  <c r="CS235" i="2"/>
  <c r="CR236" i="2"/>
  <c r="CS236" i="2"/>
  <c r="CR237" i="2"/>
  <c r="CS237" i="2"/>
  <c r="CR238" i="2"/>
  <c r="CS238" i="2"/>
  <c r="CR239" i="2"/>
  <c r="CS239" i="2"/>
  <c r="CR240" i="2"/>
  <c r="CS240" i="2"/>
  <c r="CR241" i="2"/>
  <c r="CS241" i="2"/>
  <c r="CR242" i="2"/>
  <c r="CS242" i="2"/>
  <c r="CR243" i="2"/>
  <c r="CS243" i="2"/>
  <c r="CR244" i="2"/>
  <c r="CS244" i="2"/>
  <c r="CR245" i="2"/>
  <c r="CS245" i="2"/>
  <c r="CR246" i="2"/>
  <c r="CS246" i="2"/>
  <c r="CR247" i="2"/>
  <c r="CS247" i="2"/>
  <c r="CR248" i="2"/>
  <c r="CS248" i="2"/>
  <c r="CR249" i="2"/>
  <c r="CS249" i="2"/>
  <c r="CR250" i="2"/>
  <c r="CS250" i="2"/>
  <c r="CS5" i="2"/>
  <c r="CR5" i="2"/>
  <c r="CK6" i="2"/>
  <c r="CP1" i="2"/>
  <c r="CZ1" i="2" s="1"/>
  <c r="CX5" i="2"/>
  <c r="ED5" i="2"/>
  <c r="ED13" i="2"/>
  <c r="ED15" i="2"/>
  <c r="EC7" i="2"/>
  <c r="EC8" i="2"/>
  <c r="EC12" i="2"/>
  <c r="EC16" i="2"/>
  <c r="EC18" i="2"/>
  <c r="EC4" i="2"/>
  <c r="BE66" i="2"/>
  <c r="DI19" i="2"/>
  <c r="DV19" i="2" s="1"/>
  <c r="DI18" i="2"/>
  <c r="DV18" i="2" s="1"/>
  <c r="DI17" i="2"/>
  <c r="DI16" i="2"/>
  <c r="DV16" i="2" s="1"/>
  <c r="DI15" i="2"/>
  <c r="DV15" i="2" s="1"/>
  <c r="DI14" i="2"/>
  <c r="DV14" i="2" s="1"/>
  <c r="DI13" i="2"/>
  <c r="DV13" i="2" s="1"/>
  <c r="DI12" i="2"/>
  <c r="DV12" i="2" s="1"/>
  <c r="DI11" i="2"/>
  <c r="DV11" i="2" s="1"/>
  <c r="DI10" i="2"/>
  <c r="DV10" i="2" s="1"/>
  <c r="DI9" i="2"/>
  <c r="DI8" i="2"/>
  <c r="DV8" i="2" s="1"/>
  <c r="DI7" i="2"/>
  <c r="DV7" i="2" s="1"/>
  <c r="DI6" i="2"/>
  <c r="DV6" i="2" s="1"/>
  <c r="DI5" i="2"/>
  <c r="DV5" i="2" s="1"/>
  <c r="DH19" i="2"/>
  <c r="EC19" i="2" s="1"/>
  <c r="DH18" i="2"/>
  <c r="DH17" i="2"/>
  <c r="EC17" i="2" s="1"/>
  <c r="DH16" i="2"/>
  <c r="DH15" i="2"/>
  <c r="EC15" i="2" s="1"/>
  <c r="DH14" i="2"/>
  <c r="EC14" i="2" s="1"/>
  <c r="DH13" i="2"/>
  <c r="EC13" i="2" s="1"/>
  <c r="DH12" i="2"/>
  <c r="DH11" i="2"/>
  <c r="EC11" i="2" s="1"/>
  <c r="DH10" i="2"/>
  <c r="EC10" i="2" s="1"/>
  <c r="DH9" i="2"/>
  <c r="EC9" i="2" s="1"/>
  <c r="DH8" i="2"/>
  <c r="DH7" i="2"/>
  <c r="DH6" i="2"/>
  <c r="EC6" i="2" s="1"/>
  <c r="DH5" i="2"/>
  <c r="EC5" i="2" s="1"/>
  <c r="DH4" i="2"/>
  <c r="CZ7" i="1"/>
  <c r="DA7" i="1"/>
  <c r="CZ8" i="1"/>
  <c r="DA8" i="1"/>
  <c r="CZ9" i="1"/>
  <c r="DA9" i="1"/>
  <c r="CZ10" i="1"/>
  <c r="DA10" i="1"/>
  <c r="CZ11" i="1"/>
  <c r="DA11" i="1"/>
  <c r="CZ12" i="1"/>
  <c r="DA12" i="1"/>
  <c r="CZ13" i="1"/>
  <c r="DA13" i="1"/>
  <c r="CZ14" i="1"/>
  <c r="DA14" i="1"/>
  <c r="CZ15" i="1"/>
  <c r="DA15" i="1"/>
  <c r="CZ16" i="1"/>
  <c r="DA16" i="1"/>
  <c r="CZ17" i="1"/>
  <c r="DA17" i="1"/>
  <c r="CZ18" i="1"/>
  <c r="DA18" i="1"/>
  <c r="CZ19" i="1"/>
  <c r="DA19" i="1"/>
  <c r="CZ20" i="1"/>
  <c r="DA20" i="1"/>
  <c r="CZ21" i="1"/>
  <c r="DA21" i="1"/>
  <c r="CZ22" i="1"/>
  <c r="DA22" i="1"/>
  <c r="CZ23" i="1"/>
  <c r="DA23" i="1"/>
  <c r="CZ24" i="1"/>
  <c r="DA24" i="1"/>
  <c r="CZ25" i="1"/>
  <c r="DA25" i="1"/>
  <c r="CZ26" i="1"/>
  <c r="DA26" i="1"/>
  <c r="CZ27" i="1"/>
  <c r="DA27" i="1"/>
  <c r="CZ28" i="1"/>
  <c r="DA28" i="1"/>
  <c r="CZ29" i="1"/>
  <c r="DA29" i="1"/>
  <c r="CZ30" i="1"/>
  <c r="DA30" i="1"/>
  <c r="CZ31" i="1"/>
  <c r="DA31" i="1"/>
  <c r="CZ32" i="1"/>
  <c r="DA32" i="1"/>
  <c r="CZ33" i="1"/>
  <c r="DA33" i="1"/>
  <c r="CZ34" i="1"/>
  <c r="DA34" i="1"/>
  <c r="CZ35" i="1"/>
  <c r="DA35" i="1"/>
  <c r="CZ36" i="1"/>
  <c r="DA36" i="1"/>
  <c r="CZ37" i="1"/>
  <c r="DA37" i="1"/>
  <c r="CZ38" i="1"/>
  <c r="DA38" i="1"/>
  <c r="CZ39" i="1"/>
  <c r="DA39" i="1"/>
  <c r="CZ40" i="1"/>
  <c r="DA40" i="1"/>
  <c r="CZ41" i="1"/>
  <c r="DA41" i="1"/>
  <c r="CZ42" i="1"/>
  <c r="DA42" i="1"/>
  <c r="CZ43" i="1"/>
  <c r="DA43" i="1"/>
  <c r="CZ44" i="1"/>
  <c r="DA44" i="1"/>
  <c r="CZ45" i="1"/>
  <c r="DA45" i="1"/>
  <c r="CZ46" i="1"/>
  <c r="DA46" i="1"/>
  <c r="CZ47" i="1"/>
  <c r="DA47" i="1"/>
  <c r="CZ48" i="1"/>
  <c r="DA48" i="1"/>
  <c r="CZ49" i="1"/>
  <c r="DA49" i="1"/>
  <c r="CZ50" i="1"/>
  <c r="DA50" i="1"/>
  <c r="CZ51" i="1"/>
  <c r="DA51" i="1"/>
  <c r="CZ52" i="1"/>
  <c r="DA52" i="1"/>
  <c r="CZ53" i="1"/>
  <c r="DA53" i="1"/>
  <c r="CZ54" i="1"/>
  <c r="DA54" i="1"/>
  <c r="CZ55" i="1"/>
  <c r="DA55" i="1"/>
  <c r="CZ56" i="1"/>
  <c r="DA56" i="1"/>
  <c r="CZ57" i="1"/>
  <c r="DA57" i="1"/>
  <c r="CZ58" i="1"/>
  <c r="DA58" i="1"/>
  <c r="CZ59" i="1"/>
  <c r="DA59" i="1"/>
  <c r="CZ60" i="1"/>
  <c r="DA60" i="1"/>
  <c r="CZ61" i="1"/>
  <c r="DA61" i="1"/>
  <c r="CZ62" i="1"/>
  <c r="DA62" i="1"/>
  <c r="CZ63" i="1"/>
  <c r="DA63" i="1"/>
  <c r="CZ64" i="1"/>
  <c r="DA64" i="1"/>
  <c r="CZ65" i="1"/>
  <c r="DA65" i="1"/>
  <c r="CZ66" i="1"/>
  <c r="DA66" i="1"/>
  <c r="CZ67" i="1"/>
  <c r="DA67" i="1"/>
  <c r="CZ68" i="1"/>
  <c r="DA68" i="1"/>
  <c r="CZ69" i="1"/>
  <c r="DA69" i="1"/>
  <c r="CZ70" i="1"/>
  <c r="DA70" i="1"/>
  <c r="CZ71" i="1"/>
  <c r="DA71" i="1"/>
  <c r="CZ72" i="1"/>
  <c r="DA72" i="1"/>
  <c r="CZ73" i="1"/>
  <c r="DA73" i="1"/>
  <c r="CZ74" i="1"/>
  <c r="DA74" i="1"/>
  <c r="CZ75" i="1"/>
  <c r="DA75" i="1"/>
  <c r="CZ76" i="1"/>
  <c r="DA76" i="1"/>
  <c r="CZ77" i="1"/>
  <c r="DA77" i="1"/>
  <c r="CZ78" i="1"/>
  <c r="DA78" i="1"/>
  <c r="CZ79" i="1"/>
  <c r="DA79" i="1"/>
  <c r="CZ80" i="1"/>
  <c r="DA80" i="1"/>
  <c r="CZ81" i="1"/>
  <c r="DA81" i="1"/>
  <c r="CZ82" i="1"/>
  <c r="DA82" i="1"/>
  <c r="CZ83" i="1"/>
  <c r="DA83" i="1"/>
  <c r="CZ84" i="1"/>
  <c r="DA84" i="1"/>
  <c r="CZ85" i="1"/>
  <c r="DA85" i="1"/>
  <c r="CZ86" i="1"/>
  <c r="DA86" i="1"/>
  <c r="CZ87" i="1"/>
  <c r="DA87" i="1"/>
  <c r="CZ88" i="1"/>
  <c r="DA88" i="1"/>
  <c r="CZ89" i="1"/>
  <c r="DA89" i="1"/>
  <c r="CZ90" i="1"/>
  <c r="DA90" i="1"/>
  <c r="CZ91" i="1"/>
  <c r="DA91" i="1"/>
  <c r="CZ92" i="1"/>
  <c r="DA92" i="1"/>
  <c r="CZ93" i="1"/>
  <c r="DA93" i="1"/>
  <c r="CZ94" i="1"/>
  <c r="DA94" i="1"/>
  <c r="CZ95" i="1"/>
  <c r="DA95" i="1"/>
  <c r="CZ96" i="1"/>
  <c r="DA96" i="1"/>
  <c r="CZ97" i="1"/>
  <c r="DA97" i="1"/>
  <c r="CZ98" i="1"/>
  <c r="DA98" i="1"/>
  <c r="CZ99" i="1"/>
  <c r="DA99" i="1"/>
  <c r="CZ100" i="1"/>
  <c r="DA100" i="1"/>
  <c r="CZ101" i="1"/>
  <c r="DA101" i="1"/>
  <c r="CZ102" i="1"/>
  <c r="DA102" i="1"/>
  <c r="CZ103" i="1"/>
  <c r="DA103" i="1"/>
  <c r="CZ104" i="1"/>
  <c r="DA104" i="1"/>
  <c r="CZ105" i="1"/>
  <c r="DA105" i="1"/>
  <c r="CZ106" i="1"/>
  <c r="DA106" i="1"/>
  <c r="CZ107" i="1"/>
  <c r="DA107" i="1"/>
  <c r="CZ108" i="1"/>
  <c r="DA108" i="1"/>
  <c r="CZ109" i="1"/>
  <c r="DA109" i="1"/>
  <c r="CZ110" i="1"/>
  <c r="DA110" i="1"/>
  <c r="CZ111" i="1"/>
  <c r="DA111" i="1"/>
  <c r="CZ112" i="1"/>
  <c r="DA112" i="1"/>
  <c r="CZ113" i="1"/>
  <c r="DA113" i="1"/>
  <c r="CZ114" i="1"/>
  <c r="DA114" i="1"/>
  <c r="CZ115" i="1"/>
  <c r="DA115" i="1"/>
  <c r="CZ116" i="1"/>
  <c r="DA116" i="1"/>
  <c r="CZ117" i="1"/>
  <c r="DA117" i="1"/>
  <c r="CZ118" i="1"/>
  <c r="DA118" i="1"/>
  <c r="CZ119" i="1"/>
  <c r="DA119" i="1"/>
  <c r="CZ120" i="1"/>
  <c r="DA120" i="1"/>
  <c r="CZ121" i="1"/>
  <c r="DA121" i="1"/>
  <c r="CZ122" i="1"/>
  <c r="DA122" i="1"/>
  <c r="CZ123" i="1"/>
  <c r="DA123" i="1"/>
  <c r="CZ124" i="1"/>
  <c r="DA124" i="1"/>
  <c r="CZ125" i="1"/>
  <c r="DA125" i="1"/>
  <c r="CZ126" i="1"/>
  <c r="DA126" i="1"/>
  <c r="CZ127" i="1"/>
  <c r="DA127" i="1"/>
  <c r="CZ128" i="1"/>
  <c r="DA128" i="1"/>
  <c r="CZ129" i="1"/>
  <c r="DA129" i="1"/>
  <c r="CZ130" i="1"/>
  <c r="DA130" i="1"/>
  <c r="CZ131" i="1"/>
  <c r="DA131" i="1"/>
  <c r="CZ132" i="1"/>
  <c r="DA132" i="1"/>
  <c r="CZ133" i="1"/>
  <c r="DA133" i="1"/>
  <c r="CZ134" i="1"/>
  <c r="DA134" i="1"/>
  <c r="CZ135" i="1"/>
  <c r="DA135" i="1"/>
  <c r="CZ136" i="1"/>
  <c r="DA136" i="1"/>
  <c r="CZ137" i="1"/>
  <c r="DA137" i="1"/>
  <c r="CZ138" i="1"/>
  <c r="DA138" i="1"/>
  <c r="CZ139" i="1"/>
  <c r="DA139" i="1"/>
  <c r="CZ140" i="1"/>
  <c r="DA140" i="1"/>
  <c r="CZ141" i="1"/>
  <c r="DA141" i="1"/>
  <c r="CZ142" i="1"/>
  <c r="DA142" i="1"/>
  <c r="CZ143" i="1"/>
  <c r="DA143" i="1"/>
  <c r="CZ144" i="1"/>
  <c r="DA144" i="1"/>
  <c r="CZ145" i="1"/>
  <c r="DA145" i="1"/>
  <c r="CZ146" i="1"/>
  <c r="DA146" i="1"/>
  <c r="CZ147" i="1"/>
  <c r="DA147" i="1"/>
  <c r="CZ148" i="1"/>
  <c r="DA148" i="1"/>
  <c r="CZ149" i="1"/>
  <c r="DA149" i="1"/>
  <c r="CZ150" i="1"/>
  <c r="DA150" i="1"/>
  <c r="CZ151" i="1"/>
  <c r="DA151" i="1"/>
  <c r="CZ152" i="1"/>
  <c r="DA152" i="1"/>
  <c r="CZ153" i="1"/>
  <c r="DA153" i="1"/>
  <c r="CZ154" i="1"/>
  <c r="DA154" i="1"/>
  <c r="CZ155" i="1"/>
  <c r="DA155" i="1"/>
  <c r="CZ156" i="1"/>
  <c r="DA156" i="1"/>
  <c r="CZ157" i="1"/>
  <c r="DA157" i="1"/>
  <c r="CZ158" i="1"/>
  <c r="DA158" i="1"/>
  <c r="CZ159" i="1"/>
  <c r="DA159" i="1"/>
  <c r="CZ160" i="1"/>
  <c r="DA160" i="1"/>
  <c r="CZ161" i="1"/>
  <c r="DA161" i="1"/>
  <c r="CZ162" i="1"/>
  <c r="DA162" i="1"/>
  <c r="CZ163" i="1"/>
  <c r="DA163" i="1"/>
  <c r="CZ164" i="1"/>
  <c r="DA164" i="1"/>
  <c r="CZ165" i="1"/>
  <c r="DA165" i="1"/>
  <c r="CZ166" i="1"/>
  <c r="DA166" i="1"/>
  <c r="CZ167" i="1"/>
  <c r="DA167" i="1"/>
  <c r="CZ168" i="1"/>
  <c r="DA168" i="1"/>
  <c r="CZ169" i="1"/>
  <c r="DA169" i="1"/>
  <c r="CZ170" i="1"/>
  <c r="DA170" i="1"/>
  <c r="CZ171" i="1"/>
  <c r="DA171" i="1"/>
  <c r="CZ172" i="1"/>
  <c r="DA172" i="1"/>
  <c r="CZ173" i="1"/>
  <c r="DA173" i="1"/>
  <c r="CZ174" i="1"/>
  <c r="DA174" i="1"/>
  <c r="CZ175" i="1"/>
  <c r="DA175" i="1"/>
  <c r="CZ176" i="1"/>
  <c r="DA176" i="1"/>
  <c r="CZ177" i="1"/>
  <c r="DA177" i="1"/>
  <c r="CZ178" i="1"/>
  <c r="DA178" i="1"/>
  <c r="CZ179" i="1"/>
  <c r="DA179" i="1"/>
  <c r="CZ180" i="1"/>
  <c r="DA180" i="1"/>
  <c r="CZ181" i="1"/>
  <c r="DA181" i="1"/>
  <c r="CZ182" i="1"/>
  <c r="DA182" i="1"/>
  <c r="CZ183" i="1"/>
  <c r="DA183" i="1"/>
  <c r="CZ184" i="1"/>
  <c r="DA184" i="1"/>
  <c r="CZ185" i="1"/>
  <c r="DA185" i="1"/>
  <c r="CZ186" i="1"/>
  <c r="DA186" i="1"/>
  <c r="CZ187" i="1"/>
  <c r="DA187" i="1"/>
  <c r="CZ188" i="1"/>
  <c r="DA188" i="1"/>
  <c r="CZ189" i="1"/>
  <c r="DA189" i="1"/>
  <c r="CZ190" i="1"/>
  <c r="DA190" i="1"/>
  <c r="CZ191" i="1"/>
  <c r="DA191" i="1"/>
  <c r="CZ192" i="1"/>
  <c r="DA192" i="1"/>
  <c r="CZ193" i="1"/>
  <c r="DA193" i="1"/>
  <c r="CZ194" i="1"/>
  <c r="DA194" i="1"/>
  <c r="CZ195" i="1"/>
  <c r="DA195" i="1"/>
  <c r="CZ196" i="1"/>
  <c r="DA196" i="1"/>
  <c r="CZ197" i="1"/>
  <c r="DA197" i="1"/>
  <c r="CZ198" i="1"/>
  <c r="DA198" i="1"/>
  <c r="CZ199" i="1"/>
  <c r="DA199" i="1"/>
  <c r="CZ200" i="1"/>
  <c r="DA200" i="1"/>
  <c r="CZ201" i="1"/>
  <c r="DA201" i="1"/>
  <c r="CZ202" i="1"/>
  <c r="DA202" i="1"/>
  <c r="CZ203" i="1"/>
  <c r="DA203" i="1"/>
  <c r="CZ204" i="1"/>
  <c r="DA204" i="1"/>
  <c r="CZ205" i="1"/>
  <c r="DA205" i="1"/>
  <c r="CZ206" i="1"/>
  <c r="DA206" i="1"/>
  <c r="CZ207" i="1"/>
  <c r="DA207" i="1"/>
  <c r="CZ208" i="1"/>
  <c r="DA208" i="1"/>
  <c r="CZ209" i="1"/>
  <c r="DA209" i="1"/>
  <c r="CZ210" i="1"/>
  <c r="DA210" i="1"/>
  <c r="CZ211" i="1"/>
  <c r="DA211" i="1"/>
  <c r="CZ212" i="1"/>
  <c r="DA212" i="1"/>
  <c r="CZ213" i="1"/>
  <c r="DA213" i="1"/>
  <c r="CZ214" i="1"/>
  <c r="DA214" i="1"/>
  <c r="CZ215" i="1"/>
  <c r="DA215" i="1"/>
  <c r="CZ216" i="1"/>
  <c r="DA216" i="1"/>
  <c r="CZ217" i="1"/>
  <c r="DA217" i="1"/>
  <c r="CZ218" i="1"/>
  <c r="DA218" i="1"/>
  <c r="CZ219" i="1"/>
  <c r="DA219" i="1"/>
  <c r="CZ220" i="1"/>
  <c r="DA220" i="1"/>
  <c r="CZ221" i="1"/>
  <c r="DA221" i="1"/>
  <c r="CZ222" i="1"/>
  <c r="DA222" i="1"/>
  <c r="CZ223" i="1"/>
  <c r="DA223" i="1"/>
  <c r="CZ224" i="1"/>
  <c r="DA224" i="1"/>
  <c r="CZ225" i="1"/>
  <c r="DA225" i="1"/>
  <c r="CZ226" i="1"/>
  <c r="DA226" i="1"/>
  <c r="CZ227" i="1"/>
  <c r="DA227" i="1"/>
  <c r="CZ228" i="1"/>
  <c r="DA228" i="1"/>
  <c r="CZ229" i="1"/>
  <c r="DA229" i="1"/>
  <c r="CZ230" i="1"/>
  <c r="DA230" i="1"/>
  <c r="CZ231" i="1"/>
  <c r="DA231" i="1"/>
  <c r="CZ232" i="1"/>
  <c r="DA232" i="1"/>
  <c r="CZ233" i="1"/>
  <c r="DA233" i="1"/>
  <c r="CZ234" i="1"/>
  <c r="DA234" i="1"/>
  <c r="CZ235" i="1"/>
  <c r="DA235" i="1"/>
  <c r="CZ236" i="1"/>
  <c r="DA236" i="1"/>
  <c r="CZ237" i="1"/>
  <c r="DA237" i="1"/>
  <c r="CZ238" i="1"/>
  <c r="DA238" i="1"/>
  <c r="CZ239" i="1"/>
  <c r="DA239" i="1"/>
  <c r="CZ240" i="1"/>
  <c r="DA240" i="1"/>
  <c r="CZ241" i="1"/>
  <c r="DA241" i="1"/>
  <c r="CZ242" i="1"/>
  <c r="DA242" i="1"/>
  <c r="CZ243" i="1"/>
  <c r="DA243" i="1"/>
  <c r="CZ244" i="1"/>
  <c r="DA244" i="1"/>
  <c r="CZ245" i="1"/>
  <c r="DA245" i="1"/>
  <c r="CZ246" i="1"/>
  <c r="DA246" i="1"/>
  <c r="CZ247" i="1"/>
  <c r="DA247" i="1"/>
  <c r="CZ248" i="1"/>
  <c r="DA248" i="1"/>
  <c r="CZ249" i="1"/>
  <c r="DA249" i="1"/>
  <c r="CZ250" i="1"/>
  <c r="DA250" i="1"/>
  <c r="CZ251" i="1"/>
  <c r="DA251" i="1"/>
  <c r="DA6" i="1"/>
  <c r="CZ6" i="1"/>
  <c r="CV3" i="1"/>
  <c r="CV1" i="1" s="1"/>
  <c r="DE21" i="1"/>
  <c r="DE20" i="1"/>
  <c r="DE19" i="1"/>
  <c r="DS19" i="1" s="1"/>
  <c r="DT19" i="1" s="1"/>
  <c r="DE18" i="1"/>
  <c r="DE17" i="1"/>
  <c r="DE16" i="1"/>
  <c r="DE15" i="1"/>
  <c r="DS15" i="1" s="1"/>
  <c r="DE14" i="1"/>
  <c r="DE13" i="1"/>
  <c r="DS13" i="1" s="1"/>
  <c r="DT13" i="1" s="1"/>
  <c r="DE12" i="1"/>
  <c r="DS12" i="1" s="1"/>
  <c r="DT12" i="1" s="1"/>
  <c r="DE11" i="1"/>
  <c r="DS11" i="1" s="1"/>
  <c r="DT11" i="1" s="1"/>
  <c r="DE10" i="1"/>
  <c r="DS10" i="1" s="1"/>
  <c r="DT10" i="1" s="1"/>
  <c r="DE9" i="1"/>
  <c r="DE8" i="1"/>
  <c r="DE7" i="1"/>
  <c r="DS7" i="1" s="1"/>
  <c r="DD21" i="1"/>
  <c r="DD20" i="1"/>
  <c r="DD19" i="1"/>
  <c r="DD18" i="1"/>
  <c r="DD17" i="1"/>
  <c r="DD16" i="1"/>
  <c r="DD15" i="1"/>
  <c r="DD14" i="1"/>
  <c r="DD13" i="1"/>
  <c r="DD12" i="1"/>
  <c r="DD11" i="1"/>
  <c r="DD10" i="1"/>
  <c r="DD9" i="1"/>
  <c r="DD8" i="1"/>
  <c r="DD7" i="1"/>
  <c r="DD6" i="1"/>
  <c r="CM6" i="1"/>
  <c r="CT6" i="1" s="1"/>
  <c r="CX6" i="1" s="1"/>
  <c r="D142" i="10"/>
  <c r="AT138" i="10"/>
  <c r="CD336" i="10"/>
  <c r="CB336" i="10"/>
  <c r="BZ336" i="10"/>
  <c r="BX336" i="10"/>
  <c r="BV336" i="10"/>
  <c r="BT336" i="10"/>
  <c r="BR336" i="10"/>
  <c r="BP336" i="10"/>
  <c r="BN336" i="10"/>
  <c r="BL336" i="10"/>
  <c r="BJ336" i="10"/>
  <c r="BH336" i="10"/>
  <c r="BF336" i="10"/>
  <c r="BD336" i="10"/>
  <c r="BB336" i="10"/>
  <c r="CD332" i="10"/>
  <c r="CB332" i="10"/>
  <c r="BZ332" i="10"/>
  <c r="BX332" i="10"/>
  <c r="BV332" i="10"/>
  <c r="BT332" i="10"/>
  <c r="BR332" i="10"/>
  <c r="BP332" i="10"/>
  <c r="BN332" i="10"/>
  <c r="BL332" i="10"/>
  <c r="BJ332" i="10"/>
  <c r="BH332" i="10"/>
  <c r="BF332" i="10"/>
  <c r="BD332" i="10"/>
  <c r="BB332" i="10"/>
  <c r="CD328" i="10"/>
  <c r="CB328" i="10"/>
  <c r="BZ328" i="10"/>
  <c r="BX328" i="10"/>
  <c r="BV328" i="10"/>
  <c r="BT328" i="10"/>
  <c r="BR328" i="10"/>
  <c r="BP328" i="10"/>
  <c r="BN328" i="10"/>
  <c r="BL328" i="10"/>
  <c r="BJ328" i="10"/>
  <c r="BH328" i="10"/>
  <c r="BF328" i="10"/>
  <c r="BD328" i="10"/>
  <c r="BB328" i="10"/>
  <c r="CD324" i="10"/>
  <c r="CB324" i="10"/>
  <c r="BZ324" i="10"/>
  <c r="BX324" i="10"/>
  <c r="BV324" i="10"/>
  <c r="BT324" i="10"/>
  <c r="BR324" i="10"/>
  <c r="BP324" i="10"/>
  <c r="BN324" i="10"/>
  <c r="BL324" i="10"/>
  <c r="BJ324" i="10"/>
  <c r="BH324" i="10"/>
  <c r="BF324" i="10"/>
  <c r="BD324" i="10"/>
  <c r="BB324" i="10"/>
  <c r="CD320" i="10"/>
  <c r="CB320" i="10"/>
  <c r="BZ320" i="10"/>
  <c r="BX320" i="10"/>
  <c r="BV320" i="10"/>
  <c r="BT320" i="10"/>
  <c r="BR320" i="10"/>
  <c r="BP320" i="10"/>
  <c r="BN320" i="10"/>
  <c r="BL320" i="10"/>
  <c r="BJ320" i="10"/>
  <c r="BH320" i="10"/>
  <c r="BF320" i="10"/>
  <c r="BD320" i="10"/>
  <c r="BB320" i="10"/>
  <c r="CD316" i="10"/>
  <c r="CB316" i="10"/>
  <c r="BZ316" i="10"/>
  <c r="BX316" i="10"/>
  <c r="BV316" i="10"/>
  <c r="BT316" i="10"/>
  <c r="BR316" i="10"/>
  <c r="BP316" i="10"/>
  <c r="BN316" i="10"/>
  <c r="BL316" i="10"/>
  <c r="BJ316" i="10"/>
  <c r="BH316" i="10"/>
  <c r="BF316" i="10"/>
  <c r="BD316" i="10"/>
  <c r="BB316" i="10"/>
  <c r="CO74" i="10"/>
  <c r="D180" i="10"/>
  <c r="EY25" i="10"/>
  <c r="FX25" i="10" s="1"/>
  <c r="GY25" i="10" s="1"/>
  <c r="FF40" i="10"/>
  <c r="CK355" i="10" s="1"/>
  <c r="FF39" i="10"/>
  <c r="CK354" i="10" s="1"/>
  <c r="FF38" i="10"/>
  <c r="CK353" i="10" s="1"/>
  <c r="FF37" i="10"/>
  <c r="CK352" i="10" s="1"/>
  <c r="FF36" i="10"/>
  <c r="CK351" i="10" s="1"/>
  <c r="FF35" i="10"/>
  <c r="CK350" i="10" s="1"/>
  <c r="FF34" i="10"/>
  <c r="CK349" i="10" s="1"/>
  <c r="FF33" i="10"/>
  <c r="CK348" i="10" s="1"/>
  <c r="FF32" i="10"/>
  <c r="CK347" i="10" s="1"/>
  <c r="FF31" i="10"/>
  <c r="CK346" i="10" s="1"/>
  <c r="FF30" i="10"/>
  <c r="CK345" i="10" s="1"/>
  <c r="FF29" i="10"/>
  <c r="CK344" i="10" s="1"/>
  <c r="FF28" i="10"/>
  <c r="CK343" i="10" s="1"/>
  <c r="FF27" i="10"/>
  <c r="CK342" i="10" s="1"/>
  <c r="FF26" i="10"/>
  <c r="CK341" i="10" s="1"/>
  <c r="EY40" i="10"/>
  <c r="FX40" i="10" s="1"/>
  <c r="GY40" i="10" s="1"/>
  <c r="EY39" i="10"/>
  <c r="FG39" i="10" s="1"/>
  <c r="EY38" i="10"/>
  <c r="FX38" i="10" s="1"/>
  <c r="GY38" i="10" s="1"/>
  <c r="EY37" i="10"/>
  <c r="FX37" i="10" s="1"/>
  <c r="GY37" i="10" s="1"/>
  <c r="EY36" i="10"/>
  <c r="FX36" i="10" s="1"/>
  <c r="GY36" i="10" s="1"/>
  <c r="EY35" i="10"/>
  <c r="FX35" i="10" s="1"/>
  <c r="GY35" i="10" s="1"/>
  <c r="EY34" i="10"/>
  <c r="FG34" i="10" s="1"/>
  <c r="EY33" i="10"/>
  <c r="FX33" i="10" s="1"/>
  <c r="GY33" i="10" s="1"/>
  <c r="EY32" i="10"/>
  <c r="FX32" i="10" s="1"/>
  <c r="GY32" i="10" s="1"/>
  <c r="EY31" i="10"/>
  <c r="FX31" i="10" s="1"/>
  <c r="GY31" i="10" s="1"/>
  <c r="EY30" i="10"/>
  <c r="FX30" i="10" s="1"/>
  <c r="GY30" i="10" s="1"/>
  <c r="EY29" i="10"/>
  <c r="FX29" i="10" s="1"/>
  <c r="GY29" i="10" s="1"/>
  <c r="EY28" i="10"/>
  <c r="FX28" i="10" s="1"/>
  <c r="GY28" i="10" s="1"/>
  <c r="EY27" i="10"/>
  <c r="FX27" i="10" s="1"/>
  <c r="GY27" i="10" s="1"/>
  <c r="EY26" i="10"/>
  <c r="FG26" i="10" s="1"/>
  <c r="CH74" i="10"/>
  <c r="D179" i="10"/>
  <c r="D178" i="10"/>
  <c r="BV109" i="10"/>
  <c r="BQ109" i="10"/>
  <c r="BL109" i="10"/>
  <c r="BG109" i="10"/>
  <c r="BB109" i="10"/>
  <c r="V60" i="10"/>
  <c r="V59" i="10"/>
  <c r="BZ60" i="10"/>
  <c r="C89" i="10"/>
  <c r="AW127" i="10" s="1"/>
  <c r="C88" i="10"/>
  <c r="AW126" i="10" s="1"/>
  <c r="C87" i="10"/>
  <c r="AS73" i="10" s="1"/>
  <c r="C86" i="10"/>
  <c r="AS72" i="10" s="1"/>
  <c r="C85" i="10"/>
  <c r="AS71" i="10" s="1"/>
  <c r="C84" i="10"/>
  <c r="AS70" i="10" s="1"/>
  <c r="C83" i="10"/>
  <c r="AS69" i="10" s="1"/>
  <c r="C82" i="10"/>
  <c r="AS68" i="10" s="1"/>
  <c r="C81" i="10"/>
  <c r="AS67" i="10" s="1"/>
  <c r="C80" i="10"/>
  <c r="AS66" i="10" s="1"/>
  <c r="C79" i="10"/>
  <c r="CH79" i="10" s="1"/>
  <c r="C78" i="10"/>
  <c r="AS64" i="10" s="1"/>
  <c r="C77" i="10"/>
  <c r="AS63" i="10" s="1"/>
  <c r="C76" i="10"/>
  <c r="AS62" i="10" s="1"/>
  <c r="C75" i="10"/>
  <c r="AS61" i="10" s="1"/>
  <c r="FF20" i="10"/>
  <c r="FF19" i="10"/>
  <c r="FF18" i="10"/>
  <c r="FF17" i="10"/>
  <c r="FF16" i="10"/>
  <c r="FF15" i="10"/>
  <c r="FF14" i="10"/>
  <c r="FF13" i="10"/>
  <c r="FF12" i="10"/>
  <c r="FF11" i="10"/>
  <c r="FF10" i="10"/>
  <c r="FF9" i="10"/>
  <c r="FF8" i="10"/>
  <c r="FF7" i="10"/>
  <c r="FF6" i="10"/>
  <c r="EY20" i="10"/>
  <c r="FX20" i="10" s="1"/>
  <c r="EY19" i="10"/>
  <c r="FX19" i="10" s="1"/>
  <c r="EY18" i="10"/>
  <c r="FX18" i="10" s="1"/>
  <c r="EY17" i="10"/>
  <c r="FX17" i="10" s="1"/>
  <c r="EY16" i="10"/>
  <c r="FX16" i="10" s="1"/>
  <c r="EY15" i="10"/>
  <c r="FX15" i="10" s="1"/>
  <c r="EY14" i="10"/>
  <c r="FX14" i="10" s="1"/>
  <c r="EY13" i="10"/>
  <c r="FX13" i="10" s="1"/>
  <c r="EY12" i="10"/>
  <c r="FX12" i="10" s="1"/>
  <c r="EY11" i="10"/>
  <c r="FX11" i="10" s="1"/>
  <c r="EY10" i="10"/>
  <c r="FX10" i="10" s="1"/>
  <c r="EY9" i="10"/>
  <c r="FX9" i="10" s="1"/>
  <c r="EY8" i="10"/>
  <c r="FX8" i="10" s="1"/>
  <c r="EY7" i="10"/>
  <c r="FX7" i="10" s="1"/>
  <c r="EY6" i="10"/>
  <c r="FX6" i="10" s="1"/>
  <c r="ER5" i="10"/>
  <c r="EV5" i="10" s="1"/>
  <c r="EY5" i="10" s="1"/>
  <c r="FX5" i="10" s="1"/>
  <c r="EI5" i="10"/>
  <c r="EN5" i="10" s="1"/>
  <c r="EL6" i="10"/>
  <c r="EL7" i="10" s="1"/>
  <c r="EL8" i="10" s="1"/>
  <c r="EL9" i="10" s="1"/>
  <c r="EL10" i="10" s="1"/>
  <c r="EL11" i="10" s="1"/>
  <c r="EL12" i="10" s="1"/>
  <c r="EL13" i="10" s="1"/>
  <c r="EL14" i="10" s="1"/>
  <c r="EL15" i="10" s="1"/>
  <c r="EL16" i="10" s="1"/>
  <c r="EL17" i="10" s="1"/>
  <c r="EL18" i="10" s="1"/>
  <c r="EL19" i="10" s="1"/>
  <c r="EL20" i="10" s="1"/>
  <c r="EL21" i="10" s="1"/>
  <c r="EL22" i="10" s="1"/>
  <c r="EL23" i="10" s="1"/>
  <c r="EL24" i="10" s="1"/>
  <c r="EL25" i="10" s="1"/>
  <c r="EL26" i="10" s="1"/>
  <c r="EL27" i="10" s="1"/>
  <c r="EL28" i="10" s="1"/>
  <c r="EL29" i="10" s="1"/>
  <c r="EL30" i="10" s="1"/>
  <c r="EL31" i="10" s="1"/>
  <c r="EL32" i="10" s="1"/>
  <c r="EL33" i="10" s="1"/>
  <c r="EL34" i="10" s="1"/>
  <c r="EL35" i="10" s="1"/>
  <c r="EL36" i="10" s="1"/>
  <c r="EL37" i="10" s="1"/>
  <c r="EL38" i="10" s="1"/>
  <c r="EL39" i="10" s="1"/>
  <c r="EL40" i="10" s="1"/>
  <c r="EL41" i="10" s="1"/>
  <c r="EL42" i="10" s="1"/>
  <c r="EL43" i="10" s="1"/>
  <c r="EL44" i="10" s="1"/>
  <c r="EL45" i="10" s="1"/>
  <c r="EL46" i="10" s="1"/>
  <c r="EL47" i="10" s="1"/>
  <c r="EL48" i="10" s="1"/>
  <c r="EL49" i="10" s="1"/>
  <c r="EL50" i="10" s="1"/>
  <c r="EL51" i="10" s="1"/>
  <c r="EL52" i="10" s="1"/>
  <c r="EL53" i="10" s="1"/>
  <c r="EL54" i="10" s="1"/>
  <c r="EL55" i="10" s="1"/>
  <c r="EL56" i="10" s="1"/>
  <c r="EL57" i="10" s="1"/>
  <c r="EL58" i="10" s="1"/>
  <c r="EL59" i="10" s="1"/>
  <c r="EL60" i="10" s="1"/>
  <c r="EL61" i="10" s="1"/>
  <c r="EL62" i="10" s="1"/>
  <c r="EL63" i="10" s="1"/>
  <c r="EL64" i="10" s="1"/>
  <c r="EL65" i="10" s="1"/>
  <c r="EL66" i="10" s="1"/>
  <c r="EL67" i="10" s="1"/>
  <c r="EL68" i="10" s="1"/>
  <c r="EL69" i="10" s="1"/>
  <c r="EL70" i="10" s="1"/>
  <c r="EL71" i="10" s="1"/>
  <c r="EL72" i="10" s="1"/>
  <c r="EL73" i="10" s="1"/>
  <c r="EL74" i="10" s="1"/>
  <c r="EL75" i="10" s="1"/>
  <c r="EL76" i="10" s="1"/>
  <c r="EL77" i="10" s="1"/>
  <c r="EL78" i="10" s="1"/>
  <c r="EL79" i="10" s="1"/>
  <c r="EL80" i="10" s="1"/>
  <c r="EL81" i="10" s="1"/>
  <c r="EL82" i="10" s="1"/>
  <c r="EL83" i="10" s="1"/>
  <c r="EL84" i="10" s="1"/>
  <c r="EL85" i="10" s="1"/>
  <c r="EL86" i="10" s="1"/>
  <c r="EL87" i="10" s="1"/>
  <c r="EL88" i="10" s="1"/>
  <c r="EL89" i="10" s="1"/>
  <c r="EL90" i="10" s="1"/>
  <c r="EL91" i="10" s="1"/>
  <c r="EL92" i="10" s="1"/>
  <c r="EL93" i="10" s="1"/>
  <c r="EL94" i="10" s="1"/>
  <c r="EL95" i="10" s="1"/>
  <c r="EL96" i="10" s="1"/>
  <c r="EL97" i="10" s="1"/>
  <c r="EL98" i="10" s="1"/>
  <c r="EL99" i="10" s="1"/>
  <c r="EL100" i="10" s="1"/>
  <c r="EL101" i="10" s="1"/>
  <c r="EL102" i="10" s="1"/>
  <c r="EL103" i="10" s="1"/>
  <c r="EL104" i="10" s="1"/>
  <c r="EL105" i="10" s="1"/>
  <c r="EL106" i="10" s="1"/>
  <c r="EL107" i="10" s="1"/>
  <c r="EL108" i="10" s="1"/>
  <c r="I62" i="10"/>
  <c r="I61" i="10"/>
  <c r="AG44" i="10"/>
  <c r="G44" i="10"/>
  <c r="L44" i="10" s="1"/>
  <c r="AE33" i="10" s="1"/>
  <c r="Z33" i="10" s="1"/>
  <c r="AW128" i="10"/>
  <c r="AW112" i="10"/>
  <c r="M131" i="10"/>
  <c r="AY44" i="10"/>
  <c r="AY43" i="10"/>
  <c r="BL42" i="10"/>
  <c r="AG43" i="10"/>
  <c r="CA39" i="10" s="1"/>
  <c r="G43" i="10"/>
  <c r="BL41" i="10"/>
  <c r="AG42" i="10"/>
  <c r="CA30" i="10" s="1"/>
  <c r="G42" i="10"/>
  <c r="L42" i="10" s="1"/>
  <c r="AG41" i="10"/>
  <c r="CA21" i="10" s="1"/>
  <c r="G41" i="10"/>
  <c r="L41" i="10" s="1"/>
  <c r="AG40" i="10"/>
  <c r="CA12" i="10" s="1"/>
  <c r="CA13" i="10" s="1"/>
  <c r="G40" i="10"/>
  <c r="AY35" i="10"/>
  <c r="AY34" i="10"/>
  <c r="BL33" i="10"/>
  <c r="F34" i="10"/>
  <c r="BL32" i="10"/>
  <c r="AY26" i="10"/>
  <c r="AY25" i="10"/>
  <c r="BL24" i="10"/>
  <c r="BL23" i="10"/>
  <c r="AY17" i="10"/>
  <c r="AY16" i="10"/>
  <c r="BL15" i="10"/>
  <c r="BL14" i="10"/>
  <c r="AN9" i="10"/>
  <c r="EA6" i="10"/>
  <c r="NH56" i="9"/>
  <c r="NH57" i="9"/>
  <c r="NH55" i="9"/>
  <c r="NH54" i="9"/>
  <c r="NH72" i="9"/>
  <c r="NH71" i="9"/>
  <c r="NH67" i="9"/>
  <c r="NH66" i="9"/>
  <c r="CJ43" i="9" l="1"/>
  <c r="HN18" i="9"/>
  <c r="HK18" i="9"/>
  <c r="KA18" i="9"/>
  <c r="LS18" i="9"/>
  <c r="JK18" i="9"/>
  <c r="JL18" i="9"/>
  <c r="JO18" i="9"/>
  <c r="JP18" i="9"/>
  <c r="HZ18" i="9"/>
  <c r="HY18" i="9"/>
  <c r="IA18" i="9" s="1"/>
  <c r="KE18" i="9"/>
  <c r="JW18" i="9"/>
  <c r="HR18" i="9"/>
  <c r="HP18" i="9"/>
  <c r="CR118" i="3"/>
  <c r="CS118" i="3" s="1"/>
  <c r="CT118" i="3" s="1"/>
  <c r="CR256" i="3"/>
  <c r="CS256" i="3" s="1"/>
  <c r="CT256" i="3" s="1"/>
  <c r="CR211" i="3"/>
  <c r="CS211" i="3" s="1"/>
  <c r="CT211" i="3" s="1"/>
  <c r="CR179" i="3"/>
  <c r="CS179" i="3" s="1"/>
  <c r="CT179" i="3" s="1"/>
  <c r="CR150" i="3"/>
  <c r="CS150" i="3" s="1"/>
  <c r="CT150" i="3" s="1"/>
  <c r="CS144" i="3"/>
  <c r="CT144" i="3" s="1"/>
  <c r="CT129" i="3"/>
  <c r="CS128" i="3"/>
  <c r="CT128" i="3" s="1"/>
  <c r="CR126" i="3"/>
  <c r="CS126" i="3" s="1"/>
  <c r="CT126" i="3" s="1"/>
  <c r="CS103" i="3"/>
  <c r="CT103" i="3" s="1"/>
  <c r="CT65" i="3"/>
  <c r="CS64" i="3"/>
  <c r="CT64" i="3" s="1"/>
  <c r="CR62" i="3"/>
  <c r="CS62" i="3" s="1"/>
  <c r="CT62" i="3" s="1"/>
  <c r="CS39" i="3"/>
  <c r="CT39" i="3" s="1"/>
  <c r="CS136" i="3"/>
  <c r="CT136" i="3" s="1"/>
  <c r="CS72" i="3"/>
  <c r="CT72" i="3" s="1"/>
  <c r="CR235" i="3"/>
  <c r="CS235" i="3" s="1"/>
  <c r="CT235" i="3" s="1"/>
  <c r="CS228" i="3"/>
  <c r="CT228" i="3" s="1"/>
  <c r="CR203" i="3"/>
  <c r="CS203" i="3" s="1"/>
  <c r="CT203" i="3" s="1"/>
  <c r="CS196" i="3"/>
  <c r="CT196" i="3" s="1"/>
  <c r="CR171" i="3"/>
  <c r="CS171" i="3" s="1"/>
  <c r="CT171" i="3" s="1"/>
  <c r="CS164" i="3"/>
  <c r="CT164" i="3" s="1"/>
  <c r="CS151" i="3"/>
  <c r="CT151" i="3" s="1"/>
  <c r="CS119" i="3"/>
  <c r="CT119" i="3" s="1"/>
  <c r="CT81" i="3"/>
  <c r="CS80" i="3"/>
  <c r="CT80" i="3" s="1"/>
  <c r="CR78" i="3"/>
  <c r="CS78" i="3" s="1"/>
  <c r="CT78" i="3" s="1"/>
  <c r="CS55" i="3"/>
  <c r="CT55" i="3" s="1"/>
  <c r="CT89" i="3"/>
  <c r="CS88" i="3"/>
  <c r="CT88" i="3" s="1"/>
  <c r="CS95" i="3"/>
  <c r="CT95" i="3" s="1"/>
  <c r="CR54" i="3"/>
  <c r="CS54" i="3" s="1"/>
  <c r="CT54" i="3" s="1"/>
  <c r="CS31" i="3"/>
  <c r="CT31" i="3" s="1"/>
  <c r="CR248" i="3"/>
  <c r="CS248" i="3" s="1"/>
  <c r="CT248" i="3" s="1"/>
  <c r="CT105" i="3"/>
  <c r="CS104" i="3"/>
  <c r="CT104" i="3" s="1"/>
  <c r="CR102" i="3"/>
  <c r="CS102" i="3" s="1"/>
  <c r="CT102" i="3" s="1"/>
  <c r="CS79" i="3"/>
  <c r="CT79" i="3" s="1"/>
  <c r="CT41" i="3"/>
  <c r="CS40" i="3"/>
  <c r="CT40" i="3" s="1"/>
  <c r="CR38" i="3"/>
  <c r="CS38" i="3" s="1"/>
  <c r="CT38" i="3" s="1"/>
  <c r="CM16" i="3"/>
  <c r="CM14" i="3"/>
  <c r="DP20" i="3"/>
  <c r="DP12" i="3"/>
  <c r="CM11" i="3"/>
  <c r="DP19" i="3"/>
  <c r="DP18" i="3"/>
  <c r="DP10" i="3"/>
  <c r="CM8" i="3"/>
  <c r="DV9" i="2"/>
  <c r="ED9" i="2"/>
  <c r="DV17" i="2"/>
  <c r="ED17" i="2"/>
  <c r="ED12" i="2"/>
  <c r="ED6" i="2"/>
  <c r="ED11" i="2"/>
  <c r="ED19" i="2"/>
  <c r="ED10" i="2"/>
  <c r="CX6" i="2"/>
  <c r="CK7" i="2"/>
  <c r="ED14" i="2"/>
  <c r="ED18" i="2"/>
  <c r="ED8" i="2"/>
  <c r="CZ2" i="2"/>
  <c r="ED16" i="2"/>
  <c r="ED7" i="2"/>
  <c r="DX18" i="2"/>
  <c r="DX6" i="2"/>
  <c r="DT15" i="1"/>
  <c r="DT7" i="1"/>
  <c r="CM7" i="1"/>
  <c r="CT7" i="1" s="1"/>
  <c r="CX7" i="1" s="1"/>
  <c r="DS20" i="1"/>
  <c r="DS21" i="1"/>
  <c r="DS14" i="1"/>
  <c r="DS8" i="1"/>
  <c r="DS16" i="1"/>
  <c r="DS9" i="1"/>
  <c r="DS18" i="1"/>
  <c r="DS17" i="1"/>
  <c r="CV2" i="1"/>
  <c r="CJ350" i="10"/>
  <c r="CJ347" i="10"/>
  <c r="CJ355" i="10"/>
  <c r="CJ346" i="10"/>
  <c r="CJ342" i="10"/>
  <c r="CJ354" i="10"/>
  <c r="CJ349" i="10"/>
  <c r="CJ341" i="10"/>
  <c r="CJ348" i="10"/>
  <c r="CJ353" i="10"/>
  <c r="CJ345" i="10"/>
  <c r="CJ352" i="10"/>
  <c r="CJ344" i="10"/>
  <c r="FX39" i="10"/>
  <c r="GY39" i="10" s="1"/>
  <c r="CJ351" i="10"/>
  <c r="CJ343" i="10"/>
  <c r="FG38" i="10"/>
  <c r="FG32" i="10"/>
  <c r="FG31" i="10"/>
  <c r="FG30" i="10"/>
  <c r="FG40" i="10"/>
  <c r="FX34" i="10"/>
  <c r="GY34" i="10" s="1"/>
  <c r="FG25" i="10"/>
  <c r="FG29" i="10"/>
  <c r="FG36" i="10"/>
  <c r="FG35" i="10"/>
  <c r="FG27" i="10"/>
  <c r="FX26" i="10"/>
  <c r="GY26" i="10" s="1"/>
  <c r="FG33" i="10"/>
  <c r="FG37" i="10"/>
  <c r="FG28" i="10"/>
  <c r="CH80" i="10"/>
  <c r="CO81" i="10"/>
  <c r="CO89" i="10"/>
  <c r="CH88" i="10"/>
  <c r="CH83" i="10"/>
  <c r="CO88" i="10"/>
  <c r="CH75" i="10"/>
  <c r="CO80" i="10"/>
  <c r="CO87" i="10"/>
  <c r="CO83" i="10"/>
  <c r="CO75" i="10"/>
  <c r="CO82" i="10"/>
  <c r="CO79" i="10"/>
  <c r="CO78" i="10"/>
  <c r="CO86" i="10"/>
  <c r="CO85" i="10"/>
  <c r="CO77" i="10"/>
  <c r="CO84" i="10"/>
  <c r="CO76" i="10"/>
  <c r="AS65" i="10"/>
  <c r="CH87" i="10"/>
  <c r="CH86" i="10"/>
  <c r="CH78" i="10"/>
  <c r="CH85" i="10"/>
  <c r="CH77" i="10"/>
  <c r="CH84" i="10"/>
  <c r="CH76" i="10"/>
  <c r="R177" i="10"/>
  <c r="V177" i="10" s="1"/>
  <c r="CH82" i="10"/>
  <c r="CH89" i="10"/>
  <c r="CH81" i="10"/>
  <c r="ER7" i="10"/>
  <c r="EV7" i="10" s="1"/>
  <c r="AS75" i="10"/>
  <c r="AS74" i="10"/>
  <c r="AK59" i="10"/>
  <c r="AK57" i="10"/>
  <c r="AK58" i="10" s="1"/>
  <c r="ER15" i="10"/>
  <c r="EV15" i="10" s="1"/>
  <c r="AG45" i="10"/>
  <c r="AK74" i="10" s="1"/>
  <c r="ER39" i="10"/>
  <c r="EV39" i="10" s="1"/>
  <c r="J21" i="10"/>
  <c r="FF5" i="10" s="1"/>
  <c r="AZ311" i="10" s="1"/>
  <c r="FF25" i="10" s="1"/>
  <c r="ER98" i="10"/>
  <c r="EV98" i="10" s="1"/>
  <c r="ER66" i="10"/>
  <c r="EV66" i="10" s="1"/>
  <c r="ER34" i="10"/>
  <c r="EV34" i="10" s="1"/>
  <c r="ER95" i="10"/>
  <c r="EV95" i="10" s="1"/>
  <c r="ER63" i="10"/>
  <c r="EV63" i="10" s="1"/>
  <c r="ER31" i="10"/>
  <c r="EV31" i="10" s="1"/>
  <c r="ER103" i="10"/>
  <c r="EV103" i="10" s="1"/>
  <c r="ER71" i="10"/>
  <c r="EV71" i="10" s="1"/>
  <c r="ER90" i="10"/>
  <c r="EV90" i="10" s="1"/>
  <c r="ER58" i="10"/>
  <c r="EV58" i="10" s="1"/>
  <c r="ER26" i="10"/>
  <c r="EV26" i="10" s="1"/>
  <c r="ER87" i="10"/>
  <c r="EV87" i="10" s="1"/>
  <c r="ER55" i="10"/>
  <c r="EV55" i="10" s="1"/>
  <c r="ER23" i="10"/>
  <c r="EV23" i="10" s="1"/>
  <c r="ER82" i="10"/>
  <c r="EV82" i="10" s="1"/>
  <c r="ER50" i="10"/>
  <c r="EV50" i="10" s="1"/>
  <c r="ER18" i="10"/>
  <c r="EV18" i="10" s="1"/>
  <c r="ER79" i="10"/>
  <c r="EV79" i="10" s="1"/>
  <c r="ER47" i="10"/>
  <c r="EV47" i="10" s="1"/>
  <c r="ER106" i="10"/>
  <c r="EV106" i="10" s="1"/>
  <c r="ER74" i="10"/>
  <c r="EV74" i="10" s="1"/>
  <c r="ER42" i="10"/>
  <c r="EV42" i="10" s="1"/>
  <c r="ER10" i="10"/>
  <c r="EV10" i="10" s="1"/>
  <c r="EL109" i="10"/>
  <c r="EI109" i="10" s="1"/>
  <c r="EN109" i="10" s="1"/>
  <c r="ER108" i="10"/>
  <c r="EV108" i="10" s="1"/>
  <c r="ER102" i="10"/>
  <c r="EV102" i="10" s="1"/>
  <c r="ER94" i="10"/>
  <c r="EV94" i="10" s="1"/>
  <c r="ER86" i="10"/>
  <c r="EV86" i="10" s="1"/>
  <c r="ER78" i="10"/>
  <c r="EV78" i="10" s="1"/>
  <c r="ER70" i="10"/>
  <c r="EV70" i="10" s="1"/>
  <c r="ER62" i="10"/>
  <c r="EV62" i="10" s="1"/>
  <c r="ER54" i="10"/>
  <c r="EV54" i="10" s="1"/>
  <c r="ER46" i="10"/>
  <c r="EV46" i="10" s="1"/>
  <c r="ER38" i="10"/>
  <c r="EV38" i="10" s="1"/>
  <c r="ER30" i="10"/>
  <c r="EV30" i="10" s="1"/>
  <c r="ER22" i="10"/>
  <c r="EV22" i="10" s="1"/>
  <c r="ER14" i="10"/>
  <c r="EV14" i="10" s="1"/>
  <c r="ER6" i="10"/>
  <c r="EV6" i="10" s="1"/>
  <c r="ER101" i="10"/>
  <c r="EV101" i="10" s="1"/>
  <c r="ER93" i="10"/>
  <c r="EV93" i="10" s="1"/>
  <c r="ER85" i="10"/>
  <c r="EV85" i="10" s="1"/>
  <c r="ER77" i="10"/>
  <c r="EV77" i="10" s="1"/>
  <c r="ER69" i="10"/>
  <c r="EV69" i="10" s="1"/>
  <c r="ER61" i="10"/>
  <c r="EV61" i="10" s="1"/>
  <c r="ER53" i="10"/>
  <c r="EV53" i="10" s="1"/>
  <c r="ER45" i="10"/>
  <c r="EV45" i="10" s="1"/>
  <c r="ER37" i="10"/>
  <c r="EV37" i="10" s="1"/>
  <c r="ER29" i="10"/>
  <c r="EV29" i="10" s="1"/>
  <c r="ER21" i="10"/>
  <c r="EV21" i="10" s="1"/>
  <c r="ER13" i="10"/>
  <c r="EV13" i="10" s="1"/>
  <c r="ER100" i="10"/>
  <c r="EV100" i="10" s="1"/>
  <c r="ER92" i="10"/>
  <c r="EV92" i="10" s="1"/>
  <c r="ER84" i="10"/>
  <c r="EV84" i="10" s="1"/>
  <c r="ER76" i="10"/>
  <c r="EV76" i="10" s="1"/>
  <c r="ER68" i="10"/>
  <c r="EV68" i="10" s="1"/>
  <c r="ER60" i="10"/>
  <c r="EV60" i="10" s="1"/>
  <c r="ER52" i="10"/>
  <c r="EV52" i="10" s="1"/>
  <c r="ER44" i="10"/>
  <c r="EV44" i="10" s="1"/>
  <c r="ER36" i="10"/>
  <c r="EV36" i="10" s="1"/>
  <c r="ER28" i="10"/>
  <c r="EV28" i="10" s="1"/>
  <c r="ER20" i="10"/>
  <c r="EV20" i="10" s="1"/>
  <c r="ER12" i="10"/>
  <c r="EV12" i="10" s="1"/>
  <c r="ER107" i="10"/>
  <c r="EV107" i="10" s="1"/>
  <c r="ER99" i="10"/>
  <c r="EV99" i="10" s="1"/>
  <c r="ER91" i="10"/>
  <c r="EV91" i="10" s="1"/>
  <c r="ER83" i="10"/>
  <c r="EV83" i="10" s="1"/>
  <c r="ER75" i="10"/>
  <c r="EV75" i="10" s="1"/>
  <c r="ER67" i="10"/>
  <c r="EV67" i="10" s="1"/>
  <c r="ER59" i="10"/>
  <c r="EV59" i="10" s="1"/>
  <c r="ER51" i="10"/>
  <c r="EV51" i="10" s="1"/>
  <c r="ER43" i="10"/>
  <c r="EV43" i="10" s="1"/>
  <c r="ER35" i="10"/>
  <c r="EV35" i="10" s="1"/>
  <c r="ER27" i="10"/>
  <c r="EV27" i="10" s="1"/>
  <c r="ER19" i="10"/>
  <c r="EV19" i="10" s="1"/>
  <c r="ER11" i="10"/>
  <c r="EV11" i="10" s="1"/>
  <c r="ER105" i="10"/>
  <c r="EV105" i="10" s="1"/>
  <c r="ER97" i="10"/>
  <c r="EV97" i="10" s="1"/>
  <c r="ER89" i="10"/>
  <c r="EV89" i="10" s="1"/>
  <c r="ER81" i="10"/>
  <c r="EV81" i="10" s="1"/>
  <c r="ER73" i="10"/>
  <c r="EV73" i="10" s="1"/>
  <c r="ER65" i="10"/>
  <c r="EV65" i="10" s="1"/>
  <c r="ER57" i="10"/>
  <c r="EV57" i="10" s="1"/>
  <c r="ER49" i="10"/>
  <c r="EV49" i="10" s="1"/>
  <c r="ER41" i="10"/>
  <c r="EV41" i="10" s="1"/>
  <c r="ER33" i="10"/>
  <c r="EV33" i="10" s="1"/>
  <c r="ER25" i="10"/>
  <c r="EV25" i="10" s="1"/>
  <c r="ER17" i="10"/>
  <c r="EV17" i="10" s="1"/>
  <c r="ER9" i="10"/>
  <c r="EV9" i="10" s="1"/>
  <c r="ER104" i="10"/>
  <c r="EV104" i="10" s="1"/>
  <c r="ER96" i="10"/>
  <c r="EV96" i="10" s="1"/>
  <c r="ER88" i="10"/>
  <c r="EV88" i="10" s="1"/>
  <c r="ER80" i="10"/>
  <c r="EV80" i="10" s="1"/>
  <c r="ER72" i="10"/>
  <c r="EV72" i="10" s="1"/>
  <c r="ER64" i="10"/>
  <c r="EV64" i="10" s="1"/>
  <c r="ER56" i="10"/>
  <c r="EV56" i="10" s="1"/>
  <c r="ER48" i="10"/>
  <c r="EV48" i="10" s="1"/>
  <c r="ER40" i="10"/>
  <c r="EV40" i="10" s="1"/>
  <c r="ER32" i="10"/>
  <c r="EV32" i="10" s="1"/>
  <c r="ER24" i="10"/>
  <c r="EV24" i="10" s="1"/>
  <c r="ER16" i="10"/>
  <c r="EV16" i="10" s="1"/>
  <c r="ER8" i="10"/>
  <c r="EV8" i="10" s="1"/>
  <c r="EI107" i="10"/>
  <c r="EN107" i="10" s="1"/>
  <c r="EI99" i="10"/>
  <c r="EN99" i="10" s="1"/>
  <c r="EI83" i="10"/>
  <c r="EN83" i="10" s="1"/>
  <c r="EI75" i="10"/>
  <c r="EN75" i="10" s="1"/>
  <c r="EI67" i="10"/>
  <c r="EN67" i="10" s="1"/>
  <c r="EI59" i="10"/>
  <c r="EN59" i="10" s="1"/>
  <c r="EI51" i="10"/>
  <c r="EN51" i="10" s="1"/>
  <c r="EI43" i="10"/>
  <c r="EN43" i="10" s="1"/>
  <c r="EI35" i="10"/>
  <c r="EN35" i="10" s="1"/>
  <c r="EI27" i="10"/>
  <c r="EN27" i="10" s="1"/>
  <c r="EI19" i="10"/>
  <c r="EN19" i="10" s="1"/>
  <c r="EI11" i="10"/>
  <c r="EN11" i="10" s="1"/>
  <c r="EI106" i="10"/>
  <c r="EN106" i="10" s="1"/>
  <c r="EI98" i="10"/>
  <c r="EN98" i="10" s="1"/>
  <c r="EI90" i="10"/>
  <c r="EN90" i="10" s="1"/>
  <c r="EI82" i="10"/>
  <c r="EN82" i="10" s="1"/>
  <c r="EI74" i="10"/>
  <c r="EN74" i="10" s="1"/>
  <c r="EI66" i="10"/>
  <c r="EN66" i="10" s="1"/>
  <c r="EI58" i="10"/>
  <c r="EN58" i="10" s="1"/>
  <c r="EI50" i="10"/>
  <c r="EN50" i="10" s="1"/>
  <c r="EI42" i="10"/>
  <c r="EN42" i="10" s="1"/>
  <c r="EI34" i="10"/>
  <c r="EN34" i="10" s="1"/>
  <c r="EI26" i="10"/>
  <c r="EN26" i="10" s="1"/>
  <c r="EI18" i="10"/>
  <c r="EN18" i="10" s="1"/>
  <c r="EI10" i="10"/>
  <c r="EN10" i="10" s="1"/>
  <c r="EI105" i="10"/>
  <c r="EN105" i="10" s="1"/>
  <c r="EI97" i="10"/>
  <c r="EN97" i="10" s="1"/>
  <c r="EI89" i="10"/>
  <c r="EN89" i="10" s="1"/>
  <c r="EI81" i="10"/>
  <c r="EN81" i="10" s="1"/>
  <c r="EI73" i="10"/>
  <c r="EN73" i="10" s="1"/>
  <c r="EI65" i="10"/>
  <c r="EN65" i="10" s="1"/>
  <c r="EI57" i="10"/>
  <c r="EN57" i="10" s="1"/>
  <c r="EI49" i="10"/>
  <c r="EN49" i="10" s="1"/>
  <c r="EI41" i="10"/>
  <c r="EN41" i="10" s="1"/>
  <c r="EI33" i="10"/>
  <c r="EN33" i="10" s="1"/>
  <c r="EI25" i="10"/>
  <c r="EN25" i="10" s="1"/>
  <c r="EI17" i="10"/>
  <c r="EN17" i="10" s="1"/>
  <c r="EI9" i="10"/>
  <c r="EN9" i="10" s="1"/>
  <c r="EI104" i="10"/>
  <c r="EN104" i="10" s="1"/>
  <c r="EI96" i="10"/>
  <c r="EN96" i="10" s="1"/>
  <c r="EI88" i="10"/>
  <c r="EN88" i="10" s="1"/>
  <c r="EI80" i="10"/>
  <c r="EN80" i="10" s="1"/>
  <c r="EI72" i="10"/>
  <c r="EN72" i="10" s="1"/>
  <c r="EI64" i="10"/>
  <c r="EN64" i="10" s="1"/>
  <c r="EI56" i="10"/>
  <c r="EN56" i="10" s="1"/>
  <c r="EI48" i="10"/>
  <c r="EN48" i="10" s="1"/>
  <c r="EI40" i="10"/>
  <c r="EN40" i="10" s="1"/>
  <c r="EI32" i="10"/>
  <c r="EN32" i="10" s="1"/>
  <c r="EI24" i="10"/>
  <c r="EN24" i="10" s="1"/>
  <c r="EI16" i="10"/>
  <c r="EN16" i="10" s="1"/>
  <c r="EI8" i="10"/>
  <c r="EN8" i="10" s="1"/>
  <c r="EI91" i="10"/>
  <c r="EN91" i="10" s="1"/>
  <c r="EI103" i="10"/>
  <c r="EN103" i="10" s="1"/>
  <c r="EI95" i="10"/>
  <c r="EN95" i="10" s="1"/>
  <c r="EI87" i="10"/>
  <c r="EN87" i="10" s="1"/>
  <c r="EI79" i="10"/>
  <c r="EN79" i="10" s="1"/>
  <c r="EI71" i="10"/>
  <c r="EN71" i="10" s="1"/>
  <c r="EI63" i="10"/>
  <c r="EN63" i="10" s="1"/>
  <c r="EI55" i="10"/>
  <c r="EN55" i="10" s="1"/>
  <c r="EI47" i="10"/>
  <c r="EN47" i="10" s="1"/>
  <c r="EI39" i="10"/>
  <c r="EN39" i="10" s="1"/>
  <c r="EI31" i="10"/>
  <c r="EN31" i="10" s="1"/>
  <c r="EI23" i="10"/>
  <c r="EN23" i="10" s="1"/>
  <c r="EI15" i="10"/>
  <c r="EN15" i="10" s="1"/>
  <c r="EI7" i="10"/>
  <c r="EN7" i="10" s="1"/>
  <c r="EI102" i="10"/>
  <c r="EN102" i="10" s="1"/>
  <c r="EI94" i="10"/>
  <c r="EN94" i="10" s="1"/>
  <c r="EI86" i="10"/>
  <c r="EN86" i="10" s="1"/>
  <c r="EI78" i="10"/>
  <c r="EN78" i="10" s="1"/>
  <c r="EI70" i="10"/>
  <c r="EN70" i="10" s="1"/>
  <c r="EI62" i="10"/>
  <c r="EN62" i="10" s="1"/>
  <c r="EI54" i="10"/>
  <c r="EN54" i="10" s="1"/>
  <c r="EI46" i="10"/>
  <c r="EN46" i="10" s="1"/>
  <c r="EI38" i="10"/>
  <c r="EN38" i="10" s="1"/>
  <c r="EI30" i="10"/>
  <c r="EN30" i="10" s="1"/>
  <c r="EI22" i="10"/>
  <c r="EN22" i="10" s="1"/>
  <c r="EI14" i="10"/>
  <c r="EN14" i="10" s="1"/>
  <c r="EI6" i="10"/>
  <c r="EN6" i="10" s="1"/>
  <c r="EI101" i="10"/>
  <c r="EN101" i="10" s="1"/>
  <c r="EI93" i="10"/>
  <c r="EN93" i="10" s="1"/>
  <c r="EI85" i="10"/>
  <c r="EN85" i="10" s="1"/>
  <c r="EI77" i="10"/>
  <c r="EN77" i="10" s="1"/>
  <c r="EI69" i="10"/>
  <c r="EN69" i="10" s="1"/>
  <c r="EI61" i="10"/>
  <c r="EN61" i="10" s="1"/>
  <c r="EI53" i="10"/>
  <c r="EN53" i="10" s="1"/>
  <c r="EI45" i="10"/>
  <c r="EN45" i="10" s="1"/>
  <c r="EI37" i="10"/>
  <c r="EN37" i="10" s="1"/>
  <c r="EI29" i="10"/>
  <c r="EN29" i="10" s="1"/>
  <c r="EI21" i="10"/>
  <c r="EN21" i="10" s="1"/>
  <c r="EI13" i="10"/>
  <c r="EN13" i="10" s="1"/>
  <c r="EI108" i="10"/>
  <c r="EN108" i="10" s="1"/>
  <c r="EI100" i="10"/>
  <c r="EN100" i="10" s="1"/>
  <c r="EI92" i="10"/>
  <c r="EN92" i="10" s="1"/>
  <c r="EI84" i="10"/>
  <c r="EN84" i="10" s="1"/>
  <c r="EI76" i="10"/>
  <c r="EN76" i="10" s="1"/>
  <c r="EI68" i="10"/>
  <c r="EN68" i="10" s="1"/>
  <c r="EI60" i="10"/>
  <c r="EN60" i="10" s="1"/>
  <c r="EI52" i="10"/>
  <c r="EN52" i="10" s="1"/>
  <c r="EI44" i="10"/>
  <c r="EN44" i="10" s="1"/>
  <c r="EI36" i="10"/>
  <c r="EN36" i="10" s="1"/>
  <c r="EI28" i="10"/>
  <c r="EN28" i="10" s="1"/>
  <c r="EI20" i="10"/>
  <c r="EN20" i="10" s="1"/>
  <c r="EI12" i="10"/>
  <c r="EN12" i="10" s="1"/>
  <c r="CA23" i="10"/>
  <c r="Q44" i="10"/>
  <c r="W44" i="10"/>
  <c r="AE31" i="10"/>
  <c r="Z31" i="10" s="1"/>
  <c r="W42" i="10"/>
  <c r="EA7" i="10"/>
  <c r="EA8" i="10" s="1"/>
  <c r="CA32" i="10"/>
  <c r="AE30" i="10"/>
  <c r="Z30" i="10" s="1"/>
  <c r="Q41" i="10"/>
  <c r="AW119" i="10"/>
  <c r="L43" i="10"/>
  <c r="CA41" i="10" s="1"/>
  <c r="L40" i="10"/>
  <c r="W41" i="10"/>
  <c r="Q42" i="10"/>
  <c r="AN9" i="6"/>
  <c r="AN9" i="5"/>
  <c r="AN9" i="4"/>
  <c r="AS250" i="3"/>
  <c r="C250" i="3"/>
  <c r="AS250" i="2"/>
  <c r="C250" i="2"/>
  <c r="AS250" i="1"/>
  <c r="C250" i="1"/>
  <c r="AS250" i="9"/>
  <c r="C250" i="9"/>
  <c r="AS201" i="9"/>
  <c r="C201" i="9"/>
  <c r="AT131" i="9"/>
  <c r="AT129" i="9"/>
  <c r="AS152" i="9"/>
  <c r="C152" i="9"/>
  <c r="AS103" i="9"/>
  <c r="C103" i="9"/>
  <c r="AS54" i="9"/>
  <c r="C54" i="9"/>
  <c r="AS5" i="9"/>
  <c r="AS201" i="2"/>
  <c r="C201" i="2"/>
  <c r="AS152" i="2"/>
  <c r="C152" i="2"/>
  <c r="AS103" i="2"/>
  <c r="C103" i="2"/>
  <c r="AS54" i="2"/>
  <c r="C54" i="2"/>
  <c r="AS5" i="2"/>
  <c r="AS201" i="1"/>
  <c r="C201" i="1"/>
  <c r="AS152" i="1"/>
  <c r="C152" i="1"/>
  <c r="AS103" i="1"/>
  <c r="C103" i="1"/>
  <c r="AS54" i="1"/>
  <c r="C54" i="1"/>
  <c r="AS5" i="1"/>
  <c r="AS201" i="3"/>
  <c r="C201" i="3"/>
  <c r="AS152" i="3"/>
  <c r="C152" i="3"/>
  <c r="AS103" i="3"/>
  <c r="C103" i="3"/>
  <c r="AS54" i="3"/>
  <c r="C54" i="3"/>
  <c r="AS5" i="3"/>
  <c r="GF3" i="9"/>
  <c r="GF4" i="9"/>
  <c r="GM1" i="9"/>
  <c r="GM3" i="9" s="1"/>
  <c r="M110" i="9"/>
  <c r="AA125" i="9"/>
  <c r="V125" i="9"/>
  <c r="Q125" i="9"/>
  <c r="L125" i="9"/>
  <c r="G144" i="9"/>
  <c r="G128" i="9"/>
  <c r="BL15" i="9"/>
  <c r="BL14" i="9"/>
  <c r="BL42" i="9"/>
  <c r="BL41" i="9"/>
  <c r="BL33" i="9"/>
  <c r="BL32" i="9"/>
  <c r="BL24" i="9"/>
  <c r="BL23" i="9"/>
  <c r="AY44" i="9"/>
  <c r="AY43" i="9"/>
  <c r="AY35" i="9"/>
  <c r="AY34" i="9"/>
  <c r="AY26" i="9"/>
  <c r="AY25" i="9"/>
  <c r="AY17" i="9"/>
  <c r="AY16" i="9"/>
  <c r="F33" i="9"/>
  <c r="NH59" i="9" s="1"/>
  <c r="JH29" i="9"/>
  <c r="JU20" i="9"/>
  <c r="KE20" i="9" s="1"/>
  <c r="JT20" i="9"/>
  <c r="KA20" i="9" s="1"/>
  <c r="JS20" i="9"/>
  <c r="JW20" i="9" s="1"/>
  <c r="JU19" i="9"/>
  <c r="KG19" i="9" s="1"/>
  <c r="JT19" i="9"/>
  <c r="KA19" i="9" s="1"/>
  <c r="JS19" i="9"/>
  <c r="JW19" i="9" s="1"/>
  <c r="JU17" i="9"/>
  <c r="KG17" i="9" s="1"/>
  <c r="JT17" i="9"/>
  <c r="KC17" i="9" s="1"/>
  <c r="JS17" i="9"/>
  <c r="JY17" i="9" s="1"/>
  <c r="JU16" i="9"/>
  <c r="KE16" i="9" s="1"/>
  <c r="JT16" i="9"/>
  <c r="KC16" i="9" s="1"/>
  <c r="JS16" i="9"/>
  <c r="JY16" i="9" s="1"/>
  <c r="JU15" i="9"/>
  <c r="KE15" i="9" s="1"/>
  <c r="JT15" i="9"/>
  <c r="KA15" i="9" s="1"/>
  <c r="JS15" i="9"/>
  <c r="JW15" i="9" s="1"/>
  <c r="JU14" i="9"/>
  <c r="KG14" i="9" s="1"/>
  <c r="JT14" i="9"/>
  <c r="KC14" i="9" s="1"/>
  <c r="JS14" i="9"/>
  <c r="JU13" i="9"/>
  <c r="KG13" i="9" s="1"/>
  <c r="JT13" i="9"/>
  <c r="JS13" i="9"/>
  <c r="JY13" i="9" s="1"/>
  <c r="JU12" i="9"/>
  <c r="JT12" i="9"/>
  <c r="KA12" i="9" s="1"/>
  <c r="JS12" i="9"/>
  <c r="JW12" i="9" s="1"/>
  <c r="JU11" i="9"/>
  <c r="KE11" i="9" s="1"/>
  <c r="JT11" i="9"/>
  <c r="KA11" i="9" s="1"/>
  <c r="JS11" i="9"/>
  <c r="JW11" i="9" s="1"/>
  <c r="JU10" i="9"/>
  <c r="KG10" i="9" s="1"/>
  <c r="JT10" i="9"/>
  <c r="KA10" i="9" s="1"/>
  <c r="JS10" i="9"/>
  <c r="JW10" i="9" s="1"/>
  <c r="JU9" i="9"/>
  <c r="KG9" i="9" s="1"/>
  <c r="JT9" i="9"/>
  <c r="KC9" i="9" s="1"/>
  <c r="JS9" i="9"/>
  <c r="JY9" i="9" s="1"/>
  <c r="JU8" i="9"/>
  <c r="KE8" i="9" s="1"/>
  <c r="JT8" i="9"/>
  <c r="KA8" i="9" s="1"/>
  <c r="JS8" i="9"/>
  <c r="JY8" i="9" s="1"/>
  <c r="JU7" i="9"/>
  <c r="KE7" i="9" s="1"/>
  <c r="JT7" i="9"/>
  <c r="KC7" i="9" s="1"/>
  <c r="JS7" i="9"/>
  <c r="JY7" i="9" s="1"/>
  <c r="JU6" i="9"/>
  <c r="KG6" i="9" s="1"/>
  <c r="JT6" i="9"/>
  <c r="KC6" i="9" s="1"/>
  <c r="JS6" i="9"/>
  <c r="JU5" i="9"/>
  <c r="KG5" i="9" s="1"/>
  <c r="JT5" i="9"/>
  <c r="JS5" i="9"/>
  <c r="JW5" i="9" s="1"/>
  <c r="HD7" i="9"/>
  <c r="HH7" i="9" s="1"/>
  <c r="HE7" i="9"/>
  <c r="HL7" i="9" s="1"/>
  <c r="HF7" i="9"/>
  <c r="HR7" i="9" s="1"/>
  <c r="HD8" i="9"/>
  <c r="HE8" i="9"/>
  <c r="HL8" i="9" s="1"/>
  <c r="HF8" i="9"/>
  <c r="HP8" i="9" s="1"/>
  <c r="HD9" i="9"/>
  <c r="HE9" i="9"/>
  <c r="HN9" i="9" s="1"/>
  <c r="HF9" i="9"/>
  <c r="HP9" i="9" s="1"/>
  <c r="HD10" i="9"/>
  <c r="HH10" i="9" s="1"/>
  <c r="HE10" i="9"/>
  <c r="HL10" i="9" s="1"/>
  <c r="HF10" i="9"/>
  <c r="HD11" i="9"/>
  <c r="HH11" i="9" s="1"/>
  <c r="HE11" i="9"/>
  <c r="HL11" i="9" s="1"/>
  <c r="HF11" i="9"/>
  <c r="HD12" i="9"/>
  <c r="HJ12" i="9" s="1"/>
  <c r="HE12" i="9"/>
  <c r="HL12" i="9" s="1"/>
  <c r="HF12" i="9"/>
  <c r="HR12" i="9" s="1"/>
  <c r="HD13" i="9"/>
  <c r="HH13" i="9" s="1"/>
  <c r="HE13" i="9"/>
  <c r="HL13" i="9" s="1"/>
  <c r="HF13" i="9"/>
  <c r="HR13" i="9" s="1"/>
  <c r="HD14" i="9"/>
  <c r="HH14" i="9" s="1"/>
  <c r="HE14" i="9"/>
  <c r="HL14" i="9" s="1"/>
  <c r="HF14" i="9"/>
  <c r="HR14" i="9" s="1"/>
  <c r="HD15" i="9"/>
  <c r="HJ15" i="9" s="1"/>
  <c r="HE15" i="9"/>
  <c r="HN15" i="9" s="1"/>
  <c r="HF15" i="9"/>
  <c r="HP15" i="9" s="1"/>
  <c r="HD16" i="9"/>
  <c r="HE16" i="9"/>
  <c r="HN16" i="9" s="1"/>
  <c r="HF16" i="9"/>
  <c r="HR16" i="9" s="1"/>
  <c r="HD17" i="9"/>
  <c r="HE17" i="9"/>
  <c r="HN17" i="9" s="1"/>
  <c r="HF17" i="9"/>
  <c r="HP17" i="9" s="1"/>
  <c r="HD19" i="9"/>
  <c r="HE19" i="9"/>
  <c r="HL19" i="9" s="1"/>
  <c r="HF19" i="9"/>
  <c r="HD20" i="9"/>
  <c r="HH20" i="9" s="1"/>
  <c r="HE20" i="9"/>
  <c r="HL20" i="9" s="1"/>
  <c r="HF20" i="9"/>
  <c r="HF6" i="9"/>
  <c r="HR6" i="9" s="1"/>
  <c r="HE6" i="9"/>
  <c r="HN6" i="9" s="1"/>
  <c r="HD6" i="9"/>
  <c r="HJ6" i="9" s="1"/>
  <c r="EO1" i="9"/>
  <c r="JH40" i="9"/>
  <c r="JH39" i="9"/>
  <c r="JH43" i="9"/>
  <c r="JH42" i="9"/>
  <c r="JH38" i="9"/>
  <c r="JH37" i="9"/>
  <c r="JH36" i="9"/>
  <c r="JH35" i="9"/>
  <c r="JH34" i="9"/>
  <c r="JH33" i="9"/>
  <c r="JH32" i="9"/>
  <c r="JH31" i="9"/>
  <c r="JH30" i="9"/>
  <c r="JD5" i="9"/>
  <c r="JJ5" i="9" s="1"/>
  <c r="LS5" i="9" s="1"/>
  <c r="GU16" i="9"/>
  <c r="JD16" i="9" s="1"/>
  <c r="JJ16" i="9" s="1"/>
  <c r="GU20" i="9"/>
  <c r="JD20" i="9" s="1"/>
  <c r="JJ20" i="9" s="1"/>
  <c r="CH43" i="9" s="1"/>
  <c r="GU19" i="9"/>
  <c r="JD19" i="9" s="1"/>
  <c r="JJ19" i="9" s="1"/>
  <c r="GU17" i="9"/>
  <c r="JD17" i="9" s="1"/>
  <c r="JJ17" i="9" s="1"/>
  <c r="CH40" i="9" s="1"/>
  <c r="JG40" i="9" s="1"/>
  <c r="GU15" i="9"/>
  <c r="JD15" i="9" s="1"/>
  <c r="JJ15" i="9" s="1"/>
  <c r="LS15" i="9" s="1"/>
  <c r="GU14" i="9"/>
  <c r="JD14" i="9" s="1"/>
  <c r="JJ14" i="9" s="1"/>
  <c r="CH37" i="9" s="1"/>
  <c r="JG37" i="9" s="1"/>
  <c r="GU13" i="9"/>
  <c r="GU12" i="9"/>
  <c r="JD12" i="9" s="1"/>
  <c r="JJ12" i="9" s="1"/>
  <c r="GU11" i="9"/>
  <c r="JD11" i="9" s="1"/>
  <c r="JJ11" i="9" s="1"/>
  <c r="GU10" i="9"/>
  <c r="JD10" i="9" s="1"/>
  <c r="JJ10" i="9" s="1"/>
  <c r="GU9" i="9"/>
  <c r="JD9" i="9" s="1"/>
  <c r="JJ9" i="9" s="1"/>
  <c r="GU8" i="9"/>
  <c r="JD8" i="9" s="1"/>
  <c r="JJ8" i="9" s="1"/>
  <c r="LS8" i="9" s="1"/>
  <c r="GU7" i="9"/>
  <c r="JD7" i="9" s="1"/>
  <c r="JJ7" i="9" s="1"/>
  <c r="LS7" i="9" s="1"/>
  <c r="GU6" i="9"/>
  <c r="JD6" i="9" s="1"/>
  <c r="JJ6" i="9" s="1"/>
  <c r="HF5" i="9"/>
  <c r="HR5" i="9" s="1"/>
  <c r="HE5" i="9"/>
  <c r="HN5" i="9" s="1"/>
  <c r="HD5" i="9"/>
  <c r="HJ5" i="9" s="1"/>
  <c r="GP5" i="9"/>
  <c r="GF5" i="9" s="1"/>
  <c r="EJ26" i="9"/>
  <c r="EK26" i="9"/>
  <c r="ER26" i="9" s="1"/>
  <c r="EL26" i="9"/>
  <c r="EV26" i="9" s="1"/>
  <c r="EJ27" i="9"/>
  <c r="EN27" i="9" s="1"/>
  <c r="EK27" i="9"/>
  <c r="ER27" i="9" s="1"/>
  <c r="EL27" i="9"/>
  <c r="EV27" i="9" s="1"/>
  <c r="EJ28" i="9"/>
  <c r="EN28" i="9" s="1"/>
  <c r="EK28" i="9"/>
  <c r="ER28" i="9" s="1"/>
  <c r="EL28" i="9"/>
  <c r="EV28" i="9" s="1"/>
  <c r="EJ29" i="9"/>
  <c r="EP29" i="9" s="1"/>
  <c r="EK29" i="9"/>
  <c r="ER29" i="9" s="1"/>
  <c r="EL29" i="9"/>
  <c r="EX29" i="9" s="1"/>
  <c r="EJ30" i="9"/>
  <c r="EP30" i="9" s="1"/>
  <c r="EK30" i="9"/>
  <c r="ER30" i="9" s="1"/>
  <c r="EL30" i="9"/>
  <c r="EJ31" i="9"/>
  <c r="EN31" i="9" s="1"/>
  <c r="EK31" i="9"/>
  <c r="ER31" i="9" s="1"/>
  <c r="EL31" i="9"/>
  <c r="EV31" i="9" s="1"/>
  <c r="EJ32" i="9"/>
  <c r="EN32" i="9" s="1"/>
  <c r="EK32" i="9"/>
  <c r="ET32" i="9" s="1"/>
  <c r="EL32" i="9"/>
  <c r="EV32" i="9" s="1"/>
  <c r="EJ33" i="9"/>
  <c r="EK33" i="9"/>
  <c r="EL33" i="9"/>
  <c r="EV33" i="9" s="1"/>
  <c r="EJ34" i="9"/>
  <c r="EN34" i="9" s="1"/>
  <c r="EK34" i="9"/>
  <c r="ER34" i="9" s="1"/>
  <c r="EL34" i="9"/>
  <c r="EJ35" i="9"/>
  <c r="EK35" i="9"/>
  <c r="ER35" i="9" s="1"/>
  <c r="EL35" i="9"/>
  <c r="EJ36" i="9"/>
  <c r="EN36" i="9" s="1"/>
  <c r="EK36" i="9"/>
  <c r="ER36" i="9" s="1"/>
  <c r="EL36" i="9"/>
  <c r="EV36" i="9" s="1"/>
  <c r="EJ37" i="9"/>
  <c r="EK37" i="9"/>
  <c r="ET37" i="9" s="1"/>
  <c r="EL37" i="9"/>
  <c r="EX37" i="9" s="1"/>
  <c r="EJ38" i="9"/>
  <c r="EN38" i="9" s="1"/>
  <c r="EK38" i="9"/>
  <c r="ER38" i="9" s="1"/>
  <c r="EL38" i="9"/>
  <c r="EJ39" i="9"/>
  <c r="EN39" i="9" s="1"/>
  <c r="EK39" i="9"/>
  <c r="EL39" i="9"/>
  <c r="EJ40" i="9"/>
  <c r="EK40" i="9"/>
  <c r="ET40" i="9" s="1"/>
  <c r="EL40" i="9"/>
  <c r="EV40" i="9" s="1"/>
  <c r="EJ41" i="9"/>
  <c r="EP41" i="9" s="1"/>
  <c r="EK41" i="9"/>
  <c r="ET41" i="9" s="1"/>
  <c r="EL41" i="9"/>
  <c r="EV41" i="9" s="1"/>
  <c r="EJ42" i="9"/>
  <c r="EN42" i="9" s="1"/>
  <c r="EK42" i="9"/>
  <c r="ER42" i="9" s="1"/>
  <c r="EL42" i="9"/>
  <c r="EV42" i="9" s="1"/>
  <c r="EJ43" i="9"/>
  <c r="EK43" i="9"/>
  <c r="ER43" i="9" s="1"/>
  <c r="EL43" i="9"/>
  <c r="EV43" i="9" s="1"/>
  <c r="EJ44" i="9"/>
  <c r="EK44" i="9"/>
  <c r="ER44" i="9" s="1"/>
  <c r="EL44" i="9"/>
  <c r="EX44" i="9" s="1"/>
  <c r="EJ45" i="9"/>
  <c r="EP45" i="9" s="1"/>
  <c r="EK45" i="9"/>
  <c r="ET45" i="9" s="1"/>
  <c r="EL45" i="9"/>
  <c r="EX45" i="9" s="1"/>
  <c r="EJ46" i="9"/>
  <c r="EN46" i="9" s="1"/>
  <c r="EK46" i="9"/>
  <c r="ER46" i="9" s="1"/>
  <c r="EL46" i="9"/>
  <c r="EV46" i="9" s="1"/>
  <c r="EJ47" i="9"/>
  <c r="EN47" i="9" s="1"/>
  <c r="EK47" i="9"/>
  <c r="ET47" i="9" s="1"/>
  <c r="EL47" i="9"/>
  <c r="EV47" i="9" s="1"/>
  <c r="EJ48" i="9"/>
  <c r="EN48" i="9" s="1"/>
  <c r="EK48" i="9"/>
  <c r="ER48" i="9" s="1"/>
  <c r="EL48" i="9"/>
  <c r="EV48" i="9" s="1"/>
  <c r="EJ49" i="9"/>
  <c r="EP49" i="9" s="1"/>
  <c r="EK49" i="9"/>
  <c r="ER49" i="9" s="1"/>
  <c r="EL49" i="9"/>
  <c r="EV49" i="9" s="1"/>
  <c r="EJ50" i="9"/>
  <c r="EP50" i="9" s="1"/>
  <c r="EK50" i="9"/>
  <c r="ER50" i="9" s="1"/>
  <c r="EL50" i="9"/>
  <c r="EX50" i="9" s="1"/>
  <c r="EJ51" i="9"/>
  <c r="EN51" i="9" s="1"/>
  <c r="EK51" i="9"/>
  <c r="ER51" i="9" s="1"/>
  <c r="EL51" i="9"/>
  <c r="EX51" i="9" s="1"/>
  <c r="EJ52" i="9"/>
  <c r="EP52" i="9" s="1"/>
  <c r="EK52" i="9"/>
  <c r="ER52" i="9" s="1"/>
  <c r="EL52" i="9"/>
  <c r="EX52" i="9" s="1"/>
  <c r="EJ53" i="9"/>
  <c r="EK53" i="9"/>
  <c r="ER53" i="9" s="1"/>
  <c r="EL53" i="9"/>
  <c r="EX53" i="9" s="1"/>
  <c r="EJ54" i="9"/>
  <c r="EN54" i="9" s="1"/>
  <c r="EK54" i="9"/>
  <c r="ER54" i="9" s="1"/>
  <c r="EL54" i="9"/>
  <c r="EV54" i="9" s="1"/>
  <c r="EJ55" i="9"/>
  <c r="EN55" i="9" s="1"/>
  <c r="EK55" i="9"/>
  <c r="ER55" i="9" s="1"/>
  <c r="EL55" i="9"/>
  <c r="EX55" i="9" s="1"/>
  <c r="EJ56" i="9"/>
  <c r="EP56" i="9" s="1"/>
  <c r="EK56" i="9"/>
  <c r="ER56" i="9" s="1"/>
  <c r="EL56" i="9"/>
  <c r="EV56" i="9" s="1"/>
  <c r="EJ57" i="9"/>
  <c r="EK57" i="9"/>
  <c r="ET57" i="9" s="1"/>
  <c r="EL57" i="9"/>
  <c r="EX57" i="9" s="1"/>
  <c r="EJ58" i="9"/>
  <c r="EP58" i="9" s="1"/>
  <c r="EK58" i="9"/>
  <c r="ER58" i="9" s="1"/>
  <c r="EL58" i="9"/>
  <c r="EX58" i="9" s="1"/>
  <c r="EJ59" i="9"/>
  <c r="EK59" i="9"/>
  <c r="ER59" i="9" s="1"/>
  <c r="EL59" i="9"/>
  <c r="EJ60" i="9"/>
  <c r="EN60" i="9" s="1"/>
  <c r="EK60" i="9"/>
  <c r="EL60" i="9"/>
  <c r="EV60" i="9" s="1"/>
  <c r="EJ61" i="9"/>
  <c r="EP61" i="9" s="1"/>
  <c r="EK61" i="9"/>
  <c r="ER61" i="9" s="1"/>
  <c r="EL61" i="9"/>
  <c r="EJ62" i="9"/>
  <c r="EP62" i="9" s="1"/>
  <c r="EK62" i="9"/>
  <c r="ET62" i="9" s="1"/>
  <c r="EL62" i="9"/>
  <c r="EX62" i="9" s="1"/>
  <c r="EJ63" i="9"/>
  <c r="EK63" i="9"/>
  <c r="ET63" i="9" s="1"/>
  <c r="EL63" i="9"/>
  <c r="EV63" i="9" s="1"/>
  <c r="EJ64" i="9"/>
  <c r="EK64" i="9"/>
  <c r="ET64" i="9" s="1"/>
  <c r="EL64" i="9"/>
  <c r="EV64" i="9" s="1"/>
  <c r="EJ65" i="9"/>
  <c r="EN65" i="9" s="1"/>
  <c r="EK65" i="9"/>
  <c r="ER65" i="9" s="1"/>
  <c r="EL65" i="9"/>
  <c r="EV65" i="9" s="1"/>
  <c r="EJ66" i="9"/>
  <c r="EN66" i="9" s="1"/>
  <c r="EK66" i="9"/>
  <c r="ER66" i="9" s="1"/>
  <c r="EL66" i="9"/>
  <c r="EV66" i="9" s="1"/>
  <c r="EJ67" i="9"/>
  <c r="EP67" i="9" s="1"/>
  <c r="EK67" i="9"/>
  <c r="EL67" i="9"/>
  <c r="EX67" i="9" s="1"/>
  <c r="EJ68" i="9"/>
  <c r="EP68" i="9" s="1"/>
  <c r="EK68" i="9"/>
  <c r="ER68" i="9" s="1"/>
  <c r="EL68" i="9"/>
  <c r="EX68" i="9" s="1"/>
  <c r="EJ69" i="9"/>
  <c r="EK69" i="9"/>
  <c r="EL69" i="9"/>
  <c r="EV69" i="9" s="1"/>
  <c r="EJ70" i="9"/>
  <c r="EN70" i="9" s="1"/>
  <c r="EK70" i="9"/>
  <c r="ET70" i="9" s="1"/>
  <c r="EL70" i="9"/>
  <c r="EV70" i="9" s="1"/>
  <c r="EJ71" i="9"/>
  <c r="EK71" i="9"/>
  <c r="ET71" i="9" s="1"/>
  <c r="EL71" i="9"/>
  <c r="EV71" i="9" s="1"/>
  <c r="EJ72" i="9"/>
  <c r="EN72" i="9" s="1"/>
  <c r="EK72" i="9"/>
  <c r="ER72" i="9" s="1"/>
  <c r="EL72" i="9"/>
  <c r="EX72" i="9" s="1"/>
  <c r="EJ73" i="9"/>
  <c r="EK73" i="9"/>
  <c r="ET73" i="9" s="1"/>
  <c r="EL73" i="9"/>
  <c r="EV73" i="9" s="1"/>
  <c r="EJ74" i="9"/>
  <c r="EP74" i="9" s="1"/>
  <c r="EK74" i="9"/>
  <c r="ET74" i="9" s="1"/>
  <c r="EL74" i="9"/>
  <c r="EX74" i="9" s="1"/>
  <c r="EJ75" i="9"/>
  <c r="EN75" i="9" s="1"/>
  <c r="EK75" i="9"/>
  <c r="ER75" i="9" s="1"/>
  <c r="EL75" i="9"/>
  <c r="EV75" i="9" s="1"/>
  <c r="EJ76" i="9"/>
  <c r="EN76" i="9" s="1"/>
  <c r="EK76" i="9"/>
  <c r="ER76" i="9" s="1"/>
  <c r="EL76" i="9"/>
  <c r="EJ77" i="9"/>
  <c r="EK77" i="9"/>
  <c r="ET77" i="9" s="1"/>
  <c r="EL77" i="9"/>
  <c r="EV77" i="9" s="1"/>
  <c r="EJ78" i="9"/>
  <c r="EK78" i="9"/>
  <c r="ET78" i="9" s="1"/>
  <c r="EL78" i="9"/>
  <c r="EV78" i="9" s="1"/>
  <c r="EJ79" i="9"/>
  <c r="EN79" i="9" s="1"/>
  <c r="EK79" i="9"/>
  <c r="ET79" i="9" s="1"/>
  <c r="EL79" i="9"/>
  <c r="EV79" i="9" s="1"/>
  <c r="EJ80" i="9"/>
  <c r="EP80" i="9" s="1"/>
  <c r="EK80" i="9"/>
  <c r="ER80" i="9" s="1"/>
  <c r="EL80" i="9"/>
  <c r="EX80" i="9" s="1"/>
  <c r="EJ81" i="9"/>
  <c r="EN81" i="9" s="1"/>
  <c r="EK81" i="9"/>
  <c r="ER81" i="9" s="1"/>
  <c r="EL81" i="9"/>
  <c r="EV81" i="9" s="1"/>
  <c r="EJ82" i="9"/>
  <c r="EP82" i="9" s="1"/>
  <c r="EK82" i="9"/>
  <c r="ER82" i="9" s="1"/>
  <c r="EL82" i="9"/>
  <c r="EJ83" i="9"/>
  <c r="EK83" i="9"/>
  <c r="ER83" i="9" s="1"/>
  <c r="EL83" i="9"/>
  <c r="EJ84" i="9"/>
  <c r="EN84" i="9" s="1"/>
  <c r="EK84" i="9"/>
  <c r="ER84" i="9" s="1"/>
  <c r="EL84" i="9"/>
  <c r="EV84" i="9" s="1"/>
  <c r="EJ85" i="9"/>
  <c r="EN85" i="9" s="1"/>
  <c r="EK85" i="9"/>
  <c r="ET85" i="9" s="1"/>
  <c r="EL85" i="9"/>
  <c r="EV85" i="9" s="1"/>
  <c r="EJ86" i="9"/>
  <c r="EN86" i="9" s="1"/>
  <c r="EK86" i="9"/>
  <c r="ET86" i="9" s="1"/>
  <c r="EL86" i="9"/>
  <c r="EV86" i="9" s="1"/>
  <c r="EJ87" i="9"/>
  <c r="EP87" i="9" s="1"/>
  <c r="EK87" i="9"/>
  <c r="ER87" i="9" s="1"/>
  <c r="EL87" i="9"/>
  <c r="EV87" i="9" s="1"/>
  <c r="EJ88" i="9"/>
  <c r="EN88" i="9" s="1"/>
  <c r="EK88" i="9"/>
  <c r="ER88" i="9" s="1"/>
  <c r="EL88" i="9"/>
  <c r="EX88" i="9" s="1"/>
  <c r="EJ89" i="9"/>
  <c r="EN89" i="9" s="1"/>
  <c r="EK89" i="9"/>
  <c r="ER89" i="9" s="1"/>
  <c r="EL89" i="9"/>
  <c r="EV89" i="9" s="1"/>
  <c r="EJ90" i="9"/>
  <c r="EP90" i="9" s="1"/>
  <c r="EK90" i="9"/>
  <c r="ER90" i="9" s="1"/>
  <c r="EL90" i="9"/>
  <c r="EX90" i="9" s="1"/>
  <c r="EJ91" i="9"/>
  <c r="EP91" i="9" s="1"/>
  <c r="EK91" i="9"/>
  <c r="ER91" i="9" s="1"/>
  <c r="EL91" i="9"/>
  <c r="EX91" i="9" s="1"/>
  <c r="EJ92" i="9"/>
  <c r="EN92" i="9" s="1"/>
  <c r="EK92" i="9"/>
  <c r="ET92" i="9" s="1"/>
  <c r="EL92" i="9"/>
  <c r="EJ93" i="9"/>
  <c r="EN93" i="9" s="1"/>
  <c r="EK93" i="9"/>
  <c r="ER93" i="9" s="1"/>
  <c r="EL93" i="9"/>
  <c r="EJ94" i="9"/>
  <c r="EN94" i="9" s="1"/>
  <c r="EK94" i="9"/>
  <c r="ET94" i="9" s="1"/>
  <c r="EL94" i="9"/>
  <c r="EV94" i="9" s="1"/>
  <c r="EJ95" i="9"/>
  <c r="EK95" i="9"/>
  <c r="ER95" i="9" s="1"/>
  <c r="EL95" i="9"/>
  <c r="EV95" i="9" s="1"/>
  <c r="EJ96" i="9"/>
  <c r="EN96" i="9" s="1"/>
  <c r="EK96" i="9"/>
  <c r="ER96" i="9" s="1"/>
  <c r="EL96" i="9"/>
  <c r="EV96" i="9" s="1"/>
  <c r="EJ97" i="9"/>
  <c r="EP97" i="9" s="1"/>
  <c r="EK97" i="9"/>
  <c r="ER97" i="9" s="1"/>
  <c r="EL97" i="9"/>
  <c r="EV97" i="9" s="1"/>
  <c r="EJ98" i="9"/>
  <c r="EP98" i="9" s="1"/>
  <c r="EK98" i="9"/>
  <c r="ER98" i="9" s="1"/>
  <c r="EL98" i="9"/>
  <c r="EX98" i="9" s="1"/>
  <c r="EJ99" i="9"/>
  <c r="EK99" i="9"/>
  <c r="EL99" i="9"/>
  <c r="EX99" i="9" s="1"/>
  <c r="EJ100" i="9"/>
  <c r="EK100" i="9"/>
  <c r="ER100" i="9" s="1"/>
  <c r="EL100" i="9"/>
  <c r="EJ101" i="9"/>
  <c r="EN101" i="9" s="1"/>
  <c r="EK101" i="9"/>
  <c r="ER101" i="9" s="1"/>
  <c r="EL101" i="9"/>
  <c r="EV101" i="9" s="1"/>
  <c r="EJ102" i="9"/>
  <c r="EN102" i="9" s="1"/>
  <c r="EK102" i="9"/>
  <c r="ET102" i="9" s="1"/>
  <c r="EL102" i="9"/>
  <c r="EV102" i="9" s="1"/>
  <c r="EJ103" i="9"/>
  <c r="EK103" i="9"/>
  <c r="ET103" i="9" s="1"/>
  <c r="EL103" i="9"/>
  <c r="EX103" i="9" s="1"/>
  <c r="EJ104" i="9"/>
  <c r="EP104" i="9" s="1"/>
  <c r="EK104" i="9"/>
  <c r="EL104" i="9"/>
  <c r="EV104" i="9" s="1"/>
  <c r="EJ105" i="9"/>
  <c r="EN105" i="9" s="1"/>
  <c r="EK105" i="9"/>
  <c r="ER105" i="9" s="1"/>
  <c r="EL105" i="9"/>
  <c r="EX105" i="9" s="1"/>
  <c r="EJ106" i="9"/>
  <c r="EP106" i="9" s="1"/>
  <c r="EK106" i="9"/>
  <c r="ER106" i="9" s="1"/>
  <c r="EL106" i="9"/>
  <c r="EX106" i="9" s="1"/>
  <c r="EJ107" i="9"/>
  <c r="EN107" i="9" s="1"/>
  <c r="EK107" i="9"/>
  <c r="ET107" i="9" s="1"/>
  <c r="EL107" i="9"/>
  <c r="EX107" i="9" s="1"/>
  <c r="EJ108" i="9"/>
  <c r="EK108" i="9"/>
  <c r="EL108" i="9"/>
  <c r="EJ109" i="9"/>
  <c r="EN109" i="9" s="1"/>
  <c r="EK109" i="9"/>
  <c r="ER109" i="9" s="1"/>
  <c r="EL109" i="9"/>
  <c r="EV109" i="9" s="1"/>
  <c r="EJ110" i="9"/>
  <c r="EK110" i="9"/>
  <c r="ET110" i="9" s="1"/>
  <c r="EL110" i="9"/>
  <c r="EV110" i="9" s="1"/>
  <c r="EJ111" i="9"/>
  <c r="EN111" i="9" s="1"/>
  <c r="EK111" i="9"/>
  <c r="ER111" i="9" s="1"/>
  <c r="EL111" i="9"/>
  <c r="EV111" i="9" s="1"/>
  <c r="EJ112" i="9"/>
  <c r="EP112" i="9" s="1"/>
  <c r="EK112" i="9"/>
  <c r="ER112" i="9" s="1"/>
  <c r="EL112" i="9"/>
  <c r="EV112" i="9" s="1"/>
  <c r="EJ113" i="9"/>
  <c r="EN113" i="9" s="1"/>
  <c r="EK113" i="9"/>
  <c r="ET113" i="9" s="1"/>
  <c r="EL113" i="9"/>
  <c r="EV113" i="9" s="1"/>
  <c r="EJ114" i="9"/>
  <c r="EN114" i="9" s="1"/>
  <c r="EK114" i="9"/>
  <c r="ER114" i="9" s="1"/>
  <c r="EL114" i="9"/>
  <c r="EX114" i="9" s="1"/>
  <c r="EJ115" i="9"/>
  <c r="EP115" i="9" s="1"/>
  <c r="EK115" i="9"/>
  <c r="ET115" i="9" s="1"/>
  <c r="EL115" i="9"/>
  <c r="EV115" i="9" s="1"/>
  <c r="EJ116" i="9"/>
  <c r="EP116" i="9" s="1"/>
  <c r="EK116" i="9"/>
  <c r="ER116" i="9" s="1"/>
  <c r="EL116" i="9"/>
  <c r="EX116" i="9" s="1"/>
  <c r="EJ117" i="9"/>
  <c r="EK117" i="9"/>
  <c r="ER117" i="9" s="1"/>
  <c r="EL117" i="9"/>
  <c r="EX117" i="9" s="1"/>
  <c r="EJ118" i="9"/>
  <c r="EK118" i="9"/>
  <c r="ER118" i="9" s="1"/>
  <c r="EL118" i="9"/>
  <c r="EV118" i="9" s="1"/>
  <c r="EJ119" i="9"/>
  <c r="EP119" i="9" s="1"/>
  <c r="EK119" i="9"/>
  <c r="ER119" i="9" s="1"/>
  <c r="EL119" i="9"/>
  <c r="EJ120" i="9"/>
  <c r="EN120" i="9" s="1"/>
  <c r="EK120" i="9"/>
  <c r="ET120" i="9" s="1"/>
  <c r="EL120" i="9"/>
  <c r="EX120" i="9" s="1"/>
  <c r="EJ121" i="9"/>
  <c r="EK121" i="9"/>
  <c r="ER121" i="9" s="1"/>
  <c r="EL121" i="9"/>
  <c r="EV121" i="9" s="1"/>
  <c r="EJ122" i="9"/>
  <c r="EN122" i="9" s="1"/>
  <c r="EK122" i="9"/>
  <c r="ER122" i="9" s="1"/>
  <c r="EL122" i="9"/>
  <c r="EV122" i="9" s="1"/>
  <c r="EJ123" i="9"/>
  <c r="EN123" i="9" s="1"/>
  <c r="EK123" i="9"/>
  <c r="ET123" i="9" s="1"/>
  <c r="EL123" i="9"/>
  <c r="EV123" i="9" s="1"/>
  <c r="EJ124" i="9"/>
  <c r="EP124" i="9" s="1"/>
  <c r="EK124" i="9"/>
  <c r="ET124" i="9" s="1"/>
  <c r="EL124" i="9"/>
  <c r="EX124" i="9" s="1"/>
  <c r="EJ125" i="9"/>
  <c r="EP125" i="9" s="1"/>
  <c r="EK125" i="9"/>
  <c r="ER125" i="9" s="1"/>
  <c r="EL125" i="9"/>
  <c r="EX125" i="9" s="1"/>
  <c r="EJ126" i="9"/>
  <c r="EP126" i="9" s="1"/>
  <c r="EK126" i="9"/>
  <c r="ER126" i="9" s="1"/>
  <c r="EL126" i="9"/>
  <c r="EX126" i="9" s="1"/>
  <c r="EJ127" i="9"/>
  <c r="EK127" i="9"/>
  <c r="EL127" i="9"/>
  <c r="EX127" i="9" s="1"/>
  <c r="EJ128" i="9"/>
  <c r="EK128" i="9"/>
  <c r="ER128" i="9" s="1"/>
  <c r="EL128" i="9"/>
  <c r="EV128" i="9" s="1"/>
  <c r="EJ129" i="9"/>
  <c r="EK129" i="9"/>
  <c r="ER129" i="9" s="1"/>
  <c r="EL129" i="9"/>
  <c r="EX129" i="9" s="1"/>
  <c r="EJ130" i="9"/>
  <c r="EN130" i="9" s="1"/>
  <c r="EK130" i="9"/>
  <c r="ER130" i="9" s="1"/>
  <c r="EL130" i="9"/>
  <c r="EV130" i="9" s="1"/>
  <c r="EJ131" i="9"/>
  <c r="EP131" i="9" s="1"/>
  <c r="EK131" i="9"/>
  <c r="ER131" i="9" s="1"/>
  <c r="EL131" i="9"/>
  <c r="EV131" i="9" s="1"/>
  <c r="EJ132" i="9"/>
  <c r="EP132" i="9" s="1"/>
  <c r="EK132" i="9"/>
  <c r="ER132" i="9" s="1"/>
  <c r="EL132" i="9"/>
  <c r="EX132" i="9" s="1"/>
  <c r="EJ133" i="9"/>
  <c r="EP133" i="9" s="1"/>
  <c r="EK133" i="9"/>
  <c r="ER133" i="9" s="1"/>
  <c r="EL133" i="9"/>
  <c r="EX133" i="9" s="1"/>
  <c r="EJ134" i="9"/>
  <c r="EN134" i="9" s="1"/>
  <c r="EK134" i="9"/>
  <c r="ER134" i="9" s="1"/>
  <c r="EL134" i="9"/>
  <c r="EX134" i="9" s="1"/>
  <c r="EJ135" i="9"/>
  <c r="EN135" i="9" s="1"/>
  <c r="EK135" i="9"/>
  <c r="ER135" i="9" s="1"/>
  <c r="EL135" i="9"/>
  <c r="EV135" i="9" s="1"/>
  <c r="EJ136" i="9"/>
  <c r="EK136" i="9"/>
  <c r="ET136" i="9" s="1"/>
  <c r="EL136" i="9"/>
  <c r="EV136" i="9" s="1"/>
  <c r="EJ137" i="9"/>
  <c r="EN137" i="9" s="1"/>
  <c r="EK137" i="9"/>
  <c r="ER137" i="9" s="1"/>
  <c r="EL137" i="9"/>
  <c r="EV137" i="9" s="1"/>
  <c r="EJ138" i="9"/>
  <c r="EN138" i="9" s="1"/>
  <c r="EK138" i="9"/>
  <c r="ER138" i="9" s="1"/>
  <c r="EL138" i="9"/>
  <c r="EV138" i="9" s="1"/>
  <c r="EJ139" i="9"/>
  <c r="EP139" i="9" s="1"/>
  <c r="EK139" i="9"/>
  <c r="ER139" i="9" s="1"/>
  <c r="EL139" i="9"/>
  <c r="EX139" i="9" s="1"/>
  <c r="EJ140" i="9"/>
  <c r="EK140" i="9"/>
  <c r="ER140" i="9" s="1"/>
  <c r="EL140" i="9"/>
  <c r="EX140" i="9" s="1"/>
  <c r="EJ141" i="9"/>
  <c r="EK141" i="9"/>
  <c r="ER141" i="9" s="1"/>
  <c r="EL141" i="9"/>
  <c r="EX141" i="9" s="1"/>
  <c r="EJ142" i="9"/>
  <c r="EN142" i="9" s="1"/>
  <c r="EK142" i="9"/>
  <c r="ET142" i="9" s="1"/>
  <c r="EL142" i="9"/>
  <c r="EV142" i="9" s="1"/>
  <c r="EJ143" i="9"/>
  <c r="EN143" i="9" s="1"/>
  <c r="EK143" i="9"/>
  <c r="ET143" i="9" s="1"/>
  <c r="EL143" i="9"/>
  <c r="EV143" i="9" s="1"/>
  <c r="EJ144" i="9"/>
  <c r="EP144" i="9" s="1"/>
  <c r="EK144" i="9"/>
  <c r="ET144" i="9" s="1"/>
  <c r="EL144" i="9"/>
  <c r="EX144" i="9" s="1"/>
  <c r="EJ145" i="9"/>
  <c r="EK145" i="9"/>
  <c r="ET145" i="9" s="1"/>
  <c r="EL145" i="9"/>
  <c r="EX145" i="9" s="1"/>
  <c r="EJ146" i="9"/>
  <c r="EK146" i="9"/>
  <c r="ET146" i="9" s="1"/>
  <c r="EL146" i="9"/>
  <c r="EV146" i="9" s="1"/>
  <c r="EJ147" i="9"/>
  <c r="EN147" i="9" s="1"/>
  <c r="EK147" i="9"/>
  <c r="ER147" i="9" s="1"/>
  <c r="EL147" i="9"/>
  <c r="EV147" i="9" s="1"/>
  <c r="EJ148" i="9"/>
  <c r="EP148" i="9" s="1"/>
  <c r="EK148" i="9"/>
  <c r="ER148" i="9" s="1"/>
  <c r="EL148" i="9"/>
  <c r="EX148" i="9" s="1"/>
  <c r="EJ149" i="9"/>
  <c r="EP149" i="9" s="1"/>
  <c r="EK149" i="9"/>
  <c r="ET149" i="9" s="1"/>
  <c r="EL149" i="9"/>
  <c r="EV149" i="9" s="1"/>
  <c r="EJ150" i="9"/>
  <c r="EP150" i="9" s="1"/>
  <c r="EK150" i="9"/>
  <c r="ER150" i="9" s="1"/>
  <c r="EL150" i="9"/>
  <c r="EV150" i="9" s="1"/>
  <c r="EJ151" i="9"/>
  <c r="EK151" i="9"/>
  <c r="EL151" i="9"/>
  <c r="EV151" i="9" s="1"/>
  <c r="EJ152" i="9"/>
  <c r="EN152" i="9" s="1"/>
  <c r="EK152" i="9"/>
  <c r="EL152" i="9"/>
  <c r="EV152" i="9" s="1"/>
  <c r="EJ153" i="9"/>
  <c r="EP153" i="9" s="1"/>
  <c r="EK153" i="9"/>
  <c r="ET153" i="9" s="1"/>
  <c r="EL153" i="9"/>
  <c r="EX153" i="9" s="1"/>
  <c r="EJ154" i="9"/>
  <c r="EN154" i="9" s="1"/>
  <c r="EK154" i="9"/>
  <c r="ET154" i="9" s="1"/>
  <c r="EL154" i="9"/>
  <c r="EX154" i="9" s="1"/>
  <c r="EJ155" i="9"/>
  <c r="EN155" i="9" s="1"/>
  <c r="EK155" i="9"/>
  <c r="ER155" i="9" s="1"/>
  <c r="EL155" i="9"/>
  <c r="EV155" i="9" s="1"/>
  <c r="EJ156" i="9"/>
  <c r="EP156" i="9" s="1"/>
  <c r="EK156" i="9"/>
  <c r="ER156" i="9" s="1"/>
  <c r="EL156" i="9"/>
  <c r="EX156" i="9" s="1"/>
  <c r="EJ157" i="9"/>
  <c r="EN157" i="9" s="1"/>
  <c r="EK157" i="9"/>
  <c r="ET157" i="9" s="1"/>
  <c r="EL157" i="9"/>
  <c r="EV157" i="9" s="1"/>
  <c r="EJ158" i="9"/>
  <c r="EP158" i="9" s="1"/>
  <c r="EK158" i="9"/>
  <c r="ET158" i="9" s="1"/>
  <c r="EL158" i="9"/>
  <c r="EX158" i="9" s="1"/>
  <c r="EJ159" i="9"/>
  <c r="EK159" i="9"/>
  <c r="ER159" i="9" s="1"/>
  <c r="EL159" i="9"/>
  <c r="EX159" i="9" s="1"/>
  <c r="EJ160" i="9"/>
  <c r="EN160" i="9" s="1"/>
  <c r="EK160" i="9"/>
  <c r="ER160" i="9" s="1"/>
  <c r="EL160" i="9"/>
  <c r="EV160" i="9" s="1"/>
  <c r="EJ161" i="9"/>
  <c r="EK161" i="9"/>
  <c r="ER161" i="9" s="1"/>
  <c r="EL161" i="9"/>
  <c r="EX161" i="9" s="1"/>
  <c r="EJ162" i="9"/>
  <c r="EK162" i="9"/>
  <c r="ER162" i="9" s="1"/>
  <c r="EL162" i="9"/>
  <c r="EX162" i="9" s="1"/>
  <c r="EJ163" i="9"/>
  <c r="EN163" i="9" s="1"/>
  <c r="EK163" i="9"/>
  <c r="EL163" i="9"/>
  <c r="EV163" i="9" s="1"/>
  <c r="EJ164" i="9"/>
  <c r="EP164" i="9" s="1"/>
  <c r="EK164" i="9"/>
  <c r="ET164" i="9" s="1"/>
  <c r="EL164" i="9"/>
  <c r="EX164" i="9" s="1"/>
  <c r="EJ165" i="9"/>
  <c r="EP165" i="9" s="1"/>
  <c r="EK165" i="9"/>
  <c r="ET165" i="9" s="1"/>
  <c r="EL165" i="9"/>
  <c r="EJ166" i="9"/>
  <c r="EN166" i="9" s="1"/>
  <c r="EK166" i="9"/>
  <c r="ER166" i="9" s="1"/>
  <c r="EL166" i="9"/>
  <c r="EV166" i="9" s="1"/>
  <c r="EJ167" i="9"/>
  <c r="EK167" i="9"/>
  <c r="ER167" i="9" s="1"/>
  <c r="EL167" i="9"/>
  <c r="EV167" i="9" s="1"/>
  <c r="EJ168" i="9"/>
  <c r="EP168" i="9" s="1"/>
  <c r="EK168" i="9"/>
  <c r="ER168" i="9" s="1"/>
  <c r="EL168" i="9"/>
  <c r="EV168" i="9" s="1"/>
  <c r="EJ169" i="9"/>
  <c r="EP169" i="9" s="1"/>
  <c r="EK169" i="9"/>
  <c r="ER169" i="9" s="1"/>
  <c r="EL169" i="9"/>
  <c r="EX169" i="9" s="1"/>
  <c r="EJ170" i="9"/>
  <c r="EP170" i="9" s="1"/>
  <c r="EK170" i="9"/>
  <c r="ER170" i="9" s="1"/>
  <c r="EL170" i="9"/>
  <c r="EV170" i="9" s="1"/>
  <c r="EJ171" i="9"/>
  <c r="EP171" i="9" s="1"/>
  <c r="EK171" i="9"/>
  <c r="EL171" i="9"/>
  <c r="EX171" i="9" s="1"/>
  <c r="EJ172" i="9"/>
  <c r="EP172" i="9" s="1"/>
  <c r="EK172" i="9"/>
  <c r="ET172" i="9" s="1"/>
  <c r="EL172" i="9"/>
  <c r="EX172" i="9" s="1"/>
  <c r="EJ173" i="9"/>
  <c r="EK173" i="9"/>
  <c r="ET173" i="9" s="1"/>
  <c r="EL173" i="9"/>
  <c r="EX173" i="9" s="1"/>
  <c r="EJ174" i="9"/>
  <c r="EN174" i="9" s="1"/>
  <c r="EK174" i="9"/>
  <c r="ER174" i="9" s="1"/>
  <c r="EL174" i="9"/>
  <c r="EV174" i="9" s="1"/>
  <c r="EJ175" i="9"/>
  <c r="EN175" i="9" s="1"/>
  <c r="EK175" i="9"/>
  <c r="ET175" i="9" s="1"/>
  <c r="EL175" i="9"/>
  <c r="EJ176" i="9"/>
  <c r="EP176" i="9" s="1"/>
  <c r="EK176" i="9"/>
  <c r="ET176" i="9" s="1"/>
  <c r="EL176" i="9"/>
  <c r="EX176" i="9" s="1"/>
  <c r="EJ177" i="9"/>
  <c r="EK177" i="9"/>
  <c r="ER177" i="9" s="1"/>
  <c r="EL177" i="9"/>
  <c r="EV177" i="9" s="1"/>
  <c r="EJ178" i="9"/>
  <c r="EP178" i="9" s="1"/>
  <c r="EK178" i="9"/>
  <c r="ER178" i="9" s="1"/>
  <c r="EL178" i="9"/>
  <c r="EV178" i="9" s="1"/>
  <c r="EJ179" i="9"/>
  <c r="EN179" i="9" s="1"/>
  <c r="EK179" i="9"/>
  <c r="ER179" i="9" s="1"/>
  <c r="EL179" i="9"/>
  <c r="EX179" i="9" s="1"/>
  <c r="EJ180" i="9"/>
  <c r="EK180" i="9"/>
  <c r="ER180" i="9" s="1"/>
  <c r="EL180" i="9"/>
  <c r="EX180" i="9" s="1"/>
  <c r="EJ181" i="9"/>
  <c r="EK181" i="9"/>
  <c r="ER181" i="9" s="1"/>
  <c r="EL181" i="9"/>
  <c r="EV181" i="9" s="1"/>
  <c r="EJ182" i="9"/>
  <c r="EN182" i="9" s="1"/>
  <c r="EK182" i="9"/>
  <c r="ET182" i="9" s="1"/>
  <c r="EL182" i="9"/>
  <c r="EJ183" i="9"/>
  <c r="EN183" i="9" s="1"/>
  <c r="EK183" i="9"/>
  <c r="ER183" i="9" s="1"/>
  <c r="EL183" i="9"/>
  <c r="EV183" i="9" s="1"/>
  <c r="EJ184" i="9"/>
  <c r="EN184" i="9" s="1"/>
  <c r="EK184" i="9"/>
  <c r="EL184" i="9"/>
  <c r="EX184" i="9" s="1"/>
  <c r="EJ185" i="9"/>
  <c r="EK185" i="9"/>
  <c r="ER185" i="9" s="1"/>
  <c r="EL185" i="9"/>
  <c r="EJ186" i="9"/>
  <c r="EN186" i="9" s="1"/>
  <c r="EK186" i="9"/>
  <c r="ER186" i="9" s="1"/>
  <c r="EL186" i="9"/>
  <c r="EJ187" i="9"/>
  <c r="EP187" i="9" s="1"/>
  <c r="EK187" i="9"/>
  <c r="ER187" i="9" s="1"/>
  <c r="EL187" i="9"/>
  <c r="EX187" i="9" s="1"/>
  <c r="EJ188" i="9"/>
  <c r="EP188" i="9" s="1"/>
  <c r="EK188" i="9"/>
  <c r="ER188" i="9" s="1"/>
  <c r="EL188" i="9"/>
  <c r="EV188" i="9" s="1"/>
  <c r="EJ189" i="9"/>
  <c r="EN189" i="9" s="1"/>
  <c r="EK189" i="9"/>
  <c r="EL189" i="9"/>
  <c r="EV189" i="9" s="1"/>
  <c r="EJ190" i="9"/>
  <c r="EN190" i="9" s="1"/>
  <c r="EK190" i="9"/>
  <c r="ER190" i="9" s="1"/>
  <c r="EL190" i="9"/>
  <c r="EX190" i="9" s="1"/>
  <c r="EJ191" i="9"/>
  <c r="EN191" i="9" s="1"/>
  <c r="EK191" i="9"/>
  <c r="ET191" i="9" s="1"/>
  <c r="EL191" i="9"/>
  <c r="EX191" i="9" s="1"/>
  <c r="EJ192" i="9"/>
  <c r="EN192" i="9" s="1"/>
  <c r="EK192" i="9"/>
  <c r="ER192" i="9" s="1"/>
  <c r="EL192" i="9"/>
  <c r="EV192" i="9" s="1"/>
  <c r="EJ193" i="9"/>
  <c r="EP193" i="9" s="1"/>
  <c r="EK193" i="9"/>
  <c r="ER193" i="9" s="1"/>
  <c r="EL193" i="9"/>
  <c r="EJ194" i="9"/>
  <c r="EN194" i="9" s="1"/>
  <c r="EK194" i="9"/>
  <c r="ER194" i="9" s="1"/>
  <c r="EL194" i="9"/>
  <c r="EV194" i="9" s="1"/>
  <c r="EJ195" i="9"/>
  <c r="EP195" i="9" s="1"/>
  <c r="EK195" i="9"/>
  <c r="ER195" i="9" s="1"/>
  <c r="EL195" i="9"/>
  <c r="EX195" i="9" s="1"/>
  <c r="EJ196" i="9"/>
  <c r="EN196" i="9" s="1"/>
  <c r="EK196" i="9"/>
  <c r="ET196" i="9" s="1"/>
  <c r="EL196" i="9"/>
  <c r="EX196" i="9" s="1"/>
  <c r="EJ197" i="9"/>
  <c r="EN197" i="9" s="1"/>
  <c r="EK197" i="9"/>
  <c r="ER197" i="9" s="1"/>
  <c r="EL197" i="9"/>
  <c r="EV197" i="9" s="1"/>
  <c r="EJ198" i="9"/>
  <c r="EN198" i="9" s="1"/>
  <c r="EK198" i="9"/>
  <c r="ER198" i="9" s="1"/>
  <c r="EL198" i="9"/>
  <c r="EX198" i="9" s="1"/>
  <c r="EJ199" i="9"/>
  <c r="EK199" i="9"/>
  <c r="ER199" i="9" s="1"/>
  <c r="EL199" i="9"/>
  <c r="EV199" i="9" s="1"/>
  <c r="EJ200" i="9"/>
  <c r="EN200" i="9" s="1"/>
  <c r="EK200" i="9"/>
  <c r="ER200" i="9" s="1"/>
  <c r="EL200" i="9"/>
  <c r="EJ201" i="9"/>
  <c r="EN201" i="9" s="1"/>
  <c r="EK201" i="9"/>
  <c r="EL201" i="9"/>
  <c r="EX201" i="9" s="1"/>
  <c r="EJ202" i="9"/>
  <c r="EK202" i="9"/>
  <c r="ET202" i="9" s="1"/>
  <c r="EL202" i="9"/>
  <c r="EV202" i="9" s="1"/>
  <c r="EJ203" i="9"/>
  <c r="EN203" i="9" s="1"/>
  <c r="EK203" i="9"/>
  <c r="ER203" i="9" s="1"/>
  <c r="EL203" i="9"/>
  <c r="EX203" i="9" s="1"/>
  <c r="EJ204" i="9"/>
  <c r="EP204" i="9" s="1"/>
  <c r="EK204" i="9"/>
  <c r="ER204" i="9" s="1"/>
  <c r="EL204" i="9"/>
  <c r="EV204" i="9" s="1"/>
  <c r="EJ205" i="9"/>
  <c r="EP205" i="9" s="1"/>
  <c r="EK205" i="9"/>
  <c r="ET205" i="9" s="1"/>
  <c r="EL205" i="9"/>
  <c r="EV205" i="9" s="1"/>
  <c r="EJ206" i="9"/>
  <c r="EP206" i="9" s="1"/>
  <c r="EK206" i="9"/>
  <c r="EL206" i="9"/>
  <c r="EX206" i="9" s="1"/>
  <c r="EJ207" i="9"/>
  <c r="EN207" i="9" s="1"/>
  <c r="EK207" i="9"/>
  <c r="ER207" i="9" s="1"/>
  <c r="EL207" i="9"/>
  <c r="EV207" i="9" s="1"/>
  <c r="EJ208" i="9"/>
  <c r="EN208" i="9" s="1"/>
  <c r="EK208" i="9"/>
  <c r="ER208" i="9" s="1"/>
  <c r="EL208" i="9"/>
  <c r="EJ209" i="9"/>
  <c r="EN209" i="9" s="1"/>
  <c r="EK209" i="9"/>
  <c r="ER209" i="9" s="1"/>
  <c r="EL209" i="9"/>
  <c r="EV209" i="9" s="1"/>
  <c r="EJ210" i="9"/>
  <c r="EK210" i="9"/>
  <c r="ET210" i="9" s="1"/>
  <c r="EL210" i="9"/>
  <c r="EX210" i="9" s="1"/>
  <c r="EJ211" i="9"/>
  <c r="EP211" i="9" s="1"/>
  <c r="EK211" i="9"/>
  <c r="ET211" i="9" s="1"/>
  <c r="EL211" i="9"/>
  <c r="EV211" i="9" s="1"/>
  <c r="EJ212" i="9"/>
  <c r="EK212" i="9"/>
  <c r="EL212" i="9"/>
  <c r="EV212" i="9" s="1"/>
  <c r="EJ213" i="9"/>
  <c r="EK213" i="9"/>
  <c r="ER213" i="9" s="1"/>
  <c r="EL213" i="9"/>
  <c r="EV213" i="9" s="1"/>
  <c r="EJ214" i="9"/>
  <c r="EP214" i="9" s="1"/>
  <c r="EK214" i="9"/>
  <c r="EL214" i="9"/>
  <c r="EX214" i="9" s="1"/>
  <c r="EJ215" i="9"/>
  <c r="EN215" i="9" s="1"/>
  <c r="EK215" i="9"/>
  <c r="ER215" i="9" s="1"/>
  <c r="EL215" i="9"/>
  <c r="EV215" i="9" s="1"/>
  <c r="EJ216" i="9"/>
  <c r="EN216" i="9" s="1"/>
  <c r="EK216" i="9"/>
  <c r="ER216" i="9" s="1"/>
  <c r="EL216" i="9"/>
  <c r="EV216" i="9" s="1"/>
  <c r="EJ217" i="9"/>
  <c r="EN217" i="9" s="1"/>
  <c r="EK217" i="9"/>
  <c r="EL217" i="9"/>
  <c r="EV217" i="9" s="1"/>
  <c r="EJ218" i="9"/>
  <c r="EP218" i="9" s="1"/>
  <c r="EK218" i="9"/>
  <c r="ET218" i="9" s="1"/>
  <c r="EL218" i="9"/>
  <c r="EX218" i="9" s="1"/>
  <c r="EJ219" i="9"/>
  <c r="EN219" i="9" s="1"/>
  <c r="EK219" i="9"/>
  <c r="ER219" i="9" s="1"/>
  <c r="EL219" i="9"/>
  <c r="EV219" i="9" s="1"/>
  <c r="EJ220" i="9"/>
  <c r="EP220" i="9" s="1"/>
  <c r="EK220" i="9"/>
  <c r="ER220" i="9" s="1"/>
  <c r="EL220" i="9"/>
  <c r="EV220" i="9" s="1"/>
  <c r="EJ221" i="9"/>
  <c r="EK221" i="9"/>
  <c r="ER221" i="9" s="1"/>
  <c r="EL221" i="9"/>
  <c r="EV221" i="9" s="1"/>
  <c r="EJ222" i="9"/>
  <c r="EP222" i="9" s="1"/>
  <c r="EK222" i="9"/>
  <c r="ET222" i="9" s="1"/>
  <c r="EL222" i="9"/>
  <c r="EX222" i="9" s="1"/>
  <c r="EJ223" i="9"/>
  <c r="EN223" i="9" s="1"/>
  <c r="EK223" i="9"/>
  <c r="ET223" i="9" s="1"/>
  <c r="EL223" i="9"/>
  <c r="EV223" i="9" s="1"/>
  <c r="EJ224" i="9"/>
  <c r="EN224" i="9" s="1"/>
  <c r="EK224" i="9"/>
  <c r="ER224" i="9" s="1"/>
  <c r="EL224" i="9"/>
  <c r="EV224" i="9" s="1"/>
  <c r="EJ225" i="9"/>
  <c r="EN225" i="9" s="1"/>
  <c r="EK225" i="9"/>
  <c r="EL225" i="9"/>
  <c r="EV225" i="9" s="1"/>
  <c r="EJ226" i="9"/>
  <c r="EP226" i="9" s="1"/>
  <c r="EK226" i="9"/>
  <c r="ET226" i="9" s="1"/>
  <c r="EL226" i="9"/>
  <c r="EV226" i="9" s="1"/>
  <c r="EJ227" i="9"/>
  <c r="EN227" i="9" s="1"/>
  <c r="EK227" i="9"/>
  <c r="ER227" i="9" s="1"/>
  <c r="EL227" i="9"/>
  <c r="EV227" i="9" s="1"/>
  <c r="EJ228" i="9"/>
  <c r="EK228" i="9"/>
  <c r="ER228" i="9" s="1"/>
  <c r="EL228" i="9"/>
  <c r="EX228" i="9" s="1"/>
  <c r="EJ229" i="9"/>
  <c r="EP229" i="9" s="1"/>
  <c r="EK229" i="9"/>
  <c r="ER229" i="9" s="1"/>
  <c r="EL229" i="9"/>
  <c r="EX229" i="9" s="1"/>
  <c r="EJ230" i="9"/>
  <c r="EK230" i="9"/>
  <c r="ET230" i="9" s="1"/>
  <c r="EL230" i="9"/>
  <c r="EX230" i="9" s="1"/>
  <c r="EJ231" i="9"/>
  <c r="EN231" i="9" s="1"/>
  <c r="EK231" i="9"/>
  <c r="ER231" i="9" s="1"/>
  <c r="EL231" i="9"/>
  <c r="EV231" i="9" s="1"/>
  <c r="EJ232" i="9"/>
  <c r="EK232" i="9"/>
  <c r="ER232" i="9" s="1"/>
  <c r="EL232" i="9"/>
  <c r="EV232" i="9" s="1"/>
  <c r="EJ233" i="9"/>
  <c r="EK233" i="9"/>
  <c r="ER233" i="9" s="1"/>
  <c r="EL233" i="9"/>
  <c r="EV233" i="9" s="1"/>
  <c r="EJ234" i="9"/>
  <c r="EK234" i="9"/>
  <c r="ER234" i="9" s="1"/>
  <c r="EL234" i="9"/>
  <c r="EV234" i="9" s="1"/>
  <c r="EJ235" i="9"/>
  <c r="EN235" i="9" s="1"/>
  <c r="EK235" i="9"/>
  <c r="ER235" i="9" s="1"/>
  <c r="EL235" i="9"/>
  <c r="EV235" i="9" s="1"/>
  <c r="EJ236" i="9"/>
  <c r="EK236" i="9"/>
  <c r="ER236" i="9" s="1"/>
  <c r="EL236" i="9"/>
  <c r="EX236" i="9" s="1"/>
  <c r="EJ237" i="9"/>
  <c r="EP237" i="9" s="1"/>
  <c r="EK237" i="9"/>
  <c r="ET237" i="9" s="1"/>
  <c r="EL237" i="9"/>
  <c r="EX237" i="9" s="1"/>
  <c r="EJ238" i="9"/>
  <c r="EN238" i="9" s="1"/>
  <c r="EK238" i="9"/>
  <c r="ER238" i="9" s="1"/>
  <c r="EL238" i="9"/>
  <c r="EJ239" i="9"/>
  <c r="EP239" i="9" s="1"/>
  <c r="EK239" i="9"/>
  <c r="ER239" i="9" s="1"/>
  <c r="EL239" i="9"/>
  <c r="EJ240" i="9"/>
  <c r="EK240" i="9"/>
  <c r="EL240" i="9"/>
  <c r="EV240" i="9" s="1"/>
  <c r="EJ241" i="9"/>
  <c r="EK241" i="9"/>
  <c r="ET241" i="9" s="1"/>
  <c r="EL241" i="9"/>
  <c r="EX241" i="9" s="1"/>
  <c r="EJ242" i="9"/>
  <c r="EP242" i="9" s="1"/>
  <c r="EK242" i="9"/>
  <c r="ER242" i="9" s="1"/>
  <c r="EL242" i="9"/>
  <c r="EV242" i="9" s="1"/>
  <c r="EJ243" i="9"/>
  <c r="EN243" i="9" s="1"/>
  <c r="EK243" i="9"/>
  <c r="ER243" i="9" s="1"/>
  <c r="EL243" i="9"/>
  <c r="EV243" i="9" s="1"/>
  <c r="EJ244" i="9"/>
  <c r="EP244" i="9" s="1"/>
  <c r="EK244" i="9"/>
  <c r="EL244" i="9"/>
  <c r="EX244" i="9" s="1"/>
  <c r="EJ245" i="9"/>
  <c r="EK245" i="9"/>
  <c r="ET245" i="9" s="1"/>
  <c r="EL245" i="9"/>
  <c r="EV245" i="9" s="1"/>
  <c r="EJ246" i="9"/>
  <c r="EN246" i="9" s="1"/>
  <c r="EK246" i="9"/>
  <c r="ER246" i="9" s="1"/>
  <c r="EL246" i="9"/>
  <c r="EV246" i="9" s="1"/>
  <c r="EJ247" i="9"/>
  <c r="EP247" i="9" s="1"/>
  <c r="EK247" i="9"/>
  <c r="ER247" i="9" s="1"/>
  <c r="EL247" i="9"/>
  <c r="EX247" i="9" s="1"/>
  <c r="EJ248" i="9"/>
  <c r="EP248" i="9" s="1"/>
  <c r="EK248" i="9"/>
  <c r="ET248" i="9" s="1"/>
  <c r="EL248" i="9"/>
  <c r="EX248" i="9" s="1"/>
  <c r="EJ249" i="9"/>
  <c r="EP249" i="9" s="1"/>
  <c r="EK249" i="9"/>
  <c r="ER249" i="9" s="1"/>
  <c r="EL249" i="9"/>
  <c r="EX249" i="9" s="1"/>
  <c r="EJ250" i="9"/>
  <c r="EK250" i="9"/>
  <c r="ER250" i="9" s="1"/>
  <c r="EL250" i="9"/>
  <c r="EV250" i="9" s="1"/>
  <c r="EJ6" i="9"/>
  <c r="EK6" i="9"/>
  <c r="ER6" i="9" s="1"/>
  <c r="EL6" i="9"/>
  <c r="EX6" i="9" s="1"/>
  <c r="EJ7" i="9"/>
  <c r="EK7" i="9"/>
  <c r="ER7" i="9" s="1"/>
  <c r="EL7" i="9"/>
  <c r="EX7" i="9" s="1"/>
  <c r="EJ8" i="9"/>
  <c r="EP8" i="9" s="1"/>
  <c r="EK8" i="9"/>
  <c r="ER8" i="9" s="1"/>
  <c r="EL8" i="9"/>
  <c r="EV8" i="9" s="1"/>
  <c r="EJ9" i="9"/>
  <c r="EK9" i="9"/>
  <c r="ER9" i="9" s="1"/>
  <c r="EL9" i="9"/>
  <c r="EX9" i="9" s="1"/>
  <c r="EJ10" i="9"/>
  <c r="EP10" i="9" s="1"/>
  <c r="EK10" i="9"/>
  <c r="ET10" i="9" s="1"/>
  <c r="EL10" i="9"/>
  <c r="EX10" i="9" s="1"/>
  <c r="EJ11" i="9"/>
  <c r="EP11" i="9" s="1"/>
  <c r="EK11" i="9"/>
  <c r="ER11" i="9" s="1"/>
  <c r="EL11" i="9"/>
  <c r="EV11" i="9" s="1"/>
  <c r="EJ12" i="9"/>
  <c r="EP12" i="9" s="1"/>
  <c r="EK12" i="9"/>
  <c r="ER12" i="9" s="1"/>
  <c r="EL12" i="9"/>
  <c r="EV12" i="9" s="1"/>
  <c r="EJ13" i="9"/>
  <c r="EK13" i="9"/>
  <c r="ER13" i="9" s="1"/>
  <c r="EL13" i="9"/>
  <c r="EV13" i="9" s="1"/>
  <c r="EJ14" i="9"/>
  <c r="EP14" i="9" s="1"/>
  <c r="EK14" i="9"/>
  <c r="ET14" i="9" s="1"/>
  <c r="EL14" i="9"/>
  <c r="EV14" i="9" s="1"/>
  <c r="EJ15" i="9"/>
  <c r="EK15" i="9"/>
  <c r="ER15" i="9" s="1"/>
  <c r="EL15" i="9"/>
  <c r="EV15" i="9" s="1"/>
  <c r="EJ16" i="9"/>
  <c r="EP16" i="9" s="1"/>
  <c r="EK16" i="9"/>
  <c r="ET16" i="9" s="1"/>
  <c r="EL16" i="9"/>
  <c r="EV16" i="9" s="1"/>
  <c r="EJ17" i="9"/>
  <c r="EP17" i="9" s="1"/>
  <c r="EK17" i="9"/>
  <c r="ER17" i="9" s="1"/>
  <c r="EL17" i="9"/>
  <c r="EX17" i="9" s="1"/>
  <c r="EJ18" i="9"/>
  <c r="EN18" i="9" s="1"/>
  <c r="EK18" i="9"/>
  <c r="ER18" i="9" s="1"/>
  <c r="EL18" i="9"/>
  <c r="EV18" i="9" s="1"/>
  <c r="EJ19" i="9"/>
  <c r="EK19" i="9"/>
  <c r="ER19" i="9" s="1"/>
  <c r="EL19" i="9"/>
  <c r="EX19" i="9" s="1"/>
  <c r="EJ20" i="9"/>
  <c r="EK20" i="9"/>
  <c r="ER20" i="9" s="1"/>
  <c r="EL20" i="9"/>
  <c r="EV20" i="9" s="1"/>
  <c r="EJ21" i="9"/>
  <c r="EK21" i="9"/>
  <c r="ER21" i="9" s="1"/>
  <c r="EL21" i="9"/>
  <c r="EV21" i="9" s="1"/>
  <c r="EJ22" i="9"/>
  <c r="EP22" i="9" s="1"/>
  <c r="EK22" i="9"/>
  <c r="ER22" i="9" s="1"/>
  <c r="EL22" i="9"/>
  <c r="EV22" i="9" s="1"/>
  <c r="EJ23" i="9"/>
  <c r="EP23" i="9" s="1"/>
  <c r="EK23" i="9"/>
  <c r="ET23" i="9" s="1"/>
  <c r="EL23" i="9"/>
  <c r="EV23" i="9" s="1"/>
  <c r="EJ24" i="9"/>
  <c r="EK24" i="9"/>
  <c r="ET24" i="9" s="1"/>
  <c r="EL24" i="9"/>
  <c r="EX24" i="9" s="1"/>
  <c r="EJ25" i="9"/>
  <c r="EN25" i="9" s="1"/>
  <c r="EK25" i="9"/>
  <c r="ER25" i="9" s="1"/>
  <c r="EL25" i="9"/>
  <c r="EV25" i="9" s="1"/>
  <c r="EA6" i="9"/>
  <c r="GP6" i="9" s="1"/>
  <c r="GF6" i="9" s="1"/>
  <c r="EJ5" i="9"/>
  <c r="EN5" i="9" s="1"/>
  <c r="EL5" i="9"/>
  <c r="EV5" i="9" s="1"/>
  <c r="EK5" i="9"/>
  <c r="ET5" i="9" s="1"/>
  <c r="AG39" i="9"/>
  <c r="AG40" i="9"/>
  <c r="AG41" i="9"/>
  <c r="AG42" i="9"/>
  <c r="G40" i="9"/>
  <c r="L40" i="9" s="1"/>
  <c r="AE30" i="9" s="1"/>
  <c r="Z30" i="9" s="1"/>
  <c r="G41" i="9"/>
  <c r="L41" i="9" s="1"/>
  <c r="HB18" i="9" s="1"/>
  <c r="G42" i="9"/>
  <c r="G39" i="9"/>
  <c r="EF275" i="9"/>
  <c r="EF281" i="9" s="1"/>
  <c r="EE275" i="9"/>
  <c r="ED275" i="9"/>
  <c r="EC275" i="9"/>
  <c r="EC281" i="9" s="1"/>
  <c r="EB275" i="9"/>
  <c r="EB281" i="9" s="1"/>
  <c r="EF274" i="9"/>
  <c r="EE274" i="9"/>
  <c r="ED274" i="9"/>
  <c r="EC274" i="9"/>
  <c r="EB274" i="9"/>
  <c r="AN9" i="9"/>
  <c r="U31" i="6"/>
  <c r="U30" i="6"/>
  <c r="U29" i="6"/>
  <c r="U29" i="5"/>
  <c r="U28" i="5"/>
  <c r="U28" i="4"/>
  <c r="U27" i="4"/>
  <c r="D129" i="3"/>
  <c r="D128" i="3"/>
  <c r="D127" i="3"/>
  <c r="D126" i="3"/>
  <c r="D125" i="3"/>
  <c r="D124" i="3"/>
  <c r="D123" i="3"/>
  <c r="D122" i="3"/>
  <c r="D121" i="3"/>
  <c r="D120" i="3"/>
  <c r="D119" i="3"/>
  <c r="W118" i="3"/>
  <c r="V120" i="3" s="1"/>
  <c r="D118" i="3"/>
  <c r="D117" i="3"/>
  <c r="D116" i="3"/>
  <c r="W115" i="3"/>
  <c r="D115" i="3"/>
  <c r="AT114" i="3"/>
  <c r="D114" i="3"/>
  <c r="AT113" i="3"/>
  <c r="AT112" i="3"/>
  <c r="H110" i="3"/>
  <c r="H109" i="3"/>
  <c r="AS107" i="3"/>
  <c r="I76" i="3"/>
  <c r="C76" i="3"/>
  <c r="I75" i="3"/>
  <c r="C75" i="3"/>
  <c r="I74" i="3"/>
  <c r="C74" i="3"/>
  <c r="I73" i="3"/>
  <c r="C73" i="3"/>
  <c r="I72" i="3"/>
  <c r="C72" i="3"/>
  <c r="I71" i="3"/>
  <c r="C71" i="3"/>
  <c r="I70" i="3"/>
  <c r="C70" i="3"/>
  <c r="I69" i="3"/>
  <c r="C69" i="3"/>
  <c r="I68" i="3"/>
  <c r="C68" i="3"/>
  <c r="I67" i="3"/>
  <c r="C67" i="3"/>
  <c r="I66" i="3"/>
  <c r="C66" i="3"/>
  <c r="I65" i="3"/>
  <c r="C65" i="3"/>
  <c r="I64" i="3"/>
  <c r="C64" i="3"/>
  <c r="I63" i="3"/>
  <c r="C63" i="3"/>
  <c r="I62" i="3"/>
  <c r="C62" i="3"/>
  <c r="C61" i="3"/>
  <c r="AS59" i="3"/>
  <c r="AS58" i="3"/>
  <c r="BD33" i="3"/>
  <c r="BD32" i="3"/>
  <c r="BV31" i="3"/>
  <c r="BV30" i="3"/>
  <c r="AK20" i="3"/>
  <c r="BJ18" i="3" s="1"/>
  <c r="BJ19" i="3" s="1"/>
  <c r="AK19" i="3"/>
  <c r="AK17" i="3"/>
  <c r="BD16" i="3"/>
  <c r="BD15" i="3"/>
  <c r="BV14" i="3"/>
  <c r="BV13" i="3"/>
  <c r="AN9" i="3"/>
  <c r="W118" i="2"/>
  <c r="W115" i="2"/>
  <c r="AT112" i="2"/>
  <c r="AT110" i="2"/>
  <c r="H110" i="2"/>
  <c r="H109" i="2"/>
  <c r="I76" i="2"/>
  <c r="C76" i="2"/>
  <c r="D129" i="2" s="1"/>
  <c r="I75" i="2"/>
  <c r="C75" i="2"/>
  <c r="D128" i="2" s="1"/>
  <c r="I74" i="2"/>
  <c r="C74" i="2"/>
  <c r="D127" i="2" s="1"/>
  <c r="I73" i="2"/>
  <c r="C73" i="2"/>
  <c r="D126" i="2" s="1"/>
  <c r="I72" i="2"/>
  <c r="C72" i="2"/>
  <c r="D125" i="2" s="1"/>
  <c r="I71" i="2"/>
  <c r="C71" i="2"/>
  <c r="D124" i="2" s="1"/>
  <c r="I70" i="2"/>
  <c r="C70" i="2"/>
  <c r="D123" i="2" s="1"/>
  <c r="I69" i="2"/>
  <c r="C69" i="2"/>
  <c r="D122" i="2" s="1"/>
  <c r="I68" i="2"/>
  <c r="C68" i="2"/>
  <c r="D121" i="2" s="1"/>
  <c r="I67" i="2"/>
  <c r="C67" i="2"/>
  <c r="D120" i="2" s="1"/>
  <c r="I66" i="2"/>
  <c r="C66" i="2"/>
  <c r="D119" i="2" s="1"/>
  <c r="I65" i="2"/>
  <c r="C65" i="2"/>
  <c r="D118" i="2" s="1"/>
  <c r="I64" i="2"/>
  <c r="C64" i="2"/>
  <c r="D117" i="2" s="1"/>
  <c r="I63" i="2"/>
  <c r="C63" i="2"/>
  <c r="D116" i="2" s="1"/>
  <c r="I62" i="2"/>
  <c r="C62" i="2"/>
  <c r="D115" i="2" s="1"/>
  <c r="C61" i="2"/>
  <c r="D114" i="2" s="1"/>
  <c r="AS59" i="2"/>
  <c r="AS58" i="2"/>
  <c r="AK20" i="2"/>
  <c r="BJ18" i="2" s="1"/>
  <c r="BJ19" i="2" s="1"/>
  <c r="AK19" i="2"/>
  <c r="AK17" i="2"/>
  <c r="AJ30" i="2" s="1"/>
  <c r="DW12" i="2" s="1"/>
  <c r="BD16" i="2"/>
  <c r="BD15" i="2"/>
  <c r="BV14" i="2"/>
  <c r="BV13" i="2"/>
  <c r="AN9" i="2"/>
  <c r="W118" i="1"/>
  <c r="W115" i="1"/>
  <c r="AT111" i="1"/>
  <c r="H110" i="1"/>
  <c r="H109" i="1"/>
  <c r="I76" i="1"/>
  <c r="U76" i="1" s="1"/>
  <c r="C76" i="1"/>
  <c r="D129" i="1" s="1"/>
  <c r="I75" i="1"/>
  <c r="U75" i="1" s="1"/>
  <c r="C75" i="1"/>
  <c r="D128" i="1" s="1"/>
  <c r="I74" i="1"/>
  <c r="U74" i="1" s="1"/>
  <c r="C74" i="1"/>
  <c r="D127" i="1" s="1"/>
  <c r="I73" i="1"/>
  <c r="U73" i="1" s="1"/>
  <c r="C73" i="1"/>
  <c r="D126" i="1" s="1"/>
  <c r="I72" i="1"/>
  <c r="U72" i="1" s="1"/>
  <c r="C72" i="1"/>
  <c r="D125" i="1" s="1"/>
  <c r="I71" i="1"/>
  <c r="U71" i="1" s="1"/>
  <c r="C71" i="1"/>
  <c r="D124" i="1" s="1"/>
  <c r="I70" i="1"/>
  <c r="U70" i="1" s="1"/>
  <c r="C70" i="1"/>
  <c r="D123" i="1" s="1"/>
  <c r="I69" i="1"/>
  <c r="U69" i="1" s="1"/>
  <c r="C69" i="1"/>
  <c r="D122" i="1" s="1"/>
  <c r="I68" i="1"/>
  <c r="U68" i="1" s="1"/>
  <c r="C68" i="1"/>
  <c r="D121" i="1" s="1"/>
  <c r="I67" i="1"/>
  <c r="U67" i="1" s="1"/>
  <c r="C67" i="1"/>
  <c r="D120" i="1" s="1"/>
  <c r="I66" i="1"/>
  <c r="U66" i="1" s="1"/>
  <c r="C66" i="1"/>
  <c r="D119" i="1" s="1"/>
  <c r="I65" i="1"/>
  <c r="U65" i="1" s="1"/>
  <c r="C65" i="1"/>
  <c r="D118" i="1" s="1"/>
  <c r="I64" i="1"/>
  <c r="U64" i="1" s="1"/>
  <c r="C64" i="1"/>
  <c r="D117" i="1" s="1"/>
  <c r="I63" i="1"/>
  <c r="U63" i="1" s="1"/>
  <c r="C63" i="1"/>
  <c r="D116" i="1" s="1"/>
  <c r="I62" i="1"/>
  <c r="U62" i="1" s="1"/>
  <c r="C62" i="1"/>
  <c r="D115" i="1" s="1"/>
  <c r="C61" i="1"/>
  <c r="D114" i="1" s="1"/>
  <c r="AS59" i="1"/>
  <c r="AS58" i="1"/>
  <c r="AK20" i="1"/>
  <c r="BJ18" i="1" s="1"/>
  <c r="BJ19" i="1" s="1"/>
  <c r="AK19" i="1"/>
  <c r="AK17" i="1"/>
  <c r="AJ30" i="1" s="1"/>
  <c r="DK12" i="1" s="1"/>
  <c r="BD16" i="1"/>
  <c r="BD15" i="1"/>
  <c r="BV14" i="1"/>
  <c r="BV13" i="1"/>
  <c r="AN9" i="1"/>
  <c r="JQ18" i="9" l="1"/>
  <c r="JV18" i="9"/>
  <c r="KK18" i="9" s="1"/>
  <c r="KM18" i="9" s="1"/>
  <c r="JZ18" i="9"/>
  <c r="DW6" i="2"/>
  <c r="DW10" i="2"/>
  <c r="DW18" i="2"/>
  <c r="CX7" i="2"/>
  <c r="CK8" i="2"/>
  <c r="CP6" i="2"/>
  <c r="CP7" i="2"/>
  <c r="CP5" i="2"/>
  <c r="CZ5" i="2" s="1"/>
  <c r="DX16" i="2"/>
  <c r="CN6" i="2"/>
  <c r="CN7" i="2"/>
  <c r="CN5" i="2"/>
  <c r="DX13" i="2"/>
  <c r="DW14" i="2"/>
  <c r="DW5" i="2"/>
  <c r="DX9" i="2"/>
  <c r="DX17" i="2"/>
  <c r="DW9" i="2"/>
  <c r="DW17" i="2"/>
  <c r="DX11" i="2"/>
  <c r="DX19" i="2"/>
  <c r="DW11" i="2"/>
  <c r="DW19" i="2"/>
  <c r="DW7" i="2"/>
  <c r="DW13" i="2"/>
  <c r="DX8" i="2"/>
  <c r="DW15" i="2"/>
  <c r="DX12" i="2"/>
  <c r="DX5" i="2"/>
  <c r="DW8" i="2"/>
  <c r="DX10" i="2"/>
  <c r="DX15" i="2"/>
  <c r="DW16" i="2"/>
  <c r="DX14" i="2"/>
  <c r="DX7" i="2"/>
  <c r="DR11" i="2"/>
  <c r="DS11" i="2" s="1"/>
  <c r="DR14" i="2"/>
  <c r="DS14" i="2" s="1"/>
  <c r="DR19" i="2"/>
  <c r="DR5" i="2"/>
  <c r="DR13" i="2"/>
  <c r="DR8" i="2"/>
  <c r="DR16" i="2"/>
  <c r="DR7" i="2"/>
  <c r="DR12" i="2"/>
  <c r="DR15" i="2"/>
  <c r="DL11" i="2"/>
  <c r="DL19" i="2"/>
  <c r="DL9" i="2"/>
  <c r="DL17" i="2"/>
  <c r="DL12" i="2"/>
  <c r="DL4" i="2"/>
  <c r="DL5" i="2"/>
  <c r="DL13" i="2"/>
  <c r="DL6" i="2"/>
  <c r="DL14" i="2"/>
  <c r="DL7" i="2"/>
  <c r="DL15" i="2"/>
  <c r="DL8" i="2"/>
  <c r="DL16" i="2"/>
  <c r="DR9" i="2"/>
  <c r="DR17" i="2"/>
  <c r="DR10" i="2"/>
  <c r="DR18" i="2"/>
  <c r="DL10" i="2"/>
  <c r="DL18" i="2"/>
  <c r="DR6" i="2"/>
  <c r="DT9" i="1"/>
  <c r="DT18" i="1"/>
  <c r="DT16" i="1"/>
  <c r="DT8" i="1"/>
  <c r="DT20" i="1"/>
  <c r="DT17" i="1"/>
  <c r="DT14" i="1"/>
  <c r="DT21" i="1"/>
  <c r="CQ7" i="1"/>
  <c r="CQ6" i="1"/>
  <c r="DK15" i="1"/>
  <c r="DM15" i="1" s="1"/>
  <c r="CM8" i="1"/>
  <c r="CM9" i="1" s="1"/>
  <c r="CO9" i="1" s="1"/>
  <c r="DK19" i="1"/>
  <c r="DL19" i="1" s="1"/>
  <c r="DN19" i="1" s="1"/>
  <c r="DM12" i="1"/>
  <c r="DL12" i="1"/>
  <c r="DN12" i="1" s="1"/>
  <c r="DM19" i="1"/>
  <c r="DK20" i="1"/>
  <c r="DK17" i="1"/>
  <c r="DK14" i="1"/>
  <c r="DK9" i="1"/>
  <c r="CV6" i="1"/>
  <c r="CV7" i="1"/>
  <c r="DL15" i="1"/>
  <c r="DN15" i="1" s="1"/>
  <c r="CO6" i="1"/>
  <c r="DG8" i="1"/>
  <c r="DG16" i="1"/>
  <c r="DK16" i="1"/>
  <c r="DG13" i="1"/>
  <c r="DG20" i="1"/>
  <c r="DO20" i="1" s="1"/>
  <c r="DG9" i="1"/>
  <c r="DG17" i="1"/>
  <c r="DG14" i="1"/>
  <c r="DG21" i="1"/>
  <c r="DG10" i="1"/>
  <c r="DO10" i="1" s="1"/>
  <c r="DG18" i="1"/>
  <c r="DO18" i="1" s="1"/>
  <c r="DG6" i="1"/>
  <c r="CO7" i="1"/>
  <c r="DK11" i="1"/>
  <c r="DG12" i="1"/>
  <c r="DO12" i="1" s="1"/>
  <c r="DK13" i="1"/>
  <c r="DK21" i="1"/>
  <c r="DG15" i="1"/>
  <c r="DK7" i="1"/>
  <c r="DG11" i="1"/>
  <c r="DG7" i="1"/>
  <c r="DG19" i="1"/>
  <c r="DK18" i="1"/>
  <c r="DK8" i="1"/>
  <c r="DK10" i="1"/>
  <c r="CO343" i="10"/>
  <c r="CM320" i="10"/>
  <c r="CO341" i="10"/>
  <c r="CM318" i="10"/>
  <c r="CO351" i="10"/>
  <c r="CM328" i="10"/>
  <c r="CO349" i="10"/>
  <c r="CM326" i="10"/>
  <c r="CO354" i="10"/>
  <c r="CM331" i="10"/>
  <c r="CO344" i="10"/>
  <c r="CM321" i="10"/>
  <c r="CO342" i="10"/>
  <c r="CM319" i="10"/>
  <c r="CO352" i="10"/>
  <c r="CM329" i="10"/>
  <c r="CO346" i="10"/>
  <c r="CM323" i="10"/>
  <c r="CO345" i="10"/>
  <c r="CM322" i="10"/>
  <c r="CO355" i="10"/>
  <c r="CM332" i="10"/>
  <c r="CO353" i="10"/>
  <c r="CM330" i="10"/>
  <c r="CO347" i="10"/>
  <c r="CM324" i="10"/>
  <c r="CO348" i="10"/>
  <c r="CM325" i="10"/>
  <c r="CO350" i="10"/>
  <c r="CM327" i="10"/>
  <c r="BG107" i="10"/>
  <c r="CJ73" i="10"/>
  <c r="BL107" i="10"/>
  <c r="CK73" i="10"/>
  <c r="BV107" i="10"/>
  <c r="CM73" i="10"/>
  <c r="EL110" i="10"/>
  <c r="ER109" i="10"/>
  <c r="EV109" i="10" s="1"/>
  <c r="AL41" i="10"/>
  <c r="GE27" i="10" s="1"/>
  <c r="AL42" i="10"/>
  <c r="AB44" i="10"/>
  <c r="BV106" i="10" s="1"/>
  <c r="AL44" i="10"/>
  <c r="GT30" i="10" s="1"/>
  <c r="AB42" i="10"/>
  <c r="BL106" i="10" s="1"/>
  <c r="AB41" i="10"/>
  <c r="BG106" i="10" s="1"/>
  <c r="Q40" i="10"/>
  <c r="AE29" i="10"/>
  <c r="W40" i="10"/>
  <c r="CA14" i="10"/>
  <c r="EA9" i="10"/>
  <c r="AE32" i="10"/>
  <c r="Z32" i="10" s="1"/>
  <c r="W43" i="10"/>
  <c r="Q43" i="10"/>
  <c r="AW114" i="10"/>
  <c r="AW121" i="10"/>
  <c r="AW116" i="10"/>
  <c r="AW117" i="10"/>
  <c r="AW123" i="10"/>
  <c r="AW124" i="10"/>
  <c r="AW113" i="10"/>
  <c r="AW125" i="10"/>
  <c r="AW120" i="10"/>
  <c r="AE31" i="9"/>
  <c r="Z31" i="9" s="1"/>
  <c r="L39" i="9"/>
  <c r="JO17" i="9" s="1"/>
  <c r="L42" i="9"/>
  <c r="GM2" i="9"/>
  <c r="GM5" i="9" s="1"/>
  <c r="GM6" i="9"/>
  <c r="CA32" i="9"/>
  <c r="DD28" i="9" s="1"/>
  <c r="AB66" i="9" s="1"/>
  <c r="G143" i="9"/>
  <c r="C75" i="9"/>
  <c r="G137" i="9" s="1"/>
  <c r="C78" i="9"/>
  <c r="G140" i="9" s="1"/>
  <c r="CA23" i="9"/>
  <c r="DB28" i="9" s="1"/>
  <c r="T66" i="9" s="1"/>
  <c r="AG43" i="9"/>
  <c r="AM66" i="9" s="1"/>
  <c r="CA12" i="9"/>
  <c r="CA13" i="9" s="1"/>
  <c r="BH128" i="9" s="1"/>
  <c r="BL128" i="9" s="1"/>
  <c r="CA14" i="9"/>
  <c r="DA28" i="9" s="1"/>
  <c r="P66" i="9" s="1"/>
  <c r="Q39" i="9"/>
  <c r="Q41" i="9"/>
  <c r="NH73" i="9" s="1"/>
  <c r="Q40" i="9"/>
  <c r="KC10" i="9"/>
  <c r="HL17" i="9"/>
  <c r="JQ17" i="9"/>
  <c r="HA15" i="9"/>
  <c r="HJ13" i="9"/>
  <c r="JW7" i="9"/>
  <c r="LS20" i="9"/>
  <c r="HP13" i="9"/>
  <c r="HN11" i="9"/>
  <c r="HL15" i="9"/>
  <c r="JY5" i="9"/>
  <c r="KC12" i="9"/>
  <c r="KA14" i="9"/>
  <c r="KC19" i="9"/>
  <c r="KG16" i="9"/>
  <c r="KE6" i="9"/>
  <c r="JY11" i="9"/>
  <c r="HN12" i="9"/>
  <c r="JW8" i="9"/>
  <c r="KG11" i="9"/>
  <c r="JW13" i="9"/>
  <c r="HP7" i="9"/>
  <c r="HJ7" i="9"/>
  <c r="JY15" i="9"/>
  <c r="EV176" i="9"/>
  <c r="GZ17" i="9"/>
  <c r="KC15" i="9"/>
  <c r="KE19" i="9"/>
  <c r="HB13" i="9"/>
  <c r="GZ6" i="9"/>
  <c r="CH28" i="9"/>
  <c r="JG28" i="9" s="1"/>
  <c r="GZ5" i="9"/>
  <c r="JO5" i="9"/>
  <c r="KA6" i="9"/>
  <c r="JO12" i="9"/>
  <c r="LS17" i="9"/>
  <c r="HN7" i="9"/>
  <c r="HA5" i="9"/>
  <c r="JP5" i="9"/>
  <c r="JO14" i="9"/>
  <c r="KE14" i="9"/>
  <c r="GZ15" i="9"/>
  <c r="HN14" i="9"/>
  <c r="HB5" i="9"/>
  <c r="JQ5" i="9"/>
  <c r="KE5" i="9"/>
  <c r="KE10" i="9"/>
  <c r="JP14" i="9"/>
  <c r="JQ8" i="9"/>
  <c r="HR15" i="9"/>
  <c r="JP7" i="9"/>
  <c r="JQ10" i="9"/>
  <c r="HL6" i="9"/>
  <c r="HJ14" i="9"/>
  <c r="HR8" i="9"/>
  <c r="KC8" i="9"/>
  <c r="JY12" i="9"/>
  <c r="KE13" i="9"/>
  <c r="JW16" i="9"/>
  <c r="JY20" i="9"/>
  <c r="HP12" i="9"/>
  <c r="JP8" i="9"/>
  <c r="KG8" i="9"/>
  <c r="KG20" i="9"/>
  <c r="CH42" i="9"/>
  <c r="LS19" i="9"/>
  <c r="JQ19" i="9"/>
  <c r="JP19" i="9"/>
  <c r="JO19" i="9"/>
  <c r="LS6" i="9"/>
  <c r="JQ6" i="9"/>
  <c r="JP6" i="9"/>
  <c r="JO6" i="9"/>
  <c r="CH29" i="9"/>
  <c r="GZ19" i="9"/>
  <c r="JO20" i="9"/>
  <c r="HB16" i="9"/>
  <c r="JO10" i="9"/>
  <c r="JO11" i="9"/>
  <c r="JO15" i="9"/>
  <c r="JP20" i="9"/>
  <c r="CH35" i="9"/>
  <c r="JO7" i="9"/>
  <c r="JP10" i="9"/>
  <c r="JP11" i="9"/>
  <c r="JP15" i="9"/>
  <c r="JQ20" i="9"/>
  <c r="CH34" i="9"/>
  <c r="JQ15" i="9"/>
  <c r="JQ11" i="9"/>
  <c r="GZ10" i="9"/>
  <c r="CH33" i="9"/>
  <c r="JQ7" i="9"/>
  <c r="JO8" i="9"/>
  <c r="JO9" i="9"/>
  <c r="LS9" i="9"/>
  <c r="LS10" i="9"/>
  <c r="JP12" i="9"/>
  <c r="JQ14" i="9"/>
  <c r="LS14" i="9"/>
  <c r="JO16" i="9"/>
  <c r="JP17" i="9"/>
  <c r="CH32" i="9"/>
  <c r="JP9" i="9"/>
  <c r="JQ12" i="9"/>
  <c r="LS12" i="9"/>
  <c r="JP16" i="9"/>
  <c r="HB15" i="9"/>
  <c r="HB11" i="9"/>
  <c r="CH39" i="9"/>
  <c r="CH31" i="9"/>
  <c r="JQ9" i="9"/>
  <c r="LS11" i="9"/>
  <c r="JQ16" i="9"/>
  <c r="LS16" i="9"/>
  <c r="CH38" i="9"/>
  <c r="CH30" i="9"/>
  <c r="KC13" i="9"/>
  <c r="KA13" i="9"/>
  <c r="KG12" i="9"/>
  <c r="KE12" i="9"/>
  <c r="JW14" i="9"/>
  <c r="JY14" i="9"/>
  <c r="JW6" i="9"/>
  <c r="JY6" i="9"/>
  <c r="KC5" i="9"/>
  <c r="KA5" i="9"/>
  <c r="KG7" i="9"/>
  <c r="JW9" i="9"/>
  <c r="KE9" i="9"/>
  <c r="KC11" i="9"/>
  <c r="KG15" i="9"/>
  <c r="JW17" i="9"/>
  <c r="KE17" i="9"/>
  <c r="KC20" i="9"/>
  <c r="KA7" i="9"/>
  <c r="JY10" i="9"/>
  <c r="KA16" i="9"/>
  <c r="JY19" i="9"/>
  <c r="KA9" i="9"/>
  <c r="KA17" i="9"/>
  <c r="EA7" i="9"/>
  <c r="EF7" i="9" s="1"/>
  <c r="HA6" i="9"/>
  <c r="HP16" i="9"/>
  <c r="HA16" i="9"/>
  <c r="HH15" i="9"/>
  <c r="HP14" i="9"/>
  <c r="HA13" i="9"/>
  <c r="HA11" i="9"/>
  <c r="HB9" i="9"/>
  <c r="HB7" i="9"/>
  <c r="JD13" i="9"/>
  <c r="JJ13" i="9" s="1"/>
  <c r="HB6" i="9"/>
  <c r="HB20" i="9"/>
  <c r="GZ16" i="9"/>
  <c r="GZ13" i="9"/>
  <c r="HB12" i="9"/>
  <c r="GZ11" i="9"/>
  <c r="HA9" i="9"/>
  <c r="HA7" i="9"/>
  <c r="HA20" i="9"/>
  <c r="HL16" i="9"/>
  <c r="HA12" i="9"/>
  <c r="GZ9" i="9"/>
  <c r="HB8" i="9"/>
  <c r="GZ7" i="9"/>
  <c r="GZ20" i="9"/>
  <c r="HB14" i="9"/>
  <c r="GZ12" i="9"/>
  <c r="HB10" i="9"/>
  <c r="HR9" i="9"/>
  <c r="HN8" i="9"/>
  <c r="HA8" i="9"/>
  <c r="HA14" i="9"/>
  <c r="HH12" i="9"/>
  <c r="HA10" i="9"/>
  <c r="GZ8" i="9"/>
  <c r="HB19" i="9"/>
  <c r="HR17" i="9"/>
  <c r="HB17" i="9"/>
  <c r="GZ14" i="9"/>
  <c r="HP5" i="9"/>
  <c r="HA19" i="9"/>
  <c r="HA17" i="9"/>
  <c r="HN13" i="9"/>
  <c r="HH19" i="9"/>
  <c r="HJ19" i="9"/>
  <c r="HP11" i="9"/>
  <c r="HR11" i="9"/>
  <c r="HJ8" i="9"/>
  <c r="HH8" i="9"/>
  <c r="HN20" i="9"/>
  <c r="HN19" i="9"/>
  <c r="HL9" i="9"/>
  <c r="HP20" i="9"/>
  <c r="HR20" i="9"/>
  <c r="HH17" i="9"/>
  <c r="HJ17" i="9"/>
  <c r="HN10" i="9"/>
  <c r="HJ16" i="9"/>
  <c r="HH16" i="9"/>
  <c r="HP19" i="9"/>
  <c r="HR19" i="9"/>
  <c r="HP10" i="9"/>
  <c r="HR10" i="9"/>
  <c r="HH9" i="9"/>
  <c r="HJ9" i="9"/>
  <c r="HJ10" i="9"/>
  <c r="HJ20" i="9"/>
  <c r="HJ11" i="9"/>
  <c r="HH6" i="9"/>
  <c r="HP6" i="9"/>
  <c r="HL5" i="9"/>
  <c r="EN239" i="9"/>
  <c r="HH5" i="9"/>
  <c r="EN115" i="9"/>
  <c r="EF6" i="9"/>
  <c r="EG6" i="9"/>
  <c r="EN156" i="9"/>
  <c r="EP36" i="9"/>
  <c r="EP236" i="9"/>
  <c r="EN236" i="9"/>
  <c r="EN220" i="9"/>
  <c r="W39" i="9"/>
  <c r="EP43" i="9"/>
  <c r="EN43" i="9"/>
  <c r="EN218" i="9"/>
  <c r="EN195" i="9"/>
  <c r="EN71" i="9"/>
  <c r="EP71" i="9"/>
  <c r="EP57" i="9"/>
  <c r="EN57" i="9"/>
  <c r="EN247" i="9"/>
  <c r="EN237" i="9"/>
  <c r="EP231" i="9"/>
  <c r="EN176" i="9"/>
  <c r="EN125" i="9"/>
  <c r="EN124" i="9"/>
  <c r="EP120" i="9"/>
  <c r="EP20" i="9"/>
  <c r="EP96" i="9"/>
  <c r="EP109" i="9"/>
  <c r="EP42" i="9"/>
  <c r="EN229" i="9"/>
  <c r="EP225" i="9"/>
  <c r="EP224" i="9"/>
  <c r="EP162" i="9"/>
  <c r="EN144" i="9"/>
  <c r="EP101" i="9"/>
  <c r="EP85" i="9"/>
  <c r="EP246" i="9"/>
  <c r="EP55" i="9"/>
  <c r="EV190" i="9"/>
  <c r="EV154" i="9"/>
  <c r="EP159" i="9"/>
  <c r="EN6" i="9"/>
  <c r="EP138" i="9"/>
  <c r="EN56" i="9"/>
  <c r="EN30" i="9"/>
  <c r="EP238" i="9"/>
  <c r="EP117" i="9"/>
  <c r="EP102" i="9"/>
  <c r="EN97" i="9"/>
  <c r="EN148" i="9"/>
  <c r="EP107" i="9"/>
  <c r="EP89" i="9"/>
  <c r="EN45" i="9"/>
  <c r="EP27" i="9"/>
  <c r="EP25" i="9"/>
  <c r="EN22" i="9"/>
  <c r="EN14" i="9"/>
  <c r="EP217" i="9"/>
  <c r="EP216" i="9"/>
  <c r="EP215" i="9"/>
  <c r="EN211" i="9"/>
  <c r="EN206" i="9"/>
  <c r="EN205" i="9"/>
  <c r="EN187" i="9"/>
  <c r="EN117" i="9"/>
  <c r="EN242" i="9"/>
  <c r="EN222" i="9"/>
  <c r="EP207" i="9"/>
  <c r="EN172" i="9"/>
  <c r="EN171" i="9"/>
  <c r="EN153" i="9"/>
  <c r="EP84" i="9"/>
  <c r="EP47" i="9"/>
  <c r="ER79" i="9"/>
  <c r="ET188" i="9"/>
  <c r="ET44" i="9"/>
  <c r="ET34" i="9"/>
  <c r="ER77" i="9"/>
  <c r="EV210" i="9"/>
  <c r="EV106" i="9"/>
  <c r="ER70" i="9"/>
  <c r="ER223" i="9"/>
  <c r="ER64" i="9"/>
  <c r="EN8" i="9"/>
  <c r="EP196" i="9"/>
  <c r="EN178" i="9"/>
  <c r="EN159" i="9"/>
  <c r="EP250" i="9"/>
  <c r="EN248" i="9"/>
  <c r="EP223" i="9"/>
  <c r="EP212" i="9"/>
  <c r="EN188" i="9"/>
  <c r="EN139" i="9"/>
  <c r="EN112" i="9"/>
  <c r="EP13" i="9"/>
  <c r="EP9" i="9"/>
  <c r="EP114" i="9"/>
  <c r="EP48" i="9"/>
  <c r="EP24" i="9"/>
  <c r="EN250" i="9"/>
  <c r="EN212" i="9"/>
  <c r="EP198" i="9"/>
  <c r="EP184" i="9"/>
  <c r="EN164" i="9"/>
  <c r="EN131" i="9"/>
  <c r="EN9" i="9"/>
  <c r="EN162" i="9"/>
  <c r="EN132" i="9"/>
  <c r="EP60" i="9"/>
  <c r="EP51" i="9"/>
  <c r="EN50" i="9"/>
  <c r="EN24" i="9"/>
  <c r="EP6" i="9"/>
  <c r="EP203" i="9"/>
  <c r="EN165" i="9"/>
  <c r="EP143" i="9"/>
  <c r="EP88" i="9"/>
  <c r="EN21" i="9"/>
  <c r="EN17" i="9"/>
  <c r="EN12" i="9"/>
  <c r="EP235" i="9"/>
  <c r="EP234" i="9"/>
  <c r="EP228" i="9"/>
  <c r="EP208" i="9"/>
  <c r="EP177" i="9"/>
  <c r="EN149" i="9"/>
  <c r="EP94" i="9"/>
  <c r="EN74" i="9"/>
  <c r="EV171" i="9"/>
  <c r="EX87" i="9"/>
  <c r="EX232" i="9"/>
  <c r="EX131" i="9"/>
  <c r="EV249" i="9"/>
  <c r="EV196" i="9"/>
  <c r="EX79" i="9"/>
  <c r="EX60" i="9"/>
  <c r="EV99" i="9"/>
  <c r="EV62" i="9"/>
  <c r="EX41" i="9"/>
  <c r="EX213" i="9"/>
  <c r="EX123" i="9"/>
  <c r="EX33" i="9"/>
  <c r="EX122" i="9"/>
  <c r="EV248" i="9"/>
  <c r="EX77" i="9"/>
  <c r="EX64" i="9"/>
  <c r="EX12" i="9"/>
  <c r="EV218" i="9"/>
  <c r="EV191" i="9"/>
  <c r="EX183" i="9"/>
  <c r="EX25" i="9"/>
  <c r="EV144" i="9"/>
  <c r="EV129" i="9"/>
  <c r="EV107" i="9"/>
  <c r="EV80" i="9"/>
  <c r="EX143" i="9"/>
  <c r="EV120" i="9"/>
  <c r="EX40" i="9"/>
  <c r="EV145" i="9"/>
  <c r="EV125" i="9"/>
  <c r="EX121" i="9"/>
  <c r="EX85" i="9"/>
  <c r="EX178" i="9"/>
  <c r="EV139" i="9"/>
  <c r="EV127" i="9"/>
  <c r="EX86" i="9"/>
  <c r="EX28" i="9"/>
  <c r="EV203" i="9"/>
  <c r="EX202" i="9"/>
  <c r="EX170" i="9"/>
  <c r="EX152" i="9"/>
  <c r="EX137" i="9"/>
  <c r="EV24" i="9"/>
  <c r="EV19" i="9"/>
  <c r="EV9" i="9"/>
  <c r="EV228" i="9"/>
  <c r="EV214" i="9"/>
  <c r="EX168" i="9"/>
  <c r="EV156" i="9"/>
  <c r="EV140" i="9"/>
  <c r="EX136" i="9"/>
  <c r="EV132" i="9"/>
  <c r="EX110" i="9"/>
  <c r="EV103" i="9"/>
  <c r="EV88" i="9"/>
  <c r="EX16" i="9"/>
  <c r="EX242" i="9"/>
  <c r="EV169" i="9"/>
  <c r="EX157" i="9"/>
  <c r="EV141" i="9"/>
  <c r="EV7" i="9"/>
  <c r="EV159" i="9"/>
  <c r="EX27" i="9"/>
  <c r="EV184" i="9"/>
  <c r="EX163" i="9"/>
  <c r="EX49" i="9"/>
  <c r="EX23" i="9"/>
  <c r="EV17" i="9"/>
  <c r="EV10" i="9"/>
  <c r="EV241" i="9"/>
  <c r="EX235" i="9"/>
  <c r="EX226" i="9"/>
  <c r="EX224" i="9"/>
  <c r="EX221" i="9"/>
  <c r="EX205" i="9"/>
  <c r="EX146" i="9"/>
  <c r="EV117" i="9"/>
  <c r="EX101" i="9"/>
  <c r="EX94" i="9"/>
  <c r="EV90" i="9"/>
  <c r="EX89" i="9"/>
  <c r="EV57" i="9"/>
  <c r="EX15" i="9"/>
  <c r="EX8" i="9"/>
  <c r="EV6" i="9"/>
  <c r="EV237" i="9"/>
  <c r="EX234" i="9"/>
  <c r="EX209" i="9"/>
  <c r="EX166" i="9"/>
  <c r="EV161" i="9"/>
  <c r="EX149" i="9"/>
  <c r="EX147" i="9"/>
  <c r="EX118" i="9"/>
  <c r="EV55" i="9"/>
  <c r="EX36" i="9"/>
  <c r="ER222" i="9"/>
  <c r="ER107" i="9"/>
  <c r="ET129" i="9"/>
  <c r="ER16" i="9"/>
  <c r="ER103" i="9"/>
  <c r="ET97" i="9"/>
  <c r="ET95" i="9"/>
  <c r="ET43" i="9"/>
  <c r="ET22" i="9"/>
  <c r="ET8" i="9"/>
  <c r="ER241" i="9"/>
  <c r="ET169" i="9"/>
  <c r="ET155" i="9"/>
  <c r="ER173" i="9"/>
  <c r="ET150" i="9"/>
  <c r="ET233" i="9"/>
  <c r="ET38" i="9"/>
  <c r="ER23" i="9"/>
  <c r="ET118" i="9"/>
  <c r="ET105" i="9"/>
  <c r="ET207" i="9"/>
  <c r="ET190" i="9"/>
  <c r="ET137" i="9"/>
  <c r="ET119" i="9"/>
  <c r="ET117" i="9"/>
  <c r="ET56" i="9"/>
  <c r="ET50" i="9"/>
  <c r="ET42" i="9"/>
  <c r="ER24" i="9"/>
  <c r="ER211" i="9"/>
  <c r="ET179" i="9"/>
  <c r="ER85" i="9"/>
  <c r="ER63" i="9"/>
  <c r="ER47" i="9"/>
  <c r="ER40" i="9"/>
  <c r="ET15" i="9"/>
  <c r="ET238" i="9"/>
  <c r="ET229" i="9"/>
  <c r="ER202" i="9"/>
  <c r="ET195" i="9"/>
  <c r="ET161" i="9"/>
  <c r="ET109" i="9"/>
  <c r="ET83" i="9"/>
  <c r="ER10" i="9"/>
  <c r="ET7" i="9"/>
  <c r="ET243" i="9"/>
  <c r="ER182" i="9"/>
  <c r="ER175" i="9"/>
  <c r="ET126" i="9"/>
  <c r="ET98" i="9"/>
  <c r="ER37" i="9"/>
  <c r="ET138" i="9"/>
  <c r="ER164" i="9"/>
  <c r="ER124" i="9"/>
  <c r="ET90" i="9"/>
  <c r="ER57" i="9"/>
  <c r="ER45" i="9"/>
  <c r="ER14" i="9"/>
  <c r="ER165" i="9"/>
  <c r="ET130" i="9"/>
  <c r="ET121" i="9"/>
  <c r="ET17" i="9"/>
  <c r="ET6" i="9"/>
  <c r="ET239" i="9"/>
  <c r="ER205" i="9"/>
  <c r="ET187" i="9"/>
  <c r="ET162" i="9"/>
  <c r="ET128" i="9"/>
  <c r="ET116" i="9"/>
  <c r="ER115" i="9"/>
  <c r="ER102" i="9"/>
  <c r="ET80" i="9"/>
  <c r="ER74" i="9"/>
  <c r="ET61" i="9"/>
  <c r="ET59" i="9"/>
  <c r="ET46" i="9"/>
  <c r="ET220" i="9"/>
  <c r="ER158" i="9"/>
  <c r="ER157" i="9"/>
  <c r="ER149" i="9"/>
  <c r="ET134" i="9"/>
  <c r="ER113" i="9"/>
  <c r="ER92" i="9"/>
  <c r="ER62" i="9"/>
  <c r="EX240" i="9"/>
  <c r="EV230" i="9"/>
  <c r="EV229" i="9"/>
  <c r="EX138" i="9"/>
  <c r="EV133" i="9"/>
  <c r="EX130" i="9"/>
  <c r="EV29" i="9"/>
  <c r="EX26" i="9"/>
  <c r="EX21" i="9"/>
  <c r="EX246" i="9"/>
  <c r="EV222" i="9"/>
  <c r="EX216" i="9"/>
  <c r="EX189" i="9"/>
  <c r="EX151" i="9"/>
  <c r="EX142" i="9"/>
  <c r="EX135" i="9"/>
  <c r="EX115" i="9"/>
  <c r="EX84" i="9"/>
  <c r="EX71" i="9"/>
  <c r="EX13" i="9"/>
  <c r="EX188" i="9"/>
  <c r="EV126" i="9"/>
  <c r="EX97" i="9"/>
  <c r="EX78" i="9"/>
  <c r="EX22" i="9"/>
  <c r="EX14" i="9"/>
  <c r="EX11" i="9"/>
  <c r="EX245" i="9"/>
  <c r="EV244" i="9"/>
  <c r="EV206" i="9"/>
  <c r="EV198" i="9"/>
  <c r="EX155" i="9"/>
  <c r="EV153" i="9"/>
  <c r="EX109" i="9"/>
  <c r="EX104" i="9"/>
  <c r="EX102" i="9"/>
  <c r="EV74" i="9"/>
  <c r="EX70" i="9"/>
  <c r="EX48" i="9"/>
  <c r="EV179" i="9"/>
  <c r="EX128" i="9"/>
  <c r="EX113" i="9"/>
  <c r="EX112" i="9"/>
  <c r="EX96" i="9"/>
  <c r="EV91" i="9"/>
  <c r="EX73" i="9"/>
  <c r="EX65" i="9"/>
  <c r="EV45" i="9"/>
  <c r="EX20" i="9"/>
  <c r="EX18" i="9"/>
  <c r="EX250" i="9"/>
  <c r="EX174" i="9"/>
  <c r="EV173" i="9"/>
  <c r="EV172" i="9"/>
  <c r="EX111" i="9"/>
  <c r="EX95" i="9"/>
  <c r="EX66" i="9"/>
  <c r="EV37" i="9"/>
  <c r="EV236" i="9"/>
  <c r="EX212" i="9"/>
  <c r="EX204" i="9"/>
  <c r="EV180" i="9"/>
  <c r="EX177" i="9"/>
  <c r="EV164" i="9"/>
  <c r="EV58" i="9"/>
  <c r="EX56" i="9"/>
  <c r="EV53" i="9"/>
  <c r="ET21" i="9"/>
  <c r="ET219" i="9"/>
  <c r="ET203" i="9"/>
  <c r="ET200" i="9"/>
  <c r="ET199" i="9"/>
  <c r="ET198" i="9"/>
  <c r="ET26" i="9"/>
  <c r="ET25" i="9"/>
  <c r="ET18" i="9"/>
  <c r="ET11" i="9"/>
  <c r="ET246" i="9"/>
  <c r="ET231" i="9"/>
  <c r="ER218" i="9"/>
  <c r="ET197" i="9"/>
  <c r="ET185" i="9"/>
  <c r="ET170" i="9"/>
  <c r="ET148" i="9"/>
  <c r="ET111" i="9"/>
  <c r="ER110" i="9"/>
  <c r="ER78" i="9"/>
  <c r="ET250" i="9"/>
  <c r="ET186" i="9"/>
  <c r="ET181" i="9"/>
  <c r="ET180" i="9"/>
  <c r="ER154" i="9"/>
  <c r="ER153" i="9"/>
  <c r="ET125" i="9"/>
  <c r="ET88" i="9"/>
  <c r="ET52" i="9"/>
  <c r="ET19" i="9"/>
  <c r="ET12" i="9"/>
  <c r="ET215" i="9"/>
  <c r="ET194" i="9"/>
  <c r="ET147" i="9"/>
  <c r="ET135" i="9"/>
  <c r="ET133" i="9"/>
  <c r="ET114" i="9"/>
  <c r="ET49" i="9"/>
  <c r="ET30" i="9"/>
  <c r="ET13" i="9"/>
  <c r="ET9" i="9"/>
  <c r="ER237" i="9"/>
  <c r="ET228" i="9"/>
  <c r="ET227" i="9"/>
  <c r="ET213" i="9"/>
  <c r="ET193" i="9"/>
  <c r="ET192" i="9"/>
  <c r="ET183" i="9"/>
  <c r="ET178" i="9"/>
  <c r="ET141" i="9"/>
  <c r="ET140" i="9"/>
  <c r="ER136" i="9"/>
  <c r="ET132" i="9"/>
  <c r="ET101" i="9"/>
  <c r="ET100" i="9"/>
  <c r="ET75" i="9"/>
  <c r="ET55" i="9"/>
  <c r="ET54" i="9"/>
  <c r="ET53" i="9"/>
  <c r="ER41" i="9"/>
  <c r="ET36" i="9"/>
  <c r="ET35" i="9"/>
  <c r="ER32" i="9"/>
  <c r="ET28" i="9"/>
  <c r="ET20" i="9"/>
  <c r="ET249" i="9"/>
  <c r="ET235" i="9"/>
  <c r="ER226" i="9"/>
  <c r="ET177" i="9"/>
  <c r="ER146" i="9"/>
  <c r="ET87" i="9"/>
  <c r="ET72" i="9"/>
  <c r="ER71" i="9"/>
  <c r="ET68" i="9"/>
  <c r="ET66" i="9"/>
  <c r="ET27" i="9"/>
  <c r="ER245" i="9"/>
  <c r="ET174" i="9"/>
  <c r="ET139" i="9"/>
  <c r="ET76" i="9"/>
  <c r="EN23" i="9"/>
  <c r="EN16" i="9"/>
  <c r="EP15" i="9"/>
  <c r="EN11" i="9"/>
  <c r="EN10" i="9"/>
  <c r="EN244" i="9"/>
  <c r="EN226" i="9"/>
  <c r="EP219" i="9"/>
  <c r="EN204" i="9"/>
  <c r="EN193" i="9"/>
  <c r="EN170" i="9"/>
  <c r="EP160" i="9"/>
  <c r="EP142" i="9"/>
  <c r="EN119" i="9"/>
  <c r="EN104" i="9"/>
  <c r="EN90" i="9"/>
  <c r="EN80" i="9"/>
  <c r="EN68" i="9"/>
  <c r="EN67" i="9"/>
  <c r="EN49" i="9"/>
  <c r="EP38" i="9"/>
  <c r="EN29" i="9"/>
  <c r="EP21" i="9"/>
  <c r="EP7" i="9"/>
  <c r="EN87" i="9"/>
  <c r="EP35" i="9"/>
  <c r="EP26" i="9"/>
  <c r="EN15" i="9"/>
  <c r="EP192" i="9"/>
  <c r="EP182" i="9"/>
  <c r="EP173" i="9"/>
  <c r="EP155" i="9"/>
  <c r="EP128" i="9"/>
  <c r="EP81" i="9"/>
  <c r="EP79" i="9"/>
  <c r="EP28" i="9"/>
  <c r="EP19" i="9"/>
  <c r="EN7" i="9"/>
  <c r="EP209" i="9"/>
  <c r="EN173" i="9"/>
  <c r="EN169" i="9"/>
  <c r="EN128" i="9"/>
  <c r="EN126" i="9"/>
  <c r="EP111" i="9"/>
  <c r="EP73" i="9"/>
  <c r="EP66" i="9"/>
  <c r="EN62" i="9"/>
  <c r="EN35" i="9"/>
  <c r="EP18" i="9"/>
  <c r="EP200" i="9"/>
  <c r="EP186" i="9"/>
  <c r="EP179" i="9"/>
  <c r="EP166" i="9"/>
  <c r="EP163" i="9"/>
  <c r="EP151" i="9"/>
  <c r="EP130" i="9"/>
  <c r="EP122" i="9"/>
  <c r="EN106" i="9"/>
  <c r="EP105" i="9"/>
  <c r="EP65" i="9"/>
  <c r="EN58" i="9"/>
  <c r="EP34" i="9"/>
  <c r="EN20" i="9"/>
  <c r="EN19" i="9"/>
  <c r="EN13" i="9"/>
  <c r="EN234" i="9"/>
  <c r="EN228" i="9"/>
  <c r="EN214" i="9"/>
  <c r="EP194" i="9"/>
  <c r="EP191" i="9"/>
  <c r="EP189" i="9"/>
  <c r="EN177" i="9"/>
  <c r="EP157" i="9"/>
  <c r="EN151" i="9"/>
  <c r="EN73" i="9"/>
  <c r="EN41" i="9"/>
  <c r="EP32" i="9"/>
  <c r="EP31" i="9"/>
  <c r="EP227" i="9"/>
  <c r="EP174" i="9"/>
  <c r="EP147" i="9"/>
  <c r="EN116" i="9"/>
  <c r="EP113" i="9"/>
  <c r="EN98" i="9"/>
  <c r="EP93" i="9"/>
  <c r="EN91" i="9"/>
  <c r="EP46" i="9"/>
  <c r="EP39" i="9"/>
  <c r="W41" i="9"/>
  <c r="EH6" i="9"/>
  <c r="W40" i="9"/>
  <c r="ER189" i="9"/>
  <c r="ET189" i="9"/>
  <c r="EV186" i="9"/>
  <c r="EX186" i="9"/>
  <c r="EN241" i="9"/>
  <c r="EP241" i="9"/>
  <c r="ET240" i="9"/>
  <c r="EV239" i="9"/>
  <c r="EX239" i="9"/>
  <c r="EV247" i="9"/>
  <c r="ER244" i="9"/>
  <c r="ET244" i="9"/>
  <c r="EP243" i="9"/>
  <c r="EN240" i="9"/>
  <c r="EP240" i="9"/>
  <c r="ET221" i="9"/>
  <c r="ET247" i="9"/>
  <c r="EP245" i="9"/>
  <c r="EN233" i="9"/>
  <c r="EP233" i="9"/>
  <c r="ET232" i="9"/>
  <c r="ER230" i="9"/>
  <c r="EX225" i="9"/>
  <c r="EX217" i="9"/>
  <c r="ER212" i="9"/>
  <c r="ET212" i="9"/>
  <c r="EX211" i="9"/>
  <c r="ER248" i="9"/>
  <c r="EN245" i="9"/>
  <c r="EV238" i="9"/>
  <c r="EX238" i="9"/>
  <c r="EN232" i="9"/>
  <c r="EP232" i="9"/>
  <c r="EP230" i="9"/>
  <c r="EN230" i="9"/>
  <c r="ER225" i="9"/>
  <c r="ET225" i="9"/>
  <c r="ER217" i="9"/>
  <c r="ET217" i="9"/>
  <c r="EN213" i="9"/>
  <c r="EP213" i="9"/>
  <c r="EN249" i="9"/>
  <c r="EX243" i="9"/>
  <c r="EN221" i="9"/>
  <c r="EP221" i="9"/>
  <c r="ET201" i="9"/>
  <c r="ER201" i="9"/>
  <c r="ER240" i="9"/>
  <c r="EV193" i="9"/>
  <c r="EX193" i="9"/>
  <c r="EX233" i="9"/>
  <c r="EX231" i="9"/>
  <c r="EX227" i="9"/>
  <c r="EX223" i="9"/>
  <c r="EX219" i="9"/>
  <c r="EX215" i="9"/>
  <c r="EV208" i="9"/>
  <c r="EX208" i="9"/>
  <c r="EX207" i="9"/>
  <c r="EN199" i="9"/>
  <c r="EP199" i="9"/>
  <c r="ER196" i="9"/>
  <c r="ET236" i="9"/>
  <c r="EX220" i="9"/>
  <c r="ET208" i="9"/>
  <c r="ET242" i="9"/>
  <c r="ET234" i="9"/>
  <c r="EP210" i="9"/>
  <c r="EN210" i="9"/>
  <c r="ET209" i="9"/>
  <c r="EN181" i="9"/>
  <c r="EP181" i="9"/>
  <c r="ET206" i="9"/>
  <c r="ER206" i="9"/>
  <c r="EP202" i="9"/>
  <c r="EN202" i="9"/>
  <c r="EV200" i="9"/>
  <c r="EX200" i="9"/>
  <c r="ET224" i="9"/>
  <c r="ET216" i="9"/>
  <c r="ET214" i="9"/>
  <c r="ER214" i="9"/>
  <c r="ER210" i="9"/>
  <c r="EP201" i="9"/>
  <c r="ET204" i="9"/>
  <c r="EP197" i="9"/>
  <c r="EV195" i="9"/>
  <c r="EX192" i="9"/>
  <c r="EP190" i="9"/>
  <c r="EV201" i="9"/>
  <c r="EX199" i="9"/>
  <c r="EX197" i="9"/>
  <c r="EX194" i="9"/>
  <c r="EV185" i="9"/>
  <c r="EX185" i="9"/>
  <c r="ER191" i="9"/>
  <c r="EV187" i="9"/>
  <c r="EN185" i="9"/>
  <c r="EP185" i="9"/>
  <c r="EV182" i="9"/>
  <c r="EX182" i="9"/>
  <c r="EP180" i="9"/>
  <c r="EN180" i="9"/>
  <c r="EX175" i="9"/>
  <c r="EV175" i="9"/>
  <c r="ER171" i="9"/>
  <c r="ET171" i="9"/>
  <c r="ET184" i="9"/>
  <c r="ER184" i="9"/>
  <c r="EP161" i="9"/>
  <c r="EN161" i="9"/>
  <c r="EX181" i="9"/>
  <c r="ET168" i="9"/>
  <c r="ET166" i="9"/>
  <c r="EN167" i="9"/>
  <c r="EP167" i="9"/>
  <c r="ER151" i="9"/>
  <c r="ET151" i="9"/>
  <c r="ER163" i="9"/>
  <c r="ET163" i="9"/>
  <c r="EP183" i="9"/>
  <c r="EP175" i="9"/>
  <c r="ER172" i="9"/>
  <c r="ET167" i="9"/>
  <c r="EV165" i="9"/>
  <c r="EX165" i="9"/>
  <c r="EN146" i="9"/>
  <c r="EP146" i="9"/>
  <c r="ER176" i="9"/>
  <c r="EP145" i="9"/>
  <c r="EN145" i="9"/>
  <c r="EN168" i="9"/>
  <c r="ER152" i="9"/>
  <c r="ET152" i="9"/>
  <c r="EX150" i="9"/>
  <c r="EV162" i="9"/>
  <c r="EX160" i="9"/>
  <c r="ET159" i="9"/>
  <c r="ER145" i="9"/>
  <c r="EV134" i="9"/>
  <c r="EX167" i="9"/>
  <c r="EV148" i="9"/>
  <c r="ET160" i="9"/>
  <c r="EN158" i="9"/>
  <c r="ET156" i="9"/>
  <c r="EP154" i="9"/>
  <c r="EP152" i="9"/>
  <c r="ER142" i="9"/>
  <c r="EP141" i="9"/>
  <c r="EN141" i="9"/>
  <c r="EV158" i="9"/>
  <c r="EN150" i="9"/>
  <c r="ER144" i="9"/>
  <c r="ER143" i="9"/>
  <c r="EP140" i="9"/>
  <c r="EN140" i="9"/>
  <c r="EN136" i="9"/>
  <c r="EP136" i="9"/>
  <c r="EP135" i="9"/>
  <c r="EN121" i="9"/>
  <c r="EP121" i="9"/>
  <c r="ER127" i="9"/>
  <c r="EV105" i="9"/>
  <c r="EN133" i="9"/>
  <c r="EP127" i="9"/>
  <c r="EN127" i="9"/>
  <c r="EP137" i="9"/>
  <c r="ET122" i="9"/>
  <c r="EP134" i="9"/>
  <c r="ET127" i="9"/>
  <c r="EX119" i="9"/>
  <c r="EV119" i="9"/>
  <c r="EN129" i="9"/>
  <c r="EP129" i="9"/>
  <c r="EN118" i="9"/>
  <c r="EP118" i="9"/>
  <c r="EV124" i="9"/>
  <c r="EV116" i="9"/>
  <c r="EN103" i="9"/>
  <c r="EP103" i="9"/>
  <c r="EN110" i="9"/>
  <c r="EP110" i="9"/>
  <c r="EV108" i="9"/>
  <c r="EX108" i="9"/>
  <c r="ER104" i="9"/>
  <c r="ET104" i="9"/>
  <c r="EN100" i="9"/>
  <c r="EP100" i="9"/>
  <c r="ER99" i="9"/>
  <c r="ET99" i="9"/>
  <c r="ET131" i="9"/>
  <c r="ER123" i="9"/>
  <c r="ER108" i="9"/>
  <c r="ET108" i="9"/>
  <c r="EP99" i="9"/>
  <c r="EN99" i="9"/>
  <c r="EP123" i="9"/>
  <c r="ER120" i="9"/>
  <c r="EV114" i="9"/>
  <c r="ET112" i="9"/>
  <c r="EN108" i="9"/>
  <c r="EP108" i="9"/>
  <c r="ET93" i="9"/>
  <c r="EX82" i="9"/>
  <c r="EV82" i="9"/>
  <c r="ET106" i="9"/>
  <c r="EN95" i="9"/>
  <c r="EP95" i="9"/>
  <c r="EV93" i="9"/>
  <c r="EX93" i="9"/>
  <c r="EV92" i="9"/>
  <c r="EX92" i="9"/>
  <c r="EV100" i="9"/>
  <c r="EX100" i="9"/>
  <c r="EV98" i="9"/>
  <c r="ER94" i="9"/>
  <c r="EX81" i="9"/>
  <c r="EV83" i="9"/>
  <c r="EX83" i="9"/>
  <c r="ET91" i="9"/>
  <c r="ET81" i="9"/>
  <c r="ER86" i="9"/>
  <c r="EN83" i="9"/>
  <c r="EP83" i="9"/>
  <c r="ET82" i="9"/>
  <c r="EN78" i="9"/>
  <c r="EP78" i="9"/>
  <c r="ET89" i="9"/>
  <c r="ET84" i="9"/>
  <c r="EN77" i="9"/>
  <c r="EP77" i="9"/>
  <c r="EV76" i="9"/>
  <c r="EX76" i="9"/>
  <c r="ET96" i="9"/>
  <c r="EP92" i="9"/>
  <c r="EP86" i="9"/>
  <c r="EV72" i="9"/>
  <c r="ET69" i="9"/>
  <c r="ER69" i="9"/>
  <c r="EN82" i="9"/>
  <c r="EN69" i="9"/>
  <c r="EP69" i="9"/>
  <c r="ER67" i="9"/>
  <c r="ET67" i="9"/>
  <c r="EN63" i="9"/>
  <c r="EP63" i="9"/>
  <c r="ER73" i="9"/>
  <c r="EP76" i="9"/>
  <c r="EX75" i="9"/>
  <c r="EP75" i="9"/>
  <c r="EP72" i="9"/>
  <c r="EP70" i="9"/>
  <c r="EN64" i="9"/>
  <c r="EP64" i="9"/>
  <c r="EV68" i="9"/>
  <c r="ER60" i="9"/>
  <c r="ET60" i="9"/>
  <c r="EV59" i="9"/>
  <c r="EX59" i="9"/>
  <c r="EV67" i="9"/>
  <c r="EX61" i="9"/>
  <c r="EN61" i="9"/>
  <c r="EN44" i="9"/>
  <c r="EP44" i="9"/>
  <c r="EN59" i="9"/>
  <c r="EP59" i="9"/>
  <c r="EX63" i="9"/>
  <c r="EV61" i="9"/>
  <c r="EP53" i="9"/>
  <c r="EN53" i="9"/>
  <c r="EP33" i="9"/>
  <c r="EN33" i="9"/>
  <c r="EX69" i="9"/>
  <c r="ET65" i="9"/>
  <c r="ET58" i="9"/>
  <c r="EV52" i="9"/>
  <c r="EX47" i="9"/>
  <c r="ER39" i="9"/>
  <c r="ET39" i="9"/>
  <c r="EV35" i="9"/>
  <c r="EX35" i="9"/>
  <c r="EV51" i="9"/>
  <c r="EV44" i="9"/>
  <c r="EV34" i="9"/>
  <c r="EX34" i="9"/>
  <c r="EP54" i="9"/>
  <c r="ET51" i="9"/>
  <c r="EP40" i="9"/>
  <c r="EN40" i="9"/>
  <c r="EX54" i="9"/>
  <c r="EN52" i="9"/>
  <c r="EV50" i="9"/>
  <c r="EV38" i="9"/>
  <c r="EX38" i="9"/>
  <c r="EP37" i="9"/>
  <c r="EN37" i="9"/>
  <c r="EX46" i="9"/>
  <c r="EX42" i="9"/>
  <c r="ET48" i="9"/>
  <c r="EX43" i="9"/>
  <c r="EV39" i="9"/>
  <c r="EX39" i="9"/>
  <c r="ET33" i="9"/>
  <c r="ER33" i="9"/>
  <c r="EX31" i="9"/>
  <c r="EX32" i="9"/>
  <c r="ET31" i="9"/>
  <c r="EV30" i="9"/>
  <c r="EX30" i="9"/>
  <c r="ET29" i="9"/>
  <c r="EN26" i="9"/>
  <c r="EP5" i="9"/>
  <c r="ER5" i="9"/>
  <c r="EF5" i="9"/>
  <c r="EH5" i="9"/>
  <c r="EX5" i="9"/>
  <c r="EG5" i="9"/>
  <c r="J21" i="9"/>
  <c r="ED281" i="9"/>
  <c r="EE281" i="9"/>
  <c r="U34" i="6"/>
  <c r="U32" i="6"/>
  <c r="U33" i="6" s="1"/>
  <c r="U32" i="5"/>
  <c r="U30" i="5"/>
  <c r="U31" i="5" s="1"/>
  <c r="U30" i="4"/>
  <c r="U29" i="4"/>
  <c r="J25" i="3"/>
  <c r="CL6" i="3" s="1"/>
  <c r="BK72" i="3"/>
  <c r="BH109" i="3"/>
  <c r="BL109" i="3" s="1"/>
  <c r="AJ39" i="3"/>
  <c r="AJ30" i="3"/>
  <c r="J25" i="2"/>
  <c r="BJ20" i="2"/>
  <c r="BH109" i="2"/>
  <c r="BL109" i="2" s="1"/>
  <c r="BK70" i="2"/>
  <c r="O63" i="2"/>
  <c r="O64" i="2"/>
  <c r="O66" i="2"/>
  <c r="O69" i="2"/>
  <c r="O73" i="2"/>
  <c r="O74" i="2"/>
  <c r="O75" i="2"/>
  <c r="O65" i="2"/>
  <c r="O71" i="2"/>
  <c r="O76" i="2"/>
  <c r="AJ31" i="2"/>
  <c r="AJ34" i="2"/>
  <c r="O70" i="2"/>
  <c r="O72" i="2"/>
  <c r="O62" i="2"/>
  <c r="O67" i="2"/>
  <c r="O68" i="2"/>
  <c r="AJ29" i="2"/>
  <c r="J25" i="1"/>
  <c r="BJ20" i="1"/>
  <c r="BH109" i="1"/>
  <c r="BL109" i="1" s="1"/>
  <c r="BK70" i="1"/>
  <c r="AJ31" i="1"/>
  <c r="AJ34" i="1"/>
  <c r="O70" i="1"/>
  <c r="O65" i="1"/>
  <c r="O76" i="1"/>
  <c r="O63" i="1"/>
  <c r="O64" i="1"/>
  <c r="O69" i="1"/>
  <c r="O71" i="1"/>
  <c r="O73" i="1"/>
  <c r="O62" i="1"/>
  <c r="O66" i="1"/>
  <c r="O67" i="1"/>
  <c r="O68" i="1"/>
  <c r="O72" i="1"/>
  <c r="O74" i="1"/>
  <c r="O75" i="1"/>
  <c r="AJ29" i="1"/>
  <c r="GX18" i="9" l="1"/>
  <c r="JM18" i="9"/>
  <c r="KD18" i="9" s="1"/>
  <c r="JR15" i="9"/>
  <c r="HC18" i="9"/>
  <c r="JR18" i="9"/>
  <c r="KN18" i="9"/>
  <c r="KP18" i="9" s="1"/>
  <c r="CM6" i="3"/>
  <c r="CM23" i="3" s="1"/>
  <c r="DP6" i="3"/>
  <c r="DF12" i="3"/>
  <c r="DG12" i="3" s="1"/>
  <c r="DF20" i="3"/>
  <c r="DG20" i="3" s="1"/>
  <c r="DF13" i="3"/>
  <c r="DG13" i="3" s="1"/>
  <c r="DF21" i="3"/>
  <c r="DG21" i="3" s="1"/>
  <c r="DF14" i="3"/>
  <c r="DG14" i="3" s="1"/>
  <c r="DF6" i="3"/>
  <c r="DF7" i="3"/>
  <c r="DG7" i="3" s="1"/>
  <c r="DF15" i="3"/>
  <c r="DG15" i="3" s="1"/>
  <c r="DF8" i="3"/>
  <c r="DG8" i="3" s="1"/>
  <c r="DF16" i="3"/>
  <c r="DG16" i="3" s="1"/>
  <c r="DF9" i="3"/>
  <c r="DG9" i="3" s="1"/>
  <c r="DF17" i="3"/>
  <c r="DG17" i="3" s="1"/>
  <c r="DF10" i="3"/>
  <c r="DG10" i="3" s="1"/>
  <c r="DF18" i="3"/>
  <c r="DG18" i="3" s="1"/>
  <c r="DG6" i="3"/>
  <c r="DF11" i="3"/>
  <c r="DG11" i="3" s="1"/>
  <c r="DF19" i="3"/>
  <c r="DG19" i="3" s="1"/>
  <c r="CN13" i="3"/>
  <c r="CN21" i="3"/>
  <c r="CN19" i="3"/>
  <c r="CN14" i="3"/>
  <c r="CN6" i="3"/>
  <c r="CN7" i="3"/>
  <c r="CN15" i="3"/>
  <c r="CN8" i="3"/>
  <c r="CN16" i="3"/>
  <c r="CN9" i="3"/>
  <c r="CN17" i="3"/>
  <c r="CN10" i="3"/>
  <c r="CN18" i="3"/>
  <c r="CN12" i="3"/>
  <c r="CN20" i="3"/>
  <c r="CN11" i="3"/>
  <c r="DB6" i="3"/>
  <c r="DC6" i="3" s="1"/>
  <c r="CL23" i="3"/>
  <c r="BJ23" i="3" s="1"/>
  <c r="BJ20" i="3"/>
  <c r="CQ13" i="3"/>
  <c r="CQ21" i="3"/>
  <c r="CQ11" i="3"/>
  <c r="CQ14" i="3"/>
  <c r="CQ6" i="3"/>
  <c r="CQ7" i="3"/>
  <c r="CQ15" i="3"/>
  <c r="CQ8" i="3"/>
  <c r="CQ16" i="3"/>
  <c r="CQ9" i="3"/>
  <c r="CQ17" i="3"/>
  <c r="CQ10" i="3"/>
  <c r="CQ18" i="3"/>
  <c r="CQ12" i="3"/>
  <c r="CQ20" i="3"/>
  <c r="DB14" i="3"/>
  <c r="CQ19" i="3"/>
  <c r="DB7" i="3"/>
  <c r="DB13" i="3"/>
  <c r="DB18" i="3"/>
  <c r="DB8" i="3"/>
  <c r="DB10" i="3"/>
  <c r="DB16" i="3"/>
  <c r="DB12" i="3"/>
  <c r="DB21" i="3"/>
  <c r="DB20" i="3"/>
  <c r="DB15" i="3"/>
  <c r="DB9" i="3"/>
  <c r="DB19" i="3"/>
  <c r="DB17" i="3"/>
  <c r="DB11" i="3"/>
  <c r="CZ7" i="2"/>
  <c r="CL8" i="2"/>
  <c r="CX8" i="2"/>
  <c r="CK9" i="2"/>
  <c r="CP8" i="2"/>
  <c r="CL6" i="2"/>
  <c r="CL7" i="2"/>
  <c r="CL5" i="2"/>
  <c r="CN8" i="2"/>
  <c r="CZ6" i="2"/>
  <c r="DT11" i="2"/>
  <c r="DU11" i="2" s="1"/>
  <c r="DT14" i="2"/>
  <c r="DU14" i="2" s="1"/>
  <c r="DJ11" i="2"/>
  <c r="DJ19" i="2"/>
  <c r="DJ9" i="2"/>
  <c r="DJ12" i="2"/>
  <c r="DJ4" i="2"/>
  <c r="DJ5" i="2"/>
  <c r="DJ13" i="2"/>
  <c r="DJ6" i="2"/>
  <c r="DJ14" i="2"/>
  <c r="DJ7" i="2"/>
  <c r="DJ15" i="2"/>
  <c r="DJ8" i="2"/>
  <c r="DJ16" i="2"/>
  <c r="DJ17" i="2"/>
  <c r="DJ10" i="2"/>
  <c r="DJ18" i="2"/>
  <c r="DT10" i="2"/>
  <c r="DU10" i="2" s="1"/>
  <c r="DS10" i="2"/>
  <c r="DS7" i="2"/>
  <c r="DT7" i="2"/>
  <c r="DU7" i="2" s="1"/>
  <c r="DS17" i="2"/>
  <c r="DT17" i="2"/>
  <c r="DU17" i="2" s="1"/>
  <c r="DS9" i="2"/>
  <c r="DT9" i="2"/>
  <c r="DU9" i="2" s="1"/>
  <c r="DS16" i="2"/>
  <c r="DT16" i="2"/>
  <c r="DU16" i="2" s="1"/>
  <c r="DS13" i="2"/>
  <c r="DT13" i="2"/>
  <c r="DU13" i="2" s="1"/>
  <c r="DS6" i="2"/>
  <c r="DT6" i="2"/>
  <c r="DU6" i="2" s="1"/>
  <c r="DS15" i="2"/>
  <c r="DT15" i="2"/>
  <c r="DU15" i="2" s="1"/>
  <c r="DS12" i="2"/>
  <c r="DT12" i="2"/>
  <c r="DU12" i="2" s="1"/>
  <c r="DS8" i="2"/>
  <c r="DT8" i="2"/>
  <c r="DU8" i="2" s="1"/>
  <c r="DS5" i="2"/>
  <c r="DT5" i="2"/>
  <c r="DU5" i="2" s="1"/>
  <c r="O61" i="2"/>
  <c r="DI4" i="2"/>
  <c r="DT18" i="2"/>
  <c r="DU18" i="2" s="1"/>
  <c r="DS18" i="2"/>
  <c r="DT19" i="2"/>
  <c r="DU19" i="2" s="1"/>
  <c r="DS19" i="2"/>
  <c r="DW12" i="1"/>
  <c r="DX12" i="1" s="1"/>
  <c r="DW20" i="1"/>
  <c r="DX20" i="1" s="1"/>
  <c r="DW13" i="1"/>
  <c r="DX13" i="1" s="1"/>
  <c r="DW21" i="1"/>
  <c r="DX21" i="1" s="1"/>
  <c r="DW14" i="1"/>
  <c r="DX14" i="1" s="1"/>
  <c r="DW6" i="1"/>
  <c r="DW7" i="1"/>
  <c r="DX7" i="1" s="1"/>
  <c r="DW15" i="1"/>
  <c r="DX15" i="1" s="1"/>
  <c r="DW8" i="1"/>
  <c r="DX8" i="1" s="1"/>
  <c r="DW16" i="1"/>
  <c r="DX16" i="1" s="1"/>
  <c r="DW9" i="1"/>
  <c r="DX9" i="1" s="1"/>
  <c r="DW17" i="1"/>
  <c r="DX17" i="1" s="1"/>
  <c r="DW10" i="1"/>
  <c r="DX10" i="1" s="1"/>
  <c r="DW18" i="1"/>
  <c r="DX18" i="1" s="1"/>
  <c r="DW11" i="1"/>
  <c r="DX11" i="1" s="1"/>
  <c r="DW19" i="1"/>
  <c r="DX19" i="1" s="1"/>
  <c r="CT8" i="1"/>
  <c r="CX8" i="1" s="1"/>
  <c r="CO8" i="1"/>
  <c r="DP12" i="1"/>
  <c r="DQ12" i="1"/>
  <c r="DM18" i="1"/>
  <c r="DL18" i="1"/>
  <c r="DN18" i="1" s="1"/>
  <c r="DO9" i="1"/>
  <c r="DL21" i="1"/>
  <c r="DN21" i="1" s="1"/>
  <c r="DM21" i="1"/>
  <c r="DL16" i="1"/>
  <c r="DN16" i="1" s="1"/>
  <c r="DM16" i="1"/>
  <c r="DL9" i="1"/>
  <c r="DN9" i="1" s="1"/>
  <c r="DM9" i="1"/>
  <c r="CN6" i="1"/>
  <c r="CP6" i="1" s="1"/>
  <c r="DF7" i="1"/>
  <c r="DH7" i="1" s="1"/>
  <c r="DI7" i="1" s="1"/>
  <c r="DJ7" i="1" s="1"/>
  <c r="AA62" i="1" s="1"/>
  <c r="DF11" i="1"/>
  <c r="DF8" i="1"/>
  <c r="DH8" i="1" s="1"/>
  <c r="DI8" i="1" s="1"/>
  <c r="DJ8" i="1" s="1"/>
  <c r="AA63" i="1" s="1"/>
  <c r="DF13" i="1"/>
  <c r="DF20" i="1"/>
  <c r="DH20" i="1" s="1"/>
  <c r="DI20" i="1" s="1"/>
  <c r="DJ20" i="1" s="1"/>
  <c r="AA75" i="1" s="1"/>
  <c r="DF9" i="1"/>
  <c r="DH9" i="1" s="1"/>
  <c r="DI9" i="1" s="1"/>
  <c r="DJ9" i="1" s="1"/>
  <c r="AA64" i="1" s="1"/>
  <c r="DF17" i="1"/>
  <c r="DF14" i="1"/>
  <c r="DH14" i="1" s="1"/>
  <c r="DI14" i="1" s="1"/>
  <c r="DJ14" i="1" s="1"/>
  <c r="AA69" i="1" s="1"/>
  <c r="DF21" i="1"/>
  <c r="DH21" i="1" s="1"/>
  <c r="DI21" i="1" s="1"/>
  <c r="DJ21" i="1" s="1"/>
  <c r="AA76" i="1" s="1"/>
  <c r="DF10" i="1"/>
  <c r="DH10" i="1" s="1"/>
  <c r="DI10" i="1" s="1"/>
  <c r="DJ10" i="1" s="1"/>
  <c r="AA65" i="1" s="1"/>
  <c r="DF18" i="1"/>
  <c r="DH18" i="1" s="1"/>
  <c r="DI18" i="1" s="1"/>
  <c r="DJ18" i="1" s="1"/>
  <c r="AA73" i="1" s="1"/>
  <c r="DF12" i="1"/>
  <c r="DH12" i="1" s="1"/>
  <c r="DI12" i="1" s="1"/>
  <c r="DJ12" i="1" s="1"/>
  <c r="AA67" i="1" s="1"/>
  <c r="DF6" i="1"/>
  <c r="DH6" i="1" s="1"/>
  <c r="DF15" i="1"/>
  <c r="DH15" i="1" s="1"/>
  <c r="DI15" i="1" s="1"/>
  <c r="DJ15" i="1" s="1"/>
  <c r="AA70" i="1" s="1"/>
  <c r="CN8" i="1"/>
  <c r="DF16" i="1"/>
  <c r="DH16" i="1" s="1"/>
  <c r="DI16" i="1" s="1"/>
  <c r="DJ16" i="1" s="1"/>
  <c r="AA71" i="1" s="1"/>
  <c r="CN9" i="1"/>
  <c r="CP9" i="1" s="1"/>
  <c r="DF19" i="1"/>
  <c r="DH19" i="1" s="1"/>
  <c r="DI19" i="1" s="1"/>
  <c r="DJ19" i="1" s="1"/>
  <c r="AA74" i="1" s="1"/>
  <c r="CN7" i="1"/>
  <c r="CP7" i="1" s="1"/>
  <c r="DL7" i="1"/>
  <c r="DN7" i="1" s="1"/>
  <c r="DM7" i="1"/>
  <c r="DL14" i="1"/>
  <c r="DN14" i="1" s="1"/>
  <c r="DM14" i="1"/>
  <c r="DO19" i="1"/>
  <c r="DO8" i="1"/>
  <c r="DM17" i="1"/>
  <c r="DL17" i="1"/>
  <c r="DN17" i="1" s="1"/>
  <c r="DM13" i="1"/>
  <c r="DL13" i="1"/>
  <c r="DN13" i="1" s="1"/>
  <c r="DO16" i="1"/>
  <c r="DO7" i="1"/>
  <c r="DM20" i="1"/>
  <c r="DL20" i="1"/>
  <c r="DN20" i="1" s="1"/>
  <c r="DH11" i="1"/>
  <c r="DI11" i="1" s="1"/>
  <c r="DJ11" i="1" s="1"/>
  <c r="AA66" i="1" s="1"/>
  <c r="DO11" i="1"/>
  <c r="CM10" i="1"/>
  <c r="CT9" i="1"/>
  <c r="DO6" i="1"/>
  <c r="O61" i="1"/>
  <c r="O77" i="1" s="1"/>
  <c r="DE6" i="1"/>
  <c r="DL10" i="1"/>
  <c r="DN10" i="1" s="1"/>
  <c r="DM10" i="1"/>
  <c r="DP18" i="1"/>
  <c r="DQ18" i="1"/>
  <c r="DO21" i="1"/>
  <c r="DP20" i="1"/>
  <c r="DQ20" i="1"/>
  <c r="DL8" i="1"/>
  <c r="DN8" i="1" s="1"/>
  <c r="DM8" i="1"/>
  <c r="DO15" i="1"/>
  <c r="DM11" i="1"/>
  <c r="DL11" i="1"/>
  <c r="DN11" i="1" s="1"/>
  <c r="DQ10" i="1"/>
  <c r="DP10" i="1"/>
  <c r="DO14" i="1"/>
  <c r="DH17" i="1"/>
  <c r="DI17" i="1" s="1"/>
  <c r="DJ17" i="1" s="1"/>
  <c r="AA72" i="1" s="1"/>
  <c r="DO17" i="1"/>
  <c r="DH13" i="1"/>
  <c r="DI13" i="1" s="1"/>
  <c r="DJ13" i="1" s="1"/>
  <c r="AA68" i="1" s="1"/>
  <c r="DO13" i="1"/>
  <c r="GT27" i="10"/>
  <c r="GE35" i="10"/>
  <c r="GE33" i="10"/>
  <c r="GT35" i="10"/>
  <c r="FB29" i="10"/>
  <c r="GI26" i="10"/>
  <c r="GI28" i="10"/>
  <c r="GI30" i="10"/>
  <c r="GI31" i="10"/>
  <c r="GI32" i="10"/>
  <c r="GI33" i="10"/>
  <c r="GI34" i="10"/>
  <c r="GI35" i="10"/>
  <c r="GI36" i="10"/>
  <c r="GI37" i="10"/>
  <c r="GI38" i="10"/>
  <c r="GI39" i="10"/>
  <c r="GI40" i="10"/>
  <c r="GI27" i="10"/>
  <c r="GI29" i="10"/>
  <c r="GJ34" i="10"/>
  <c r="GD26" i="10"/>
  <c r="GD27" i="10"/>
  <c r="GD28" i="10"/>
  <c r="GD29" i="10"/>
  <c r="GD30" i="10"/>
  <c r="GD31" i="10"/>
  <c r="GD32" i="10"/>
  <c r="GD33" i="10"/>
  <c r="GD34" i="10"/>
  <c r="GD35" i="10"/>
  <c r="GD36" i="10"/>
  <c r="GD37" i="10"/>
  <c r="GD38" i="10"/>
  <c r="GD39" i="10"/>
  <c r="GD40" i="10"/>
  <c r="GT34" i="10"/>
  <c r="GT26" i="10"/>
  <c r="GJ33" i="10"/>
  <c r="GE40" i="10"/>
  <c r="GE32" i="10"/>
  <c r="GT33" i="10"/>
  <c r="GJ40" i="10"/>
  <c r="GJ32" i="10"/>
  <c r="GE39" i="10"/>
  <c r="GE31" i="10"/>
  <c r="GT40" i="10"/>
  <c r="GT32" i="10"/>
  <c r="GJ39" i="10"/>
  <c r="GJ31" i="10"/>
  <c r="GE38" i="10"/>
  <c r="GE30" i="10"/>
  <c r="GT39" i="10"/>
  <c r="GT31" i="10"/>
  <c r="GJ38" i="10"/>
  <c r="GJ30" i="10"/>
  <c r="GE37" i="10"/>
  <c r="GE29" i="10"/>
  <c r="GJ26" i="10"/>
  <c r="GT38" i="10"/>
  <c r="GJ37" i="10"/>
  <c r="GJ29" i="10"/>
  <c r="GE36" i="10"/>
  <c r="GE28" i="10"/>
  <c r="FD30" i="10"/>
  <c r="GS27" i="10"/>
  <c r="GS28" i="10"/>
  <c r="GS29" i="10"/>
  <c r="GS30" i="10"/>
  <c r="GS31" i="10"/>
  <c r="GS32" i="10"/>
  <c r="GS33" i="10"/>
  <c r="GS34" i="10"/>
  <c r="GS35" i="10"/>
  <c r="GS36" i="10"/>
  <c r="GS37" i="10"/>
  <c r="GS38" i="10"/>
  <c r="GS39" i="10"/>
  <c r="GS40" i="10"/>
  <c r="GS26" i="10"/>
  <c r="GT37" i="10"/>
  <c r="GT29" i="10"/>
  <c r="GJ36" i="10"/>
  <c r="GJ28" i="10"/>
  <c r="GT36" i="10"/>
  <c r="GT28" i="10"/>
  <c r="GJ35" i="10"/>
  <c r="GJ27" i="10"/>
  <c r="GE34" i="10"/>
  <c r="GE26" i="10"/>
  <c r="FD36" i="10"/>
  <c r="FD37" i="10"/>
  <c r="FD28" i="10"/>
  <c r="FD32" i="10"/>
  <c r="CT73" i="10"/>
  <c r="FD27" i="10"/>
  <c r="FB31" i="10"/>
  <c r="CR73" i="10"/>
  <c r="FB32" i="10"/>
  <c r="FB40" i="10"/>
  <c r="FB36" i="10"/>
  <c r="FA33" i="10"/>
  <c r="CQ73" i="10"/>
  <c r="FA34" i="10"/>
  <c r="FA25" i="10"/>
  <c r="FA40" i="10"/>
  <c r="FD38" i="10"/>
  <c r="FD39" i="10"/>
  <c r="FD34" i="10"/>
  <c r="FD40" i="10"/>
  <c r="FD29" i="10"/>
  <c r="GS25" i="10"/>
  <c r="FD25" i="10"/>
  <c r="BV133" i="10"/>
  <c r="FD31" i="10"/>
  <c r="FD35" i="10"/>
  <c r="FD33" i="10"/>
  <c r="FD26" i="10"/>
  <c r="GT25" i="10"/>
  <c r="FB35" i="10"/>
  <c r="FB30" i="10"/>
  <c r="FB28" i="10"/>
  <c r="BL133" i="10"/>
  <c r="GJ25" i="10"/>
  <c r="FB38" i="10"/>
  <c r="FB34" i="10"/>
  <c r="GI25" i="10"/>
  <c r="FB37" i="10"/>
  <c r="FB27" i="10"/>
  <c r="FB26" i="10"/>
  <c r="FB39" i="10"/>
  <c r="FB25" i="10"/>
  <c r="FB33" i="10"/>
  <c r="FA29" i="10"/>
  <c r="BG133" i="10"/>
  <c r="FA32" i="10"/>
  <c r="FA30" i="10"/>
  <c r="FA36" i="10"/>
  <c r="FA38" i="10"/>
  <c r="FA37" i="10"/>
  <c r="FA28" i="10"/>
  <c r="FA35" i="10"/>
  <c r="FA27" i="10"/>
  <c r="GD25" i="10"/>
  <c r="FA26" i="10"/>
  <c r="FA31" i="10"/>
  <c r="GE25" i="10"/>
  <c r="FA39" i="10"/>
  <c r="BQ107" i="10"/>
  <c r="CL73" i="10"/>
  <c r="BB107" i="10"/>
  <c r="CI73" i="10"/>
  <c r="R176" i="10"/>
  <c r="GD6" i="10"/>
  <c r="GD14" i="10"/>
  <c r="GE7" i="10"/>
  <c r="GE15" i="10"/>
  <c r="GD15" i="10"/>
  <c r="GE8" i="10"/>
  <c r="GE16" i="10"/>
  <c r="GD16" i="10"/>
  <c r="GE17" i="10"/>
  <c r="GE19" i="10"/>
  <c r="GD7" i="10"/>
  <c r="GE18" i="10"/>
  <c r="GD13" i="10"/>
  <c r="GE6" i="10"/>
  <c r="GE14" i="10"/>
  <c r="GD8" i="10"/>
  <c r="GE9" i="10"/>
  <c r="GD9" i="10"/>
  <c r="GD17" i="10"/>
  <c r="GE10" i="10"/>
  <c r="GD10" i="10"/>
  <c r="GD18" i="10"/>
  <c r="GE11" i="10"/>
  <c r="GD11" i="10"/>
  <c r="GD19" i="10"/>
  <c r="GE12" i="10"/>
  <c r="GE20" i="10"/>
  <c r="GD12" i="10"/>
  <c r="GD20" i="10"/>
  <c r="GE13" i="10"/>
  <c r="EF7" i="10"/>
  <c r="GS6" i="10"/>
  <c r="GS10" i="10"/>
  <c r="GS14" i="10"/>
  <c r="GS18" i="10"/>
  <c r="GT6" i="10"/>
  <c r="GT10" i="10"/>
  <c r="GT18" i="10"/>
  <c r="GS11" i="10"/>
  <c r="GS15" i="10"/>
  <c r="GS19" i="10"/>
  <c r="GT11" i="10"/>
  <c r="GT15" i="10"/>
  <c r="GT19" i="10"/>
  <c r="GS16" i="10"/>
  <c r="GS20" i="10"/>
  <c r="GT13" i="10"/>
  <c r="GT14" i="10"/>
  <c r="GT12" i="10"/>
  <c r="GT20" i="10"/>
  <c r="GS5" i="10"/>
  <c r="GS7" i="10"/>
  <c r="GT7" i="10"/>
  <c r="GS8" i="10"/>
  <c r="GS12" i="10"/>
  <c r="GT8" i="10"/>
  <c r="GT16" i="10"/>
  <c r="GS9" i="10"/>
  <c r="GS13" i="10"/>
  <c r="GS17" i="10"/>
  <c r="GT5" i="10"/>
  <c r="GT9" i="10"/>
  <c r="GT17" i="10"/>
  <c r="ED5" i="10"/>
  <c r="GJ8" i="10"/>
  <c r="GJ12" i="10"/>
  <c r="GJ16" i="10"/>
  <c r="GJ20" i="10"/>
  <c r="GI7" i="10"/>
  <c r="GI15" i="10"/>
  <c r="GI9" i="10"/>
  <c r="GI13" i="10"/>
  <c r="GI17" i="10"/>
  <c r="GI20" i="10"/>
  <c r="GJ9" i="10"/>
  <c r="GJ13" i="10"/>
  <c r="GJ17" i="10"/>
  <c r="GI11" i="10"/>
  <c r="GI19" i="10"/>
  <c r="GI6" i="10"/>
  <c r="GI10" i="10"/>
  <c r="GI14" i="10"/>
  <c r="GI18" i="10"/>
  <c r="GJ5" i="10"/>
  <c r="GI8" i="10"/>
  <c r="GI12" i="10"/>
  <c r="GJ6" i="10"/>
  <c r="GJ10" i="10"/>
  <c r="GJ14" i="10"/>
  <c r="GJ18" i="10"/>
  <c r="GI5" i="10"/>
  <c r="GJ7" i="10"/>
  <c r="GJ11" i="10"/>
  <c r="GJ15" i="10"/>
  <c r="GJ19" i="10"/>
  <c r="GI16" i="10"/>
  <c r="EC7" i="10"/>
  <c r="GE5" i="10"/>
  <c r="GD5" i="10"/>
  <c r="FD17" i="10"/>
  <c r="FD8" i="10"/>
  <c r="FB15" i="10"/>
  <c r="FB7" i="10"/>
  <c r="FB18" i="10"/>
  <c r="FB19" i="10"/>
  <c r="FD9" i="10"/>
  <c r="FD20" i="10"/>
  <c r="FD13" i="10"/>
  <c r="FD16" i="10"/>
  <c r="FB11" i="10"/>
  <c r="FB14" i="10"/>
  <c r="FA8" i="10"/>
  <c r="FA19" i="10"/>
  <c r="FA20" i="10"/>
  <c r="FA12" i="10"/>
  <c r="FA6" i="10"/>
  <c r="FA11" i="10"/>
  <c r="FA5" i="10"/>
  <c r="FA15" i="10"/>
  <c r="FA18" i="10"/>
  <c r="FA16" i="10"/>
  <c r="FD19" i="10"/>
  <c r="FD12" i="10"/>
  <c r="FB10" i="10"/>
  <c r="FB6" i="10"/>
  <c r="FA7" i="10"/>
  <c r="FA14" i="10"/>
  <c r="FD11" i="10"/>
  <c r="FD15" i="10"/>
  <c r="FB5" i="10"/>
  <c r="FB17" i="10"/>
  <c r="FD14" i="10"/>
  <c r="FD7" i="10"/>
  <c r="FB13" i="10"/>
  <c r="FB9" i="10"/>
  <c r="FA10" i="10"/>
  <c r="FA17" i="10"/>
  <c r="FD6" i="10"/>
  <c r="FD18" i="10"/>
  <c r="FB16" i="10"/>
  <c r="FB20" i="10"/>
  <c r="EL111" i="10"/>
  <c r="ER110" i="10"/>
  <c r="EV110" i="10" s="1"/>
  <c r="EI110" i="10"/>
  <c r="EN110" i="10" s="1"/>
  <c r="FA13" i="10"/>
  <c r="FA9" i="10"/>
  <c r="FD5" i="10"/>
  <c r="FD10" i="10"/>
  <c r="FB8" i="10"/>
  <c r="FB12" i="10"/>
  <c r="EC9" i="10"/>
  <c r="ED8" i="10"/>
  <c r="EC5" i="10"/>
  <c r="EF5" i="10"/>
  <c r="ED6" i="10"/>
  <c r="EC8" i="10"/>
  <c r="ED9" i="10"/>
  <c r="ED7" i="10"/>
  <c r="AL43" i="10"/>
  <c r="GO34" i="10" s="1"/>
  <c r="EF6" i="10"/>
  <c r="EF9" i="10"/>
  <c r="AL40" i="10"/>
  <c r="FZ35" i="10" s="1"/>
  <c r="EF8" i="10"/>
  <c r="EC6" i="10"/>
  <c r="AW115" i="10"/>
  <c r="AW122" i="10"/>
  <c r="AB43" i="10"/>
  <c r="BQ106" i="10" s="1"/>
  <c r="Z29" i="10"/>
  <c r="EA10" i="10"/>
  <c r="AW118" i="10"/>
  <c r="AB40" i="10"/>
  <c r="BB106" i="10" s="1"/>
  <c r="JR12" i="9"/>
  <c r="JR14" i="9"/>
  <c r="HC10" i="9"/>
  <c r="AE29" i="9"/>
  <c r="JR8" i="9"/>
  <c r="JR20" i="9"/>
  <c r="HC20" i="9"/>
  <c r="HC14" i="9"/>
  <c r="JR5" i="9"/>
  <c r="JR16" i="9"/>
  <c r="Z29" i="9"/>
  <c r="HC15" i="9"/>
  <c r="HC12" i="9"/>
  <c r="JR7" i="9"/>
  <c r="JR6" i="9"/>
  <c r="HC5" i="9"/>
  <c r="AE32" i="9"/>
  <c r="Z32" i="9" s="1"/>
  <c r="HC17" i="9"/>
  <c r="JR11" i="9"/>
  <c r="EI5" i="9"/>
  <c r="HC13" i="9"/>
  <c r="HC19" i="9"/>
  <c r="HC6" i="9"/>
  <c r="HC9" i="9"/>
  <c r="JR17" i="9"/>
  <c r="CA41" i="9"/>
  <c r="EI6" i="9"/>
  <c r="JR10" i="9"/>
  <c r="HC7" i="9"/>
  <c r="JR9" i="9"/>
  <c r="HC11" i="9"/>
  <c r="Q42" i="9"/>
  <c r="NH74" i="9" s="1"/>
  <c r="W42" i="9"/>
  <c r="HC16" i="9"/>
  <c r="HC8" i="9"/>
  <c r="JR19" i="9"/>
  <c r="GR5" i="9"/>
  <c r="GR6" i="9"/>
  <c r="DC28" i="9"/>
  <c r="X66" i="9" s="1"/>
  <c r="JM19" i="9"/>
  <c r="KD19" i="9" s="1"/>
  <c r="V123" i="9"/>
  <c r="JK14" i="9"/>
  <c r="JV14" i="9" s="1"/>
  <c r="KK14" i="9" s="1"/>
  <c r="KM14" i="9" s="1"/>
  <c r="L123" i="9"/>
  <c r="JL19" i="9"/>
  <c r="JZ19" i="9" s="1"/>
  <c r="Q123" i="9"/>
  <c r="JG33" i="9"/>
  <c r="C71" i="9"/>
  <c r="G133" i="9" s="1"/>
  <c r="JG30" i="9"/>
  <c r="C68" i="9"/>
  <c r="G130" i="9" s="1"/>
  <c r="JG39" i="9"/>
  <c r="C77" i="9"/>
  <c r="G139" i="9" s="1"/>
  <c r="JG32" i="9"/>
  <c r="C70" i="9"/>
  <c r="G132" i="9" s="1"/>
  <c r="EH7" i="9"/>
  <c r="JG38" i="9"/>
  <c r="C76" i="9"/>
  <c r="G138" i="9" s="1"/>
  <c r="JG35" i="9"/>
  <c r="C73" i="9"/>
  <c r="G135" i="9" s="1"/>
  <c r="JG29" i="9"/>
  <c r="C67" i="9"/>
  <c r="G129" i="9" s="1"/>
  <c r="JG34" i="9"/>
  <c r="C72" i="9"/>
  <c r="G134" i="9" s="1"/>
  <c r="JG31" i="9"/>
  <c r="C69" i="9"/>
  <c r="G131" i="9" s="1"/>
  <c r="G142" i="9"/>
  <c r="EI7" i="9"/>
  <c r="EG7" i="9"/>
  <c r="EC5" i="9"/>
  <c r="ES5" i="9" s="1"/>
  <c r="ED5" i="9"/>
  <c r="EW5" i="9" s="1"/>
  <c r="JM15" i="9"/>
  <c r="KD15" i="9" s="1"/>
  <c r="JM12" i="9"/>
  <c r="KD12" i="9" s="1"/>
  <c r="JL6" i="9"/>
  <c r="JZ6" i="9" s="1"/>
  <c r="JK6" i="9"/>
  <c r="JV6" i="9" s="1"/>
  <c r="KK6" i="9" s="1"/>
  <c r="KM6" i="9" s="1"/>
  <c r="JL5" i="9"/>
  <c r="GW5" i="9"/>
  <c r="JL14" i="9"/>
  <c r="JZ14" i="9" s="1"/>
  <c r="JL8" i="9"/>
  <c r="JZ8" i="9" s="1"/>
  <c r="JL17" i="9"/>
  <c r="JZ17" i="9" s="1"/>
  <c r="JL7" i="9"/>
  <c r="JZ7" i="9" s="1"/>
  <c r="JK10" i="9"/>
  <c r="JV10" i="9" s="1"/>
  <c r="KK10" i="9" s="1"/>
  <c r="KM10" i="9" s="1"/>
  <c r="JM9" i="9"/>
  <c r="KD9" i="9" s="1"/>
  <c r="JL12" i="9"/>
  <c r="JZ12" i="9" s="1"/>
  <c r="JM6" i="9"/>
  <c r="KD6" i="9" s="1"/>
  <c r="JL11" i="9"/>
  <c r="JZ11" i="9" s="1"/>
  <c r="JL20" i="9"/>
  <c r="JZ20" i="9" s="1"/>
  <c r="GX5" i="9"/>
  <c r="JM5" i="9"/>
  <c r="JM8" i="9"/>
  <c r="KD8" i="9" s="1"/>
  <c r="JM17" i="9"/>
  <c r="KD17" i="9" s="1"/>
  <c r="JM14" i="9"/>
  <c r="KD14" i="9" s="1"/>
  <c r="JL10" i="9"/>
  <c r="JZ10" i="9" s="1"/>
  <c r="JL9" i="9"/>
  <c r="JZ9" i="9" s="1"/>
  <c r="JM20" i="9"/>
  <c r="KD20" i="9" s="1"/>
  <c r="JK15" i="9"/>
  <c r="JV15" i="9" s="1"/>
  <c r="KK15" i="9" s="1"/>
  <c r="KM15" i="9" s="1"/>
  <c r="JM16" i="9"/>
  <c r="KD16" i="9" s="1"/>
  <c r="JK9" i="9"/>
  <c r="JV9" i="9" s="1"/>
  <c r="KK9" i="9" s="1"/>
  <c r="KM9" i="9" s="1"/>
  <c r="JK12" i="9"/>
  <c r="JV12" i="9" s="1"/>
  <c r="KK12" i="9" s="1"/>
  <c r="KM12" i="9" s="1"/>
  <c r="JK7" i="9"/>
  <c r="JV7" i="9" s="1"/>
  <c r="KK7" i="9" s="1"/>
  <c r="KM7" i="9" s="1"/>
  <c r="JM7" i="9"/>
  <c r="KD7" i="9" s="1"/>
  <c r="JK20" i="9"/>
  <c r="JV20" i="9" s="1"/>
  <c r="KK20" i="9" s="1"/>
  <c r="KM20" i="9" s="1"/>
  <c r="JL16" i="9"/>
  <c r="JZ16" i="9" s="1"/>
  <c r="JK5" i="9"/>
  <c r="JX5" i="9" s="1"/>
  <c r="KL5" i="9" s="1"/>
  <c r="JK8" i="9"/>
  <c r="JV8" i="9" s="1"/>
  <c r="KK8" i="9" s="1"/>
  <c r="KM8" i="9" s="1"/>
  <c r="JK17" i="9"/>
  <c r="JV17" i="9" s="1"/>
  <c r="KK17" i="9" s="1"/>
  <c r="KM17" i="9" s="1"/>
  <c r="JL15" i="9"/>
  <c r="JZ15" i="9" s="1"/>
  <c r="JK11" i="9"/>
  <c r="JV11" i="9" s="1"/>
  <c r="KK11" i="9" s="1"/>
  <c r="KM11" i="9" s="1"/>
  <c r="JK16" i="9"/>
  <c r="JV16" i="9" s="1"/>
  <c r="KK16" i="9" s="1"/>
  <c r="KM16" i="9" s="1"/>
  <c r="JK19" i="9"/>
  <c r="JV19" i="9" s="1"/>
  <c r="KK19" i="9" s="1"/>
  <c r="KM19" i="9" s="1"/>
  <c r="JM10" i="9"/>
  <c r="KD10" i="9" s="1"/>
  <c r="JM11" i="9"/>
  <c r="KD11" i="9" s="1"/>
  <c r="JL13" i="9"/>
  <c r="JK13" i="9"/>
  <c r="LS13" i="9"/>
  <c r="JR13" i="9"/>
  <c r="JQ13" i="9"/>
  <c r="JP13" i="9"/>
  <c r="JO13" i="9"/>
  <c r="CH36" i="9"/>
  <c r="JM13" i="9"/>
  <c r="GV7" i="9"/>
  <c r="HI7" i="9" s="1"/>
  <c r="HW7" i="9" s="1"/>
  <c r="GV9" i="9"/>
  <c r="GV20" i="9"/>
  <c r="GV11" i="9"/>
  <c r="GV13" i="9"/>
  <c r="HI13" i="9" s="1"/>
  <c r="HW13" i="9" s="1"/>
  <c r="GV16" i="9"/>
  <c r="GV15" i="9"/>
  <c r="GV17" i="9"/>
  <c r="GV19" i="9"/>
  <c r="GV6" i="9"/>
  <c r="GV12" i="9"/>
  <c r="HI12" i="9" s="1"/>
  <c r="HW12" i="9" s="1"/>
  <c r="GV10" i="9"/>
  <c r="GV14" i="9"/>
  <c r="HI14" i="9" s="1"/>
  <c r="HW14" i="9" s="1"/>
  <c r="GV8" i="9"/>
  <c r="GX8" i="9"/>
  <c r="GX12" i="9"/>
  <c r="GX20" i="9"/>
  <c r="GX6" i="9"/>
  <c r="GX10" i="9"/>
  <c r="GX14" i="9"/>
  <c r="HQ14" i="9" s="1"/>
  <c r="GX7" i="9"/>
  <c r="HQ7" i="9" s="1"/>
  <c r="GX9" i="9"/>
  <c r="HQ9" i="9" s="1"/>
  <c r="GX11" i="9"/>
  <c r="GX13" i="9"/>
  <c r="GX16" i="9"/>
  <c r="GX15" i="9"/>
  <c r="GX17" i="9"/>
  <c r="GX19" i="9"/>
  <c r="GP7" i="9"/>
  <c r="EA8" i="9"/>
  <c r="EB8" i="9" s="1"/>
  <c r="GW12" i="9"/>
  <c r="GW20" i="9"/>
  <c r="GW8" i="9"/>
  <c r="GW7" i="9"/>
  <c r="GW9" i="9"/>
  <c r="GW11" i="9"/>
  <c r="GW13" i="9"/>
  <c r="GW16" i="9"/>
  <c r="GW6" i="9"/>
  <c r="GW15" i="9"/>
  <c r="GW17" i="9"/>
  <c r="GW19" i="9"/>
  <c r="GW10" i="9"/>
  <c r="GW14" i="9"/>
  <c r="HM14" i="9" s="1"/>
  <c r="GV5" i="9"/>
  <c r="AB39" i="9"/>
  <c r="L122" i="9" s="1"/>
  <c r="EB5" i="9"/>
  <c r="EO5" i="9" s="1"/>
  <c r="FC5" i="9" s="1"/>
  <c r="EB6" i="9"/>
  <c r="EB7" i="9"/>
  <c r="AB41" i="9"/>
  <c r="ED7" i="9"/>
  <c r="ED6" i="9"/>
  <c r="AB40" i="9"/>
  <c r="Q122" i="9" s="1"/>
  <c r="EC6" i="9"/>
  <c r="EC7" i="9"/>
  <c r="EJ281" i="9"/>
  <c r="I61" i="3"/>
  <c r="BK61" i="3"/>
  <c r="BK65" i="3"/>
  <c r="AJ40" i="3"/>
  <c r="W119" i="3" s="1"/>
  <c r="AJ45" i="3"/>
  <c r="W120" i="3"/>
  <c r="AJ35" i="3"/>
  <c r="AJ36" i="3"/>
  <c r="AJ31" i="3"/>
  <c r="N61" i="3"/>
  <c r="N62" i="3"/>
  <c r="N63" i="3"/>
  <c r="N64" i="3"/>
  <c r="N65" i="3"/>
  <c r="N66" i="3"/>
  <c r="N67" i="3"/>
  <c r="N68" i="3"/>
  <c r="N69" i="3"/>
  <c r="N70" i="3"/>
  <c r="N71" i="3"/>
  <c r="N72" i="3"/>
  <c r="N73" i="3"/>
  <c r="N74" i="3"/>
  <c r="N75" i="3"/>
  <c r="N76" i="3"/>
  <c r="AJ29" i="3"/>
  <c r="BN15" i="3" s="1"/>
  <c r="I61" i="2"/>
  <c r="BK61" i="2"/>
  <c r="AJ40" i="2"/>
  <c r="AJ35" i="2"/>
  <c r="W119" i="2" s="1"/>
  <c r="W120" i="2"/>
  <c r="AJ28" i="2"/>
  <c r="BH108" i="2"/>
  <c r="I61" i="1"/>
  <c r="U61" i="1" s="1"/>
  <c r="BK61" i="1"/>
  <c r="AJ35" i="1"/>
  <c r="W119" i="1" s="1"/>
  <c r="W120" i="1"/>
  <c r="BH108" i="1"/>
  <c r="AJ28" i="1"/>
  <c r="HQ18" i="9" l="1"/>
  <c r="IC18" i="9" s="1"/>
  <c r="HO18" i="9"/>
  <c r="IB18" i="9" s="1"/>
  <c r="ID18" i="9" s="1"/>
  <c r="JN7" i="9"/>
  <c r="GY18" i="9"/>
  <c r="JN18" i="9"/>
  <c r="KH18" i="9" s="1"/>
  <c r="KQ18" i="9"/>
  <c r="KS18" i="9" s="1"/>
  <c r="DG23" i="3"/>
  <c r="BN16" i="3" s="1"/>
  <c r="DF23" i="3"/>
  <c r="BJ24" i="3" s="1"/>
  <c r="BF16" i="3" s="1"/>
  <c r="DD9" i="3"/>
  <c r="DE9" i="3" s="1"/>
  <c r="DC9" i="3"/>
  <c r="DD15" i="3"/>
  <c r="DE15" i="3" s="1"/>
  <c r="DC15" i="3"/>
  <c r="DD13" i="3"/>
  <c r="DE13" i="3" s="1"/>
  <c r="DC13" i="3"/>
  <c r="DD18" i="3"/>
  <c r="DE18" i="3" s="1"/>
  <c r="DC18" i="3"/>
  <c r="DD20" i="3"/>
  <c r="DE20" i="3" s="1"/>
  <c r="DC20" i="3"/>
  <c r="DD7" i="3"/>
  <c r="DE7" i="3" s="1"/>
  <c r="DC7" i="3"/>
  <c r="DD8" i="3"/>
  <c r="DE8" i="3" s="1"/>
  <c r="DC8" i="3"/>
  <c r="DD21" i="3"/>
  <c r="DE21" i="3" s="1"/>
  <c r="DC21" i="3"/>
  <c r="DD19" i="3"/>
  <c r="DE19" i="3" s="1"/>
  <c r="DC19" i="3"/>
  <c r="DD12" i="3"/>
  <c r="DE12" i="3" s="1"/>
  <c r="DC12" i="3"/>
  <c r="DD14" i="3"/>
  <c r="DE14" i="3" s="1"/>
  <c r="DC14" i="3"/>
  <c r="DD11" i="3"/>
  <c r="DE11" i="3" s="1"/>
  <c r="DC11" i="3"/>
  <c r="DD16" i="3"/>
  <c r="DE16" i="3" s="1"/>
  <c r="DC16" i="3"/>
  <c r="AK21" i="3"/>
  <c r="BF15" i="3"/>
  <c r="DD17" i="3"/>
  <c r="DE17" i="3" s="1"/>
  <c r="DC17" i="3"/>
  <c r="DD10" i="3"/>
  <c r="DE10" i="3" s="1"/>
  <c r="DC10" i="3"/>
  <c r="CO13" i="3"/>
  <c r="CO21" i="3"/>
  <c r="CR21" i="3" s="1"/>
  <c r="CO11" i="3"/>
  <c r="CR11" i="3" s="1"/>
  <c r="CO19" i="3"/>
  <c r="CR19" i="3" s="1"/>
  <c r="CO14" i="3"/>
  <c r="CO6" i="3"/>
  <c r="CR6" i="3" s="1"/>
  <c r="CO7" i="3"/>
  <c r="CR7" i="3" s="1"/>
  <c r="CO15" i="3"/>
  <c r="CR15" i="3" s="1"/>
  <c r="CO8" i="3"/>
  <c r="CO16" i="3"/>
  <c r="CR16" i="3" s="1"/>
  <c r="CO9" i="3"/>
  <c r="CR9" i="3" s="1"/>
  <c r="CO17" i="3"/>
  <c r="CR17" i="3" s="1"/>
  <c r="CO10" i="3"/>
  <c r="CR10" i="3" s="1"/>
  <c r="CO18" i="3"/>
  <c r="CR18" i="3" s="1"/>
  <c r="CO12" i="3"/>
  <c r="CR12" i="3" s="1"/>
  <c r="CO20" i="3"/>
  <c r="CR20" i="3" s="1"/>
  <c r="CR13" i="3"/>
  <c r="DB23" i="3"/>
  <c r="BJ21" i="3" s="1"/>
  <c r="BF13" i="3" s="1"/>
  <c r="DD6" i="3"/>
  <c r="CP13" i="3"/>
  <c r="CP21" i="3"/>
  <c r="CP11" i="3"/>
  <c r="CP14" i="3"/>
  <c r="CP6" i="3"/>
  <c r="CP7" i="3"/>
  <c r="CP15" i="3"/>
  <c r="CP8" i="3"/>
  <c r="CP16" i="3"/>
  <c r="CP9" i="3"/>
  <c r="CP17" i="3"/>
  <c r="CP10" i="3"/>
  <c r="CP18" i="3"/>
  <c r="CP12" i="3"/>
  <c r="CP20" i="3"/>
  <c r="CP19" i="3"/>
  <c r="CR8" i="3"/>
  <c r="CR14" i="3"/>
  <c r="BK64" i="3"/>
  <c r="CZ8" i="2"/>
  <c r="DW4" i="2"/>
  <c r="DW21" i="2" s="1"/>
  <c r="ED4" i="2"/>
  <c r="CO5" i="2"/>
  <c r="CO6" i="2"/>
  <c r="CX9" i="2"/>
  <c r="CK10" i="2"/>
  <c r="CP9" i="2"/>
  <c r="CN9" i="2"/>
  <c r="CM8" i="2"/>
  <c r="CO8" i="2" s="1"/>
  <c r="CM13" i="2"/>
  <c r="CM18" i="2"/>
  <c r="CM24" i="2"/>
  <c r="CM28" i="2"/>
  <c r="CM33" i="2"/>
  <c r="CM37" i="2"/>
  <c r="CM42" i="2"/>
  <c r="CM47" i="2"/>
  <c r="CM51" i="2"/>
  <c r="CM56" i="2"/>
  <c r="CM60" i="2"/>
  <c r="CM65" i="2"/>
  <c r="CM69" i="2"/>
  <c r="CM74" i="2"/>
  <c r="CM79" i="2"/>
  <c r="CM83" i="2"/>
  <c r="CM110" i="2"/>
  <c r="CM10" i="2"/>
  <c r="CM16" i="2"/>
  <c r="CM21" i="2"/>
  <c r="CM26" i="2"/>
  <c r="CM31" i="2"/>
  <c r="CM35" i="2"/>
  <c r="CM40" i="2"/>
  <c r="CM44" i="2"/>
  <c r="CM49" i="2"/>
  <c r="CM53" i="2"/>
  <c r="CM58" i="2"/>
  <c r="CM63" i="2"/>
  <c r="CM67" i="2"/>
  <c r="CM72" i="2"/>
  <c r="CM76" i="2"/>
  <c r="CM81" i="2"/>
  <c r="CM85" i="2"/>
  <c r="CM94" i="2"/>
  <c r="CM25" i="2"/>
  <c r="CM43" i="2"/>
  <c r="CM61" i="2"/>
  <c r="CM80" i="2"/>
  <c r="CM91" i="2"/>
  <c r="CM108" i="2"/>
  <c r="CM119" i="2"/>
  <c r="CM124" i="2"/>
  <c r="CM135" i="2"/>
  <c r="CM139" i="2"/>
  <c r="CM144" i="2"/>
  <c r="CM148" i="2"/>
  <c r="CM166" i="2"/>
  <c r="CM198" i="2"/>
  <c r="CM216" i="2"/>
  <c r="CM220" i="2"/>
  <c r="CM225" i="2"/>
  <c r="CM229" i="2"/>
  <c r="CM234" i="2"/>
  <c r="CM239" i="2"/>
  <c r="CM243" i="2"/>
  <c r="CM248" i="2"/>
  <c r="CM11" i="2"/>
  <c r="CM32" i="2"/>
  <c r="CM38" i="2"/>
  <c r="CM50" i="2"/>
  <c r="CM62" i="2"/>
  <c r="CM68" i="2"/>
  <c r="CM86" i="2"/>
  <c r="CM92" i="2"/>
  <c r="CM98" i="2"/>
  <c r="CM104" i="2"/>
  <c r="CM114" i="2"/>
  <c r="CM120" i="2"/>
  <c r="CM130" i="2"/>
  <c r="CM153" i="2"/>
  <c r="CM157" i="2"/>
  <c r="CM7" i="2"/>
  <c r="CM12" i="2"/>
  <c r="CM19" i="2"/>
  <c r="CM39" i="2"/>
  <c r="CM57" i="2"/>
  <c r="CM75" i="2"/>
  <c r="CM87" i="2"/>
  <c r="CM99" i="2"/>
  <c r="CM109" i="2"/>
  <c r="CM115" i="2"/>
  <c r="CM125" i="2"/>
  <c r="CM136" i="2"/>
  <c r="CM140" i="2"/>
  <c r="CM145" i="2"/>
  <c r="CM149" i="2"/>
  <c r="CM158" i="2"/>
  <c r="CM14" i="2"/>
  <c r="CM20" i="2"/>
  <c r="CM27" i="2"/>
  <c r="CM45" i="2"/>
  <c r="CM64" i="2"/>
  <c r="CM70" i="2"/>
  <c r="CM82" i="2"/>
  <c r="CM88" i="2"/>
  <c r="CM93" i="2"/>
  <c r="CM105" i="2"/>
  <c r="CM111" i="2"/>
  <c r="CM121" i="2"/>
  <c r="CM126" i="2"/>
  <c r="CM131" i="2"/>
  <c r="CM154" i="2"/>
  <c r="CM159" i="2"/>
  <c r="CM163" i="2"/>
  <c r="CM168" i="2"/>
  <c r="CM172" i="2"/>
  <c r="CM177" i="2"/>
  <c r="CM181" i="2"/>
  <c r="CM186" i="2"/>
  <c r="CM191" i="2"/>
  <c r="CM195" i="2"/>
  <c r="CM200" i="2"/>
  <c r="CM204" i="2"/>
  <c r="CM209" i="2"/>
  <c r="CM213" i="2"/>
  <c r="CM222" i="2"/>
  <c r="CM15" i="2"/>
  <c r="CM22" i="2"/>
  <c r="CM34" i="2"/>
  <c r="CM46" i="2"/>
  <c r="CM52" i="2"/>
  <c r="CM71" i="2"/>
  <c r="CM95" i="2"/>
  <c r="CM100" i="2"/>
  <c r="CM106" i="2"/>
  <c r="CM116" i="2"/>
  <c r="CM127" i="2"/>
  <c r="CM137" i="2"/>
  <c r="CM141" i="2"/>
  <c r="CM146" i="2"/>
  <c r="CM150" i="2"/>
  <c r="CM66" i="2"/>
  <c r="CM97" i="2"/>
  <c r="CM162" i="2"/>
  <c r="CM174" i="2"/>
  <c r="CM180" i="2"/>
  <c r="CM199" i="2"/>
  <c r="CM223" i="2"/>
  <c r="CM228" i="2"/>
  <c r="CM241" i="2"/>
  <c r="CM247" i="2"/>
  <c r="CM160" i="2"/>
  <c r="CM196" i="2"/>
  <c r="CM214" i="2"/>
  <c r="CM226" i="2"/>
  <c r="CM244" i="2"/>
  <c r="CM29" i="2"/>
  <c r="CM78" i="2"/>
  <c r="CM167" i="2"/>
  <c r="CM185" i="2"/>
  <c r="CM203" i="2"/>
  <c r="CM215" i="2"/>
  <c r="CM227" i="2"/>
  <c r="CM233" i="2"/>
  <c r="CM245" i="2"/>
  <c r="CM17" i="2"/>
  <c r="CM84" i="2"/>
  <c r="CM101" i="2"/>
  <c r="CM113" i="2"/>
  <c r="CM128" i="2"/>
  <c r="CM142" i="2"/>
  <c r="CM152" i="2"/>
  <c r="CM169" i="2"/>
  <c r="CM175" i="2"/>
  <c r="CM187" i="2"/>
  <c r="CM193" i="2"/>
  <c r="CM205" i="2"/>
  <c r="CM211" i="2"/>
  <c r="CM217" i="2"/>
  <c r="CM235" i="2"/>
  <c r="CM23" i="2"/>
  <c r="CM36" i="2"/>
  <c r="CM54" i="2"/>
  <c r="CM102" i="2"/>
  <c r="CM129" i="2"/>
  <c r="CM143" i="2"/>
  <c r="CM155" i="2"/>
  <c r="CM176" i="2"/>
  <c r="CM182" i="2"/>
  <c r="CM194" i="2"/>
  <c r="CM206" i="2"/>
  <c r="CM212" i="2"/>
  <c r="CM218" i="2"/>
  <c r="CM224" i="2"/>
  <c r="CM230" i="2"/>
  <c r="CM236" i="2"/>
  <c r="CM242" i="2"/>
  <c r="CM173" i="2"/>
  <c r="CM210" i="2"/>
  <c r="CM6" i="2"/>
  <c r="CM41" i="2"/>
  <c r="CM55" i="2"/>
  <c r="CM89" i="2"/>
  <c r="CM103" i="2"/>
  <c r="CM117" i="2"/>
  <c r="CM132" i="2"/>
  <c r="CM164" i="2"/>
  <c r="CM170" i="2"/>
  <c r="CM183" i="2"/>
  <c r="CM188" i="2"/>
  <c r="CM201" i="2"/>
  <c r="CM207" i="2"/>
  <c r="CM231" i="2"/>
  <c r="CM249" i="2"/>
  <c r="CM30" i="2"/>
  <c r="CM48" i="2"/>
  <c r="CM96" i="2"/>
  <c r="CM112" i="2"/>
  <c r="CM123" i="2"/>
  <c r="CM138" i="2"/>
  <c r="CM151" i="2"/>
  <c r="CM161" i="2"/>
  <c r="CM179" i="2"/>
  <c r="CM192" i="2"/>
  <c r="CM197" i="2"/>
  <c r="CM221" i="2"/>
  <c r="CM240" i="2"/>
  <c r="CM246" i="2"/>
  <c r="CM59" i="2"/>
  <c r="CM73" i="2"/>
  <c r="CM90" i="2"/>
  <c r="CM118" i="2"/>
  <c r="CM133" i="2"/>
  <c r="CM156" i="2"/>
  <c r="CM171" i="2"/>
  <c r="CM189" i="2"/>
  <c r="CM208" i="2"/>
  <c r="CM219" i="2"/>
  <c r="CM232" i="2"/>
  <c r="CM237" i="2"/>
  <c r="CM250" i="2"/>
  <c r="CM5" i="2"/>
  <c r="CM9" i="2"/>
  <c r="CM77" i="2"/>
  <c r="CM107" i="2"/>
  <c r="CM122" i="2"/>
  <c r="CM134" i="2"/>
  <c r="CM147" i="2"/>
  <c r="CM165" i="2"/>
  <c r="CM178" i="2"/>
  <c r="CM184" i="2"/>
  <c r="CM190" i="2"/>
  <c r="CM202" i="2"/>
  <c r="CM238" i="2"/>
  <c r="CO7" i="2"/>
  <c r="CL9" i="2"/>
  <c r="BJ24" i="2"/>
  <c r="BF16" i="2"/>
  <c r="DI21" i="2"/>
  <c r="DR4" i="2"/>
  <c r="DV4" i="2"/>
  <c r="DK11" i="2"/>
  <c r="DM11" i="2" s="1"/>
  <c r="DK19" i="2"/>
  <c r="DM19" i="2" s="1"/>
  <c r="DK17" i="2"/>
  <c r="DQ17" i="2" s="1"/>
  <c r="EE17" i="2" s="1"/>
  <c r="DK12" i="2"/>
  <c r="DQ12" i="2" s="1"/>
  <c r="EE12" i="2" s="1"/>
  <c r="DK4" i="2"/>
  <c r="DM4" i="2" s="1"/>
  <c r="DK5" i="2"/>
  <c r="DM5" i="2" s="1"/>
  <c r="DK13" i="2"/>
  <c r="DP13" i="2" s="1"/>
  <c r="DK6" i="2"/>
  <c r="DM6" i="2" s="1"/>
  <c r="DK14" i="2"/>
  <c r="DQ14" i="2" s="1"/>
  <c r="EE14" i="2" s="1"/>
  <c r="DK7" i="2"/>
  <c r="DM7" i="2" s="1"/>
  <c r="DK15" i="2"/>
  <c r="DM15" i="2" s="1"/>
  <c r="DK8" i="2"/>
  <c r="DP8" i="2" s="1"/>
  <c r="DK16" i="2"/>
  <c r="DM16" i="2" s="1"/>
  <c r="DK9" i="2"/>
  <c r="DM9" i="2" s="1"/>
  <c r="DK10" i="2"/>
  <c r="DQ10" i="2" s="1"/>
  <c r="EE10" i="2" s="1"/>
  <c r="DK18" i="2"/>
  <c r="DQ18" i="2" s="1"/>
  <c r="EE18" i="2" s="1"/>
  <c r="DM14" i="2"/>
  <c r="CU9" i="1"/>
  <c r="CU6" i="1"/>
  <c r="CY6" i="1"/>
  <c r="CP8" i="1"/>
  <c r="CQ9" i="1"/>
  <c r="CY9" i="1" s="1"/>
  <c r="CX9" i="1"/>
  <c r="CU7" i="1"/>
  <c r="CY7" i="1"/>
  <c r="BH115" i="1"/>
  <c r="CR7" i="1"/>
  <c r="CW7" i="1" s="1"/>
  <c r="CR6" i="1"/>
  <c r="CW6" i="1" s="1"/>
  <c r="CV8" i="1"/>
  <c r="CQ8" i="1"/>
  <c r="CR8" i="1" s="1"/>
  <c r="CW8" i="1" s="1"/>
  <c r="DQ13" i="1"/>
  <c r="DP13" i="1"/>
  <c r="DP21" i="1"/>
  <c r="DQ21" i="1"/>
  <c r="DP9" i="1"/>
  <c r="DQ9" i="1"/>
  <c r="DI6" i="1"/>
  <c r="DJ6" i="1" s="1"/>
  <c r="DQ15" i="1"/>
  <c r="DP15" i="1"/>
  <c r="CV9" i="1"/>
  <c r="DP7" i="1"/>
  <c r="DQ7" i="1"/>
  <c r="DQ8" i="1"/>
  <c r="DP8" i="1"/>
  <c r="DP17" i="1"/>
  <c r="DQ17" i="1"/>
  <c r="CM11" i="1"/>
  <c r="CT10" i="1"/>
  <c r="CX10" i="1" s="1"/>
  <c r="CO10" i="1"/>
  <c r="CN10" i="1"/>
  <c r="DS6" i="1"/>
  <c r="DE24" i="1"/>
  <c r="BN15" i="1" s="1"/>
  <c r="DQ6" i="1"/>
  <c r="DP6" i="1"/>
  <c r="DK6" i="1"/>
  <c r="DE23" i="1"/>
  <c r="DQ14" i="1"/>
  <c r="DP14" i="1"/>
  <c r="DQ16" i="1"/>
  <c r="DP16" i="1"/>
  <c r="DQ11" i="1"/>
  <c r="DP11" i="1"/>
  <c r="DP19" i="1"/>
  <c r="DQ19" i="1"/>
  <c r="FZ36" i="10"/>
  <c r="FZ34" i="10"/>
  <c r="GO29" i="10"/>
  <c r="FZ32" i="10"/>
  <c r="FZ30" i="10"/>
  <c r="GO36" i="10"/>
  <c r="GO28" i="10"/>
  <c r="FZ28" i="10"/>
  <c r="FZ26" i="10"/>
  <c r="GO35" i="10"/>
  <c r="GO27" i="10"/>
  <c r="FZ39" i="10"/>
  <c r="FC29" i="10"/>
  <c r="GN26" i="10"/>
  <c r="GN27" i="10"/>
  <c r="GN28" i="10"/>
  <c r="GN29" i="10"/>
  <c r="GN30" i="10"/>
  <c r="GN31" i="10"/>
  <c r="GN32" i="10"/>
  <c r="GN33" i="10"/>
  <c r="GN34" i="10"/>
  <c r="GN35" i="10"/>
  <c r="GN36" i="10"/>
  <c r="GN37" i="10"/>
  <c r="GN38" i="10"/>
  <c r="GN39" i="10"/>
  <c r="GN40" i="10"/>
  <c r="FZ37" i="10"/>
  <c r="GO26" i="10"/>
  <c r="GO33" i="10"/>
  <c r="EZ27" i="10"/>
  <c r="FY27" i="10"/>
  <c r="FY31" i="10"/>
  <c r="FY35" i="10"/>
  <c r="FY39" i="10"/>
  <c r="FY28" i="10"/>
  <c r="FY32" i="10"/>
  <c r="FY36" i="10"/>
  <c r="FY40" i="10"/>
  <c r="FY29" i="10"/>
  <c r="FY33" i="10"/>
  <c r="FY37" i="10"/>
  <c r="FY26" i="10"/>
  <c r="FY30" i="10"/>
  <c r="FY34" i="10"/>
  <c r="FY38" i="10"/>
  <c r="FZ33" i="10"/>
  <c r="FZ31" i="10"/>
  <c r="GO40" i="10"/>
  <c r="GO32" i="10"/>
  <c r="GO37" i="10"/>
  <c r="FZ29" i="10"/>
  <c r="FZ27" i="10"/>
  <c r="GO39" i="10"/>
  <c r="GO31" i="10"/>
  <c r="FZ40" i="10"/>
  <c r="FZ38" i="10"/>
  <c r="GO38" i="10"/>
  <c r="GO30" i="10"/>
  <c r="FZ25" i="10"/>
  <c r="EZ35" i="10"/>
  <c r="FC31" i="10"/>
  <c r="FC36" i="10"/>
  <c r="FC37" i="10"/>
  <c r="FC26" i="10"/>
  <c r="BQ133" i="10"/>
  <c r="CS73" i="10"/>
  <c r="FC25" i="10"/>
  <c r="FC32" i="10"/>
  <c r="FC33" i="10"/>
  <c r="BB133" i="10"/>
  <c r="CP73" i="10"/>
  <c r="EZ26" i="10"/>
  <c r="FH26" i="10" s="1"/>
  <c r="GX26" i="10" s="1"/>
  <c r="GZ26" i="10" s="1"/>
  <c r="CL341" i="10" s="1"/>
  <c r="CR341" i="10" s="1"/>
  <c r="EZ39" i="10"/>
  <c r="EZ25" i="10"/>
  <c r="FY25" i="10"/>
  <c r="EZ37" i="10"/>
  <c r="EZ38" i="10"/>
  <c r="EZ36" i="10"/>
  <c r="FH36" i="10" s="1"/>
  <c r="GX36" i="10" s="1"/>
  <c r="GZ36" i="10" s="1"/>
  <c r="CL351" i="10" s="1"/>
  <c r="CR351" i="10" s="1"/>
  <c r="EZ31" i="10"/>
  <c r="EZ33" i="10"/>
  <c r="EZ32" i="10"/>
  <c r="EZ30" i="10"/>
  <c r="EZ29" i="10"/>
  <c r="EZ40" i="10"/>
  <c r="EZ34" i="10"/>
  <c r="EZ28" i="10"/>
  <c r="FC28" i="10"/>
  <c r="FC34" i="10"/>
  <c r="FC30" i="10"/>
  <c r="GN25" i="10"/>
  <c r="FC40" i="10"/>
  <c r="FC35" i="10"/>
  <c r="FC39" i="10"/>
  <c r="FC38" i="10"/>
  <c r="FC27" i="10"/>
  <c r="GO25" i="10"/>
  <c r="EE8" i="10"/>
  <c r="GN8" i="10"/>
  <c r="GN16" i="10"/>
  <c r="GO9" i="10"/>
  <c r="GO17" i="10"/>
  <c r="GO11" i="10"/>
  <c r="GN19" i="10"/>
  <c r="GO20" i="10"/>
  <c r="GO13" i="10"/>
  <c r="GN9" i="10"/>
  <c r="GN17" i="10"/>
  <c r="GO10" i="10"/>
  <c r="GO18" i="10"/>
  <c r="GN18" i="10"/>
  <c r="GO19" i="10"/>
  <c r="GO12" i="10"/>
  <c r="GN20" i="10"/>
  <c r="GO5" i="10"/>
  <c r="GO6" i="10"/>
  <c r="GO14" i="10"/>
  <c r="GN5" i="10"/>
  <c r="GN7" i="10"/>
  <c r="GO8" i="10"/>
  <c r="GO16" i="10"/>
  <c r="GN10" i="10"/>
  <c r="GN11" i="10"/>
  <c r="GN12" i="10"/>
  <c r="GN13" i="10"/>
  <c r="GN6" i="10"/>
  <c r="GN14" i="10"/>
  <c r="GO7" i="10"/>
  <c r="GO15" i="10"/>
  <c r="GN15" i="10"/>
  <c r="EB7" i="10"/>
  <c r="FY6" i="10"/>
  <c r="FY10" i="10"/>
  <c r="FY14" i="10"/>
  <c r="FY18" i="10"/>
  <c r="FZ8" i="10"/>
  <c r="FZ6" i="10"/>
  <c r="FZ10" i="10"/>
  <c r="FZ14" i="10"/>
  <c r="FZ18" i="10"/>
  <c r="FY7" i="10"/>
  <c r="FY11" i="10"/>
  <c r="FY15" i="10"/>
  <c r="FY19" i="10"/>
  <c r="FZ7" i="10"/>
  <c r="FZ11" i="10"/>
  <c r="FZ15" i="10"/>
  <c r="FZ19" i="10"/>
  <c r="FY8" i="10"/>
  <c r="FY12" i="10"/>
  <c r="FY16" i="10"/>
  <c r="FY20" i="10"/>
  <c r="FY9" i="10"/>
  <c r="FY13" i="10"/>
  <c r="FY17" i="10"/>
  <c r="FZ5" i="10"/>
  <c r="FZ13" i="10"/>
  <c r="FY5" i="10"/>
  <c r="FZ12" i="10"/>
  <c r="FZ16" i="10"/>
  <c r="FZ20" i="10"/>
  <c r="FZ9" i="10"/>
  <c r="FZ17" i="10"/>
  <c r="EZ9" i="10"/>
  <c r="EZ20" i="10"/>
  <c r="EZ12" i="10"/>
  <c r="EZ16" i="10"/>
  <c r="EZ8" i="10"/>
  <c r="EZ19" i="10"/>
  <c r="FC8" i="10"/>
  <c r="FC11" i="10"/>
  <c r="FC7" i="10"/>
  <c r="EZ15" i="10"/>
  <c r="EZ11" i="10"/>
  <c r="FC18" i="10"/>
  <c r="FC14" i="10"/>
  <c r="EZ7" i="10"/>
  <c r="EZ14" i="10"/>
  <c r="FC10" i="10"/>
  <c r="FC6" i="10"/>
  <c r="EZ18" i="10"/>
  <c r="EZ6" i="10"/>
  <c r="FC20" i="10"/>
  <c r="EL112" i="10"/>
  <c r="ER111" i="10"/>
  <c r="EV111" i="10" s="1"/>
  <c r="EI111" i="10"/>
  <c r="EN111" i="10" s="1"/>
  <c r="FC19" i="10"/>
  <c r="FC15" i="10"/>
  <c r="FC13" i="10"/>
  <c r="FC17" i="10"/>
  <c r="EZ5" i="10"/>
  <c r="EZ10" i="10"/>
  <c r="FC5" i="10"/>
  <c r="FC12" i="10"/>
  <c r="FC16" i="10"/>
  <c r="FC9" i="10"/>
  <c r="EZ17" i="10"/>
  <c r="EZ13" i="10"/>
  <c r="EB5" i="10"/>
  <c r="ED10" i="10"/>
  <c r="EF10" i="10"/>
  <c r="EC10" i="10"/>
  <c r="EE6" i="10"/>
  <c r="EE9" i="10"/>
  <c r="EB8" i="10"/>
  <c r="EE5" i="10"/>
  <c r="EE10" i="10"/>
  <c r="EB6" i="10"/>
  <c r="EB9" i="10"/>
  <c r="EE7" i="10"/>
  <c r="EB10" i="10"/>
  <c r="BK64" i="2"/>
  <c r="V176" i="10"/>
  <c r="EA11" i="10"/>
  <c r="V122" i="9"/>
  <c r="NH68" i="9"/>
  <c r="JN15" i="9"/>
  <c r="KH15" i="9" s="1"/>
  <c r="GY11" i="9"/>
  <c r="HS11" i="9" s="1"/>
  <c r="GY9" i="9"/>
  <c r="HS9" i="9" s="1"/>
  <c r="JN14" i="9"/>
  <c r="KH14" i="9" s="1"/>
  <c r="GY7" i="9"/>
  <c r="HS7" i="9" s="1"/>
  <c r="JN16" i="9"/>
  <c r="KH16" i="9" s="1"/>
  <c r="GY20" i="9"/>
  <c r="HT20" i="9" s="1"/>
  <c r="EE5" i="9"/>
  <c r="EY5" i="9" s="1"/>
  <c r="GY19" i="9"/>
  <c r="HS19" i="9" s="1"/>
  <c r="GY12" i="9"/>
  <c r="HS12" i="9" s="1"/>
  <c r="EE7" i="9"/>
  <c r="EY7" i="9" s="1"/>
  <c r="GY17" i="9"/>
  <c r="HT17" i="9" s="1"/>
  <c r="GY14" i="9"/>
  <c r="HS14" i="9" s="1"/>
  <c r="JN13" i="9"/>
  <c r="KH13" i="9" s="1"/>
  <c r="EE6" i="9"/>
  <c r="EY6" i="9" s="1"/>
  <c r="GY16" i="9"/>
  <c r="HS16" i="9" s="1"/>
  <c r="GY10" i="9"/>
  <c r="HT10" i="9" s="1"/>
  <c r="GY13" i="9"/>
  <c r="HT13" i="9" s="1"/>
  <c r="JN12" i="9"/>
  <c r="KH12" i="9" s="1"/>
  <c r="GM7" i="9"/>
  <c r="GR7" i="9" s="1"/>
  <c r="GF7" i="9"/>
  <c r="JN6" i="9"/>
  <c r="KH6" i="9" s="1"/>
  <c r="GY6" i="9"/>
  <c r="HT6" i="9" s="1"/>
  <c r="KH7" i="9"/>
  <c r="JN17" i="9"/>
  <c r="KH17" i="9" s="1"/>
  <c r="JN11" i="9"/>
  <c r="KH11" i="9" s="1"/>
  <c r="JN20" i="9"/>
  <c r="KH20" i="9" s="1"/>
  <c r="JN5" i="9"/>
  <c r="KI5" i="9" s="1"/>
  <c r="AB42" i="9"/>
  <c r="NH69" i="9" s="1"/>
  <c r="GY15" i="9"/>
  <c r="HT15" i="9" s="1"/>
  <c r="GY8" i="9"/>
  <c r="HS8" i="9" s="1"/>
  <c r="JN9" i="9"/>
  <c r="KH9" i="9" s="1"/>
  <c r="GY5" i="9"/>
  <c r="HS5" i="9" s="1"/>
  <c r="JN10" i="9"/>
  <c r="KH10" i="9" s="1"/>
  <c r="JN19" i="9"/>
  <c r="KH19" i="9" s="1"/>
  <c r="BH127" i="9"/>
  <c r="BL127" i="9" s="1"/>
  <c r="AA123" i="9"/>
  <c r="JN8" i="9"/>
  <c r="KH8" i="9" s="1"/>
  <c r="ED8" i="9"/>
  <c r="EE8" i="9"/>
  <c r="EZ8" i="9" s="1"/>
  <c r="JG36" i="9"/>
  <c r="C74" i="9"/>
  <c r="G136" i="9" s="1"/>
  <c r="EQ5" i="9"/>
  <c r="KN19" i="9"/>
  <c r="KP19" i="9" s="1"/>
  <c r="KQ19" i="9" s="1"/>
  <c r="KS19" i="9" s="1"/>
  <c r="EC8" i="9"/>
  <c r="ES8" i="9" s="1"/>
  <c r="KN17" i="9"/>
  <c r="KP17" i="9" s="1"/>
  <c r="KQ17" i="9" s="1"/>
  <c r="KS17" i="9" s="1"/>
  <c r="KN7" i="9"/>
  <c r="KP7" i="9" s="1"/>
  <c r="KQ7" i="9" s="1"/>
  <c r="KS7" i="9" s="1"/>
  <c r="KN9" i="9"/>
  <c r="KP9" i="9" s="1"/>
  <c r="KQ9" i="9" s="1"/>
  <c r="KS9" i="9" s="1"/>
  <c r="EU5" i="9"/>
  <c r="KN16" i="9"/>
  <c r="KP16" i="9" s="1"/>
  <c r="KQ16" i="9" s="1"/>
  <c r="KS16" i="9" s="1"/>
  <c r="HG7" i="9"/>
  <c r="HV7" i="9" s="1"/>
  <c r="HX7" i="9" s="1"/>
  <c r="KN6" i="9"/>
  <c r="KP6" i="9" s="1"/>
  <c r="KQ6" i="9" s="1"/>
  <c r="KS6" i="9" s="1"/>
  <c r="KN8" i="9"/>
  <c r="KP8" i="9" s="1"/>
  <c r="KQ8" i="9" s="1"/>
  <c r="KS8" i="9" s="1"/>
  <c r="KN12" i="9"/>
  <c r="KP12" i="9" s="1"/>
  <c r="KQ12" i="9" s="1"/>
  <c r="KS12" i="9" s="1"/>
  <c r="HG13" i="9"/>
  <c r="HV13" i="9" s="1"/>
  <c r="HX13" i="9" s="1"/>
  <c r="JZ13" i="9"/>
  <c r="KD13" i="9"/>
  <c r="KN11" i="9"/>
  <c r="KP11" i="9" s="1"/>
  <c r="KQ11" i="9" s="1"/>
  <c r="KS11" i="9" s="1"/>
  <c r="JV5" i="9"/>
  <c r="KK5" i="9" s="1"/>
  <c r="KM5" i="9" s="1"/>
  <c r="KD5" i="9"/>
  <c r="KF5" i="9"/>
  <c r="JZ5" i="9"/>
  <c r="KB5" i="9"/>
  <c r="JV13" i="9"/>
  <c r="KK13" i="9" s="1"/>
  <c r="KM13" i="9" s="1"/>
  <c r="KN20" i="9"/>
  <c r="KP20" i="9" s="1"/>
  <c r="HG12" i="9"/>
  <c r="HV12" i="9" s="1"/>
  <c r="HX12" i="9" s="1"/>
  <c r="HG14" i="9"/>
  <c r="HV14" i="9" s="1"/>
  <c r="HX14" i="9" s="1"/>
  <c r="HZ14" i="9" s="1"/>
  <c r="KN15" i="9"/>
  <c r="KP15" i="9" s="1"/>
  <c r="KN14" i="9"/>
  <c r="KP14" i="9" s="1"/>
  <c r="KN10" i="9"/>
  <c r="KP10" i="9" s="1"/>
  <c r="HG17" i="9"/>
  <c r="HV17" i="9" s="1"/>
  <c r="HX17" i="9" s="1"/>
  <c r="HI17" i="9"/>
  <c r="HW17" i="9" s="1"/>
  <c r="HM20" i="9"/>
  <c r="HK20" i="9"/>
  <c r="HO7" i="9"/>
  <c r="HK12" i="9"/>
  <c r="HM12" i="9"/>
  <c r="HG8" i="9"/>
  <c r="HV8" i="9" s="1"/>
  <c r="HX8" i="9" s="1"/>
  <c r="HI8" i="9"/>
  <c r="HW8" i="9" s="1"/>
  <c r="HI16" i="9"/>
  <c r="HW16" i="9" s="1"/>
  <c r="HG16" i="9"/>
  <c r="HV16" i="9" s="1"/>
  <c r="HX16" i="9" s="1"/>
  <c r="HT12" i="9"/>
  <c r="HK14" i="9"/>
  <c r="HK16" i="9"/>
  <c r="HM16" i="9"/>
  <c r="HQ17" i="9"/>
  <c r="HO17" i="9"/>
  <c r="HQ10" i="9"/>
  <c r="HO10" i="9"/>
  <c r="HK13" i="9"/>
  <c r="HM13" i="9"/>
  <c r="HO14" i="9"/>
  <c r="HO15" i="9"/>
  <c r="HQ15" i="9"/>
  <c r="HQ6" i="9"/>
  <c r="HO6" i="9"/>
  <c r="HG10" i="9"/>
  <c r="HV10" i="9" s="1"/>
  <c r="HX10" i="9" s="1"/>
  <c r="HI10" i="9"/>
  <c r="HW10" i="9" s="1"/>
  <c r="HI11" i="9"/>
  <c r="HW11" i="9" s="1"/>
  <c r="HG11" i="9"/>
  <c r="HV11" i="9" s="1"/>
  <c r="HX11" i="9" s="1"/>
  <c r="HM11" i="9"/>
  <c r="HK11" i="9"/>
  <c r="HQ16" i="9"/>
  <c r="HO16" i="9"/>
  <c r="HQ20" i="9"/>
  <c r="HO20" i="9"/>
  <c r="HI20" i="9"/>
  <c r="HW20" i="9" s="1"/>
  <c r="HG20" i="9"/>
  <c r="HV20" i="9" s="1"/>
  <c r="HX20" i="9" s="1"/>
  <c r="HK8" i="9"/>
  <c r="HM8" i="9"/>
  <c r="HK15" i="9"/>
  <c r="HM15" i="9"/>
  <c r="HM10" i="9"/>
  <c r="HK10" i="9"/>
  <c r="HM9" i="9"/>
  <c r="HK9" i="9"/>
  <c r="EI8" i="9"/>
  <c r="EA9" i="9"/>
  <c r="EG8" i="9"/>
  <c r="GP8" i="9"/>
  <c r="EF8" i="9"/>
  <c r="EM8" i="9" s="1"/>
  <c r="FB8" i="9" s="1"/>
  <c r="FD8" i="9" s="1"/>
  <c r="EH8" i="9"/>
  <c r="HO13" i="9"/>
  <c r="HQ13" i="9"/>
  <c r="HQ12" i="9"/>
  <c r="HO12" i="9"/>
  <c r="HI6" i="9"/>
  <c r="HW6" i="9" s="1"/>
  <c r="HG6" i="9"/>
  <c r="HV6" i="9" s="1"/>
  <c r="HX6" i="9" s="1"/>
  <c r="HG9" i="9"/>
  <c r="HV9" i="9" s="1"/>
  <c r="HX9" i="9" s="1"/>
  <c r="HI9" i="9"/>
  <c r="HW9" i="9" s="1"/>
  <c r="HT9" i="9"/>
  <c r="HK17" i="9"/>
  <c r="HM17" i="9"/>
  <c r="HI15" i="9"/>
  <c r="HW15" i="9" s="1"/>
  <c r="HG15" i="9"/>
  <c r="HV15" i="9" s="1"/>
  <c r="HX15" i="9" s="1"/>
  <c r="HM6" i="9"/>
  <c r="HK6" i="9"/>
  <c r="HO19" i="9"/>
  <c r="HQ19" i="9"/>
  <c r="HO9" i="9"/>
  <c r="HK19" i="9"/>
  <c r="HM19" i="9"/>
  <c r="HK7" i="9"/>
  <c r="HM7" i="9"/>
  <c r="HQ11" i="9"/>
  <c r="HO11" i="9"/>
  <c r="HQ8" i="9"/>
  <c r="HO8" i="9"/>
  <c r="HG19" i="9"/>
  <c r="HV19" i="9" s="1"/>
  <c r="HX19" i="9" s="1"/>
  <c r="HI19" i="9"/>
  <c r="HW19" i="9" s="1"/>
  <c r="HM5" i="9"/>
  <c r="HK5" i="9"/>
  <c r="HG5" i="9"/>
  <c r="HV5" i="9" s="1"/>
  <c r="HX5" i="9" s="1"/>
  <c r="HI5" i="9"/>
  <c r="HW5" i="9" s="1"/>
  <c r="EM5" i="9"/>
  <c r="FB5" i="9" s="1"/>
  <c r="FD5" i="9" s="1"/>
  <c r="FF5" i="9" s="1"/>
  <c r="HQ5" i="9"/>
  <c r="HO5" i="9"/>
  <c r="EO7" i="9"/>
  <c r="FC7" i="9" s="1"/>
  <c r="EM7" i="9"/>
  <c r="FB7" i="9" s="1"/>
  <c r="FD7" i="9" s="1"/>
  <c r="EO8" i="9"/>
  <c r="FC8" i="9" s="1"/>
  <c r="EO6" i="9"/>
  <c r="FC6" i="9" s="1"/>
  <c r="EM6" i="9"/>
  <c r="FB6" i="9" s="1"/>
  <c r="FD6" i="9" s="1"/>
  <c r="EW6" i="9"/>
  <c r="EU6" i="9"/>
  <c r="EW8" i="9"/>
  <c r="EU7" i="9"/>
  <c r="EW7" i="9"/>
  <c r="EQ7" i="9"/>
  <c r="ES7" i="9"/>
  <c r="EQ6" i="9"/>
  <c r="ES6" i="9"/>
  <c r="BK64" i="1"/>
  <c r="EC276" i="9"/>
  <c r="EB276" i="9"/>
  <c r="EE276" i="9"/>
  <c r="ED276" i="9"/>
  <c r="EF276" i="9"/>
  <c r="BK62" i="3"/>
  <c r="O46" i="3"/>
  <c r="BE65" i="3"/>
  <c r="BH110" i="3"/>
  <c r="BL110" i="3" s="1"/>
  <c r="AJ34" i="3"/>
  <c r="C137" i="3" s="1"/>
  <c r="AJ37" i="3"/>
  <c r="BJ22" i="3"/>
  <c r="BH108" i="3"/>
  <c r="AJ28" i="3"/>
  <c r="BE65" i="2"/>
  <c r="O41" i="2"/>
  <c r="C132" i="2"/>
  <c r="CA18" i="2"/>
  <c r="CA19" i="2" s="1"/>
  <c r="BK73" i="2" s="1"/>
  <c r="BL108" i="2"/>
  <c r="BL108" i="1"/>
  <c r="C132" i="1"/>
  <c r="CA18" i="1"/>
  <c r="CA19" i="1" s="1"/>
  <c r="BK73" i="1" s="1"/>
  <c r="HT5" i="9" l="1"/>
  <c r="HS10" i="9"/>
  <c r="HS13" i="9"/>
  <c r="HT11" i="9"/>
  <c r="HT18" i="9"/>
  <c r="IF18" i="9" s="1"/>
  <c r="HS18" i="9"/>
  <c r="IE18" i="9" s="1"/>
  <c r="KT18" i="9"/>
  <c r="HT19" i="9"/>
  <c r="DC23" i="3"/>
  <c r="BN13" i="3" s="1"/>
  <c r="CS18" i="3"/>
  <c r="CT18" i="3" s="1"/>
  <c r="CU18" i="3" s="1"/>
  <c r="CV18" i="3" s="1"/>
  <c r="CW18" i="3"/>
  <c r="CZ18" i="3" s="1"/>
  <c r="CX18" i="3"/>
  <c r="CS6" i="3"/>
  <c r="CT6" i="3" s="1"/>
  <c r="CU6" i="3" s="1"/>
  <c r="CV6" i="3" s="1"/>
  <c r="CX6" i="3"/>
  <c r="CW6" i="3"/>
  <c r="CZ6" i="3" s="1"/>
  <c r="CS17" i="3"/>
  <c r="CT17" i="3" s="1"/>
  <c r="CU17" i="3" s="1"/>
  <c r="CV17" i="3" s="1"/>
  <c r="CX17" i="3"/>
  <c r="CW17" i="3"/>
  <c r="CZ17" i="3" s="1"/>
  <c r="CS19" i="3"/>
  <c r="CT19" i="3" s="1"/>
  <c r="CU19" i="3" s="1"/>
  <c r="CV19" i="3" s="1"/>
  <c r="CX19" i="3"/>
  <c r="CW19" i="3"/>
  <c r="CZ19" i="3" s="1"/>
  <c r="CS12" i="3"/>
  <c r="CT12" i="3" s="1"/>
  <c r="CU12" i="3" s="1"/>
  <c r="CV12" i="3" s="1"/>
  <c r="CX12" i="3"/>
  <c r="CW12" i="3"/>
  <c r="CZ12" i="3" s="1"/>
  <c r="CS9" i="3"/>
  <c r="CT9" i="3" s="1"/>
  <c r="CU9" i="3" s="1"/>
  <c r="CV9" i="3" s="1"/>
  <c r="CW9" i="3"/>
  <c r="CZ9" i="3" s="1"/>
  <c r="CX9" i="3"/>
  <c r="CS7" i="3"/>
  <c r="CT7" i="3" s="1"/>
  <c r="CU7" i="3" s="1"/>
  <c r="CV7" i="3" s="1"/>
  <c r="CW7" i="3"/>
  <c r="CZ7" i="3" s="1"/>
  <c r="CX7" i="3"/>
  <c r="CS20" i="3"/>
  <c r="CT20" i="3" s="1"/>
  <c r="CU20" i="3" s="1"/>
  <c r="CV20" i="3" s="1"/>
  <c r="CX20" i="3"/>
  <c r="CW20" i="3"/>
  <c r="CZ20" i="3" s="1"/>
  <c r="CS15" i="3"/>
  <c r="CT15" i="3" s="1"/>
  <c r="CU15" i="3" s="1"/>
  <c r="CV15" i="3" s="1"/>
  <c r="CW15" i="3"/>
  <c r="CZ15" i="3" s="1"/>
  <c r="CX15" i="3"/>
  <c r="CS10" i="3"/>
  <c r="CT10" i="3" s="1"/>
  <c r="CU10" i="3" s="1"/>
  <c r="CV10" i="3" s="1"/>
  <c r="CW10" i="3"/>
  <c r="CZ10" i="3" s="1"/>
  <c r="CX10" i="3"/>
  <c r="CS11" i="3"/>
  <c r="CT11" i="3" s="1"/>
  <c r="CU11" i="3" s="1"/>
  <c r="CV11" i="3" s="1"/>
  <c r="CW11" i="3"/>
  <c r="CZ11" i="3" s="1"/>
  <c r="CX11" i="3"/>
  <c r="CS16" i="3"/>
  <c r="CT16" i="3" s="1"/>
  <c r="CU16" i="3" s="1"/>
  <c r="CV16" i="3" s="1"/>
  <c r="CX16" i="3"/>
  <c r="CW16" i="3"/>
  <c r="CZ16" i="3" s="1"/>
  <c r="DE6" i="3"/>
  <c r="DE23" i="3" s="1"/>
  <c r="BN14" i="3" s="1"/>
  <c r="DD23" i="3"/>
  <c r="BF14" i="3" s="1"/>
  <c r="CS14" i="3"/>
  <c r="CT14" i="3" s="1"/>
  <c r="CU14" i="3" s="1"/>
  <c r="CV14" i="3" s="1"/>
  <c r="CW14" i="3"/>
  <c r="CZ14" i="3" s="1"/>
  <c r="CX14" i="3"/>
  <c r="CS13" i="3"/>
  <c r="CT13" i="3" s="1"/>
  <c r="CU13" i="3" s="1"/>
  <c r="CV13" i="3" s="1"/>
  <c r="CW13" i="3"/>
  <c r="CZ13" i="3" s="1"/>
  <c r="CX13" i="3"/>
  <c r="CS8" i="3"/>
  <c r="CT8" i="3" s="1"/>
  <c r="CU8" i="3" s="1"/>
  <c r="CV8" i="3" s="1"/>
  <c r="CX8" i="3"/>
  <c r="CW8" i="3"/>
  <c r="CZ8" i="3" s="1"/>
  <c r="CS21" i="3"/>
  <c r="CT21" i="3" s="1"/>
  <c r="CU21" i="3" s="1"/>
  <c r="CV21" i="3" s="1"/>
  <c r="CW21" i="3"/>
  <c r="CZ21" i="3" s="1"/>
  <c r="CX21" i="3"/>
  <c r="CY8" i="2"/>
  <c r="CQ8" i="2"/>
  <c r="DA8" i="2" s="1"/>
  <c r="CY6" i="2"/>
  <c r="CQ6" i="2"/>
  <c r="DA6" i="2" s="1"/>
  <c r="CQ5" i="2"/>
  <c r="DA5" i="2" s="1"/>
  <c r="CY5" i="2"/>
  <c r="DP14" i="2"/>
  <c r="AB71" i="2" s="1"/>
  <c r="DO7" i="2"/>
  <c r="AI64" i="2" s="1"/>
  <c r="DN7" i="2"/>
  <c r="DO19" i="2"/>
  <c r="AI76" i="2" s="1"/>
  <c r="DN19" i="2"/>
  <c r="DO11" i="2"/>
  <c r="AI68" i="2" s="1"/>
  <c r="DN11" i="2"/>
  <c r="DO16" i="2"/>
  <c r="AI73" i="2" s="1"/>
  <c r="DN16" i="2"/>
  <c r="DO14" i="2"/>
  <c r="AI71" i="2" s="1"/>
  <c r="DN14" i="2"/>
  <c r="DO6" i="2"/>
  <c r="AI63" i="2" s="1"/>
  <c r="DN6" i="2"/>
  <c r="CO9" i="2"/>
  <c r="CY9" i="2" s="1"/>
  <c r="CY7" i="2"/>
  <c r="CQ7" i="2"/>
  <c r="DA7" i="2" s="1"/>
  <c r="CZ9" i="2"/>
  <c r="CQ9" i="2"/>
  <c r="DA9" i="2" s="1"/>
  <c r="DO4" i="2"/>
  <c r="DN4" i="2"/>
  <c r="DO15" i="2"/>
  <c r="AI72" i="2" s="1"/>
  <c r="DN15" i="2"/>
  <c r="DO9" i="2"/>
  <c r="AI66" i="2" s="1"/>
  <c r="DN9" i="2"/>
  <c r="DO5" i="2"/>
  <c r="AI62" i="2" s="1"/>
  <c r="DN5" i="2"/>
  <c r="CX10" i="2"/>
  <c r="CP10" i="2"/>
  <c r="CN10" i="2"/>
  <c r="CK11" i="2"/>
  <c r="CL10" i="2"/>
  <c r="CO10" i="2" s="1"/>
  <c r="CY10" i="2" s="1"/>
  <c r="DZ14" i="2"/>
  <c r="U71" i="2"/>
  <c r="U75" i="2"/>
  <c r="DZ18" i="2"/>
  <c r="U67" i="2"/>
  <c r="DZ10" i="2"/>
  <c r="DY13" i="2"/>
  <c r="AB70" i="2"/>
  <c r="U74" i="2"/>
  <c r="DZ17" i="2"/>
  <c r="AB65" i="2"/>
  <c r="DY8" i="2"/>
  <c r="DZ12" i="2"/>
  <c r="U69" i="2"/>
  <c r="C137" i="2"/>
  <c r="BE67" i="2"/>
  <c r="DQ9" i="2"/>
  <c r="EE9" i="2" s="1"/>
  <c r="DQ6" i="2"/>
  <c r="EE6" i="2" s="1"/>
  <c r="DP15" i="2"/>
  <c r="DM12" i="2"/>
  <c r="DM13" i="2"/>
  <c r="DQ8" i="2"/>
  <c r="EE8" i="2" s="1"/>
  <c r="DP4" i="2"/>
  <c r="DM8" i="2"/>
  <c r="DQ4" i="2"/>
  <c r="EE4" i="2" s="1"/>
  <c r="DQ5" i="2"/>
  <c r="EE5" i="2" s="1"/>
  <c r="DP5" i="2"/>
  <c r="DP9" i="2"/>
  <c r="DM17" i="2"/>
  <c r="DQ19" i="2"/>
  <c r="EE19" i="2" s="1"/>
  <c r="DP6" i="2"/>
  <c r="DS4" i="2"/>
  <c r="DS21" i="2" s="1"/>
  <c r="BN13" i="2" s="1"/>
  <c r="DT4" i="2"/>
  <c r="DR21" i="2"/>
  <c r="DP19" i="2"/>
  <c r="AK21" i="2"/>
  <c r="I77" i="2" s="1"/>
  <c r="BK62" i="2" s="1"/>
  <c r="BJ23" i="2"/>
  <c r="BF15" i="2" s="1"/>
  <c r="DQ11" i="2"/>
  <c r="EE11" i="2" s="1"/>
  <c r="DQ15" i="2"/>
  <c r="EE15" i="2" s="1"/>
  <c r="DP17" i="2"/>
  <c r="DM18" i="2"/>
  <c r="DP11" i="2"/>
  <c r="DP7" i="2"/>
  <c r="DP16" i="2"/>
  <c r="DP18" i="2"/>
  <c r="DM10" i="2"/>
  <c r="DQ7" i="2"/>
  <c r="EE7" i="2" s="1"/>
  <c r="DP12" i="2"/>
  <c r="DQ16" i="2"/>
  <c r="EE16" i="2" s="1"/>
  <c r="DQ13" i="2"/>
  <c r="EE13" i="2" s="1"/>
  <c r="DP10" i="2"/>
  <c r="DV21" i="2"/>
  <c r="BN15" i="2" s="1"/>
  <c r="DX4" i="2"/>
  <c r="DX21" i="2" s="1"/>
  <c r="BN16" i="2" s="1"/>
  <c r="CU8" i="1"/>
  <c r="CY8" i="1"/>
  <c r="CR9" i="1"/>
  <c r="CW9" i="1" s="1"/>
  <c r="DT6" i="1"/>
  <c r="DX6" i="1"/>
  <c r="CV10" i="1"/>
  <c r="CQ10" i="1"/>
  <c r="DQ23" i="1"/>
  <c r="BN16" i="1" s="1"/>
  <c r="CP10" i="1"/>
  <c r="AK21" i="1"/>
  <c r="I77" i="1" s="1"/>
  <c r="BJ23" i="1"/>
  <c r="BF15" i="1" s="1"/>
  <c r="DM6" i="1"/>
  <c r="DM23" i="1" s="1"/>
  <c r="BJ22" i="1" s="1"/>
  <c r="BF14" i="1" s="1"/>
  <c r="DL6" i="1"/>
  <c r="DK23" i="1"/>
  <c r="BJ21" i="1" s="1"/>
  <c r="BF13" i="1" s="1"/>
  <c r="CM12" i="1"/>
  <c r="CT11" i="1"/>
  <c r="CX11" i="1" s="1"/>
  <c r="CO11" i="1"/>
  <c r="CN11" i="1"/>
  <c r="DP23" i="1"/>
  <c r="FH32" i="10"/>
  <c r="GX32" i="10" s="1"/>
  <c r="GZ32" i="10" s="1"/>
  <c r="CL347" i="10" s="1"/>
  <c r="CR347" i="10" s="1"/>
  <c r="FH40" i="10"/>
  <c r="GX40" i="10" s="1"/>
  <c r="GZ40" i="10" s="1"/>
  <c r="CL355" i="10" s="1"/>
  <c r="CR355" i="10" s="1"/>
  <c r="FH34" i="10"/>
  <c r="GX34" i="10" s="1"/>
  <c r="GZ34" i="10" s="1"/>
  <c r="CL349" i="10" s="1"/>
  <c r="CR349" i="10" s="1"/>
  <c r="FH33" i="10"/>
  <c r="GX33" i="10" s="1"/>
  <c r="GZ33" i="10" s="1"/>
  <c r="CL348" i="10" s="1"/>
  <c r="CR348" i="10" s="1"/>
  <c r="FH31" i="10"/>
  <c r="FH30" i="10"/>
  <c r="GX30" i="10" s="1"/>
  <c r="GZ30" i="10" s="1"/>
  <c r="CL345" i="10" s="1"/>
  <c r="CR345" i="10" s="1"/>
  <c r="FH25" i="10"/>
  <c r="FH27" i="10"/>
  <c r="FH38" i="10"/>
  <c r="FH28" i="10"/>
  <c r="FH37" i="10"/>
  <c r="FH35" i="10"/>
  <c r="FH39" i="10"/>
  <c r="FI36" i="10"/>
  <c r="FH29" i="10"/>
  <c r="FI26" i="10"/>
  <c r="FI34" i="10"/>
  <c r="EH7" i="10"/>
  <c r="EQ7" i="10" s="1"/>
  <c r="ES7" i="10" s="1"/>
  <c r="EH8" i="10"/>
  <c r="EU8" i="10" s="1"/>
  <c r="EW8" i="10" s="1"/>
  <c r="FH17" i="10"/>
  <c r="FI17" i="10" s="1"/>
  <c r="FH8" i="10"/>
  <c r="FI8" i="10" s="1"/>
  <c r="FH19" i="10"/>
  <c r="FI19" i="10" s="1"/>
  <c r="FH13" i="10"/>
  <c r="FI13" i="10" s="1"/>
  <c r="FH6" i="10"/>
  <c r="FI6" i="10" s="1"/>
  <c r="BZ61" i="10" s="1"/>
  <c r="FH11" i="10"/>
  <c r="FI11" i="10" s="1"/>
  <c r="BZ66" i="10" s="1"/>
  <c r="CC66" i="10" s="1"/>
  <c r="FH18" i="10"/>
  <c r="FI18" i="10" s="1"/>
  <c r="BZ73" i="10" s="1"/>
  <c r="CC73" i="10" s="1"/>
  <c r="FH15" i="10"/>
  <c r="FI15" i="10" s="1"/>
  <c r="BZ70" i="10" s="1"/>
  <c r="CC70" i="10" s="1"/>
  <c r="FH16" i="10"/>
  <c r="FI16" i="10" s="1"/>
  <c r="BZ71" i="10" s="1"/>
  <c r="CC71" i="10" s="1"/>
  <c r="FH5" i="10"/>
  <c r="FI5" i="10" s="1"/>
  <c r="FI25" i="10" s="1"/>
  <c r="FK25" i="10" s="1"/>
  <c r="FS25" i="10" s="1"/>
  <c r="AZ321" i="10" s="1"/>
  <c r="FH12" i="10"/>
  <c r="FI12" i="10" s="1"/>
  <c r="BZ67" i="10" s="1"/>
  <c r="CC67" i="10" s="1"/>
  <c r="FH20" i="10"/>
  <c r="FI20" i="10" s="1"/>
  <c r="BZ75" i="10" s="1"/>
  <c r="CC75" i="10" s="1"/>
  <c r="FH7" i="10"/>
  <c r="FI7" i="10" s="1"/>
  <c r="BZ62" i="10" s="1"/>
  <c r="CC62" i="10" s="1"/>
  <c r="FH10" i="10"/>
  <c r="FI10" i="10" s="1"/>
  <c r="BZ65" i="10" s="1"/>
  <c r="CC65" i="10" s="1"/>
  <c r="FH14" i="10"/>
  <c r="FI14" i="10" s="1"/>
  <c r="BZ69" i="10" s="1"/>
  <c r="CC69" i="10" s="1"/>
  <c r="FH9" i="10"/>
  <c r="FI9" i="10" s="1"/>
  <c r="BZ64" i="10" s="1"/>
  <c r="CC64" i="10" s="1"/>
  <c r="EL113" i="10"/>
  <c r="ER112" i="10"/>
  <c r="EV112" i="10" s="1"/>
  <c r="EI112" i="10"/>
  <c r="EN112" i="10" s="1"/>
  <c r="EH5" i="10"/>
  <c r="EU5" i="10" s="1"/>
  <c r="EW5" i="10" s="1"/>
  <c r="EH9" i="10"/>
  <c r="EH6" i="10"/>
  <c r="EH10" i="10"/>
  <c r="EF11" i="10"/>
  <c r="EC11" i="10"/>
  <c r="ED11" i="10"/>
  <c r="EE11" i="10"/>
  <c r="EB11" i="10"/>
  <c r="EA12" i="10"/>
  <c r="HT7" i="9"/>
  <c r="HT14" i="9"/>
  <c r="KT7" i="9"/>
  <c r="HS20" i="9"/>
  <c r="EZ5" i="9"/>
  <c r="KT8" i="9"/>
  <c r="AA122" i="9"/>
  <c r="HT16" i="9"/>
  <c r="HS6" i="9"/>
  <c r="EZ6" i="9"/>
  <c r="EZ7" i="9"/>
  <c r="HS17" i="9"/>
  <c r="GM8" i="9"/>
  <c r="GR8" i="9" s="1"/>
  <c r="GF8" i="9"/>
  <c r="KT11" i="9"/>
  <c r="KH5" i="9"/>
  <c r="EY8" i="9"/>
  <c r="HT8" i="9"/>
  <c r="HS15" i="9"/>
  <c r="EU8" i="9"/>
  <c r="EQ8" i="9"/>
  <c r="FE8" i="9" s="1"/>
  <c r="FG8" i="9" s="1"/>
  <c r="HY19" i="9"/>
  <c r="IA19" i="9" s="1"/>
  <c r="IB19" i="9" s="1"/>
  <c r="ID19" i="9" s="1"/>
  <c r="HZ7" i="9"/>
  <c r="HY7" i="9"/>
  <c r="IA7" i="9" s="1"/>
  <c r="IB7" i="9" s="1"/>
  <c r="ID7" i="9" s="1"/>
  <c r="HY14" i="9"/>
  <c r="IA14" i="9" s="1"/>
  <c r="IC14" i="9" s="1"/>
  <c r="HY12" i="9"/>
  <c r="IA12" i="9" s="1"/>
  <c r="IB12" i="9" s="1"/>
  <c r="ID12" i="9" s="1"/>
  <c r="HY9" i="9"/>
  <c r="IA9" i="9" s="1"/>
  <c r="IB9" i="9" s="1"/>
  <c r="ID9" i="9" s="1"/>
  <c r="HZ12" i="9"/>
  <c r="HZ13" i="9"/>
  <c r="HY13" i="9"/>
  <c r="IA13" i="9" s="1"/>
  <c r="IB13" i="9" s="1"/>
  <c r="ID13" i="9" s="1"/>
  <c r="HY8" i="9"/>
  <c r="IA8" i="9" s="1"/>
  <c r="IB8" i="9" s="1"/>
  <c r="ID8" i="9" s="1"/>
  <c r="HZ17" i="9"/>
  <c r="HY17" i="9"/>
  <c r="IA17" i="9" s="1"/>
  <c r="IB17" i="9" s="1"/>
  <c r="ID17" i="9" s="1"/>
  <c r="HZ19" i="9"/>
  <c r="KO5" i="9"/>
  <c r="KN5" i="9"/>
  <c r="KP5" i="9" s="1"/>
  <c r="KQ20" i="9"/>
  <c r="KS20" i="9" s="1"/>
  <c r="HZ8" i="9"/>
  <c r="KN13" i="9"/>
  <c r="KP13" i="9" s="1"/>
  <c r="HZ9" i="9"/>
  <c r="KQ15" i="9"/>
  <c r="KS15" i="9" s="1"/>
  <c r="KQ14" i="9"/>
  <c r="KS14" i="9" s="1"/>
  <c r="KT17" i="9"/>
  <c r="KT12" i="9"/>
  <c r="KT16" i="9"/>
  <c r="KT9" i="9"/>
  <c r="KT6" i="9"/>
  <c r="KQ10" i="9"/>
  <c r="KS10" i="9" s="1"/>
  <c r="KT19" i="9"/>
  <c r="HZ10" i="9"/>
  <c r="HY10" i="9"/>
  <c r="IA10" i="9" s="1"/>
  <c r="HZ6" i="9"/>
  <c r="HY6" i="9"/>
  <c r="IA6" i="9" s="1"/>
  <c r="EG9" i="9"/>
  <c r="EH9" i="9"/>
  <c r="EI9" i="9"/>
  <c r="EE9" i="9"/>
  <c r="ED9" i="9"/>
  <c r="GP9" i="9"/>
  <c r="EF9" i="9"/>
  <c r="EB9" i="9"/>
  <c r="EA10" i="9"/>
  <c r="EC9" i="9"/>
  <c r="HY20" i="9"/>
  <c r="IA20" i="9" s="1"/>
  <c r="HZ20" i="9"/>
  <c r="HZ15" i="9"/>
  <c r="HY15" i="9"/>
  <c r="IA15" i="9" s="1"/>
  <c r="HZ11" i="9"/>
  <c r="HY11" i="9"/>
  <c r="IA11" i="9" s="1"/>
  <c r="HY16" i="9"/>
  <c r="IA16" i="9" s="1"/>
  <c r="HZ16" i="9"/>
  <c r="FF6" i="9"/>
  <c r="FF7" i="9"/>
  <c r="HY5" i="9"/>
  <c r="IA5" i="9" s="1"/>
  <c r="HZ5" i="9"/>
  <c r="FE6" i="9"/>
  <c r="FG6" i="9" s="1"/>
  <c r="FE5" i="9"/>
  <c r="FG5" i="9" s="1"/>
  <c r="FH5" i="9" s="1"/>
  <c r="FJ5" i="9" s="1"/>
  <c r="FK5" i="9" s="1"/>
  <c r="FE7" i="9"/>
  <c r="FG7" i="9" s="1"/>
  <c r="FF8" i="9"/>
  <c r="EF277" i="9"/>
  <c r="EF278" i="9"/>
  <c r="ED277" i="9"/>
  <c r="ED278" i="9"/>
  <c r="EC277" i="9"/>
  <c r="EC278" i="9"/>
  <c r="EB277" i="9"/>
  <c r="EB278" i="9"/>
  <c r="EE277" i="9"/>
  <c r="EE278" i="9"/>
  <c r="BL113" i="3"/>
  <c r="CA36" i="3"/>
  <c r="CA37" i="3" s="1"/>
  <c r="BK68" i="3" s="1"/>
  <c r="BL108" i="3"/>
  <c r="C132" i="3"/>
  <c r="CA18" i="3"/>
  <c r="CA19" i="3" s="1"/>
  <c r="BK75" i="3" s="1"/>
  <c r="IG18" i="9" l="1"/>
  <c r="IH18" i="9" s="1"/>
  <c r="DQ8" i="3"/>
  <c r="H116" i="3"/>
  <c r="DL8" i="3"/>
  <c r="CY8" i="3"/>
  <c r="DM8" i="3" s="1"/>
  <c r="DQ10" i="3"/>
  <c r="H118" i="3"/>
  <c r="DL10" i="3"/>
  <c r="CY10" i="3"/>
  <c r="DM10" i="3" s="1"/>
  <c r="DQ12" i="3"/>
  <c r="H120" i="3"/>
  <c r="DL12" i="3"/>
  <c r="CY12" i="3"/>
  <c r="DM12" i="3" s="1"/>
  <c r="H115" i="3"/>
  <c r="DQ7" i="3"/>
  <c r="DL7" i="3"/>
  <c r="CY7" i="3"/>
  <c r="DM7" i="3" s="1"/>
  <c r="DQ6" i="3"/>
  <c r="DL6" i="3"/>
  <c r="H114" i="3"/>
  <c r="CY6" i="3"/>
  <c r="CY13" i="3"/>
  <c r="DM13" i="3" s="1"/>
  <c r="DQ13" i="3"/>
  <c r="H121" i="3"/>
  <c r="DL13" i="3"/>
  <c r="DQ20" i="3"/>
  <c r="H128" i="3"/>
  <c r="DL20" i="3"/>
  <c r="CY20" i="3"/>
  <c r="DM20" i="3" s="1"/>
  <c r="DQ16" i="3"/>
  <c r="H124" i="3"/>
  <c r="DL16" i="3"/>
  <c r="CY16" i="3"/>
  <c r="DM16" i="3" s="1"/>
  <c r="DQ15" i="3"/>
  <c r="H123" i="3"/>
  <c r="DL15" i="3"/>
  <c r="CY15" i="3"/>
  <c r="DM15" i="3" s="1"/>
  <c r="DQ19" i="3"/>
  <c r="H127" i="3"/>
  <c r="DL19" i="3"/>
  <c r="CY19" i="3"/>
  <c r="DM19" i="3" s="1"/>
  <c r="DQ18" i="3"/>
  <c r="H126" i="3"/>
  <c r="DL18" i="3"/>
  <c r="CY18" i="3"/>
  <c r="DM18" i="3" s="1"/>
  <c r="CY21" i="3"/>
  <c r="DM21" i="3" s="1"/>
  <c r="DQ21" i="3"/>
  <c r="H129" i="3"/>
  <c r="DL21" i="3"/>
  <c r="DQ9" i="3"/>
  <c r="H117" i="3"/>
  <c r="DL9" i="3"/>
  <c r="CY9" i="3"/>
  <c r="DM9" i="3" s="1"/>
  <c r="DQ14" i="3"/>
  <c r="H122" i="3"/>
  <c r="DL14" i="3"/>
  <c r="CY14" i="3"/>
  <c r="DM14" i="3" s="1"/>
  <c r="DQ11" i="3"/>
  <c r="H119" i="3"/>
  <c r="DL11" i="3"/>
  <c r="CY11" i="3"/>
  <c r="DM11" i="3" s="1"/>
  <c r="DQ17" i="3"/>
  <c r="H125" i="3"/>
  <c r="DL17" i="3"/>
  <c r="CY17" i="3"/>
  <c r="DM17" i="3" s="1"/>
  <c r="DA20" i="3"/>
  <c r="DH20" i="3"/>
  <c r="DA12" i="3"/>
  <c r="DH12" i="3"/>
  <c r="DA7" i="3"/>
  <c r="DH7" i="3"/>
  <c r="DA13" i="3"/>
  <c r="DH13" i="3"/>
  <c r="DA10" i="3"/>
  <c r="DH10" i="3"/>
  <c r="DA6" i="3"/>
  <c r="CX23" i="3"/>
  <c r="BJ40" i="3" s="1"/>
  <c r="DH6" i="3"/>
  <c r="BJ35" i="3"/>
  <c r="BJ36" i="3" s="1"/>
  <c r="BK69" i="3" s="1"/>
  <c r="DA16" i="3"/>
  <c r="DH16" i="3"/>
  <c r="DA15" i="3"/>
  <c r="DH15" i="3"/>
  <c r="DA19" i="3"/>
  <c r="DH19" i="3"/>
  <c r="DA18" i="3"/>
  <c r="DH18" i="3"/>
  <c r="DA21" i="3"/>
  <c r="DH21" i="3"/>
  <c r="DA9" i="3"/>
  <c r="DH9" i="3"/>
  <c r="DA14" i="3"/>
  <c r="DH14" i="3"/>
  <c r="DA11" i="3"/>
  <c r="DH11" i="3"/>
  <c r="DA8" i="3"/>
  <c r="DA23" i="3" s="1"/>
  <c r="DH8" i="3"/>
  <c r="DA17" i="3"/>
  <c r="DH17" i="3"/>
  <c r="CZ23" i="3"/>
  <c r="AJ46" i="3" s="1"/>
  <c r="DY14" i="2"/>
  <c r="CX11" i="2"/>
  <c r="CP11" i="2"/>
  <c r="CZ11" i="2" s="1"/>
  <c r="CL11" i="2"/>
  <c r="CN11" i="2"/>
  <c r="CK12" i="2"/>
  <c r="DO18" i="2"/>
  <c r="AI75" i="2" s="1"/>
  <c r="DN18" i="2"/>
  <c r="DO10" i="2"/>
  <c r="AI67" i="2" s="1"/>
  <c r="DN10" i="2"/>
  <c r="DO13" i="2"/>
  <c r="AI70" i="2" s="1"/>
  <c r="DN13" i="2"/>
  <c r="DO8" i="2"/>
  <c r="AI65" i="2" s="1"/>
  <c r="DN8" i="2"/>
  <c r="CZ10" i="2"/>
  <c r="CQ10" i="2"/>
  <c r="DA10" i="2" s="1"/>
  <c r="DO17" i="2"/>
  <c r="AI74" i="2" s="1"/>
  <c r="DN17" i="2"/>
  <c r="DO12" i="2"/>
  <c r="AI69" i="2" s="1"/>
  <c r="DN12" i="2"/>
  <c r="DY10" i="2"/>
  <c r="AB67" i="2"/>
  <c r="AB64" i="2"/>
  <c r="DY7" i="2"/>
  <c r="DY19" i="2"/>
  <c r="AB76" i="2"/>
  <c r="DY5" i="2"/>
  <c r="AB62" i="2"/>
  <c r="AB72" i="2"/>
  <c r="DY15" i="2"/>
  <c r="DZ13" i="2"/>
  <c r="U70" i="2"/>
  <c r="DY11" i="2"/>
  <c r="AB68" i="2"/>
  <c r="BJ21" i="2"/>
  <c r="BF13" i="2" s="1"/>
  <c r="O77" i="2"/>
  <c r="DZ5" i="2"/>
  <c r="U62" i="2"/>
  <c r="DZ6" i="2"/>
  <c r="U63" i="2"/>
  <c r="U65" i="2"/>
  <c r="DZ8" i="2"/>
  <c r="DY18" i="2"/>
  <c r="AB75" i="2"/>
  <c r="U73" i="2"/>
  <c r="DZ16" i="2"/>
  <c r="DZ4" i="2"/>
  <c r="BH111" i="2" s="1"/>
  <c r="U61" i="2"/>
  <c r="DZ9" i="2"/>
  <c r="U66" i="2"/>
  <c r="U76" i="2"/>
  <c r="DZ19" i="2"/>
  <c r="AB74" i="2"/>
  <c r="DY17" i="2"/>
  <c r="U68" i="2"/>
  <c r="DZ11" i="2"/>
  <c r="AB73" i="2"/>
  <c r="DY16" i="2"/>
  <c r="AB66" i="2"/>
  <c r="DY9" i="2"/>
  <c r="DY12" i="2"/>
  <c r="AB69" i="2"/>
  <c r="U64" i="2"/>
  <c r="DZ7" i="2"/>
  <c r="U72" i="2"/>
  <c r="DZ15" i="2"/>
  <c r="DY6" i="2"/>
  <c r="AB63" i="2"/>
  <c r="DY4" i="2"/>
  <c r="AB61" i="2"/>
  <c r="DP21" i="2"/>
  <c r="DQ21" i="2"/>
  <c r="U77" i="2" s="1"/>
  <c r="DU4" i="2"/>
  <c r="DU21" i="2" s="1"/>
  <c r="BN14" i="2" s="1"/>
  <c r="DT21" i="2"/>
  <c r="BJ22" i="2" s="1"/>
  <c r="BF14" i="2" s="1"/>
  <c r="CU10" i="1"/>
  <c r="CY10" i="1"/>
  <c r="CR10" i="1"/>
  <c r="CW10" i="1" s="1"/>
  <c r="BH110" i="1"/>
  <c r="DX23" i="1"/>
  <c r="CP11" i="1"/>
  <c r="CV11" i="1"/>
  <c r="CQ11" i="1"/>
  <c r="CR11" i="1" s="1"/>
  <c r="CW11" i="1" s="1"/>
  <c r="CM13" i="1"/>
  <c r="CT12" i="1"/>
  <c r="CX12" i="1" s="1"/>
  <c r="CO12" i="1"/>
  <c r="CN12" i="1"/>
  <c r="DL23" i="1"/>
  <c r="BN13" i="1" s="1"/>
  <c r="DN6" i="1"/>
  <c r="DN23" i="1" s="1"/>
  <c r="BN14" i="1" s="1"/>
  <c r="BJ24" i="1"/>
  <c r="BF16" i="1"/>
  <c r="BK62" i="1"/>
  <c r="U77" i="1"/>
  <c r="FI40" i="10"/>
  <c r="FI33" i="10"/>
  <c r="FN33" i="10" s="1"/>
  <c r="FV33" i="10" s="1"/>
  <c r="BP333" i="10" s="1"/>
  <c r="FI32" i="10"/>
  <c r="CP347" i="10" s="1"/>
  <c r="FK36" i="10"/>
  <c r="FS36" i="10" s="1"/>
  <c r="BV321" i="10" s="1"/>
  <c r="CP351" i="10"/>
  <c r="FI27" i="10"/>
  <c r="CP342" i="10" s="1"/>
  <c r="GX27" i="10"/>
  <c r="GZ27" i="10" s="1"/>
  <c r="CL342" i="10" s="1"/>
  <c r="CR342" i="10" s="1"/>
  <c r="FI30" i="10"/>
  <c r="FJ30" i="10" s="1"/>
  <c r="FR30" i="10" s="1"/>
  <c r="FI39" i="10"/>
  <c r="FJ39" i="10" s="1"/>
  <c r="FR39" i="10" s="1"/>
  <c r="GX39" i="10"/>
  <c r="GZ39" i="10" s="1"/>
  <c r="CL354" i="10" s="1"/>
  <c r="CR354" i="10" s="1"/>
  <c r="FI31" i="10"/>
  <c r="CP346" i="10" s="1"/>
  <c r="GX31" i="10"/>
  <c r="GZ31" i="10" s="1"/>
  <c r="CL346" i="10" s="1"/>
  <c r="CR346" i="10" s="1"/>
  <c r="FJ40" i="10"/>
  <c r="FR40" i="10" s="1"/>
  <c r="CP355" i="10"/>
  <c r="FI35" i="10"/>
  <c r="CP350" i="10" s="1"/>
  <c r="GX35" i="10"/>
  <c r="GZ35" i="10" s="1"/>
  <c r="CL350" i="10" s="1"/>
  <c r="CR350" i="10" s="1"/>
  <c r="FM34" i="10"/>
  <c r="FU34" i="10" s="1"/>
  <c r="GQ34" i="10" s="1"/>
  <c r="CP349" i="10"/>
  <c r="FI37" i="10"/>
  <c r="GX37" i="10"/>
  <c r="GZ37" i="10" s="1"/>
  <c r="CL352" i="10" s="1"/>
  <c r="CR352" i="10" s="1"/>
  <c r="FN26" i="10"/>
  <c r="FV26" i="10" s="1"/>
  <c r="BB333" i="10" s="1"/>
  <c r="CP341" i="10"/>
  <c r="FJ32" i="10"/>
  <c r="FR32" i="10" s="1"/>
  <c r="FI28" i="10"/>
  <c r="FL28" i="10" s="1"/>
  <c r="FT28" i="10" s="1"/>
  <c r="BF325" i="10" s="1"/>
  <c r="GX28" i="10"/>
  <c r="GZ28" i="10" s="1"/>
  <c r="CL343" i="10" s="1"/>
  <c r="CR343" i="10" s="1"/>
  <c r="FI29" i="10"/>
  <c r="CP344" i="10" s="1"/>
  <c r="GX29" i="10"/>
  <c r="GZ29" i="10" s="1"/>
  <c r="CL344" i="10" s="1"/>
  <c r="CR344" i="10" s="1"/>
  <c r="FJ33" i="10"/>
  <c r="FR33" i="10" s="1"/>
  <c r="GB33" i="10" s="1"/>
  <c r="CP348" i="10"/>
  <c r="FI38" i="10"/>
  <c r="FN38" i="10" s="1"/>
  <c r="FV38" i="10" s="1"/>
  <c r="BZ333" i="10" s="1"/>
  <c r="GX38" i="10"/>
  <c r="GZ38" i="10" s="1"/>
  <c r="CL353" i="10" s="1"/>
  <c r="CR353" i="10" s="1"/>
  <c r="FJ36" i="10"/>
  <c r="FR36" i="10" s="1"/>
  <c r="FN36" i="10"/>
  <c r="FV36" i="10" s="1"/>
  <c r="BV333" i="10" s="1"/>
  <c r="FM36" i="10"/>
  <c r="FU36" i="10" s="1"/>
  <c r="BV329" i="10" s="1"/>
  <c r="FL36" i="10"/>
  <c r="FT36" i="10" s="1"/>
  <c r="BV325" i="10" s="1"/>
  <c r="FK32" i="10"/>
  <c r="FS32" i="10" s="1"/>
  <c r="BN321" i="10" s="1"/>
  <c r="FN31" i="10"/>
  <c r="FV31" i="10" s="1"/>
  <c r="BL333" i="10" s="1"/>
  <c r="CC61" i="10"/>
  <c r="FM26" i="10"/>
  <c r="FU26" i="10" s="1"/>
  <c r="BB329" i="10" s="1"/>
  <c r="FL26" i="10"/>
  <c r="FT26" i="10" s="1"/>
  <c r="BB325" i="10" s="1"/>
  <c r="FK26" i="10"/>
  <c r="FS26" i="10" s="1"/>
  <c r="BB321" i="10" s="1"/>
  <c r="GB40" i="10"/>
  <c r="GA40" i="10"/>
  <c r="FM33" i="10"/>
  <c r="FU33" i="10" s="1"/>
  <c r="BP329" i="10" s="1"/>
  <c r="FN32" i="10"/>
  <c r="FV32" i="10" s="1"/>
  <c r="BN333" i="10" s="1"/>
  <c r="FL34" i="10"/>
  <c r="FT34" i="10" s="1"/>
  <c r="BR325" i="10" s="1"/>
  <c r="FL33" i="10"/>
  <c r="FT33" i="10" s="1"/>
  <c r="BP325" i="10" s="1"/>
  <c r="FL32" i="10"/>
  <c r="FT32" i="10" s="1"/>
  <c r="BN325" i="10" s="1"/>
  <c r="FJ26" i="10"/>
  <c r="FK34" i="10"/>
  <c r="FS34" i="10" s="1"/>
  <c r="BR321" i="10" s="1"/>
  <c r="FJ34" i="10"/>
  <c r="FR34" i="10" s="1"/>
  <c r="FN34" i="10"/>
  <c r="FV34" i="10" s="1"/>
  <c r="BR333" i="10" s="1"/>
  <c r="FJ25" i="10"/>
  <c r="FM25" i="10"/>
  <c r="FU25" i="10" s="1"/>
  <c r="FN25" i="10"/>
  <c r="FV25" i="10" s="1"/>
  <c r="FL25" i="10"/>
  <c r="FT25" i="10" s="1"/>
  <c r="AZ325" i="10" s="1"/>
  <c r="GG25" i="10"/>
  <c r="GF25" i="10"/>
  <c r="FL40" i="10"/>
  <c r="FT40" i="10" s="1"/>
  <c r="CD325" i="10" s="1"/>
  <c r="FM40" i="10"/>
  <c r="FU40" i="10" s="1"/>
  <c r="CD329" i="10" s="1"/>
  <c r="FK40" i="10"/>
  <c r="FS40" i="10" s="1"/>
  <c r="CD321" i="10" s="1"/>
  <c r="FN40" i="10"/>
  <c r="FV40" i="10" s="1"/>
  <c r="CD333" i="10" s="1"/>
  <c r="EJ8" i="10"/>
  <c r="EO8" i="10" s="1"/>
  <c r="EM8" i="10"/>
  <c r="EU7" i="10"/>
  <c r="EW7" i="10" s="1"/>
  <c r="EJ7" i="10"/>
  <c r="EO7" i="10" s="1"/>
  <c r="EM7" i="10"/>
  <c r="EQ8" i="10"/>
  <c r="ES8" i="10" s="1"/>
  <c r="FN13" i="10"/>
  <c r="FV13" i="10" s="1"/>
  <c r="AH82" i="10" s="1"/>
  <c r="BZ68" i="10"/>
  <c r="CC68" i="10" s="1"/>
  <c r="FM19" i="10"/>
  <c r="FU19" i="10" s="1"/>
  <c r="AF88" i="10" s="1"/>
  <c r="BZ74" i="10"/>
  <c r="CC74" i="10" s="1"/>
  <c r="FL8" i="10"/>
  <c r="FT8" i="10" s="1"/>
  <c r="AD77" i="10" s="1"/>
  <c r="BZ63" i="10"/>
  <c r="CC63" i="10" s="1"/>
  <c r="FJ17" i="10"/>
  <c r="FR17" i="10" s="1"/>
  <c r="Z86" i="10" s="1"/>
  <c r="BZ72" i="10"/>
  <c r="CC72" i="10" s="1"/>
  <c r="FL17" i="10"/>
  <c r="FT17" i="10" s="1"/>
  <c r="AD86" i="10" s="1"/>
  <c r="FK17" i="10"/>
  <c r="FS17" i="10" s="1"/>
  <c r="GF17" i="10" s="1"/>
  <c r="H86" i="10" s="1"/>
  <c r="CJ86" i="10" s="1"/>
  <c r="FN17" i="10"/>
  <c r="FV17" i="10" s="1"/>
  <c r="AH86" i="10" s="1"/>
  <c r="FM17" i="10"/>
  <c r="FU17" i="10" s="1"/>
  <c r="AF86" i="10" s="1"/>
  <c r="FM13" i="10"/>
  <c r="FU13" i="10" s="1"/>
  <c r="AF82" i="10" s="1"/>
  <c r="FK8" i="10"/>
  <c r="FS8" i="10" s="1"/>
  <c r="AB77" i="10" s="1"/>
  <c r="FJ19" i="10"/>
  <c r="FR19" i="10" s="1"/>
  <c r="Z88" i="10" s="1"/>
  <c r="FL13" i="10"/>
  <c r="FT13" i="10" s="1"/>
  <c r="AD82" i="10" s="1"/>
  <c r="FL19" i="10"/>
  <c r="FT19" i="10" s="1"/>
  <c r="AD88" i="10" s="1"/>
  <c r="FK13" i="10"/>
  <c r="FS13" i="10" s="1"/>
  <c r="AB82" i="10" s="1"/>
  <c r="FK19" i="10"/>
  <c r="FS19" i="10" s="1"/>
  <c r="AB88" i="10" s="1"/>
  <c r="FJ13" i="10"/>
  <c r="FR13" i="10" s="1"/>
  <c r="Z82" i="10" s="1"/>
  <c r="FN8" i="10"/>
  <c r="FV8" i="10" s="1"/>
  <c r="AH77" i="10" s="1"/>
  <c r="FN19" i="10"/>
  <c r="FV19" i="10" s="1"/>
  <c r="AH88" i="10" s="1"/>
  <c r="FJ8" i="10"/>
  <c r="FR8" i="10" s="1"/>
  <c r="Z77" i="10" s="1"/>
  <c r="FM8" i="10"/>
  <c r="FU8" i="10" s="1"/>
  <c r="AF77" i="10" s="1"/>
  <c r="FK12" i="10"/>
  <c r="FS12" i="10" s="1"/>
  <c r="AB81" i="10" s="1"/>
  <c r="FL12" i="10"/>
  <c r="FT12" i="10" s="1"/>
  <c r="AD81" i="10" s="1"/>
  <c r="FM12" i="10"/>
  <c r="FU12" i="10" s="1"/>
  <c r="AF81" i="10" s="1"/>
  <c r="FN12" i="10"/>
  <c r="FV12" i="10" s="1"/>
  <c r="AH81" i="10" s="1"/>
  <c r="FJ12" i="10"/>
  <c r="FR12" i="10" s="1"/>
  <c r="Z81" i="10" s="1"/>
  <c r="FN9" i="10"/>
  <c r="FV9" i="10" s="1"/>
  <c r="AH78" i="10" s="1"/>
  <c r="FK9" i="10"/>
  <c r="FS9" i="10" s="1"/>
  <c r="AB78" i="10" s="1"/>
  <c r="FL9" i="10"/>
  <c r="FT9" i="10" s="1"/>
  <c r="AD78" i="10" s="1"/>
  <c r="FM9" i="10"/>
  <c r="FU9" i="10" s="1"/>
  <c r="AF78" i="10" s="1"/>
  <c r="FJ9" i="10"/>
  <c r="FR9" i="10" s="1"/>
  <c r="Z78" i="10" s="1"/>
  <c r="FN5" i="10"/>
  <c r="FV5" i="10" s="1"/>
  <c r="FJ5" i="10"/>
  <c r="FR5" i="10" s="1"/>
  <c r="Z74" i="10" s="1"/>
  <c r="FK5" i="10"/>
  <c r="FS5" i="10" s="1"/>
  <c r="AB74" i="10" s="1"/>
  <c r="FL5" i="10"/>
  <c r="FT5" i="10" s="1"/>
  <c r="FM5" i="10"/>
  <c r="FU5" i="10" s="1"/>
  <c r="FK14" i="10"/>
  <c r="FS14" i="10" s="1"/>
  <c r="AB83" i="10" s="1"/>
  <c r="FL14" i="10"/>
  <c r="FT14" i="10" s="1"/>
  <c r="AD83" i="10" s="1"/>
  <c r="FM14" i="10"/>
  <c r="FU14" i="10" s="1"/>
  <c r="AF83" i="10" s="1"/>
  <c r="FJ14" i="10"/>
  <c r="FR14" i="10" s="1"/>
  <c r="Z83" i="10" s="1"/>
  <c r="FN14" i="10"/>
  <c r="FV14" i="10" s="1"/>
  <c r="AH83" i="10" s="1"/>
  <c r="FK16" i="10"/>
  <c r="FS16" i="10" s="1"/>
  <c r="AB85" i="10" s="1"/>
  <c r="FL16" i="10"/>
  <c r="FT16" i="10" s="1"/>
  <c r="AD85" i="10" s="1"/>
  <c r="FM16" i="10"/>
  <c r="FU16" i="10" s="1"/>
  <c r="AF85" i="10" s="1"/>
  <c r="FN16" i="10"/>
  <c r="FV16" i="10" s="1"/>
  <c r="AH85" i="10" s="1"/>
  <c r="FJ16" i="10"/>
  <c r="FR16" i="10" s="1"/>
  <c r="Z85" i="10" s="1"/>
  <c r="FK10" i="10"/>
  <c r="FS10" i="10" s="1"/>
  <c r="AB79" i="10" s="1"/>
  <c r="FL10" i="10"/>
  <c r="FT10" i="10" s="1"/>
  <c r="AD79" i="10" s="1"/>
  <c r="FM10" i="10"/>
  <c r="FU10" i="10" s="1"/>
  <c r="AF79" i="10" s="1"/>
  <c r="FN10" i="10"/>
  <c r="FV10" i="10" s="1"/>
  <c r="AH79" i="10" s="1"/>
  <c r="FJ10" i="10"/>
  <c r="FR10" i="10" s="1"/>
  <c r="Z79" i="10" s="1"/>
  <c r="FJ15" i="10"/>
  <c r="FR15" i="10" s="1"/>
  <c r="Z84" i="10" s="1"/>
  <c r="FK15" i="10"/>
  <c r="FS15" i="10" s="1"/>
  <c r="AB84" i="10" s="1"/>
  <c r="FL15" i="10"/>
  <c r="FT15" i="10" s="1"/>
  <c r="AD84" i="10" s="1"/>
  <c r="FM15" i="10"/>
  <c r="FU15" i="10" s="1"/>
  <c r="AF84" i="10" s="1"/>
  <c r="FN15" i="10"/>
  <c r="FV15" i="10" s="1"/>
  <c r="AH84" i="10" s="1"/>
  <c r="FK18" i="10"/>
  <c r="FS18" i="10" s="1"/>
  <c r="AB87" i="10" s="1"/>
  <c r="FL18" i="10"/>
  <c r="FT18" i="10" s="1"/>
  <c r="AD87" i="10" s="1"/>
  <c r="FJ18" i="10"/>
  <c r="FR18" i="10" s="1"/>
  <c r="Z87" i="10" s="1"/>
  <c r="FM18" i="10"/>
  <c r="FU18" i="10" s="1"/>
  <c r="AF87" i="10" s="1"/>
  <c r="FN18" i="10"/>
  <c r="FV18" i="10" s="1"/>
  <c r="AH87" i="10" s="1"/>
  <c r="FJ7" i="10"/>
  <c r="FR7" i="10" s="1"/>
  <c r="Z76" i="10" s="1"/>
  <c r="FM7" i="10"/>
  <c r="FU7" i="10" s="1"/>
  <c r="AF76" i="10" s="1"/>
  <c r="FK7" i="10"/>
  <c r="FS7" i="10" s="1"/>
  <c r="AB76" i="10" s="1"/>
  <c r="FL7" i="10"/>
  <c r="FT7" i="10" s="1"/>
  <c r="AD76" i="10" s="1"/>
  <c r="FN7" i="10"/>
  <c r="FV7" i="10" s="1"/>
  <c r="AH76" i="10" s="1"/>
  <c r="FM11" i="10"/>
  <c r="FU11" i="10" s="1"/>
  <c r="AF80" i="10" s="1"/>
  <c r="FN11" i="10"/>
  <c r="FV11" i="10" s="1"/>
  <c r="AH80" i="10" s="1"/>
  <c r="FK11" i="10"/>
  <c r="FS11" i="10" s="1"/>
  <c r="AB80" i="10" s="1"/>
  <c r="FL11" i="10"/>
  <c r="FT11" i="10" s="1"/>
  <c r="AD80" i="10" s="1"/>
  <c r="FJ11" i="10"/>
  <c r="FR11" i="10" s="1"/>
  <c r="Z80" i="10" s="1"/>
  <c r="FK20" i="10"/>
  <c r="FS20" i="10" s="1"/>
  <c r="AB89" i="10" s="1"/>
  <c r="FL20" i="10"/>
  <c r="FT20" i="10" s="1"/>
  <c r="AD89" i="10" s="1"/>
  <c r="FM20" i="10"/>
  <c r="FU20" i="10" s="1"/>
  <c r="AF89" i="10" s="1"/>
  <c r="FN20" i="10"/>
  <c r="FV20" i="10" s="1"/>
  <c r="AH89" i="10" s="1"/>
  <c r="FJ20" i="10"/>
  <c r="FR20" i="10" s="1"/>
  <c r="Z89" i="10" s="1"/>
  <c r="FK6" i="10"/>
  <c r="FS6" i="10" s="1"/>
  <c r="AB75" i="10" s="1"/>
  <c r="FL6" i="10"/>
  <c r="FT6" i="10" s="1"/>
  <c r="AD75" i="10" s="1"/>
  <c r="FM6" i="10"/>
  <c r="FU6" i="10" s="1"/>
  <c r="AF75" i="10" s="1"/>
  <c r="FJ6" i="10"/>
  <c r="FR6" i="10" s="1"/>
  <c r="Z75" i="10" s="1"/>
  <c r="FN6" i="10"/>
  <c r="FV6" i="10" s="1"/>
  <c r="AH75" i="10" s="1"/>
  <c r="EL114" i="10"/>
  <c r="ER113" i="10"/>
  <c r="EV113" i="10" s="1"/>
  <c r="EI113" i="10"/>
  <c r="EN113" i="10" s="1"/>
  <c r="EU10" i="10"/>
  <c r="EW10" i="10" s="1"/>
  <c r="EQ10" i="10"/>
  <c r="ES10" i="10" s="1"/>
  <c r="EU6" i="10"/>
  <c r="EW6" i="10" s="1"/>
  <c r="EQ6" i="10"/>
  <c r="ES6" i="10" s="1"/>
  <c r="EU9" i="10"/>
  <c r="EW9" i="10" s="1"/>
  <c r="EQ9" i="10"/>
  <c r="ES9" i="10" s="1"/>
  <c r="EM5" i="10"/>
  <c r="EQ5" i="10"/>
  <c r="ES5" i="10" s="1"/>
  <c r="EJ5" i="10"/>
  <c r="EO5" i="10" s="1"/>
  <c r="EH11" i="10"/>
  <c r="EM6" i="10"/>
  <c r="EJ6" i="10"/>
  <c r="EO6" i="10" s="1"/>
  <c r="EM9" i="10"/>
  <c r="EJ9" i="10"/>
  <c r="EO9" i="10" s="1"/>
  <c r="EM10" i="10"/>
  <c r="EJ10" i="10"/>
  <c r="EO10" i="10" s="1"/>
  <c r="EF12" i="10"/>
  <c r="EC12" i="10"/>
  <c r="ED12" i="10"/>
  <c r="EB12" i="10"/>
  <c r="EE12" i="10"/>
  <c r="EA13" i="10"/>
  <c r="GM9" i="9"/>
  <c r="GR9" i="9" s="1"/>
  <c r="GF9" i="9"/>
  <c r="FH8" i="9"/>
  <c r="FJ8" i="9" s="1"/>
  <c r="FK8" i="9" s="1"/>
  <c r="IC7" i="9"/>
  <c r="IC19" i="9"/>
  <c r="IC9" i="9"/>
  <c r="IC12" i="9"/>
  <c r="IB14" i="9"/>
  <c r="ID14" i="9" s="1"/>
  <c r="IF14" i="9" s="1"/>
  <c r="IC13" i="9"/>
  <c r="IC17" i="9"/>
  <c r="FI7" i="9"/>
  <c r="IC8" i="9"/>
  <c r="KR5" i="9"/>
  <c r="KQ5" i="9"/>
  <c r="KS5" i="9" s="1"/>
  <c r="KQ13" i="9"/>
  <c r="KS13" i="9" s="1"/>
  <c r="KT15" i="9"/>
  <c r="KT20" i="9"/>
  <c r="KT14" i="9"/>
  <c r="KT10" i="9"/>
  <c r="EQ9" i="9"/>
  <c r="ES9" i="9"/>
  <c r="FI6" i="9"/>
  <c r="IC16" i="9"/>
  <c r="IB16" i="9"/>
  <c r="ID16" i="9" s="1"/>
  <c r="EB10" i="9"/>
  <c r="EO10" i="9" s="1"/>
  <c r="FC10" i="9" s="1"/>
  <c r="EC10" i="9"/>
  <c r="EE10" i="9"/>
  <c r="ED10" i="9"/>
  <c r="EW10" i="9" s="1"/>
  <c r="EA11" i="9"/>
  <c r="EI10" i="9"/>
  <c r="EH10" i="9"/>
  <c r="EG10" i="9"/>
  <c r="GP10" i="9"/>
  <c r="EF10" i="9"/>
  <c r="IB10" i="9"/>
  <c r="ID10" i="9" s="1"/>
  <c r="IC10" i="9"/>
  <c r="EO9" i="9"/>
  <c r="FC9" i="9" s="1"/>
  <c r="EM9" i="9"/>
  <c r="FB9" i="9" s="1"/>
  <c r="FD9" i="9" s="1"/>
  <c r="IE7" i="9"/>
  <c r="IF7" i="9"/>
  <c r="IE12" i="9"/>
  <c r="IF12" i="9"/>
  <c r="IB11" i="9"/>
  <c r="ID11" i="9" s="1"/>
  <c r="IC11" i="9"/>
  <c r="IC15" i="9"/>
  <c r="IB15" i="9"/>
  <c r="ID15" i="9" s="1"/>
  <c r="IC6" i="9"/>
  <c r="IB6" i="9"/>
  <c r="ID6" i="9" s="1"/>
  <c r="EZ9" i="9"/>
  <c r="EY9" i="9"/>
  <c r="IC20" i="9"/>
  <c r="IB20" i="9"/>
  <c r="ID20" i="9" s="1"/>
  <c r="EU9" i="9"/>
  <c r="EW9" i="9"/>
  <c r="IF13" i="9"/>
  <c r="IE13" i="9"/>
  <c r="IE8" i="9"/>
  <c r="IF8" i="9"/>
  <c r="IE17" i="9"/>
  <c r="IF17" i="9"/>
  <c r="IE9" i="9"/>
  <c r="IF9" i="9"/>
  <c r="IF19" i="9"/>
  <c r="IE19" i="9"/>
  <c r="FI8" i="9"/>
  <c r="FH6" i="9"/>
  <c r="FJ6" i="9" s="1"/>
  <c r="FL6" i="9" s="1"/>
  <c r="FI5" i="9"/>
  <c r="FL5" i="9"/>
  <c r="FM5" i="9" s="1"/>
  <c r="FV5" i="9" s="1"/>
  <c r="CN28" i="9" s="1"/>
  <c r="FH7" i="9"/>
  <c r="FJ7" i="9" s="1"/>
  <c r="FL7" i="9" s="1"/>
  <c r="IC5" i="9"/>
  <c r="IB5" i="9"/>
  <c r="ID5" i="9" s="1"/>
  <c r="FL8" i="9"/>
  <c r="ED279" i="9"/>
  <c r="ED280" i="9"/>
  <c r="EB285" i="9"/>
  <c r="EB282" i="9"/>
  <c r="ED285" i="9"/>
  <c r="ED282" i="9"/>
  <c r="EE285" i="9"/>
  <c r="EE282" i="9"/>
  <c r="EB279" i="9"/>
  <c r="EB280" i="9"/>
  <c r="EF285" i="9"/>
  <c r="EF282" i="9"/>
  <c r="EC279" i="9"/>
  <c r="EC280" i="9"/>
  <c r="EE279" i="9"/>
  <c r="EE280" i="9"/>
  <c r="EC285" i="9"/>
  <c r="EC282" i="9"/>
  <c r="EF279" i="9"/>
  <c r="EF280" i="9"/>
  <c r="BL112" i="3"/>
  <c r="BH111" i="3"/>
  <c r="N77" i="3"/>
  <c r="BL111" i="2"/>
  <c r="IP18" i="9" l="1"/>
  <c r="FK33" i="10"/>
  <c r="FS33" i="10" s="1"/>
  <c r="BP321" i="10" s="1"/>
  <c r="FM32" i="10"/>
  <c r="FU32" i="10" s="1"/>
  <c r="BN329" i="10" s="1"/>
  <c r="IT18" i="9"/>
  <c r="IS18" i="9"/>
  <c r="II18" i="9"/>
  <c r="IO18" i="9"/>
  <c r="IW18" i="9"/>
  <c r="AA128" i="9"/>
  <c r="CY23" i="3"/>
  <c r="BN32" i="3" s="1"/>
  <c r="DM6" i="3"/>
  <c r="DM23" i="3" s="1"/>
  <c r="BN33" i="3" s="1"/>
  <c r="H130" i="3"/>
  <c r="DL23" i="3"/>
  <c r="DJ8" i="3"/>
  <c r="DI8" i="3"/>
  <c r="DK8" i="3" s="1"/>
  <c r="DJ16" i="3"/>
  <c r="DI16" i="3"/>
  <c r="DK16" i="3" s="1"/>
  <c r="DJ11" i="3"/>
  <c r="DI11" i="3"/>
  <c r="DK11" i="3" s="1"/>
  <c r="DJ18" i="3"/>
  <c r="DI18" i="3"/>
  <c r="DK18" i="3" s="1"/>
  <c r="DI7" i="3"/>
  <c r="DK7" i="3" s="1"/>
  <c r="DJ7" i="3"/>
  <c r="DJ6" i="3"/>
  <c r="DI6" i="3"/>
  <c r="BJ37" i="3"/>
  <c r="DH23" i="3"/>
  <c r="DJ14" i="3"/>
  <c r="DI14" i="3"/>
  <c r="DK14" i="3" s="1"/>
  <c r="DJ19" i="3"/>
  <c r="DI19" i="3"/>
  <c r="DK19" i="3" s="1"/>
  <c r="BF32" i="3"/>
  <c r="DJ12" i="3"/>
  <c r="DI12" i="3"/>
  <c r="DK12" i="3" s="1"/>
  <c r="DJ21" i="3"/>
  <c r="DI21" i="3"/>
  <c r="DK21" i="3" s="1"/>
  <c r="DJ17" i="3"/>
  <c r="DI17" i="3"/>
  <c r="DK17" i="3" s="1"/>
  <c r="DJ9" i="3"/>
  <c r="DI9" i="3"/>
  <c r="DK9" i="3" s="1"/>
  <c r="DJ15" i="3"/>
  <c r="DI15" i="3"/>
  <c r="DK15" i="3" s="1"/>
  <c r="DJ10" i="3"/>
  <c r="DI10" i="3"/>
  <c r="DK10" i="3" s="1"/>
  <c r="DJ20" i="3"/>
  <c r="DI20" i="3"/>
  <c r="DK20" i="3" s="1"/>
  <c r="DJ13" i="3"/>
  <c r="DI13" i="3"/>
  <c r="DK13" i="3" s="1"/>
  <c r="CX12" i="2"/>
  <c r="CP12" i="2"/>
  <c r="CZ12" i="2" s="1"/>
  <c r="CN12" i="2"/>
  <c r="CK13" i="2"/>
  <c r="CL12" i="2"/>
  <c r="CO12" i="2" s="1"/>
  <c r="CO11" i="2"/>
  <c r="BH115" i="2"/>
  <c r="O40" i="2"/>
  <c r="AB77" i="2"/>
  <c r="BH110" i="2"/>
  <c r="DY21" i="2"/>
  <c r="AJ41" i="2" s="1"/>
  <c r="BH116" i="2"/>
  <c r="BL116" i="2" s="1"/>
  <c r="CU11" i="1"/>
  <c r="CY11" i="1"/>
  <c r="CV12" i="1"/>
  <c r="CQ12" i="1"/>
  <c r="CP12" i="1"/>
  <c r="CM14" i="1"/>
  <c r="CT13" i="1"/>
  <c r="CX13" i="1" s="1"/>
  <c r="CO13" i="1"/>
  <c r="CN13" i="1"/>
  <c r="GG36" i="10"/>
  <c r="FL38" i="10"/>
  <c r="FT38" i="10" s="1"/>
  <c r="BZ325" i="10" s="1"/>
  <c r="GF36" i="10"/>
  <c r="FM27" i="10"/>
  <c r="FU27" i="10" s="1"/>
  <c r="BD329" i="10" s="1"/>
  <c r="FK30" i="10"/>
  <c r="FS30" i="10" s="1"/>
  <c r="BJ321" i="10" s="1"/>
  <c r="FK38" i="10"/>
  <c r="FS38" i="10" s="1"/>
  <c r="BZ321" i="10" s="1"/>
  <c r="FJ38" i="10"/>
  <c r="FR38" i="10" s="1"/>
  <c r="BZ317" i="10" s="1"/>
  <c r="FL30" i="10"/>
  <c r="FT30" i="10" s="1"/>
  <c r="BJ325" i="10" s="1"/>
  <c r="FL27" i="10"/>
  <c r="FT27" i="10" s="1"/>
  <c r="GL27" i="10" s="1"/>
  <c r="FN30" i="10"/>
  <c r="FV30" i="10" s="1"/>
  <c r="BJ333" i="10" s="1"/>
  <c r="GU36" i="10"/>
  <c r="FN28" i="10"/>
  <c r="FV28" i="10" s="1"/>
  <c r="BF333" i="10" s="1"/>
  <c r="CB317" i="10"/>
  <c r="BJ317" i="10"/>
  <c r="GU26" i="10"/>
  <c r="GA32" i="10"/>
  <c r="CJ324" i="10"/>
  <c r="GA33" i="10"/>
  <c r="CJ325" i="10"/>
  <c r="CD317" i="10"/>
  <c r="CJ332" i="10"/>
  <c r="FL39" i="10"/>
  <c r="FT39" i="10" s="1"/>
  <c r="CB325" i="10" s="1"/>
  <c r="BR317" i="10"/>
  <c r="CJ326" i="10"/>
  <c r="FK28" i="10"/>
  <c r="FS28" i="10" s="1"/>
  <c r="BF321" i="10" s="1"/>
  <c r="GV36" i="10"/>
  <c r="GA36" i="10"/>
  <c r="CJ328" i="10"/>
  <c r="FK39" i="10"/>
  <c r="FS39" i="10" s="1"/>
  <c r="CB321" i="10" s="1"/>
  <c r="FJ28" i="10"/>
  <c r="FR28" i="10" s="1"/>
  <c r="GA28" i="10" s="1"/>
  <c r="FJ27" i="10"/>
  <c r="FR27" i="10" s="1"/>
  <c r="GA27" i="10" s="1"/>
  <c r="BP317" i="10"/>
  <c r="FK27" i="10"/>
  <c r="FS27" i="10" s="1"/>
  <c r="BD321" i="10" s="1"/>
  <c r="FN39" i="10"/>
  <c r="FV39" i="10" s="1"/>
  <c r="CB333" i="10" s="1"/>
  <c r="GV26" i="10"/>
  <c r="GP34" i="10"/>
  <c r="FN27" i="10"/>
  <c r="FV27" i="10" s="1"/>
  <c r="GV27" i="10" s="1"/>
  <c r="BN317" i="10"/>
  <c r="GB32" i="10"/>
  <c r="GG27" i="10"/>
  <c r="BR329" i="10"/>
  <c r="FJ35" i="10"/>
  <c r="FR35" i="10" s="1"/>
  <c r="GA35" i="10" s="1"/>
  <c r="FK35" i="10"/>
  <c r="FS35" i="10" s="1"/>
  <c r="BT321" i="10" s="1"/>
  <c r="FK29" i="10"/>
  <c r="FS29" i="10" s="1"/>
  <c r="FN37" i="10"/>
  <c r="FV37" i="10" s="1"/>
  <c r="CP352" i="10"/>
  <c r="BD317" i="10"/>
  <c r="FN35" i="10"/>
  <c r="FV35" i="10" s="1"/>
  <c r="BT333" i="10" s="1"/>
  <c r="FM31" i="10"/>
  <c r="FU31" i="10" s="1"/>
  <c r="FM28" i="10"/>
  <c r="FU28" i="10" s="1"/>
  <c r="CP343" i="10"/>
  <c r="FM39" i="10"/>
  <c r="FU39" i="10" s="1"/>
  <c r="CP354" i="10"/>
  <c r="FL35" i="10"/>
  <c r="FT35" i="10" s="1"/>
  <c r="BT325" i="10" s="1"/>
  <c r="FM30" i="10"/>
  <c r="FU30" i="10" s="1"/>
  <c r="CP345" i="10"/>
  <c r="FK37" i="10"/>
  <c r="FS37" i="10" s="1"/>
  <c r="BX321" i="10" s="1"/>
  <c r="FJ29" i="10"/>
  <c r="FR29" i="10" s="1"/>
  <c r="FM38" i="10"/>
  <c r="FU38" i="10" s="1"/>
  <c r="CP353" i="10"/>
  <c r="FL37" i="10"/>
  <c r="FT37" i="10" s="1"/>
  <c r="BX325" i="10" s="1"/>
  <c r="FL29" i="10"/>
  <c r="FT29" i="10" s="1"/>
  <c r="GL29" i="10" s="1"/>
  <c r="FM35" i="10"/>
  <c r="FU35" i="10" s="1"/>
  <c r="FJ31" i="10"/>
  <c r="FR31" i="10" s="1"/>
  <c r="BL317" i="10" s="1"/>
  <c r="FK31" i="10"/>
  <c r="FS31" i="10" s="1"/>
  <c r="FJ37" i="10"/>
  <c r="FR37" i="10" s="1"/>
  <c r="FN29" i="10"/>
  <c r="FV29" i="10" s="1"/>
  <c r="GV29" i="10" s="1"/>
  <c r="FM37" i="10"/>
  <c r="FU37" i="10" s="1"/>
  <c r="BX329" i="10" s="1"/>
  <c r="FL31" i="10"/>
  <c r="FT31" i="10" s="1"/>
  <c r="BL325" i="10" s="1"/>
  <c r="FM29" i="10"/>
  <c r="FU29" i="10" s="1"/>
  <c r="GP29" i="10" s="1"/>
  <c r="BV317" i="10"/>
  <c r="GK36" i="10"/>
  <c r="GP36" i="10"/>
  <c r="GQ36" i="10"/>
  <c r="GL36" i="10"/>
  <c r="FO36" i="10"/>
  <c r="FP36" i="10" s="1"/>
  <c r="CK328" i="10" s="1"/>
  <c r="GB36" i="10"/>
  <c r="GF32" i="10"/>
  <c r="GP25" i="10"/>
  <c r="AZ329" i="10"/>
  <c r="GG32" i="10"/>
  <c r="GU25" i="10"/>
  <c r="AZ333" i="10"/>
  <c r="GU31" i="10"/>
  <c r="GV31" i="10"/>
  <c r="CC76" i="10"/>
  <c r="GL33" i="10"/>
  <c r="GK33" i="10"/>
  <c r="GG33" i="10"/>
  <c r="GF33" i="10"/>
  <c r="GF26" i="10"/>
  <c r="GG26" i="10"/>
  <c r="FR25" i="10"/>
  <c r="FO25" i="10"/>
  <c r="FP25" i="10" s="1"/>
  <c r="AZ337" i="10" s="1"/>
  <c r="GL38" i="10"/>
  <c r="GF34" i="10"/>
  <c r="GG34" i="10"/>
  <c r="GV33" i="10"/>
  <c r="GU33" i="10"/>
  <c r="GB34" i="10"/>
  <c r="GA34" i="10"/>
  <c r="GF30" i="10"/>
  <c r="GG30" i="10"/>
  <c r="GU38" i="10"/>
  <c r="GV38" i="10"/>
  <c r="GP32" i="10"/>
  <c r="GQ32" i="10"/>
  <c r="GL34" i="10"/>
  <c r="GK34" i="10"/>
  <c r="GP26" i="10"/>
  <c r="GQ26" i="10"/>
  <c r="GB30" i="10"/>
  <c r="GA30" i="10"/>
  <c r="GF38" i="10"/>
  <c r="GG38" i="10"/>
  <c r="GK28" i="10"/>
  <c r="GL28" i="10"/>
  <c r="GU32" i="10"/>
  <c r="GV32" i="10"/>
  <c r="GK26" i="10"/>
  <c r="GL26" i="10"/>
  <c r="GU34" i="10"/>
  <c r="GV34" i="10"/>
  <c r="FO26" i="10"/>
  <c r="FP26" i="10" s="1"/>
  <c r="CK318" i="10" s="1"/>
  <c r="FR26" i="10"/>
  <c r="GQ33" i="10"/>
  <c r="GP33" i="10"/>
  <c r="GV30" i="10"/>
  <c r="GU30" i="10"/>
  <c r="GA39" i="10"/>
  <c r="GB39" i="10"/>
  <c r="GK32" i="10"/>
  <c r="GL32" i="10"/>
  <c r="GG37" i="10"/>
  <c r="GF37" i="10"/>
  <c r="GV40" i="10"/>
  <c r="GU40" i="10"/>
  <c r="GG40" i="10"/>
  <c r="GF40" i="10"/>
  <c r="GP40" i="10"/>
  <c r="GQ40" i="10"/>
  <c r="GK40" i="10"/>
  <c r="GL40" i="10"/>
  <c r="FO33" i="10"/>
  <c r="FP33" i="10" s="1"/>
  <c r="CK325" i="10" s="1"/>
  <c r="FO32" i="10"/>
  <c r="FP32" i="10" s="1"/>
  <c r="CK324" i="10" s="1"/>
  <c r="FO34" i="10"/>
  <c r="FP34" i="10" s="1"/>
  <c r="CK326" i="10" s="1"/>
  <c r="GV25" i="10"/>
  <c r="GQ25" i="10"/>
  <c r="GL25" i="10"/>
  <c r="GK25" i="10"/>
  <c r="FO40" i="10"/>
  <c r="FP40" i="10" s="1"/>
  <c r="CK332" i="10" s="1"/>
  <c r="CJ16" i="10"/>
  <c r="CP16" i="10"/>
  <c r="CS26" i="10"/>
  <c r="CM26" i="10"/>
  <c r="CI30" i="10"/>
  <c r="CO30" i="10"/>
  <c r="CI25" i="10"/>
  <c r="CO25" i="10"/>
  <c r="CP19" i="10"/>
  <c r="CJ19" i="10"/>
  <c r="CQ19" i="10"/>
  <c r="CK19" i="10"/>
  <c r="CR18" i="10"/>
  <c r="CL18" i="10"/>
  <c r="CK23" i="10"/>
  <c r="CQ23" i="10"/>
  <c r="CM21" i="10"/>
  <c r="CS21" i="10"/>
  <c r="CL28" i="10"/>
  <c r="CR28" i="10"/>
  <c r="CR26" i="10"/>
  <c r="CL26" i="10"/>
  <c r="CO18" i="10"/>
  <c r="CI18" i="10"/>
  <c r="CI27" i="10"/>
  <c r="CO27" i="10"/>
  <c r="CS30" i="10"/>
  <c r="CM30" i="10"/>
  <c r="CL21" i="10"/>
  <c r="CR21" i="10"/>
  <c r="CO28" i="10"/>
  <c r="CI28" i="10"/>
  <c r="CO20" i="10"/>
  <c r="CI20" i="10"/>
  <c r="CK26" i="10"/>
  <c r="CQ26" i="10"/>
  <c r="CS19" i="10"/>
  <c r="CM19" i="10"/>
  <c r="CM29" i="10"/>
  <c r="CS29" i="10"/>
  <c r="CP18" i="10"/>
  <c r="CJ18" i="10"/>
  <c r="CR30" i="10"/>
  <c r="CL30" i="10"/>
  <c r="CS17" i="10"/>
  <c r="CM17" i="10"/>
  <c r="CK28" i="10"/>
  <c r="CQ28" i="10"/>
  <c r="CM20" i="10"/>
  <c r="CS20" i="10"/>
  <c r="CP26" i="10"/>
  <c r="CJ26" i="10"/>
  <c r="CI22" i="10"/>
  <c r="CO22" i="10"/>
  <c r="CS18" i="10"/>
  <c r="CM18" i="10"/>
  <c r="CL23" i="10"/>
  <c r="CR23" i="10"/>
  <c r="CQ18" i="10"/>
  <c r="CK18" i="10"/>
  <c r="CM28" i="10"/>
  <c r="CS28" i="10"/>
  <c r="CS16" i="10"/>
  <c r="CM16" i="10"/>
  <c r="CQ30" i="10"/>
  <c r="CK30" i="10"/>
  <c r="CK17" i="10"/>
  <c r="CQ17" i="10"/>
  <c r="CJ28" i="10"/>
  <c r="CP28" i="10"/>
  <c r="CL20" i="10"/>
  <c r="CR20" i="10"/>
  <c r="CS24" i="10"/>
  <c r="CM24" i="10"/>
  <c r="CS22" i="10"/>
  <c r="CM22" i="10"/>
  <c r="CI23" i="10"/>
  <c r="CO23" i="10"/>
  <c r="CR27" i="10"/>
  <c r="CL27" i="10"/>
  <c r="CP21" i="10"/>
  <c r="CJ21" i="10"/>
  <c r="CP24" i="10"/>
  <c r="CJ24" i="10"/>
  <c r="CO29" i="10"/>
  <c r="CI29" i="10"/>
  <c r="CI16" i="10"/>
  <c r="CO16" i="10"/>
  <c r="CJ30" i="10"/>
  <c r="CP30" i="10"/>
  <c r="CP17" i="10"/>
  <c r="CJ17" i="10"/>
  <c r="CS25" i="10"/>
  <c r="CM25" i="10"/>
  <c r="CK20" i="10"/>
  <c r="CQ20" i="10"/>
  <c r="CO24" i="10"/>
  <c r="CI24" i="10"/>
  <c r="CR22" i="10"/>
  <c r="CL22" i="10"/>
  <c r="CP29" i="10"/>
  <c r="CJ29" i="10"/>
  <c r="CS27" i="10"/>
  <c r="CM27" i="10"/>
  <c r="CL29" i="10"/>
  <c r="CR29" i="10"/>
  <c r="CP25" i="10"/>
  <c r="CJ25" i="10"/>
  <c r="CL16" i="10"/>
  <c r="CR16" i="10"/>
  <c r="CO21" i="10"/>
  <c r="CI21" i="10"/>
  <c r="CL17" i="10"/>
  <c r="CR17" i="10"/>
  <c r="CL25" i="10"/>
  <c r="CR25" i="10"/>
  <c r="CP20" i="10"/>
  <c r="CJ20" i="10"/>
  <c r="CR24" i="10"/>
  <c r="CL24" i="10"/>
  <c r="CI19" i="10"/>
  <c r="CO19" i="10"/>
  <c r="CQ22" i="10"/>
  <c r="CK22" i="10"/>
  <c r="CP23" i="10"/>
  <c r="CJ23" i="10"/>
  <c r="CK16" i="10"/>
  <c r="CQ16" i="10"/>
  <c r="CK21" i="10"/>
  <c r="CQ21" i="10"/>
  <c r="CO17" i="10"/>
  <c r="CI17" i="10"/>
  <c r="CK25" i="10"/>
  <c r="CQ25" i="10"/>
  <c r="CO26" i="10"/>
  <c r="CI26" i="10"/>
  <c r="CQ24" i="10"/>
  <c r="CK24" i="10"/>
  <c r="CR19" i="10"/>
  <c r="CL19" i="10"/>
  <c r="CJ22" i="10"/>
  <c r="CP22" i="10"/>
  <c r="CK29" i="10"/>
  <c r="CQ29" i="10"/>
  <c r="CQ27" i="10"/>
  <c r="CK27" i="10"/>
  <c r="CS23" i="10"/>
  <c r="CM23" i="10"/>
  <c r="GU13" i="10"/>
  <c r="N82" i="10" s="1"/>
  <c r="AX72" i="10"/>
  <c r="BG124" i="10"/>
  <c r="GV13" i="10"/>
  <c r="X82" i="10" s="1"/>
  <c r="BT75" i="10"/>
  <c r="BT62" i="10"/>
  <c r="BR73" i="10"/>
  <c r="BX69" i="10"/>
  <c r="CO15" i="10"/>
  <c r="CI15" i="10"/>
  <c r="BX67" i="10"/>
  <c r="BP68" i="10"/>
  <c r="BP72" i="10"/>
  <c r="BV75" i="10"/>
  <c r="BV68" i="10"/>
  <c r="BP61" i="10"/>
  <c r="BR75" i="10"/>
  <c r="BR62" i="10"/>
  <c r="BX70" i="10"/>
  <c r="BP69" i="10"/>
  <c r="BV67" i="10"/>
  <c r="BR74" i="10"/>
  <c r="BX62" i="10"/>
  <c r="BX63" i="10"/>
  <c r="BX61" i="10"/>
  <c r="BV61" i="10"/>
  <c r="BV62" i="10"/>
  <c r="BV70" i="10"/>
  <c r="BV69" i="10"/>
  <c r="BT67" i="10"/>
  <c r="BR68" i="10"/>
  <c r="BT63" i="10"/>
  <c r="BT73" i="10"/>
  <c r="BR71" i="10"/>
  <c r="CP15" i="10"/>
  <c r="CJ15" i="10"/>
  <c r="BT61" i="10"/>
  <c r="BP62" i="10"/>
  <c r="BT70" i="10"/>
  <c r="BP71" i="10"/>
  <c r="BT69" i="10"/>
  <c r="BR67" i="10"/>
  <c r="BT74" i="10"/>
  <c r="BV72" i="10"/>
  <c r="BR61" i="10"/>
  <c r="BX73" i="10"/>
  <c r="BR70" i="10"/>
  <c r="BX71" i="10"/>
  <c r="BR69" i="10"/>
  <c r="BV63" i="10"/>
  <c r="BT68" i="10"/>
  <c r="BX72" i="10"/>
  <c r="BV74" i="10"/>
  <c r="BP75" i="10"/>
  <c r="BV73" i="10"/>
  <c r="BP70" i="10"/>
  <c r="BV71" i="10"/>
  <c r="BP63" i="10"/>
  <c r="BP74" i="10"/>
  <c r="BP67" i="10"/>
  <c r="BX75" i="10"/>
  <c r="BP73" i="10"/>
  <c r="BT71" i="10"/>
  <c r="BX74" i="10"/>
  <c r="BR63" i="10"/>
  <c r="BT72" i="10"/>
  <c r="BX68" i="10"/>
  <c r="CI44" i="10"/>
  <c r="BF16" i="10" s="1"/>
  <c r="BV64" i="10"/>
  <c r="BT64" i="10"/>
  <c r="BR64" i="10"/>
  <c r="BX64" i="10"/>
  <c r="BP66" i="10"/>
  <c r="BT66" i="10"/>
  <c r="BR66" i="10"/>
  <c r="BX66" i="10"/>
  <c r="BV66" i="10"/>
  <c r="BX65" i="10"/>
  <c r="BV65" i="10"/>
  <c r="BT65" i="10"/>
  <c r="BR65" i="10"/>
  <c r="BP65" i="10"/>
  <c r="BP64" i="10"/>
  <c r="BZ76" i="10"/>
  <c r="GB17" i="10"/>
  <c r="P86" i="10" s="1"/>
  <c r="GA17" i="10"/>
  <c r="F86" i="10" s="1"/>
  <c r="CI86" i="10" s="1"/>
  <c r="GP19" i="10"/>
  <c r="L88" i="10" s="1"/>
  <c r="CL88" i="10" s="1"/>
  <c r="BR60" i="10"/>
  <c r="Z90" i="10"/>
  <c r="CA17" i="10" s="1"/>
  <c r="BP60" i="10"/>
  <c r="GL8" i="10"/>
  <c r="T77" i="10" s="1"/>
  <c r="GK8" i="10"/>
  <c r="J77" i="10" s="1"/>
  <c r="CK77" i="10" s="1"/>
  <c r="GQ19" i="10"/>
  <c r="V88" i="10" s="1"/>
  <c r="GG17" i="10"/>
  <c r="R86" i="10" s="1"/>
  <c r="AB86" i="10"/>
  <c r="GQ20" i="10"/>
  <c r="V89" i="10" s="1"/>
  <c r="GP20" i="10"/>
  <c r="L89" i="10" s="1"/>
  <c r="CL89" i="10" s="1"/>
  <c r="GU7" i="10"/>
  <c r="N76" i="10" s="1"/>
  <c r="CM76" i="10" s="1"/>
  <c r="GV7" i="10"/>
  <c r="X76" i="10" s="1"/>
  <c r="GK18" i="10"/>
  <c r="J87" i="10" s="1"/>
  <c r="CK87" i="10" s="1"/>
  <c r="GL18" i="10"/>
  <c r="T87" i="10" s="1"/>
  <c r="GU10" i="10"/>
  <c r="N79" i="10" s="1"/>
  <c r="CM79" i="10" s="1"/>
  <c r="GV10" i="10"/>
  <c r="X79" i="10" s="1"/>
  <c r="GU8" i="10"/>
  <c r="N77" i="10" s="1"/>
  <c r="CM77" i="10" s="1"/>
  <c r="GV8" i="10"/>
  <c r="X77" i="10" s="1"/>
  <c r="GV6" i="10"/>
  <c r="X75" i="10" s="1"/>
  <c r="GU6" i="10"/>
  <c r="N75" i="10" s="1"/>
  <c r="CM75" i="10" s="1"/>
  <c r="GK20" i="10"/>
  <c r="J89" i="10" s="1"/>
  <c r="CK89" i="10" s="1"/>
  <c r="GL20" i="10"/>
  <c r="T89" i="10" s="1"/>
  <c r="GK7" i="10"/>
  <c r="J76" i="10" s="1"/>
  <c r="CK76" i="10" s="1"/>
  <c r="GL7" i="10"/>
  <c r="T76" i="10" s="1"/>
  <c r="GP10" i="10"/>
  <c r="L79" i="10" s="1"/>
  <c r="CL79" i="10" s="1"/>
  <c r="GQ10" i="10"/>
  <c r="V79" i="10" s="1"/>
  <c r="GV14" i="10"/>
  <c r="X83" i="10" s="1"/>
  <c r="GU14" i="10"/>
  <c r="N83" i="10" s="1"/>
  <c r="CM83" i="10" s="1"/>
  <c r="GU12" i="10"/>
  <c r="N81" i="10" s="1"/>
  <c r="CM81" i="10" s="1"/>
  <c r="GV12" i="10"/>
  <c r="X81" i="10" s="1"/>
  <c r="GU15" i="10"/>
  <c r="N84" i="10" s="1"/>
  <c r="CM84" i="10" s="1"/>
  <c r="GV15" i="10"/>
  <c r="X84" i="10" s="1"/>
  <c r="GK10" i="10"/>
  <c r="J79" i="10" s="1"/>
  <c r="CK79" i="10" s="1"/>
  <c r="GL10" i="10"/>
  <c r="T79" i="10" s="1"/>
  <c r="AH74" i="10"/>
  <c r="GV5" i="10"/>
  <c r="X74" i="10" s="1"/>
  <c r="CT74" i="10" s="1"/>
  <c r="CT91" i="10" s="1"/>
  <c r="GU5" i="10"/>
  <c r="N74" i="10" s="1"/>
  <c r="GP12" i="10"/>
  <c r="L81" i="10" s="1"/>
  <c r="CL81" i="10" s="1"/>
  <c r="GQ12" i="10"/>
  <c r="V81" i="10" s="1"/>
  <c r="GQ6" i="10"/>
  <c r="V75" i="10" s="1"/>
  <c r="GP6" i="10"/>
  <c r="L75" i="10" s="1"/>
  <c r="CL75" i="10" s="1"/>
  <c r="GP7" i="10"/>
  <c r="L76" i="10" s="1"/>
  <c r="CL76" i="10" s="1"/>
  <c r="GQ7" i="10"/>
  <c r="V76" i="10" s="1"/>
  <c r="GP15" i="10"/>
  <c r="L84" i="10" s="1"/>
  <c r="CL84" i="10" s="1"/>
  <c r="GQ15" i="10"/>
  <c r="V84" i="10" s="1"/>
  <c r="GQ14" i="10"/>
  <c r="V83" i="10" s="1"/>
  <c r="GP14" i="10"/>
  <c r="L83" i="10" s="1"/>
  <c r="CL83" i="10" s="1"/>
  <c r="GK12" i="10"/>
  <c r="J81" i="10" s="1"/>
  <c r="CK81" i="10" s="1"/>
  <c r="GL12" i="10"/>
  <c r="T81" i="10" s="1"/>
  <c r="GQ13" i="10"/>
  <c r="V82" i="10" s="1"/>
  <c r="GP13" i="10"/>
  <c r="L82" i="10" s="1"/>
  <c r="CL82" i="10" s="1"/>
  <c r="GL6" i="10"/>
  <c r="T75" i="10" s="1"/>
  <c r="GK6" i="10"/>
  <c r="J75" i="10" s="1"/>
  <c r="CK75" i="10" s="1"/>
  <c r="GL11" i="10"/>
  <c r="T80" i="10" s="1"/>
  <c r="GK11" i="10"/>
  <c r="J80" i="10" s="1"/>
  <c r="CK80" i="10" s="1"/>
  <c r="GL15" i="10"/>
  <c r="T84" i="10" s="1"/>
  <c r="GK15" i="10"/>
  <c r="J84" i="10" s="1"/>
  <c r="CK84" i="10" s="1"/>
  <c r="GL14" i="10"/>
  <c r="T83" i="10" s="1"/>
  <c r="GK14" i="10"/>
  <c r="J83" i="10" s="1"/>
  <c r="CK83" i="10" s="1"/>
  <c r="GP9" i="10"/>
  <c r="L78" i="10" s="1"/>
  <c r="CL78" i="10" s="1"/>
  <c r="GQ9" i="10"/>
  <c r="V78" i="10" s="1"/>
  <c r="GL19" i="10"/>
  <c r="T88" i="10" s="1"/>
  <c r="GK19" i="10"/>
  <c r="J88" i="10" s="1"/>
  <c r="CK88" i="10" s="1"/>
  <c r="GP17" i="10"/>
  <c r="L86" i="10" s="1"/>
  <c r="CL86" i="10" s="1"/>
  <c r="GQ17" i="10"/>
  <c r="V86" i="10" s="1"/>
  <c r="GU18" i="10"/>
  <c r="N87" i="10" s="1"/>
  <c r="CM87" i="10" s="1"/>
  <c r="GV18" i="10"/>
  <c r="X87" i="10" s="1"/>
  <c r="GU16" i="10"/>
  <c r="N85" i="10" s="1"/>
  <c r="CM85" i="10" s="1"/>
  <c r="GV16" i="10"/>
  <c r="X85" i="10" s="1"/>
  <c r="GL9" i="10"/>
  <c r="T78" i="10" s="1"/>
  <c r="GK9" i="10"/>
  <c r="J78" i="10" s="1"/>
  <c r="CK78" i="10" s="1"/>
  <c r="GQ8" i="10"/>
  <c r="V77" i="10" s="1"/>
  <c r="GP8" i="10"/>
  <c r="L77" i="10" s="1"/>
  <c r="CL77" i="10" s="1"/>
  <c r="GL13" i="10"/>
  <c r="T82" i="10" s="1"/>
  <c r="GK13" i="10"/>
  <c r="J82" i="10" s="1"/>
  <c r="CK82" i="10" s="1"/>
  <c r="GV17" i="10"/>
  <c r="X86" i="10" s="1"/>
  <c r="GU17" i="10"/>
  <c r="N86" i="10" s="1"/>
  <c r="CM86" i="10" s="1"/>
  <c r="GU11" i="10"/>
  <c r="N80" i="10" s="1"/>
  <c r="CM80" i="10" s="1"/>
  <c r="GV11" i="10"/>
  <c r="X80" i="10" s="1"/>
  <c r="GP18" i="10"/>
  <c r="L87" i="10" s="1"/>
  <c r="CL87" i="10" s="1"/>
  <c r="GQ18" i="10"/>
  <c r="V87" i="10" s="1"/>
  <c r="GP16" i="10"/>
  <c r="L85" i="10" s="1"/>
  <c r="CL85" i="10" s="1"/>
  <c r="GQ16" i="10"/>
  <c r="V85" i="10" s="1"/>
  <c r="AF74" i="10"/>
  <c r="CL44" i="10" s="1"/>
  <c r="BF43" i="10" s="1"/>
  <c r="GP5" i="10"/>
  <c r="L74" i="10" s="1"/>
  <c r="GQ5" i="10"/>
  <c r="V74" i="10" s="1"/>
  <c r="CS74" i="10" s="1"/>
  <c r="CS91" i="10" s="1"/>
  <c r="GU20" i="10"/>
  <c r="N89" i="10" s="1"/>
  <c r="CM89" i="10" s="1"/>
  <c r="GV20" i="10"/>
  <c r="X89" i="10" s="1"/>
  <c r="GP11" i="10"/>
  <c r="L80" i="10" s="1"/>
  <c r="CL80" i="10" s="1"/>
  <c r="GQ11" i="10"/>
  <c r="V80" i="10" s="1"/>
  <c r="GL16" i="10"/>
  <c r="T85" i="10" s="1"/>
  <c r="GK16" i="10"/>
  <c r="J85" i="10" s="1"/>
  <c r="CK85" i="10" s="1"/>
  <c r="AD74" i="10"/>
  <c r="CK44" i="10" s="1"/>
  <c r="BF34" i="10" s="1"/>
  <c r="GK5" i="10"/>
  <c r="J74" i="10" s="1"/>
  <c r="GL5" i="10"/>
  <c r="T74" i="10" s="1"/>
  <c r="CR74" i="10" s="1"/>
  <c r="CR91" i="10" s="1"/>
  <c r="GV9" i="10"/>
  <c r="X78" i="10" s="1"/>
  <c r="GU9" i="10"/>
  <c r="N78" i="10" s="1"/>
  <c r="CM78" i="10" s="1"/>
  <c r="GU19" i="10"/>
  <c r="N88" i="10" s="1"/>
  <c r="CM88" i="10" s="1"/>
  <c r="GV19" i="10"/>
  <c r="X88" i="10" s="1"/>
  <c r="FO17" i="10"/>
  <c r="FP17" i="10" s="1"/>
  <c r="AK86" i="10" s="1"/>
  <c r="GL17" i="10"/>
  <c r="T86" i="10" s="1"/>
  <c r="GK17" i="10"/>
  <c r="J86" i="10" s="1"/>
  <c r="CK86" i="10" s="1"/>
  <c r="GG16" i="10"/>
  <c r="R85" i="10" s="1"/>
  <c r="GF16" i="10"/>
  <c r="H85" i="10" s="1"/>
  <c r="CJ85" i="10" s="1"/>
  <c r="GG5" i="10"/>
  <c r="R74" i="10" s="1"/>
  <c r="CQ74" i="10" s="1"/>
  <c r="CQ91" i="10" s="1"/>
  <c r="GF5" i="10"/>
  <c r="H74" i="10" s="1"/>
  <c r="GG8" i="10"/>
  <c r="R77" i="10" s="1"/>
  <c r="GF8" i="10"/>
  <c r="H77" i="10" s="1"/>
  <c r="CJ77" i="10" s="1"/>
  <c r="GG18" i="10"/>
  <c r="R87" i="10" s="1"/>
  <c r="GF18" i="10"/>
  <c r="H87" i="10" s="1"/>
  <c r="CJ87" i="10" s="1"/>
  <c r="GG20" i="10"/>
  <c r="R89" i="10" s="1"/>
  <c r="GF20" i="10"/>
  <c r="H89" i="10" s="1"/>
  <c r="CJ89" i="10" s="1"/>
  <c r="GG7" i="10"/>
  <c r="R76" i="10" s="1"/>
  <c r="GF7" i="10"/>
  <c r="H76" i="10" s="1"/>
  <c r="CJ76" i="10" s="1"/>
  <c r="GG19" i="10"/>
  <c r="R88" i="10" s="1"/>
  <c r="GF19" i="10"/>
  <c r="H88" i="10" s="1"/>
  <c r="CJ88" i="10" s="1"/>
  <c r="GG10" i="10"/>
  <c r="R79" i="10" s="1"/>
  <c r="GF10" i="10"/>
  <c r="H79" i="10" s="1"/>
  <c r="CJ79" i="10" s="1"/>
  <c r="GF13" i="10"/>
  <c r="H82" i="10" s="1"/>
  <c r="CJ82" i="10" s="1"/>
  <c r="GG13" i="10"/>
  <c r="R82" i="10" s="1"/>
  <c r="GF12" i="10"/>
  <c r="H81" i="10" s="1"/>
  <c r="CJ81" i="10" s="1"/>
  <c r="GG12" i="10"/>
  <c r="R81" i="10" s="1"/>
  <c r="GF6" i="10"/>
  <c r="H75" i="10" s="1"/>
  <c r="CJ75" i="10" s="1"/>
  <c r="GG6" i="10"/>
  <c r="R75" i="10" s="1"/>
  <c r="GF11" i="10"/>
  <c r="H80" i="10" s="1"/>
  <c r="CJ80" i="10" s="1"/>
  <c r="GG11" i="10"/>
  <c r="R80" i="10" s="1"/>
  <c r="GF15" i="10"/>
  <c r="H84" i="10" s="1"/>
  <c r="CJ84" i="10" s="1"/>
  <c r="GG15" i="10"/>
  <c r="R84" i="10" s="1"/>
  <c r="GF14" i="10"/>
  <c r="H83" i="10" s="1"/>
  <c r="CJ83" i="10" s="1"/>
  <c r="GG14" i="10"/>
  <c r="R83" i="10" s="1"/>
  <c r="GG9" i="10"/>
  <c r="R78" i="10" s="1"/>
  <c r="GF9" i="10"/>
  <c r="H78" i="10" s="1"/>
  <c r="CJ78" i="10" s="1"/>
  <c r="FO19" i="10"/>
  <c r="FP19" i="10" s="1"/>
  <c r="AK88" i="10" s="1"/>
  <c r="FO16" i="10"/>
  <c r="FP16" i="10" s="1"/>
  <c r="AK85" i="10" s="1"/>
  <c r="GB11" i="10"/>
  <c r="P80" i="10" s="1"/>
  <c r="GA11" i="10"/>
  <c r="F80" i="10" s="1"/>
  <c r="CI80" i="10" s="1"/>
  <c r="GB9" i="10"/>
  <c r="P78" i="10" s="1"/>
  <c r="GA9" i="10"/>
  <c r="F78" i="10" s="1"/>
  <c r="CI78" i="10" s="1"/>
  <c r="GB7" i="10"/>
  <c r="P76" i="10" s="1"/>
  <c r="GA7" i="10"/>
  <c r="F76" i="10" s="1"/>
  <c r="CI76" i="10" s="1"/>
  <c r="GB16" i="10"/>
  <c r="P85" i="10" s="1"/>
  <c r="GA16" i="10"/>
  <c r="F85" i="10" s="1"/>
  <c r="CI85" i="10" s="1"/>
  <c r="GA13" i="10"/>
  <c r="F82" i="10" s="1"/>
  <c r="CI82" i="10" s="1"/>
  <c r="GB13" i="10"/>
  <c r="P82" i="10" s="1"/>
  <c r="GA20" i="10"/>
  <c r="F89" i="10" s="1"/>
  <c r="CI89" i="10" s="1"/>
  <c r="GB20" i="10"/>
  <c r="P89" i="10" s="1"/>
  <c r="GA15" i="10"/>
  <c r="F84" i="10" s="1"/>
  <c r="CI84" i="10" s="1"/>
  <c r="GB15" i="10"/>
  <c r="P84" i="10" s="1"/>
  <c r="GB8" i="10"/>
  <c r="P77" i="10" s="1"/>
  <c r="GA8" i="10"/>
  <c r="F77" i="10" s="1"/>
  <c r="CI77" i="10" s="1"/>
  <c r="GB19" i="10"/>
  <c r="P88" i="10" s="1"/>
  <c r="GA19" i="10"/>
  <c r="F88" i="10" s="1"/>
  <c r="CI88" i="10" s="1"/>
  <c r="GB18" i="10"/>
  <c r="P87" i="10" s="1"/>
  <c r="GA18" i="10"/>
  <c r="F87" i="10" s="1"/>
  <c r="CI87" i="10" s="1"/>
  <c r="GB10" i="10"/>
  <c r="P79" i="10" s="1"/>
  <c r="GA10" i="10"/>
  <c r="F79" i="10" s="1"/>
  <c r="CI79" i="10" s="1"/>
  <c r="GA12" i="10"/>
  <c r="F81" i="10" s="1"/>
  <c r="CI81" i="10" s="1"/>
  <c r="GB12" i="10"/>
  <c r="P81" i="10" s="1"/>
  <c r="GA5" i="10"/>
  <c r="F74" i="10" s="1"/>
  <c r="GB5" i="10"/>
  <c r="P74" i="10" s="1"/>
  <c r="CP74" i="10" s="1"/>
  <c r="CP91" i="10" s="1"/>
  <c r="FO13" i="10"/>
  <c r="FP13" i="10" s="1"/>
  <c r="AK82" i="10" s="1"/>
  <c r="GA6" i="10"/>
  <c r="F75" i="10" s="1"/>
  <c r="CI75" i="10" s="1"/>
  <c r="GB6" i="10"/>
  <c r="P75" i="10" s="1"/>
  <c r="GA14" i="10"/>
  <c r="F83" i="10" s="1"/>
  <c r="CI83" i="10" s="1"/>
  <c r="GB14" i="10"/>
  <c r="P83" i="10" s="1"/>
  <c r="FO7" i="10"/>
  <c r="FP7" i="10" s="1"/>
  <c r="AK76" i="10" s="1"/>
  <c r="FO12" i="10"/>
  <c r="FP12" i="10" s="1"/>
  <c r="AK81" i="10" s="1"/>
  <c r="FO8" i="10"/>
  <c r="FP8" i="10" s="1"/>
  <c r="AK77" i="10" s="1"/>
  <c r="FO5" i="10"/>
  <c r="FP5" i="10" s="1"/>
  <c r="FO9" i="10"/>
  <c r="FP9" i="10" s="1"/>
  <c r="AK78" i="10" s="1"/>
  <c r="FO6" i="10"/>
  <c r="FP6" i="10" s="1"/>
  <c r="AK75" i="10" s="1"/>
  <c r="FO14" i="10"/>
  <c r="FP14" i="10" s="1"/>
  <c r="AK83" i="10" s="1"/>
  <c r="FO11" i="10"/>
  <c r="FP11" i="10" s="1"/>
  <c r="AK80" i="10" s="1"/>
  <c r="FO10" i="10"/>
  <c r="FP10" i="10" s="1"/>
  <c r="AK79" i="10" s="1"/>
  <c r="FO20" i="10"/>
  <c r="FP20" i="10" s="1"/>
  <c r="AK89" i="10" s="1"/>
  <c r="FO15" i="10"/>
  <c r="FP15" i="10" s="1"/>
  <c r="AK84" i="10" s="1"/>
  <c r="FO18" i="10"/>
  <c r="FP18" i="10" s="1"/>
  <c r="AK87" i="10" s="1"/>
  <c r="EL115" i="10"/>
  <c r="ER114" i="10"/>
  <c r="EV114" i="10" s="1"/>
  <c r="EI114" i="10"/>
  <c r="EN114" i="10" s="1"/>
  <c r="EM11" i="10"/>
  <c r="EU11" i="10"/>
  <c r="EW11" i="10" s="1"/>
  <c r="EQ11" i="10"/>
  <c r="ES11" i="10" s="1"/>
  <c r="EJ11" i="10"/>
  <c r="EO11" i="10" s="1"/>
  <c r="EH12" i="10"/>
  <c r="EC13" i="10"/>
  <c r="ED13" i="10"/>
  <c r="EF13" i="10"/>
  <c r="EE13" i="10"/>
  <c r="EB13" i="10"/>
  <c r="EA14" i="10"/>
  <c r="GM10" i="9"/>
  <c r="GF10" i="9"/>
  <c r="GR10" i="9"/>
  <c r="L66" i="9"/>
  <c r="IE14" i="9"/>
  <c r="IG14" i="9" s="1"/>
  <c r="IG8" i="9"/>
  <c r="IH8" i="9" s="1"/>
  <c r="EU10" i="9"/>
  <c r="IG9" i="9"/>
  <c r="IP9" i="9" s="1"/>
  <c r="KT5" i="9"/>
  <c r="KU5" i="9"/>
  <c r="FK6" i="9"/>
  <c r="FM6" i="9" s="1"/>
  <c r="FN6" i="9" s="1"/>
  <c r="KT13" i="9"/>
  <c r="IG7" i="9"/>
  <c r="IH7" i="9" s="1"/>
  <c r="IF6" i="9"/>
  <c r="IE6" i="9"/>
  <c r="IE16" i="9"/>
  <c r="IF16" i="9"/>
  <c r="IG13" i="9"/>
  <c r="IE15" i="9"/>
  <c r="IF15" i="9"/>
  <c r="FF9" i="9"/>
  <c r="FE9" i="9"/>
  <c r="FG9" i="9" s="1"/>
  <c r="EH11" i="9"/>
  <c r="EF11" i="9"/>
  <c r="EE11" i="9"/>
  <c r="EB11" i="9"/>
  <c r="EC11" i="9"/>
  <c r="GP11" i="9"/>
  <c r="EI11" i="9"/>
  <c r="ED11" i="9"/>
  <c r="EA12" i="9"/>
  <c r="EG11" i="9"/>
  <c r="IE20" i="9"/>
  <c r="IF20" i="9"/>
  <c r="IG17" i="9"/>
  <c r="IP17" i="9" s="1"/>
  <c r="IE11" i="9"/>
  <c r="IF11" i="9"/>
  <c r="IF10" i="9"/>
  <c r="IE10" i="9"/>
  <c r="EZ10" i="9"/>
  <c r="EY10" i="9"/>
  <c r="IG12" i="9"/>
  <c r="EM10" i="9"/>
  <c r="FB10" i="9" s="1"/>
  <c r="FD10" i="9" s="1"/>
  <c r="ES10" i="9"/>
  <c r="EQ10" i="9"/>
  <c r="IG19" i="9"/>
  <c r="FK7" i="9"/>
  <c r="FM7" i="9" s="1"/>
  <c r="IF5" i="9"/>
  <c r="IE5" i="9"/>
  <c r="FM8" i="9"/>
  <c r="FN5" i="9"/>
  <c r="FU5" i="9" s="1"/>
  <c r="CM28" i="9" s="1"/>
  <c r="FZ5" i="9"/>
  <c r="CU28" i="9" s="1"/>
  <c r="EH279" i="9"/>
  <c r="EI279" i="9" s="1"/>
  <c r="EJ280" i="9"/>
  <c r="EH285" i="9"/>
  <c r="BE66" i="3"/>
  <c r="BH114" i="3"/>
  <c r="BL114" i="3" s="1"/>
  <c r="BL111" i="3"/>
  <c r="BL118" i="3"/>
  <c r="H115" i="2"/>
  <c r="EF5" i="2" s="1"/>
  <c r="H116" i="2"/>
  <c r="EF6" i="2" s="1"/>
  <c r="H117" i="2"/>
  <c r="EF7" i="2" s="1"/>
  <c r="H118" i="2"/>
  <c r="EF8" i="2" s="1"/>
  <c r="H119" i="2"/>
  <c r="EF9" i="2" s="1"/>
  <c r="H120" i="2"/>
  <c r="EF10" i="2" s="1"/>
  <c r="H121" i="2"/>
  <c r="EF11" i="2" s="1"/>
  <c r="H122" i="2"/>
  <c r="EF12" i="2" s="1"/>
  <c r="H123" i="2"/>
  <c r="EF13" i="2" s="1"/>
  <c r="H124" i="2"/>
  <c r="EF14" i="2" s="1"/>
  <c r="H125" i="2"/>
  <c r="EF15" i="2" s="1"/>
  <c r="H126" i="2"/>
  <c r="EF16" i="2" s="1"/>
  <c r="H127" i="2"/>
  <c r="EF17" i="2" s="1"/>
  <c r="H128" i="2"/>
  <c r="EF18" i="2" s="1"/>
  <c r="H129" i="2"/>
  <c r="EF19" i="2" s="1"/>
  <c r="BK65" i="2"/>
  <c r="H114" i="2"/>
  <c r="EF4" i="2" s="1"/>
  <c r="H115" i="1"/>
  <c r="DU7" i="1" s="1"/>
  <c r="H116" i="1"/>
  <c r="DU8" i="1" s="1"/>
  <c r="H117" i="1"/>
  <c r="DU9" i="1" s="1"/>
  <c r="H118" i="1"/>
  <c r="DU10" i="1" s="1"/>
  <c r="H119" i="1"/>
  <c r="DU11" i="1" s="1"/>
  <c r="H120" i="1"/>
  <c r="DU12" i="1" s="1"/>
  <c r="H121" i="1"/>
  <c r="DU13" i="1" s="1"/>
  <c r="H122" i="1"/>
  <c r="DU14" i="1" s="1"/>
  <c r="H123" i="1"/>
  <c r="DU15" i="1" s="1"/>
  <c r="H124" i="1"/>
  <c r="DU16" i="1" s="1"/>
  <c r="H125" i="1"/>
  <c r="DU17" i="1" s="1"/>
  <c r="H126" i="1"/>
  <c r="DU18" i="1" s="1"/>
  <c r="H127" i="1"/>
  <c r="DU19" i="1" s="1"/>
  <c r="H128" i="1"/>
  <c r="DU20" i="1" s="1"/>
  <c r="H129" i="1"/>
  <c r="DU21" i="1" s="1"/>
  <c r="H114" i="1"/>
  <c r="BK65" i="1"/>
  <c r="BH111" i="1"/>
  <c r="BL111" i="1" s="1"/>
  <c r="BL110" i="1"/>
  <c r="GK38" i="10" l="1"/>
  <c r="GP27" i="10"/>
  <c r="GQ27" i="10"/>
  <c r="IR18" i="9"/>
  <c r="IN18" i="9"/>
  <c r="IV18" i="9"/>
  <c r="IJ18" i="9"/>
  <c r="Z66" i="9"/>
  <c r="V128" i="9"/>
  <c r="BJ41" i="3"/>
  <c r="BF33" i="3"/>
  <c r="BJ38" i="3"/>
  <c r="BF30" i="3"/>
  <c r="DI23" i="3"/>
  <c r="BN30" i="3" s="1"/>
  <c r="DK6" i="3"/>
  <c r="DK23" i="3" s="1"/>
  <c r="BN31" i="3" s="1"/>
  <c r="DJ23" i="3"/>
  <c r="CQ11" i="2"/>
  <c r="DA11" i="2" s="1"/>
  <c r="CY11" i="2"/>
  <c r="CQ12" i="2"/>
  <c r="DA12" i="2" s="1"/>
  <c r="CY12" i="2"/>
  <c r="CX13" i="2"/>
  <c r="CP13" i="2"/>
  <c r="CK14" i="2"/>
  <c r="CL13" i="2"/>
  <c r="CO13" i="2" s="1"/>
  <c r="CY13" i="2" s="1"/>
  <c r="CN13" i="2"/>
  <c r="CU12" i="1"/>
  <c r="CY12" i="1"/>
  <c r="CR12" i="1"/>
  <c r="CW12" i="1" s="1"/>
  <c r="CP13" i="1"/>
  <c r="CV13" i="1"/>
  <c r="CQ13" i="1"/>
  <c r="CR13" i="1" s="1"/>
  <c r="CW13" i="1" s="1"/>
  <c r="H130" i="1"/>
  <c r="DU6" i="1"/>
  <c r="CM15" i="1"/>
  <c r="CT14" i="1"/>
  <c r="CX14" i="1" s="1"/>
  <c r="CO14" i="1"/>
  <c r="CN14" i="1"/>
  <c r="GK39" i="10"/>
  <c r="GF39" i="10"/>
  <c r="CJ322" i="10"/>
  <c r="GU28" i="10"/>
  <c r="CJ330" i="10"/>
  <c r="GK30" i="10"/>
  <c r="GA38" i="10"/>
  <c r="GB38" i="10"/>
  <c r="GL30" i="10"/>
  <c r="GF28" i="10"/>
  <c r="GK27" i="10"/>
  <c r="GA31" i="10"/>
  <c r="GG28" i="10"/>
  <c r="GF27" i="10"/>
  <c r="GV28" i="10"/>
  <c r="CN326" i="10"/>
  <c r="CN324" i="10"/>
  <c r="GV39" i="10"/>
  <c r="GU39" i="10"/>
  <c r="BD325" i="10"/>
  <c r="GL39" i="10"/>
  <c r="CN332" i="10"/>
  <c r="FO27" i="10"/>
  <c r="FP27" i="10" s="1"/>
  <c r="CK319" i="10" s="1"/>
  <c r="CN328" i="10"/>
  <c r="CN325" i="10"/>
  <c r="BB317" i="10"/>
  <c r="CJ318" i="10"/>
  <c r="CN318" i="10" s="1"/>
  <c r="GB27" i="10"/>
  <c r="CJ319" i="10"/>
  <c r="BF317" i="10"/>
  <c r="CJ320" i="10"/>
  <c r="BX317" i="10"/>
  <c r="CJ329" i="10"/>
  <c r="GA29" i="10"/>
  <c r="CJ321" i="10"/>
  <c r="FO37" i="10"/>
  <c r="FP37" i="10" s="1"/>
  <c r="CK329" i="10" s="1"/>
  <c r="GB31" i="10"/>
  <c r="CJ323" i="10"/>
  <c r="BT317" i="10"/>
  <c r="CJ327" i="10"/>
  <c r="FO38" i="10"/>
  <c r="FP38" i="10" s="1"/>
  <c r="CK330" i="10" s="1"/>
  <c r="GK37" i="10"/>
  <c r="CJ331" i="10"/>
  <c r="GB28" i="10"/>
  <c r="GG39" i="10"/>
  <c r="GG35" i="10"/>
  <c r="BD333" i="10"/>
  <c r="GU27" i="10"/>
  <c r="GB37" i="10"/>
  <c r="GA37" i="10"/>
  <c r="FO29" i="10"/>
  <c r="FP29" i="10" s="1"/>
  <c r="CM344" i="10" s="1"/>
  <c r="FO39" i="10"/>
  <c r="FP39" i="10" s="1"/>
  <c r="GQ37" i="10"/>
  <c r="GQ29" i="10"/>
  <c r="BH329" i="10"/>
  <c r="GB35" i="10"/>
  <c r="GF35" i="10"/>
  <c r="GQ28" i="10"/>
  <c r="BF329" i="10"/>
  <c r="GP28" i="10"/>
  <c r="BH325" i="10"/>
  <c r="GK29" i="10"/>
  <c r="GQ31" i="10"/>
  <c r="BL329" i="10"/>
  <c r="GP31" i="10"/>
  <c r="GK31" i="10"/>
  <c r="GU35" i="10"/>
  <c r="GK35" i="10"/>
  <c r="FO35" i="10"/>
  <c r="FP35" i="10" s="1"/>
  <c r="BH333" i="10"/>
  <c r="GU29" i="10"/>
  <c r="GP38" i="10"/>
  <c r="GQ38" i="10"/>
  <c r="BZ329" i="10"/>
  <c r="BT329" i="10"/>
  <c r="GP35" i="10"/>
  <c r="GQ35" i="10"/>
  <c r="BJ329" i="10"/>
  <c r="GP30" i="10"/>
  <c r="GQ30" i="10"/>
  <c r="FO30" i="10"/>
  <c r="FP30" i="10" s="1"/>
  <c r="FO28" i="10"/>
  <c r="FP28" i="10" s="1"/>
  <c r="GL35" i="10"/>
  <c r="BL321" i="10"/>
  <c r="GF31" i="10"/>
  <c r="GG31" i="10"/>
  <c r="GB29" i="10"/>
  <c r="BH317" i="10"/>
  <c r="GQ39" i="10"/>
  <c r="GP39" i="10"/>
  <c r="CB329" i="10"/>
  <c r="BX333" i="10"/>
  <c r="GV37" i="10"/>
  <c r="GU37" i="10"/>
  <c r="FO31" i="10"/>
  <c r="FP31" i="10" s="1"/>
  <c r="GL37" i="10"/>
  <c r="GP37" i="10"/>
  <c r="GL31" i="10"/>
  <c r="GV35" i="10"/>
  <c r="BH321" i="10"/>
  <c r="GF29" i="10"/>
  <c r="GG29" i="10"/>
  <c r="BB337" i="10"/>
  <c r="CM341" i="10"/>
  <c r="BV337" i="10"/>
  <c r="CM351" i="10"/>
  <c r="BN337" i="10"/>
  <c r="CM347" i="10"/>
  <c r="CD337" i="10"/>
  <c r="CM355" i="10"/>
  <c r="BR337" i="10"/>
  <c r="CM349" i="10"/>
  <c r="BP337" i="10"/>
  <c r="CM348" i="10"/>
  <c r="GA25" i="10"/>
  <c r="AZ317" i="10"/>
  <c r="GB25" i="10"/>
  <c r="GA26" i="10"/>
  <c r="GB26" i="10"/>
  <c r="BF64" i="10"/>
  <c r="CP78" i="10"/>
  <c r="BJ67" i="10"/>
  <c r="CR81" i="10"/>
  <c r="BL75" i="10"/>
  <c r="CS89" i="10"/>
  <c r="R178" i="10"/>
  <c r="BF68" i="10"/>
  <c r="CP82" i="10"/>
  <c r="BH70" i="10"/>
  <c r="CQ84" i="10"/>
  <c r="BH68" i="10"/>
  <c r="CQ82" i="10"/>
  <c r="BN64" i="10"/>
  <c r="CT78" i="10"/>
  <c r="BN75" i="10"/>
  <c r="CT89" i="10"/>
  <c r="BL63" i="10"/>
  <c r="CS77" i="10"/>
  <c r="BJ70" i="10"/>
  <c r="CR84" i="10"/>
  <c r="BL61" i="10"/>
  <c r="CS75" i="10"/>
  <c r="BN70" i="10"/>
  <c r="CT84" i="10"/>
  <c r="BJ62" i="10"/>
  <c r="CR76" i="10"/>
  <c r="BN65" i="10"/>
  <c r="CT79" i="10"/>
  <c r="CJ44" i="10"/>
  <c r="BF25" i="10" s="1"/>
  <c r="CP27" i="10"/>
  <c r="CP31" i="10" s="1"/>
  <c r="BF26" i="10" s="1"/>
  <c r="CJ27" i="10"/>
  <c r="CJ31" i="10" s="1"/>
  <c r="CA27" i="10" s="1"/>
  <c r="R179" i="10"/>
  <c r="BF74" i="10"/>
  <c r="CP88" i="10"/>
  <c r="BF66" i="10"/>
  <c r="CP80" i="10"/>
  <c r="BH75" i="10"/>
  <c r="CQ89" i="10"/>
  <c r="BH71" i="10"/>
  <c r="CQ85" i="10"/>
  <c r="BN66" i="10"/>
  <c r="CT80" i="10"/>
  <c r="BL67" i="10"/>
  <c r="CS81" i="10"/>
  <c r="BH72" i="10"/>
  <c r="CQ86" i="10"/>
  <c r="BJ64" i="10"/>
  <c r="CR78" i="10"/>
  <c r="BJ74" i="10"/>
  <c r="CR88" i="10"/>
  <c r="BJ66" i="10"/>
  <c r="CR80" i="10"/>
  <c r="BL69" i="10"/>
  <c r="CS83" i="10"/>
  <c r="BN67" i="10"/>
  <c r="CT81" i="10"/>
  <c r="BJ75" i="10"/>
  <c r="CR89" i="10"/>
  <c r="BJ73" i="10"/>
  <c r="CR87" i="10"/>
  <c r="BL74" i="10"/>
  <c r="CS88" i="10"/>
  <c r="BF72" i="10"/>
  <c r="CP86" i="10"/>
  <c r="BF69" i="10"/>
  <c r="CP83" i="10"/>
  <c r="BH65" i="10"/>
  <c r="CQ79" i="10"/>
  <c r="BH73" i="10"/>
  <c r="CQ87" i="10"/>
  <c r="BJ72" i="10"/>
  <c r="CR86" i="10"/>
  <c r="BN71" i="10"/>
  <c r="CT85" i="10"/>
  <c r="BL64" i="10"/>
  <c r="CS78" i="10"/>
  <c r="BL70" i="10"/>
  <c r="CS84" i="10"/>
  <c r="BN68" i="10"/>
  <c r="CT82" i="10"/>
  <c r="BL72" i="10"/>
  <c r="CS86" i="10"/>
  <c r="BF67" i="10"/>
  <c r="CP81" i="10"/>
  <c r="BF71" i="10"/>
  <c r="CP85" i="10"/>
  <c r="BF70" i="10"/>
  <c r="CP84" i="10"/>
  <c r="BH61" i="10"/>
  <c r="CQ75" i="10"/>
  <c r="BN72" i="10"/>
  <c r="CT86" i="10"/>
  <c r="BJ61" i="10"/>
  <c r="CR75" i="10"/>
  <c r="BN62" i="10"/>
  <c r="CT76" i="10"/>
  <c r="BJ63" i="10"/>
  <c r="CR77" i="10"/>
  <c r="BF61" i="10"/>
  <c r="CP75" i="10"/>
  <c r="BF65" i="10"/>
  <c r="CP79" i="10"/>
  <c r="BF62" i="10"/>
  <c r="CP76" i="10"/>
  <c r="BH64" i="10"/>
  <c r="CQ78" i="10"/>
  <c r="BH74" i="10"/>
  <c r="CQ88" i="10"/>
  <c r="BH63" i="10"/>
  <c r="CQ77" i="10"/>
  <c r="BN74" i="10"/>
  <c r="CT88" i="10"/>
  <c r="BJ71" i="10"/>
  <c r="CR85" i="10"/>
  <c r="BL71" i="10"/>
  <c r="CS85" i="10"/>
  <c r="BN73" i="10"/>
  <c r="CT87" i="10"/>
  <c r="BL62" i="10"/>
  <c r="CS76" i="10"/>
  <c r="BN69" i="10"/>
  <c r="CT83" i="10"/>
  <c r="BN61" i="10"/>
  <c r="CT75" i="10"/>
  <c r="CI40" i="10"/>
  <c r="BF15" i="10" s="1"/>
  <c r="BF73" i="10"/>
  <c r="CP87" i="10"/>
  <c r="BH62" i="10"/>
  <c r="CQ76" i="10"/>
  <c r="BL73" i="10"/>
  <c r="CS87" i="10"/>
  <c r="BH66" i="10"/>
  <c r="CQ80" i="10"/>
  <c r="BF63" i="10"/>
  <c r="CP77" i="10"/>
  <c r="CI92" i="10"/>
  <c r="BF75" i="10"/>
  <c r="CP89" i="10"/>
  <c r="BH69" i="10"/>
  <c r="CQ83" i="10"/>
  <c r="BH67" i="10"/>
  <c r="CQ81" i="10"/>
  <c r="BL66" i="10"/>
  <c r="CS80" i="10"/>
  <c r="BJ68" i="10"/>
  <c r="CR82" i="10"/>
  <c r="BJ69" i="10"/>
  <c r="CR83" i="10"/>
  <c r="BL68" i="10"/>
  <c r="CS82" i="10"/>
  <c r="BJ65" i="10"/>
  <c r="CR79" i="10"/>
  <c r="BL65" i="10"/>
  <c r="CS79" i="10"/>
  <c r="BN63" i="10"/>
  <c r="CT77" i="10"/>
  <c r="CK92" i="10"/>
  <c r="BV112" i="10"/>
  <c r="CM74" i="10"/>
  <c r="CM91" i="10" s="1"/>
  <c r="CJ92" i="10"/>
  <c r="BG112" i="10"/>
  <c r="CJ74" i="10"/>
  <c r="CJ91" i="10" s="1"/>
  <c r="BQ112" i="10"/>
  <c r="CL74" i="10"/>
  <c r="CL91" i="10" s="1"/>
  <c r="CL92" i="10"/>
  <c r="BB112" i="10"/>
  <c r="CI74" i="10"/>
  <c r="CI91" i="10" s="1"/>
  <c r="BL112" i="10"/>
  <c r="CK74" i="10"/>
  <c r="CK91" i="10" s="1"/>
  <c r="BD68" i="10"/>
  <c r="CM82" i="10"/>
  <c r="CM92" i="10" s="1"/>
  <c r="BV120" i="10"/>
  <c r="AV69" i="10"/>
  <c r="BB121" i="10"/>
  <c r="AV65" i="10"/>
  <c r="BB117" i="10"/>
  <c r="AV62" i="10"/>
  <c r="BB114" i="10"/>
  <c r="AX64" i="10"/>
  <c r="BG116" i="10"/>
  <c r="AX74" i="10"/>
  <c r="BG126" i="10"/>
  <c r="AX63" i="10"/>
  <c r="BG115" i="10"/>
  <c r="AZ71" i="10"/>
  <c r="BL123" i="10"/>
  <c r="BD71" i="10"/>
  <c r="BV123" i="10"/>
  <c r="BB64" i="10"/>
  <c r="BQ116" i="10"/>
  <c r="BB70" i="10"/>
  <c r="BQ122" i="10"/>
  <c r="BD69" i="10"/>
  <c r="BV121" i="10"/>
  <c r="BD61" i="10"/>
  <c r="BV113" i="10"/>
  <c r="AV70" i="10"/>
  <c r="BB122" i="10"/>
  <c r="AX61" i="10"/>
  <c r="BG113" i="10"/>
  <c r="AZ68" i="10"/>
  <c r="BL120" i="10"/>
  <c r="AZ69" i="10"/>
  <c r="BL121" i="10"/>
  <c r="BB68" i="10"/>
  <c r="BQ120" i="10"/>
  <c r="BD62" i="10"/>
  <c r="BV114" i="10"/>
  <c r="AV61" i="10"/>
  <c r="BB113" i="10"/>
  <c r="AV73" i="10"/>
  <c r="BB125" i="10"/>
  <c r="AV64" i="10"/>
  <c r="BB116" i="10"/>
  <c r="AX62" i="10"/>
  <c r="BG114" i="10"/>
  <c r="BD74" i="10"/>
  <c r="BV126" i="10"/>
  <c r="BB71" i="10"/>
  <c r="BQ123" i="10"/>
  <c r="BD73" i="10"/>
  <c r="BV125" i="10"/>
  <c r="BB62" i="10"/>
  <c r="BQ114" i="10"/>
  <c r="BB75" i="10"/>
  <c r="BQ127" i="10"/>
  <c r="AV75" i="10"/>
  <c r="BB127" i="10"/>
  <c r="AX69" i="10"/>
  <c r="BG121" i="10"/>
  <c r="AX67" i="10"/>
  <c r="BG119" i="10"/>
  <c r="BD64" i="10"/>
  <c r="BV116" i="10"/>
  <c r="BB66" i="10"/>
  <c r="BQ118" i="10"/>
  <c r="BB63" i="10"/>
  <c r="BQ115" i="10"/>
  <c r="AZ70" i="10"/>
  <c r="BL122" i="10"/>
  <c r="BB61" i="10"/>
  <c r="BQ113" i="10"/>
  <c r="AZ65" i="10"/>
  <c r="BL117" i="10"/>
  <c r="BB65" i="10"/>
  <c r="BQ117" i="10"/>
  <c r="BD63" i="10"/>
  <c r="BV115" i="10"/>
  <c r="AV74" i="10"/>
  <c r="BB126" i="10"/>
  <c r="AV66" i="10"/>
  <c r="BB118" i="10"/>
  <c r="AX75" i="10"/>
  <c r="BG127" i="10"/>
  <c r="AX71" i="10"/>
  <c r="BG123" i="10"/>
  <c r="BB73" i="10"/>
  <c r="BQ125" i="10"/>
  <c r="BB72" i="10"/>
  <c r="BQ124" i="10"/>
  <c r="AZ67" i="10"/>
  <c r="BL119" i="10"/>
  <c r="BB74" i="10"/>
  <c r="BQ126" i="10"/>
  <c r="AV68" i="10"/>
  <c r="BB120" i="10"/>
  <c r="AX70" i="10"/>
  <c r="BG122" i="10"/>
  <c r="AX68" i="10"/>
  <c r="BG120" i="10"/>
  <c r="BD75" i="10"/>
  <c r="BV127" i="10"/>
  <c r="AZ64" i="10"/>
  <c r="BL116" i="10"/>
  <c r="AZ74" i="10"/>
  <c r="BL126" i="10"/>
  <c r="AZ66" i="10"/>
  <c r="BL118" i="10"/>
  <c r="BB69" i="10"/>
  <c r="BQ121" i="10"/>
  <c r="BD70" i="10"/>
  <c r="BV122" i="10"/>
  <c r="AZ62" i="10"/>
  <c r="BL114" i="10"/>
  <c r="BD65" i="10"/>
  <c r="BV117" i="10"/>
  <c r="AV72" i="10"/>
  <c r="BB124" i="10"/>
  <c r="AV63" i="10"/>
  <c r="BB115" i="10"/>
  <c r="AV71" i="10"/>
  <c r="BB123" i="10"/>
  <c r="AX65" i="10"/>
  <c r="BG117" i="10"/>
  <c r="AX73" i="10"/>
  <c r="BG125" i="10"/>
  <c r="AZ72" i="10"/>
  <c r="BL124" i="10"/>
  <c r="BD66" i="10"/>
  <c r="BV118" i="10"/>
  <c r="BB67" i="10"/>
  <c r="BQ119" i="10"/>
  <c r="AV67" i="10"/>
  <c r="BB119" i="10"/>
  <c r="AX66" i="10"/>
  <c r="BG118" i="10"/>
  <c r="BD72" i="10"/>
  <c r="BV124" i="10"/>
  <c r="AZ61" i="10"/>
  <c r="BL113" i="10"/>
  <c r="BD67" i="10"/>
  <c r="BV119" i="10"/>
  <c r="AZ75" i="10"/>
  <c r="BL127" i="10"/>
  <c r="AZ73" i="10"/>
  <c r="BL125" i="10"/>
  <c r="AZ63" i="10"/>
  <c r="BL115" i="10"/>
  <c r="CI31" i="10"/>
  <c r="CA18" i="10" s="1"/>
  <c r="AZ17" i="10" s="1"/>
  <c r="CM15" i="10"/>
  <c r="CM31" i="10" s="1"/>
  <c r="AK63" i="10" s="1"/>
  <c r="J62" i="10" s="1"/>
  <c r="CS15" i="10"/>
  <c r="CS31" i="10" s="1"/>
  <c r="BP76" i="10"/>
  <c r="CA15" i="10" s="1"/>
  <c r="BR72" i="10"/>
  <c r="CA25" i="10" s="1"/>
  <c r="CM44" i="10"/>
  <c r="P61" i="10" s="1"/>
  <c r="CO31" i="10"/>
  <c r="BF17" i="10" s="1"/>
  <c r="CL15" i="10"/>
  <c r="CL31" i="10" s="1"/>
  <c r="CA45" i="10" s="1"/>
  <c r="CR15" i="10"/>
  <c r="CR31" i="10" s="1"/>
  <c r="BF44" i="10" s="1"/>
  <c r="CQ15" i="10"/>
  <c r="CQ31" i="10" s="1"/>
  <c r="BF35" i="10" s="1"/>
  <c r="CK15" i="10"/>
  <c r="CK31" i="10" s="1"/>
  <c r="CA36" i="10" s="1"/>
  <c r="CA16" i="10"/>
  <c r="CI36" i="10"/>
  <c r="BF14" i="10" s="1"/>
  <c r="AK90" i="10"/>
  <c r="BX60" i="10"/>
  <c r="BX76" i="10" s="1"/>
  <c r="AK60" i="10" s="1"/>
  <c r="AH90" i="10"/>
  <c r="AK62" i="10" s="1"/>
  <c r="J61" i="10" s="1"/>
  <c r="H90" i="10"/>
  <c r="AX60" i="10"/>
  <c r="BH60" i="10"/>
  <c r="R90" i="10"/>
  <c r="BG135" i="10" s="1"/>
  <c r="BG134" i="10" s="1"/>
  <c r="BF60" i="10"/>
  <c r="P90" i="10"/>
  <c r="BB135" i="10" s="1"/>
  <c r="BB134" i="10" s="1"/>
  <c r="F90" i="10"/>
  <c r="AV60" i="10"/>
  <c r="T90" i="10"/>
  <c r="BL135" i="10" s="1"/>
  <c r="BL134" i="10" s="1"/>
  <c r="BJ60" i="10"/>
  <c r="AZ60" i="10"/>
  <c r="J90" i="10"/>
  <c r="V90" i="10"/>
  <c r="BQ135" i="10" s="1"/>
  <c r="BQ134" i="10" s="1"/>
  <c r="BL60" i="10"/>
  <c r="BT60" i="10"/>
  <c r="BT76" i="10" s="1"/>
  <c r="CA33" i="10" s="1"/>
  <c r="AD90" i="10"/>
  <c r="CA35" i="10" s="1"/>
  <c r="BB60" i="10"/>
  <c r="L90" i="10"/>
  <c r="BD60" i="10"/>
  <c r="N90" i="10"/>
  <c r="AB90" i="10"/>
  <c r="CA26" i="10" s="1"/>
  <c r="BV60" i="10"/>
  <c r="BV76" i="10" s="1"/>
  <c r="CA42" i="10" s="1"/>
  <c r="AF90" i="10"/>
  <c r="CA44" i="10" s="1"/>
  <c r="BN60" i="10"/>
  <c r="X90" i="10"/>
  <c r="BV135" i="10" s="1"/>
  <c r="EL116" i="10"/>
  <c r="ER115" i="10"/>
  <c r="EV115" i="10" s="1"/>
  <c r="EI115" i="10"/>
  <c r="EN115" i="10" s="1"/>
  <c r="EU12" i="10"/>
  <c r="EW12" i="10" s="1"/>
  <c r="EQ12" i="10"/>
  <c r="ES12" i="10" s="1"/>
  <c r="EH13" i="10"/>
  <c r="EM12" i="10"/>
  <c r="EJ12" i="10"/>
  <c r="EO12" i="10" s="1"/>
  <c r="ED14" i="10"/>
  <c r="EC14" i="10"/>
  <c r="EF14" i="10"/>
  <c r="EE14" i="10"/>
  <c r="EB14" i="10"/>
  <c r="EA15" i="10"/>
  <c r="GM11" i="9"/>
  <c r="GR11" i="9" s="1"/>
  <c r="GF11" i="9"/>
  <c r="J66" i="9"/>
  <c r="IT8" i="9"/>
  <c r="CV28" i="9"/>
  <c r="CA39" i="9"/>
  <c r="CA40" i="9" s="1"/>
  <c r="IP8" i="9"/>
  <c r="IP14" i="9"/>
  <c r="IT14" i="9"/>
  <c r="IH14" i="9"/>
  <c r="IW14" i="9" s="1"/>
  <c r="IH9" i="9"/>
  <c r="IW9" i="9" s="1"/>
  <c r="IT9" i="9"/>
  <c r="IG20" i="9"/>
  <c r="IP20" i="9" s="1"/>
  <c r="IG11" i="9"/>
  <c r="IT11" i="9" s="1"/>
  <c r="IG16" i="9"/>
  <c r="IH16" i="9" s="1"/>
  <c r="IH17" i="9"/>
  <c r="IW17" i="9" s="1"/>
  <c r="IT17" i="9"/>
  <c r="IW7" i="9"/>
  <c r="IS7" i="9"/>
  <c r="IO7" i="9"/>
  <c r="II7" i="9"/>
  <c r="IV7" i="9" s="1"/>
  <c r="KV5" i="9"/>
  <c r="IG15" i="9"/>
  <c r="IP15" i="9" s="1"/>
  <c r="IG10" i="9"/>
  <c r="IP7" i="9"/>
  <c r="IT7" i="9"/>
  <c r="IG6" i="9"/>
  <c r="EQ11" i="9"/>
  <c r="ES11" i="9"/>
  <c r="EO11" i="9"/>
  <c r="FC11" i="9" s="1"/>
  <c r="EM11" i="9"/>
  <c r="FB11" i="9" s="1"/>
  <c r="FD11" i="9" s="1"/>
  <c r="IP13" i="9"/>
  <c r="IT13" i="9"/>
  <c r="IH13" i="9"/>
  <c r="EY11" i="9"/>
  <c r="EZ11" i="9"/>
  <c r="FF10" i="9"/>
  <c r="FE10" i="9"/>
  <c r="FG10" i="9" s="1"/>
  <c r="EB12" i="9"/>
  <c r="EA13" i="9"/>
  <c r="ED12" i="9"/>
  <c r="EF12" i="9"/>
  <c r="EE12" i="9"/>
  <c r="EH12" i="9"/>
  <c r="GP12" i="9"/>
  <c r="EC12" i="9"/>
  <c r="EG12" i="9"/>
  <c r="EI12" i="9"/>
  <c r="IP12" i="9"/>
  <c r="IT12" i="9"/>
  <c r="IH12" i="9"/>
  <c r="EU11" i="9"/>
  <c r="EW11" i="9"/>
  <c r="FH9" i="9"/>
  <c r="FJ9" i="9" s="1"/>
  <c r="FI9" i="9"/>
  <c r="IO8" i="9"/>
  <c r="IW8" i="9"/>
  <c r="IS8" i="9"/>
  <c r="II8" i="9"/>
  <c r="IP19" i="9"/>
  <c r="IT19" i="9"/>
  <c r="IH19" i="9"/>
  <c r="IG5" i="9"/>
  <c r="FV6" i="9"/>
  <c r="FZ6" i="9"/>
  <c r="FV7" i="9"/>
  <c r="FZ7" i="9"/>
  <c r="FN7" i="9"/>
  <c r="FO6" i="9"/>
  <c r="FU6" i="9"/>
  <c r="GC6" i="9"/>
  <c r="CY28" i="9" s="1"/>
  <c r="FY6" i="9"/>
  <c r="FV8" i="9"/>
  <c r="FZ8" i="9"/>
  <c r="FN8" i="9"/>
  <c r="FO5" i="9"/>
  <c r="FT5" i="9" s="1"/>
  <c r="CL28" i="9" s="1"/>
  <c r="GC5" i="9"/>
  <c r="FY5" i="9"/>
  <c r="CS28" i="9" s="1"/>
  <c r="BH119" i="3"/>
  <c r="BL117" i="3"/>
  <c r="BE67" i="3"/>
  <c r="C142" i="3"/>
  <c r="BL115" i="2"/>
  <c r="BH117" i="2"/>
  <c r="BH112" i="2"/>
  <c r="BL112" i="2" s="1"/>
  <c r="BL110" i="2"/>
  <c r="BM115" i="1"/>
  <c r="BH116" i="1"/>
  <c r="CQ325" i="10" l="1"/>
  <c r="CO325" i="10"/>
  <c r="CQ324" i="10"/>
  <c r="CO324" i="10"/>
  <c r="CQ328" i="10"/>
  <c r="CO328" i="10"/>
  <c r="CQ326" i="10"/>
  <c r="CO326" i="10"/>
  <c r="CQ318" i="10"/>
  <c r="CO318" i="10"/>
  <c r="CQ332" i="10"/>
  <c r="CO332" i="10"/>
  <c r="IU18" i="9"/>
  <c r="IQ18" i="9"/>
  <c r="IM18" i="9"/>
  <c r="IK18" i="9"/>
  <c r="IX18" i="9" s="1"/>
  <c r="IY18" i="9" s="1"/>
  <c r="JE18" i="9" s="1"/>
  <c r="IL18" i="9"/>
  <c r="V66" i="9"/>
  <c r="Q128" i="9"/>
  <c r="AH66" i="9"/>
  <c r="BF31" i="3"/>
  <c r="BJ39" i="3"/>
  <c r="CZ13" i="2"/>
  <c r="CQ13" i="2"/>
  <c r="DA13" i="2" s="1"/>
  <c r="CX14" i="2"/>
  <c r="CP14" i="2"/>
  <c r="CZ14" i="2" s="1"/>
  <c r="CN14" i="2"/>
  <c r="CL14" i="2"/>
  <c r="CK15" i="2"/>
  <c r="CU13" i="1"/>
  <c r="CY13" i="1"/>
  <c r="CV14" i="1"/>
  <c r="CQ14" i="1"/>
  <c r="CP14" i="1"/>
  <c r="CM16" i="1"/>
  <c r="CT15" i="1"/>
  <c r="CX15" i="1" s="1"/>
  <c r="CO15" i="1"/>
  <c r="CN15" i="1"/>
  <c r="CN330" i="10"/>
  <c r="CM342" i="10"/>
  <c r="CM352" i="10"/>
  <c r="BX337" i="10"/>
  <c r="CN329" i="10"/>
  <c r="BD337" i="10"/>
  <c r="CM353" i="10"/>
  <c r="BZ337" i="10"/>
  <c r="CN319" i="10"/>
  <c r="CM345" i="10"/>
  <c r="CK322" i="10"/>
  <c r="CN322" i="10" s="1"/>
  <c r="CM346" i="10"/>
  <c r="CK323" i="10"/>
  <c r="CN323" i="10" s="1"/>
  <c r="CM350" i="10"/>
  <c r="CK327" i="10"/>
  <c r="CN327" i="10" s="1"/>
  <c r="CB337" i="10"/>
  <c r="CK331" i="10"/>
  <c r="CN331" i="10" s="1"/>
  <c r="BH337" i="10"/>
  <c r="CK321" i="10"/>
  <c r="CN321" i="10" s="1"/>
  <c r="BF337" i="10"/>
  <c r="CK320" i="10"/>
  <c r="CN320" i="10" s="1"/>
  <c r="CM354" i="10"/>
  <c r="BL337" i="10"/>
  <c r="BT337" i="10"/>
  <c r="CM343" i="10"/>
  <c r="BJ337" i="10"/>
  <c r="CR92" i="10"/>
  <c r="BL76" i="10"/>
  <c r="CS92" i="10"/>
  <c r="CT92" i="10"/>
  <c r="CP92" i="10"/>
  <c r="BH76" i="10"/>
  <c r="BJ76" i="10"/>
  <c r="CQ92" i="10"/>
  <c r="BF76" i="10"/>
  <c r="R184" i="10"/>
  <c r="CA135" i="10"/>
  <c r="BV134" i="10"/>
  <c r="CA134" i="10" s="1"/>
  <c r="BD76" i="10"/>
  <c r="AZ76" i="10"/>
  <c r="BV128" i="10"/>
  <c r="AX76" i="10"/>
  <c r="AV76" i="10"/>
  <c r="BB76" i="10"/>
  <c r="BB128" i="10"/>
  <c r="BG128" i="10"/>
  <c r="BL128" i="10"/>
  <c r="BQ128" i="10"/>
  <c r="CJ40" i="10" a="1"/>
  <c r="CJ40" i="10" s="1"/>
  <c r="BF24" i="10" s="1"/>
  <c r="BR76" i="10"/>
  <c r="CA24" i="10" s="1"/>
  <c r="CJ36" i="10"/>
  <c r="BF23" i="10" s="1"/>
  <c r="P62" i="10"/>
  <c r="AK61" i="10"/>
  <c r="J60" i="10" s="1"/>
  <c r="CA34" i="10"/>
  <c r="CK40" i="10" a="1"/>
  <c r="CK40" i="10" s="1"/>
  <c r="BF33" i="10" s="1"/>
  <c r="CK36" i="10"/>
  <c r="BF32" i="10" s="1"/>
  <c r="CM36" i="10"/>
  <c r="P59" i="10" s="1"/>
  <c r="CL36" i="10"/>
  <c r="BF41" i="10" s="1"/>
  <c r="CM40" i="10" a="1"/>
  <c r="CM40" i="10" s="1"/>
  <c r="P60" i="10" s="1"/>
  <c r="CA43" i="10"/>
  <c r="CL40" i="10" a="1"/>
  <c r="CL40" i="10" s="1"/>
  <c r="BF42" i="10" s="1"/>
  <c r="J59" i="10"/>
  <c r="BN76" i="10"/>
  <c r="EL117" i="10"/>
  <c r="ER116" i="10"/>
  <c r="EV116" i="10" s="1"/>
  <c r="EI116" i="10"/>
  <c r="EN116" i="10" s="1"/>
  <c r="EM13" i="10"/>
  <c r="EU13" i="10"/>
  <c r="EW13" i="10" s="1"/>
  <c r="EQ13" i="10"/>
  <c r="ES13" i="10" s="1"/>
  <c r="EJ13" i="10"/>
  <c r="EO13" i="10" s="1"/>
  <c r="EH14" i="10"/>
  <c r="EC15" i="10"/>
  <c r="ED15" i="10"/>
  <c r="EF15" i="10"/>
  <c r="EE15" i="10"/>
  <c r="EB15" i="10"/>
  <c r="EA16" i="10"/>
  <c r="GM12" i="9"/>
  <c r="GR12" i="9" s="1"/>
  <c r="GF12" i="9"/>
  <c r="H130" i="2"/>
  <c r="H66" i="9"/>
  <c r="CT28" i="9"/>
  <c r="CA30" i="9"/>
  <c r="CA31" i="9" s="1"/>
  <c r="IO17" i="9"/>
  <c r="IS9" i="9"/>
  <c r="II9" i="9"/>
  <c r="IR9" i="9" s="1"/>
  <c r="IS14" i="9"/>
  <c r="II14" i="9"/>
  <c r="IN14" i="9" s="1"/>
  <c r="IO14" i="9"/>
  <c r="IH20" i="9"/>
  <c r="IO20" i="9" s="1"/>
  <c r="IP16" i="9"/>
  <c r="IT20" i="9"/>
  <c r="IT16" i="9"/>
  <c r="IO9" i="9"/>
  <c r="II17" i="9"/>
  <c r="IV17" i="9" s="1"/>
  <c r="IS17" i="9"/>
  <c r="IP11" i="9"/>
  <c r="IH11" i="9"/>
  <c r="IN7" i="9"/>
  <c r="IJ7" i="9"/>
  <c r="IL7" i="9" s="1"/>
  <c r="IR7" i="9"/>
  <c r="IH15" i="9"/>
  <c r="IW15" i="9" s="1"/>
  <c r="LI5" i="9"/>
  <c r="KW5" i="9"/>
  <c r="LE5" i="9"/>
  <c r="IT15" i="9"/>
  <c r="IH6" i="9"/>
  <c r="IT6" i="9"/>
  <c r="IP6" i="9"/>
  <c r="IP10" i="9"/>
  <c r="IT10" i="9"/>
  <c r="IH10" i="9"/>
  <c r="FL9" i="9"/>
  <c r="FK9" i="9"/>
  <c r="IS13" i="9"/>
  <c r="IO13" i="9"/>
  <c r="IW13" i="9"/>
  <c r="II13" i="9"/>
  <c r="IW12" i="9"/>
  <c r="IS12" i="9"/>
  <c r="IO12" i="9"/>
  <c r="II12" i="9"/>
  <c r="EZ12" i="9"/>
  <c r="EY12" i="9"/>
  <c r="EW12" i="9"/>
  <c r="EU12" i="9"/>
  <c r="FE11" i="9"/>
  <c r="FG11" i="9" s="1"/>
  <c r="FF11" i="9"/>
  <c r="FH10" i="9"/>
  <c r="FJ10" i="9" s="1"/>
  <c r="FI10" i="9"/>
  <c r="EB13" i="9"/>
  <c r="EA14" i="9"/>
  <c r="ED13" i="9"/>
  <c r="EH13" i="9"/>
  <c r="EE13" i="9"/>
  <c r="GP13" i="9"/>
  <c r="EC13" i="9"/>
  <c r="EF13" i="9"/>
  <c r="EI13" i="9"/>
  <c r="EG13" i="9"/>
  <c r="IO16" i="9"/>
  <c r="IW16" i="9"/>
  <c r="IS16" i="9"/>
  <c r="II16" i="9"/>
  <c r="ES12" i="9"/>
  <c r="EQ12" i="9"/>
  <c r="EO12" i="9"/>
  <c r="FC12" i="9" s="1"/>
  <c r="EM12" i="9"/>
  <c r="FB12" i="9" s="1"/>
  <c r="FD12" i="9" s="1"/>
  <c r="IO19" i="9"/>
  <c r="IW19" i="9"/>
  <c r="IS19" i="9"/>
  <c r="II19" i="9"/>
  <c r="IN8" i="9"/>
  <c r="IV8" i="9"/>
  <c r="IR8" i="9"/>
  <c r="IJ8" i="9"/>
  <c r="IP5" i="9"/>
  <c r="IT5" i="9"/>
  <c r="IH5" i="9"/>
  <c r="FY7" i="9"/>
  <c r="FU7" i="9"/>
  <c r="FO7" i="9"/>
  <c r="GC7" i="9"/>
  <c r="FO8" i="9"/>
  <c r="FY8" i="9"/>
  <c r="FU8" i="9"/>
  <c r="GC8" i="9"/>
  <c r="FX6" i="9"/>
  <c r="FT6" i="9"/>
  <c r="GB6" i="9"/>
  <c r="FP6" i="9"/>
  <c r="GB5" i="9"/>
  <c r="CX28" i="9" s="1"/>
  <c r="FX5" i="9"/>
  <c r="CQ28" i="9" s="1"/>
  <c r="FP5" i="9"/>
  <c r="FQ5" i="9" s="1"/>
  <c r="CK28" i="9" s="1"/>
  <c r="BH121" i="3"/>
  <c r="BL121" i="3" s="1"/>
  <c r="BL119" i="3"/>
  <c r="S77" i="3"/>
  <c r="BL117" i="2"/>
  <c r="BH119" i="2"/>
  <c r="BL119" i="2" s="1"/>
  <c r="BM116" i="1"/>
  <c r="BH118" i="1"/>
  <c r="BM118" i="1" s="1"/>
  <c r="CQ330" i="10" l="1"/>
  <c r="CO330" i="10"/>
  <c r="CQ331" i="10"/>
  <c r="CO331" i="10"/>
  <c r="CQ319" i="10"/>
  <c r="CO319" i="10"/>
  <c r="CQ327" i="10"/>
  <c r="CO327" i="10"/>
  <c r="CO333" i="10" s="1"/>
  <c r="AW411" i="10" s="1"/>
  <c r="CQ320" i="10"/>
  <c r="CO320" i="10"/>
  <c r="CQ323" i="10"/>
  <c r="CO323" i="10"/>
  <c r="CQ329" i="10"/>
  <c r="CO329" i="10"/>
  <c r="CQ321" i="10"/>
  <c r="CO321" i="10"/>
  <c r="CQ322" i="10"/>
  <c r="CO322" i="10"/>
  <c r="L128" i="9"/>
  <c r="R66" i="9"/>
  <c r="AF66" i="9"/>
  <c r="CO14" i="2"/>
  <c r="CX15" i="2"/>
  <c r="CP15" i="2"/>
  <c r="CN15" i="2"/>
  <c r="CK16" i="2"/>
  <c r="CL15" i="2"/>
  <c r="CO15" i="2" s="1"/>
  <c r="CY15" i="2" s="1"/>
  <c r="CU14" i="1"/>
  <c r="CY14" i="1"/>
  <c r="CR14" i="1"/>
  <c r="CW14" i="1" s="1"/>
  <c r="CV15" i="1"/>
  <c r="CQ15" i="1"/>
  <c r="CP15" i="1"/>
  <c r="CM17" i="1"/>
  <c r="CT16" i="1"/>
  <c r="CX16" i="1" s="1"/>
  <c r="CO16" i="1"/>
  <c r="CN16" i="1"/>
  <c r="R183" i="10"/>
  <c r="EL118" i="10"/>
  <c r="ER117" i="10"/>
  <c r="EV117" i="10" s="1"/>
  <c r="EI117" i="10"/>
  <c r="EN117" i="10" s="1"/>
  <c r="EQ14" i="10"/>
  <c r="ES14" i="10" s="1"/>
  <c r="EU14" i="10"/>
  <c r="EW14" i="10" s="1"/>
  <c r="EH15" i="10"/>
  <c r="EM14" i="10"/>
  <c r="EJ14" i="10"/>
  <c r="EO14" i="10" s="1"/>
  <c r="EC16" i="10"/>
  <c r="ED16" i="10"/>
  <c r="EF16" i="10"/>
  <c r="EE16" i="10"/>
  <c r="EB16" i="10"/>
  <c r="CA40" i="10"/>
  <c r="EA17" i="10"/>
  <c r="GM13" i="9"/>
  <c r="GR13" i="9" s="1"/>
  <c r="GF13" i="9"/>
  <c r="F66" i="9"/>
  <c r="BH130" i="9" s="1"/>
  <c r="BL130" i="9" s="1"/>
  <c r="IJ9" i="9"/>
  <c r="IU9" i="9" s="1"/>
  <c r="IV9" i="9"/>
  <c r="IN9" i="9"/>
  <c r="IV14" i="9"/>
  <c r="CA21" i="9"/>
  <c r="CA22" i="9" s="1"/>
  <c r="CR28" i="9"/>
  <c r="II20" i="9"/>
  <c r="IV20" i="9" s="1"/>
  <c r="IR14" i="9"/>
  <c r="IW20" i="9"/>
  <c r="IS20" i="9"/>
  <c r="IJ14" i="9"/>
  <c r="IU14" i="9" s="1"/>
  <c r="IR17" i="9"/>
  <c r="IJ17" i="9"/>
  <c r="IK17" i="9" s="1"/>
  <c r="IN17" i="9"/>
  <c r="II15" i="9"/>
  <c r="IJ15" i="9" s="1"/>
  <c r="IQ7" i="9"/>
  <c r="IO15" i="9"/>
  <c r="IM7" i="9"/>
  <c r="IK7" i="9"/>
  <c r="IX7" i="9" s="1"/>
  <c r="IY7" i="9" s="1"/>
  <c r="IS15" i="9"/>
  <c r="IU7" i="9"/>
  <c r="II11" i="9"/>
  <c r="IO11" i="9"/>
  <c r="IW11" i="9"/>
  <c r="IS11" i="9"/>
  <c r="LH5" i="9"/>
  <c r="KX5" i="9"/>
  <c r="LL5" i="9"/>
  <c r="LD5" i="9"/>
  <c r="IO10" i="9"/>
  <c r="IW10" i="9"/>
  <c r="II10" i="9"/>
  <c r="IS10" i="9"/>
  <c r="IS6" i="9"/>
  <c r="II6" i="9"/>
  <c r="IW6" i="9"/>
  <c r="IO6" i="9"/>
  <c r="IJ16" i="9"/>
  <c r="IR16" i="9"/>
  <c r="IN16" i="9"/>
  <c r="IV16" i="9"/>
  <c r="IV12" i="9"/>
  <c r="IR12" i="9"/>
  <c r="IN12" i="9"/>
  <c r="IJ12" i="9"/>
  <c r="EU13" i="9"/>
  <c r="EW13" i="9"/>
  <c r="FI11" i="9"/>
  <c r="FH11" i="9"/>
  <c r="FJ11" i="9" s="1"/>
  <c r="FE12" i="9"/>
  <c r="FG12" i="9" s="1"/>
  <c r="FF12" i="9"/>
  <c r="EG14" i="9"/>
  <c r="EB14" i="9"/>
  <c r="EE14" i="9"/>
  <c r="EF14" i="9"/>
  <c r="EI14" i="9"/>
  <c r="EH14" i="9"/>
  <c r="EA15" i="9"/>
  <c r="EC14" i="9"/>
  <c r="GP14" i="9"/>
  <c r="ED14" i="9"/>
  <c r="EY13" i="9"/>
  <c r="EZ13" i="9"/>
  <c r="EO13" i="9"/>
  <c r="FC13" i="9" s="1"/>
  <c r="EM13" i="9"/>
  <c r="FB13" i="9" s="1"/>
  <c r="FD13" i="9" s="1"/>
  <c r="IJ13" i="9"/>
  <c r="IN13" i="9"/>
  <c r="IV13" i="9"/>
  <c r="IR13" i="9"/>
  <c r="ES13" i="9"/>
  <c r="EQ13" i="9"/>
  <c r="FL10" i="9"/>
  <c r="FK10" i="9"/>
  <c r="FM9" i="9"/>
  <c r="IN19" i="9"/>
  <c r="IV19" i="9"/>
  <c r="IR19" i="9"/>
  <c r="IJ19" i="9"/>
  <c r="IL8" i="9"/>
  <c r="IQ8" i="9"/>
  <c r="IM8" i="9"/>
  <c r="IU8" i="9"/>
  <c r="IK8" i="9"/>
  <c r="IX8" i="9" s="1"/>
  <c r="IY8" i="9" s="1"/>
  <c r="IS5" i="9"/>
  <c r="IO5" i="9"/>
  <c r="IW5" i="9"/>
  <c r="II5" i="9"/>
  <c r="GB7" i="9"/>
  <c r="FP7" i="9"/>
  <c r="FX7" i="9"/>
  <c r="FT7" i="9"/>
  <c r="GA6" i="9"/>
  <c r="FR6" i="9"/>
  <c r="FS6" i="9"/>
  <c r="FW6" i="9"/>
  <c r="FQ6" i="9"/>
  <c r="GD6" i="9" s="1"/>
  <c r="GB8" i="9"/>
  <c r="FP8" i="9"/>
  <c r="FX8" i="9"/>
  <c r="FT8" i="9"/>
  <c r="FW5" i="9"/>
  <c r="CO28" i="9" s="1"/>
  <c r="GA5" i="9"/>
  <c r="CW28" i="9" s="1"/>
  <c r="FS5" i="9"/>
  <c r="FR5" i="9"/>
  <c r="GD5" i="9"/>
  <c r="GE5" i="9" s="1"/>
  <c r="GH5" i="9" s="1"/>
  <c r="AD66" i="9" l="1"/>
  <c r="CX16" i="2"/>
  <c r="CP16" i="2"/>
  <c r="CN16" i="2"/>
  <c r="CL16" i="2"/>
  <c r="CO16" i="2" s="1"/>
  <c r="CY16" i="2" s="1"/>
  <c r="CK17" i="2"/>
  <c r="CZ15" i="2"/>
  <c r="CQ15" i="2"/>
  <c r="DA15" i="2" s="1"/>
  <c r="CQ14" i="2"/>
  <c r="DA14" i="2" s="1"/>
  <c r="CY14" i="2"/>
  <c r="CU15" i="1"/>
  <c r="CY15" i="1"/>
  <c r="CR15" i="1"/>
  <c r="CW15" i="1" s="1"/>
  <c r="CV16" i="1"/>
  <c r="CQ16" i="1"/>
  <c r="CP16" i="1"/>
  <c r="CM18" i="1"/>
  <c r="CT17" i="1"/>
  <c r="CX17" i="1" s="1"/>
  <c r="CO17" i="1"/>
  <c r="CN17" i="1"/>
  <c r="EL119" i="10"/>
  <c r="ER118" i="10"/>
  <c r="EV118" i="10" s="1"/>
  <c r="EI118" i="10"/>
  <c r="EN118" i="10" s="1"/>
  <c r="EU15" i="10"/>
  <c r="EW15" i="10" s="1"/>
  <c r="EQ15" i="10"/>
  <c r="ES15" i="10" s="1"/>
  <c r="EH16" i="10"/>
  <c r="EM15" i="10"/>
  <c r="EJ15" i="10"/>
  <c r="EO15" i="10" s="1"/>
  <c r="EC17" i="10"/>
  <c r="ED17" i="10"/>
  <c r="EF17" i="10"/>
  <c r="EE17" i="10"/>
  <c r="EB17" i="10"/>
  <c r="EA18" i="10"/>
  <c r="CA31" i="10"/>
  <c r="GM14" i="9"/>
  <c r="GR14" i="9" s="1"/>
  <c r="GF14" i="9"/>
  <c r="GG5" i="9"/>
  <c r="GS5" i="9"/>
  <c r="IL9" i="9"/>
  <c r="IK9" i="9"/>
  <c r="IX9" i="9" s="1"/>
  <c r="IY9" i="9" s="1"/>
  <c r="IQ9" i="9"/>
  <c r="IM9" i="9"/>
  <c r="CP28" i="9"/>
  <c r="N66" i="9"/>
  <c r="IN20" i="9"/>
  <c r="IR20" i="9"/>
  <c r="IJ20" i="9"/>
  <c r="IM20" i="9" s="1"/>
  <c r="IV15" i="9"/>
  <c r="IQ17" i="9"/>
  <c r="IK14" i="9"/>
  <c r="IX14" i="9" s="1"/>
  <c r="IY14" i="9" s="1"/>
  <c r="JE14" i="9" s="1"/>
  <c r="IU17" i="9"/>
  <c r="IM14" i="9"/>
  <c r="IM17" i="9"/>
  <c r="IL14" i="9"/>
  <c r="IL17" i="9"/>
  <c r="IX17" i="9"/>
  <c r="IY17" i="9" s="1"/>
  <c r="JE17" i="9" s="1"/>
  <c r="IQ14" i="9"/>
  <c r="IN15" i="9"/>
  <c r="IR15" i="9"/>
  <c r="IN11" i="9"/>
  <c r="IR11" i="9"/>
  <c r="IJ11" i="9"/>
  <c r="IV11" i="9"/>
  <c r="FM10" i="9"/>
  <c r="FN10" i="9" s="1"/>
  <c r="LK5" i="9"/>
  <c r="LC5" i="9"/>
  <c r="LG5" i="9"/>
  <c r="KY5" i="9"/>
  <c r="IN10" i="9"/>
  <c r="IV10" i="9"/>
  <c r="IR10" i="9"/>
  <c r="IJ10" i="9"/>
  <c r="IV6" i="9"/>
  <c r="IN6" i="9"/>
  <c r="IR6" i="9"/>
  <c r="IJ6" i="9"/>
  <c r="EM14" i="9"/>
  <c r="FB14" i="9" s="1"/>
  <c r="FD14" i="9" s="1"/>
  <c r="EO14" i="9"/>
  <c r="FC14" i="9" s="1"/>
  <c r="IK12" i="9"/>
  <c r="IX12" i="9" s="1"/>
  <c r="IY12" i="9" s="1"/>
  <c r="JI35" i="9" s="1"/>
  <c r="CI35" i="9" s="1"/>
  <c r="IL12" i="9"/>
  <c r="IM12" i="9"/>
  <c r="IQ12" i="9"/>
  <c r="IU12" i="9"/>
  <c r="EU14" i="9"/>
  <c r="EW14" i="9"/>
  <c r="IK15" i="9"/>
  <c r="IM15" i="9"/>
  <c r="IU15" i="9"/>
  <c r="IL15" i="9"/>
  <c r="IQ15" i="9"/>
  <c r="IU13" i="9"/>
  <c r="IM13" i="9"/>
  <c r="IQ13" i="9"/>
  <c r="IL13" i="9"/>
  <c r="IK13" i="9"/>
  <c r="IX13" i="9" s="1"/>
  <c r="IY13" i="9" s="1"/>
  <c r="EZ14" i="9"/>
  <c r="EY14" i="9"/>
  <c r="ES14" i="9"/>
  <c r="EQ14" i="9"/>
  <c r="FZ9" i="9"/>
  <c r="FV9" i="9"/>
  <c r="FN9" i="9"/>
  <c r="EH15" i="9"/>
  <c r="EI15" i="9"/>
  <c r="EA16" i="9"/>
  <c r="EB15" i="9"/>
  <c r="GP15" i="9"/>
  <c r="EC15" i="9"/>
  <c r="EE15" i="9"/>
  <c r="ED15" i="9"/>
  <c r="EG15" i="9"/>
  <c r="EF15" i="9"/>
  <c r="FH12" i="9"/>
  <c r="FJ12" i="9" s="1"/>
  <c r="FI12" i="9"/>
  <c r="FE13" i="9"/>
  <c r="FG13" i="9" s="1"/>
  <c r="FF13" i="9"/>
  <c r="FL11" i="9"/>
  <c r="FK11" i="9"/>
  <c r="IK16" i="9"/>
  <c r="IX16" i="9" s="1"/>
  <c r="IY16" i="9" s="1"/>
  <c r="IM16" i="9"/>
  <c r="IL16" i="9"/>
  <c r="IU16" i="9"/>
  <c r="IQ16" i="9"/>
  <c r="IQ19" i="9"/>
  <c r="IU19" i="9"/>
  <c r="IK19" i="9"/>
  <c r="IX19" i="9" s="1"/>
  <c r="IY19" i="9" s="1"/>
  <c r="JE19" i="9" s="1"/>
  <c r="IL19" i="9"/>
  <c r="IM19" i="9"/>
  <c r="IV5" i="9"/>
  <c r="IJ5" i="9"/>
  <c r="IN5" i="9"/>
  <c r="IR5" i="9"/>
  <c r="GA7" i="9"/>
  <c r="FR7" i="9"/>
  <c r="FW7" i="9"/>
  <c r="FQ7" i="9"/>
  <c r="GD7" i="9" s="1"/>
  <c r="FS7" i="9"/>
  <c r="GJ6" i="9"/>
  <c r="GE6" i="9"/>
  <c r="GH6" i="9" s="1"/>
  <c r="FS8" i="9"/>
  <c r="GA8" i="9"/>
  <c r="FQ8" i="9"/>
  <c r="GD8" i="9" s="1"/>
  <c r="FW8" i="9"/>
  <c r="FR8" i="9"/>
  <c r="GK5" i="9"/>
  <c r="GQ5" i="9" s="1"/>
  <c r="GJ5" i="9"/>
  <c r="CZ28" i="9" s="1"/>
  <c r="CX17" i="2" l="1"/>
  <c r="CP17" i="2"/>
  <c r="CN17" i="2"/>
  <c r="CK18" i="2"/>
  <c r="CL17" i="2"/>
  <c r="CO17" i="2" s="1"/>
  <c r="CY17" i="2" s="1"/>
  <c r="CQ16" i="2"/>
  <c r="DA16" i="2" s="1"/>
  <c r="CZ16" i="2"/>
  <c r="CU16" i="1"/>
  <c r="CY16" i="1"/>
  <c r="CR16" i="1"/>
  <c r="CW16" i="1" s="1"/>
  <c r="CV17" i="1"/>
  <c r="CQ17" i="1"/>
  <c r="CM19" i="1"/>
  <c r="CT18" i="1"/>
  <c r="CX18" i="1" s="1"/>
  <c r="CO18" i="1"/>
  <c r="CN18" i="1"/>
  <c r="CP17" i="1"/>
  <c r="EL120" i="10"/>
  <c r="ER119" i="10"/>
  <c r="EV119" i="10" s="1"/>
  <c r="EI119" i="10"/>
  <c r="EN119" i="10" s="1"/>
  <c r="EU16" i="10"/>
  <c r="EW16" i="10" s="1"/>
  <c r="EQ16" i="10"/>
  <c r="ES16" i="10" s="1"/>
  <c r="EH17" i="10"/>
  <c r="EM16" i="10"/>
  <c r="EJ16" i="10"/>
  <c r="EO16" i="10" s="1"/>
  <c r="EC18" i="10"/>
  <c r="ED18" i="10"/>
  <c r="EF18" i="10"/>
  <c r="EE18" i="10"/>
  <c r="EB18" i="10"/>
  <c r="CA22" i="10"/>
  <c r="EA19" i="10"/>
  <c r="GM15" i="9"/>
  <c r="GR15" i="9" s="1"/>
  <c r="GF15" i="9"/>
  <c r="GK6" i="9"/>
  <c r="GQ6" i="9" s="1"/>
  <c r="GG6" i="9"/>
  <c r="GS6" i="9"/>
  <c r="IL20" i="9"/>
  <c r="IU20" i="9"/>
  <c r="IQ20" i="9"/>
  <c r="IK20" i="9"/>
  <c r="IX20" i="9" s="1"/>
  <c r="IY20" i="9" s="1"/>
  <c r="IX15" i="9"/>
  <c r="IY15" i="9" s="1"/>
  <c r="JI38" i="9" s="1"/>
  <c r="CI38" i="9" s="1"/>
  <c r="FZ10" i="9"/>
  <c r="FV10" i="9"/>
  <c r="IK11" i="9"/>
  <c r="IX11" i="9" s="1"/>
  <c r="IY11" i="9" s="1"/>
  <c r="JI34" i="9" s="1"/>
  <c r="CI34" i="9" s="1"/>
  <c r="IU11" i="9"/>
  <c r="IL11" i="9"/>
  <c r="IM11" i="9"/>
  <c r="IQ11" i="9"/>
  <c r="FM11" i="9"/>
  <c r="LF5" i="9"/>
  <c r="LJ5" i="9"/>
  <c r="LB5" i="9"/>
  <c r="KZ5" i="9"/>
  <c r="LM5" i="9" s="1"/>
  <c r="LA5" i="9"/>
  <c r="CJ35" i="9"/>
  <c r="AJ73" i="9" s="1"/>
  <c r="KF12" i="9"/>
  <c r="JX12" i="9"/>
  <c r="KL12" i="9" s="1"/>
  <c r="KI12" i="9"/>
  <c r="KB12" i="9"/>
  <c r="IL10" i="9"/>
  <c r="IM10" i="9"/>
  <c r="IU10" i="9"/>
  <c r="IQ10" i="9"/>
  <c r="IK10" i="9"/>
  <c r="IX10" i="9" s="1"/>
  <c r="IY10" i="9" s="1"/>
  <c r="JI33" i="9" s="1"/>
  <c r="CI33" i="9" s="1"/>
  <c r="IL6" i="9"/>
  <c r="IK6" i="9"/>
  <c r="IX6" i="9" s="1"/>
  <c r="IY6" i="9" s="1"/>
  <c r="JI29" i="9" s="1"/>
  <c r="CI29" i="9" s="1"/>
  <c r="IQ6" i="9"/>
  <c r="IU6" i="9"/>
  <c r="IM6" i="9"/>
  <c r="FF14" i="9"/>
  <c r="FE14" i="9"/>
  <c r="FG14" i="9" s="1"/>
  <c r="FK12" i="9"/>
  <c r="FL12" i="9"/>
  <c r="EI16" i="9"/>
  <c r="EE16" i="9"/>
  <c r="EB16" i="9"/>
  <c r="EG16" i="9"/>
  <c r="EF16" i="9"/>
  <c r="EA17" i="9"/>
  <c r="ED16" i="9"/>
  <c r="GP16" i="9"/>
  <c r="EC16" i="9"/>
  <c r="EH16" i="9"/>
  <c r="GC10" i="9"/>
  <c r="FY10" i="9"/>
  <c r="FO10" i="9"/>
  <c r="FU10" i="9"/>
  <c r="EQ15" i="9"/>
  <c r="ES15" i="9"/>
  <c r="FI13" i="9"/>
  <c r="FH13" i="9"/>
  <c r="FJ13" i="9" s="1"/>
  <c r="EU15" i="9"/>
  <c r="EW15" i="9"/>
  <c r="GC9" i="9"/>
  <c r="FU9" i="9"/>
  <c r="FY9" i="9"/>
  <c r="FO9" i="9"/>
  <c r="EO15" i="9"/>
  <c r="FC15" i="9" s="1"/>
  <c r="EM15" i="9"/>
  <c r="FB15" i="9" s="1"/>
  <c r="FD15" i="9" s="1"/>
  <c r="EY15" i="9"/>
  <c r="EZ15" i="9"/>
  <c r="JI40" i="9"/>
  <c r="JE12" i="9"/>
  <c r="JI37" i="9"/>
  <c r="CI37" i="9" s="1"/>
  <c r="JI30" i="9"/>
  <c r="CI30" i="9" s="1"/>
  <c r="JI36" i="9"/>
  <c r="CI36" i="9" s="1"/>
  <c r="JE13" i="9"/>
  <c r="IQ5" i="9"/>
  <c r="IU5" i="9"/>
  <c r="IM5" i="9"/>
  <c r="IL5" i="9"/>
  <c r="IK5" i="9"/>
  <c r="GE7" i="9"/>
  <c r="GH7" i="9" s="1"/>
  <c r="GJ7" i="9"/>
  <c r="GE8" i="9"/>
  <c r="GH8" i="9" s="1"/>
  <c r="GJ8" i="9"/>
  <c r="CJ41" i="9" l="1"/>
  <c r="AJ79" i="9" s="1"/>
  <c r="KB18" i="9"/>
  <c r="CJ40" i="9"/>
  <c r="KB17" i="9"/>
  <c r="CZ17" i="2"/>
  <c r="CQ17" i="2"/>
  <c r="DA17" i="2" s="1"/>
  <c r="CX18" i="2"/>
  <c r="CP18" i="2"/>
  <c r="CK19" i="2"/>
  <c r="CL18" i="2"/>
  <c r="CO18" i="2" s="1"/>
  <c r="CY18" i="2" s="1"/>
  <c r="CN18" i="2"/>
  <c r="CU17" i="1"/>
  <c r="CY17" i="1"/>
  <c r="CP18" i="1"/>
  <c r="CR17" i="1"/>
  <c r="CW17" i="1" s="1"/>
  <c r="CV18" i="1"/>
  <c r="CQ18" i="1"/>
  <c r="CM20" i="1"/>
  <c r="CT19" i="1"/>
  <c r="CX19" i="1" s="1"/>
  <c r="CO19" i="1"/>
  <c r="CN19" i="1"/>
  <c r="EL121" i="10"/>
  <c r="ER120" i="10"/>
  <c r="EV120" i="10" s="1"/>
  <c r="EI120" i="10"/>
  <c r="EN120" i="10" s="1"/>
  <c r="EQ17" i="10"/>
  <c r="ES17" i="10" s="1"/>
  <c r="EU17" i="10"/>
  <c r="EW17" i="10" s="1"/>
  <c r="EH18" i="10"/>
  <c r="EM17" i="10"/>
  <c r="EJ17" i="10"/>
  <c r="EO17" i="10" s="1"/>
  <c r="ED19" i="10"/>
  <c r="EF19" i="10"/>
  <c r="EC19" i="10"/>
  <c r="EB19" i="10"/>
  <c r="EE19" i="10"/>
  <c r="EA20" i="10"/>
  <c r="GM16" i="9"/>
  <c r="GF16" i="9"/>
  <c r="GK8" i="9"/>
  <c r="GQ8" i="9" s="1"/>
  <c r="GG8" i="9"/>
  <c r="GS8" i="9"/>
  <c r="GK7" i="9"/>
  <c r="GQ7" i="9" s="1"/>
  <c r="GG7" i="9"/>
  <c r="GS7" i="9"/>
  <c r="GR16" i="9"/>
  <c r="LN5" i="9"/>
  <c r="LT5" i="9" s="1"/>
  <c r="LU5" i="9"/>
  <c r="FM12" i="9"/>
  <c r="FZ12" i="9" s="1"/>
  <c r="KO12" i="9"/>
  <c r="KR12" i="9" s="1"/>
  <c r="FN11" i="9"/>
  <c r="FZ11" i="9"/>
  <c r="FV11" i="9"/>
  <c r="KI7" i="9"/>
  <c r="KB7" i="9"/>
  <c r="CJ30" i="9"/>
  <c r="AJ68" i="9" s="1"/>
  <c r="KF7" i="9"/>
  <c r="JX7" i="9"/>
  <c r="KL7" i="9" s="1"/>
  <c r="KI15" i="9"/>
  <c r="KB15" i="9"/>
  <c r="CJ38" i="9"/>
  <c r="AJ76" i="9" s="1"/>
  <c r="KF15" i="9"/>
  <c r="JX15" i="9"/>
  <c r="KL15" i="9" s="1"/>
  <c r="KF10" i="9"/>
  <c r="JX10" i="9"/>
  <c r="KL10" i="9" s="1"/>
  <c r="KI10" i="9"/>
  <c r="KB10" i="9"/>
  <c r="CJ33" i="9"/>
  <c r="AJ71" i="9" s="1"/>
  <c r="KU12" i="9"/>
  <c r="KV12" i="9" s="1"/>
  <c r="KB14" i="9"/>
  <c r="CJ37" i="9"/>
  <c r="AJ75" i="9" s="1"/>
  <c r="KF14" i="9"/>
  <c r="JX14" i="9"/>
  <c r="KL14" i="9" s="1"/>
  <c r="KI14" i="9"/>
  <c r="CJ34" i="9"/>
  <c r="AJ72" i="9" s="1"/>
  <c r="KF11" i="9"/>
  <c r="JX11" i="9"/>
  <c r="KL11" i="9" s="1"/>
  <c r="KI11" i="9"/>
  <c r="KB11" i="9"/>
  <c r="JX17" i="9"/>
  <c r="KL17" i="9" s="1"/>
  <c r="KI17" i="9"/>
  <c r="AJ78" i="9"/>
  <c r="KF17" i="9"/>
  <c r="KB13" i="9"/>
  <c r="CJ36" i="9"/>
  <c r="AJ74" i="9" s="1"/>
  <c r="KF13" i="9"/>
  <c r="JX13" i="9"/>
  <c r="KL13" i="9" s="1"/>
  <c r="KI13" i="9"/>
  <c r="CJ29" i="9"/>
  <c r="KI6" i="9"/>
  <c r="KF6" i="9"/>
  <c r="JX6" i="9"/>
  <c r="KL6" i="9" s="1"/>
  <c r="KB6" i="9"/>
  <c r="FF15" i="9"/>
  <c r="FE15" i="9"/>
  <c r="FG15" i="9" s="1"/>
  <c r="FT9" i="9"/>
  <c r="FX9" i="9"/>
  <c r="GB9" i="9"/>
  <c r="FP9" i="9"/>
  <c r="EZ16" i="9"/>
  <c r="EY16" i="9"/>
  <c r="ES16" i="9"/>
  <c r="EQ16" i="9"/>
  <c r="EO16" i="9"/>
  <c r="FC16" i="9" s="1"/>
  <c r="EM16" i="9"/>
  <c r="FB16" i="9" s="1"/>
  <c r="FD16" i="9" s="1"/>
  <c r="FL13" i="9"/>
  <c r="FK13" i="9"/>
  <c r="EU16" i="9"/>
  <c r="EW16" i="9"/>
  <c r="EA18" i="9"/>
  <c r="EC17" i="9"/>
  <c r="EE17" i="9"/>
  <c r="EB17" i="9"/>
  <c r="GP17" i="9"/>
  <c r="ED17" i="9"/>
  <c r="EF17" i="9"/>
  <c r="EG17" i="9"/>
  <c r="EI17" i="9"/>
  <c r="EH17" i="9"/>
  <c r="FH14" i="9"/>
  <c r="FJ14" i="9" s="1"/>
  <c r="FI14" i="9"/>
  <c r="FP10" i="9"/>
  <c r="GB10" i="9"/>
  <c r="FX10" i="9"/>
  <c r="FT10" i="9"/>
  <c r="JE11" i="9"/>
  <c r="JE15" i="9"/>
  <c r="IX5" i="9"/>
  <c r="IY5" i="9" s="1"/>
  <c r="JE5" i="9" s="1"/>
  <c r="JI31" i="9"/>
  <c r="CI31" i="9" s="1"/>
  <c r="JE7" i="9"/>
  <c r="JI39" i="9"/>
  <c r="CI39" i="9" s="1"/>
  <c r="KB16" i="9" s="1"/>
  <c r="JE10" i="9"/>
  <c r="JI32" i="9"/>
  <c r="CI32" i="9" s="1"/>
  <c r="KB19" i="9"/>
  <c r="JE20" i="9"/>
  <c r="CJ42" i="9" l="1"/>
  <c r="AJ80" i="9" s="1"/>
  <c r="KF18" i="9"/>
  <c r="JX18" i="9"/>
  <c r="KL18" i="9" s="1"/>
  <c r="KI18" i="9"/>
  <c r="JX19" i="9"/>
  <c r="KL19" i="9" s="1"/>
  <c r="KI19" i="9"/>
  <c r="KF19" i="9"/>
  <c r="AJ67" i="9"/>
  <c r="CX19" i="2"/>
  <c r="CP19" i="2"/>
  <c r="CZ19" i="2" s="1"/>
  <c r="CN19" i="2"/>
  <c r="CL19" i="2"/>
  <c r="CO19" i="2" s="1"/>
  <c r="CK20" i="2"/>
  <c r="CZ18" i="2"/>
  <c r="CQ18" i="2"/>
  <c r="DA18" i="2" s="1"/>
  <c r="CU18" i="1"/>
  <c r="CY18" i="1"/>
  <c r="CR18" i="1"/>
  <c r="CW18" i="1" s="1"/>
  <c r="CP19" i="1"/>
  <c r="CV19" i="1"/>
  <c r="CQ19" i="1"/>
  <c r="CM21" i="1"/>
  <c r="CT20" i="1"/>
  <c r="CX20" i="1" s="1"/>
  <c r="CO20" i="1"/>
  <c r="CN20" i="1"/>
  <c r="EL122" i="10"/>
  <c r="ER121" i="10"/>
  <c r="EV121" i="10" s="1"/>
  <c r="EI121" i="10"/>
  <c r="EN121" i="10" s="1"/>
  <c r="EU18" i="10"/>
  <c r="EW18" i="10" s="1"/>
  <c r="EQ18" i="10"/>
  <c r="ES18" i="10" s="1"/>
  <c r="EM18" i="10"/>
  <c r="EJ18" i="10"/>
  <c r="EO18" i="10" s="1"/>
  <c r="EH19" i="10"/>
  <c r="EF20" i="10"/>
  <c r="EC20" i="10"/>
  <c r="ED20" i="10"/>
  <c r="EE20" i="10"/>
  <c r="EB20" i="10"/>
  <c r="EA21" i="10"/>
  <c r="V179" i="10"/>
  <c r="GM17" i="9"/>
  <c r="GR17" i="9" s="1"/>
  <c r="GF17" i="9"/>
  <c r="FV12" i="9"/>
  <c r="FN12" i="9"/>
  <c r="FO12" i="9" s="1"/>
  <c r="KO13" i="9"/>
  <c r="KR13" i="9" s="1"/>
  <c r="KO14" i="9"/>
  <c r="KR14" i="9" s="1"/>
  <c r="KU15" i="9"/>
  <c r="KV15" i="9" s="1"/>
  <c r="LI15" i="9" s="1"/>
  <c r="CU38" i="9" s="1"/>
  <c r="Z76" i="9" s="1"/>
  <c r="KO17" i="9"/>
  <c r="KR17" i="9" s="1"/>
  <c r="KU13" i="9"/>
  <c r="KV13" i="9" s="1"/>
  <c r="LI13" i="9" s="1"/>
  <c r="CU36" i="9" s="1"/>
  <c r="Z74" i="9" s="1"/>
  <c r="FM13" i="9"/>
  <c r="FV13" i="9" s="1"/>
  <c r="FO11" i="9"/>
  <c r="FU11" i="9"/>
  <c r="GC11" i="9"/>
  <c r="FY11" i="9"/>
  <c r="KO11" i="9"/>
  <c r="KR11" i="9" s="1"/>
  <c r="KO7" i="9"/>
  <c r="KR7" i="9" s="1"/>
  <c r="KU6" i="9"/>
  <c r="KV6" i="9" s="1"/>
  <c r="LE6" i="9" s="1"/>
  <c r="CN29" i="9" s="1"/>
  <c r="KU11" i="9"/>
  <c r="KV11" i="9" s="1"/>
  <c r="LE11" i="9" s="1"/>
  <c r="CN34" i="9" s="1"/>
  <c r="AA134" i="9" s="1"/>
  <c r="KU7" i="9"/>
  <c r="KV7" i="9" s="1"/>
  <c r="LI7" i="9" s="1"/>
  <c r="CU30" i="9" s="1"/>
  <c r="Z68" i="9" s="1"/>
  <c r="JX16" i="9"/>
  <c r="KL16" i="9" s="1"/>
  <c r="KI16" i="9"/>
  <c r="CJ39" i="9"/>
  <c r="AJ77" i="9" s="1"/>
  <c r="KF16" i="9"/>
  <c r="KO6" i="9"/>
  <c r="KR6" i="9" s="1"/>
  <c r="KU14" i="9"/>
  <c r="KV14" i="9" s="1"/>
  <c r="KO10" i="9"/>
  <c r="KR10" i="9" s="1"/>
  <c r="KU10" i="9"/>
  <c r="KV10" i="9" s="1"/>
  <c r="KO15" i="9"/>
  <c r="KR15" i="9" s="1"/>
  <c r="JX8" i="9"/>
  <c r="KL8" i="9" s="1"/>
  <c r="KI8" i="9"/>
  <c r="KB8" i="9"/>
  <c r="CJ31" i="9"/>
  <c r="AJ69" i="9" s="1"/>
  <c r="KF8" i="9"/>
  <c r="AJ81" i="9"/>
  <c r="KF20" i="9"/>
  <c r="JX20" i="9"/>
  <c r="KL20" i="9" s="1"/>
  <c r="KI20" i="9"/>
  <c r="JX9" i="9"/>
  <c r="KL9" i="9" s="1"/>
  <c r="KI9" i="9"/>
  <c r="KB9" i="9"/>
  <c r="CJ32" i="9"/>
  <c r="AJ70" i="9" s="1"/>
  <c r="KF9" i="9"/>
  <c r="KU17" i="9"/>
  <c r="KV17" i="9" s="1"/>
  <c r="LE12" i="9"/>
  <c r="CN35" i="9" s="1"/>
  <c r="AA135" i="9" s="1"/>
  <c r="KW12" i="9"/>
  <c r="LI12" i="9"/>
  <c r="CU35" i="9" s="1"/>
  <c r="Z73" i="9" s="1"/>
  <c r="FS10" i="9"/>
  <c r="GA10" i="9"/>
  <c r="FW10" i="9"/>
  <c r="FR10" i="9"/>
  <c r="FQ10" i="9"/>
  <c r="GD10" i="9" s="1"/>
  <c r="EM17" i="9"/>
  <c r="FB17" i="9" s="1"/>
  <c r="FD17" i="9" s="1"/>
  <c r="EO17" i="9"/>
  <c r="FC17" i="9" s="1"/>
  <c r="GA9" i="9"/>
  <c r="FR9" i="9"/>
  <c r="FQ9" i="9"/>
  <c r="GD9" i="9" s="1"/>
  <c r="FW9" i="9"/>
  <c r="FS9" i="9"/>
  <c r="ES17" i="9"/>
  <c r="EQ17" i="9"/>
  <c r="EH18" i="9"/>
  <c r="EC18" i="9"/>
  <c r="EA19" i="9"/>
  <c r="EE18" i="9"/>
  <c r="EB18" i="9"/>
  <c r="EF18" i="9"/>
  <c r="EG18" i="9"/>
  <c r="EI18" i="9"/>
  <c r="GP18" i="9"/>
  <c r="ED18" i="9"/>
  <c r="FF16" i="9"/>
  <c r="FE16" i="9"/>
  <c r="FG16" i="9" s="1"/>
  <c r="EZ17" i="9"/>
  <c r="EY17" i="9"/>
  <c r="FH15" i="9"/>
  <c r="FJ15" i="9" s="1"/>
  <c r="FI15" i="9"/>
  <c r="FK14" i="9"/>
  <c r="FL14" i="9"/>
  <c r="EW17" i="9"/>
  <c r="EU17" i="9"/>
  <c r="JE16" i="9"/>
  <c r="JE9" i="9"/>
  <c r="JE8" i="9"/>
  <c r="KU19" i="9" l="1"/>
  <c r="KV19" i="9" s="1"/>
  <c r="LI19" i="9" s="1"/>
  <c r="KO19" i="9"/>
  <c r="KR19" i="9" s="1"/>
  <c r="KW19" i="9" s="1"/>
  <c r="KX19" i="9" s="1"/>
  <c r="KU18" i="9"/>
  <c r="KV18" i="9" s="1"/>
  <c r="LE18" i="9" s="1"/>
  <c r="CN41" i="9" s="1"/>
  <c r="AA141" i="9" s="1"/>
  <c r="CJ46" i="9"/>
  <c r="AJ82" i="9" s="1"/>
  <c r="CU42" i="9"/>
  <c r="AA129" i="9"/>
  <c r="KO18" i="9"/>
  <c r="KR18" i="9" s="1"/>
  <c r="CX20" i="2"/>
  <c r="CP20" i="2"/>
  <c r="CZ20" i="2" s="1"/>
  <c r="CK21" i="2"/>
  <c r="CN20" i="2"/>
  <c r="CL20" i="2"/>
  <c r="CO20" i="2" s="1"/>
  <c r="CQ19" i="2"/>
  <c r="DA19" i="2" s="1"/>
  <c r="CY19" i="2"/>
  <c r="CU19" i="1"/>
  <c r="CY19" i="1"/>
  <c r="CR19" i="1"/>
  <c r="CW19" i="1" s="1"/>
  <c r="CV20" i="1"/>
  <c r="CQ20" i="1"/>
  <c r="CP20" i="1"/>
  <c r="CM22" i="1"/>
  <c r="CT21" i="1"/>
  <c r="CX21" i="1" s="1"/>
  <c r="CO21" i="1"/>
  <c r="CN21" i="1"/>
  <c r="EL123" i="10"/>
  <c r="ER122" i="10"/>
  <c r="EV122" i="10" s="1"/>
  <c r="EI122" i="10"/>
  <c r="EN122" i="10" s="1"/>
  <c r="EQ19" i="10"/>
  <c r="ES19" i="10" s="1"/>
  <c r="EU19" i="10"/>
  <c r="EW19" i="10" s="1"/>
  <c r="EM19" i="10"/>
  <c r="EJ19" i="10"/>
  <c r="EO19" i="10" s="1"/>
  <c r="EF21" i="10"/>
  <c r="ED21" i="10"/>
  <c r="EC21" i="10"/>
  <c r="EB21" i="10"/>
  <c r="EE21" i="10"/>
  <c r="EH20" i="10"/>
  <c r="EA22" i="10"/>
  <c r="GC12" i="9"/>
  <c r="GM18" i="9"/>
  <c r="GR18" i="9" s="1"/>
  <c r="GF18" i="9"/>
  <c r="L73" i="9"/>
  <c r="CP73" i="9" s="1"/>
  <c r="L67" i="9"/>
  <c r="CP67" i="9" s="1"/>
  <c r="L72" i="9"/>
  <c r="CP72" i="9" s="1"/>
  <c r="FU12" i="9"/>
  <c r="FY12" i="9"/>
  <c r="LE19" i="9"/>
  <c r="DD35" i="9"/>
  <c r="AB73" i="9" s="1"/>
  <c r="CV35" i="9"/>
  <c r="LE15" i="9"/>
  <c r="CN38" i="9" s="1"/>
  <c r="AA138" i="9" s="1"/>
  <c r="DD38" i="9"/>
  <c r="AB76" i="9" s="1"/>
  <c r="CV38" i="9"/>
  <c r="DD36" i="9"/>
  <c r="AB74" i="9" s="1"/>
  <c r="CV36" i="9"/>
  <c r="DD30" i="9"/>
  <c r="AB68" i="9" s="1"/>
  <c r="CV30" i="9"/>
  <c r="KW15" i="9"/>
  <c r="LH15" i="9" s="1"/>
  <c r="CS38" i="9" s="1"/>
  <c r="V76" i="9" s="1"/>
  <c r="KW13" i="9"/>
  <c r="LD13" i="9" s="1"/>
  <c r="CM36" i="9" s="1"/>
  <c r="V136" i="9" s="1"/>
  <c r="LE13" i="9"/>
  <c r="CN36" i="9" s="1"/>
  <c r="AA136" i="9" s="1"/>
  <c r="FZ13" i="9"/>
  <c r="FN13" i="9"/>
  <c r="FY13" i="9" s="1"/>
  <c r="LI6" i="9"/>
  <c r="CU29" i="9" s="1"/>
  <c r="KU9" i="9"/>
  <c r="KV9" i="9" s="1"/>
  <c r="LE9" i="9" s="1"/>
  <c r="CN32" i="9" s="1"/>
  <c r="AA132" i="9" s="1"/>
  <c r="LE7" i="9"/>
  <c r="CN30" i="9" s="1"/>
  <c r="AA130" i="9" s="1"/>
  <c r="KO9" i="9"/>
  <c r="KR9" i="9" s="1"/>
  <c r="KW11" i="9"/>
  <c r="LH11" i="9" s="1"/>
  <c r="CS34" i="9" s="1"/>
  <c r="V72" i="9" s="1"/>
  <c r="KW6" i="9"/>
  <c r="LH6" i="9" s="1"/>
  <c r="CS29" i="9" s="1"/>
  <c r="KO8" i="9"/>
  <c r="KR8" i="9" s="1"/>
  <c r="KO16" i="9"/>
  <c r="KR16" i="9" s="1"/>
  <c r="FM14" i="9"/>
  <c r="FV14" i="9" s="1"/>
  <c r="KU8" i="9"/>
  <c r="KV8" i="9" s="1"/>
  <c r="LE8" i="9" s="1"/>
  <c r="CN31" i="9" s="1"/>
  <c r="AA131" i="9" s="1"/>
  <c r="LI11" i="9"/>
  <c r="CU34" i="9" s="1"/>
  <c r="Z72" i="9" s="1"/>
  <c r="FT11" i="9"/>
  <c r="FP11" i="9"/>
  <c r="FX11" i="9"/>
  <c r="GB11" i="9"/>
  <c r="KU16" i="9"/>
  <c r="KV16" i="9" s="1"/>
  <c r="LE16" i="9" s="1"/>
  <c r="CN39" i="9" s="1"/>
  <c r="AA139" i="9" s="1"/>
  <c r="KO20" i="9"/>
  <c r="KR20" i="9" s="1"/>
  <c r="KW7" i="9"/>
  <c r="LD7" i="9" s="1"/>
  <c r="CM30" i="9" s="1"/>
  <c r="V130" i="9" s="1"/>
  <c r="KU20" i="9"/>
  <c r="KV20" i="9" s="1"/>
  <c r="LE20" i="9" s="1"/>
  <c r="LE17" i="9"/>
  <c r="CN40" i="9" s="1"/>
  <c r="AA140" i="9" s="1"/>
  <c r="KW17" i="9"/>
  <c r="LI17" i="9"/>
  <c r="CU40" i="9" s="1"/>
  <c r="Z78" i="9" s="1"/>
  <c r="LE10" i="9"/>
  <c r="CN33" i="9" s="1"/>
  <c r="AA133" i="9" s="1"/>
  <c r="LI10" i="9"/>
  <c r="CU33" i="9" s="1"/>
  <c r="Z71" i="9" s="1"/>
  <c r="KW10" i="9"/>
  <c r="LE14" i="9"/>
  <c r="CN37" i="9" s="1"/>
  <c r="AA137" i="9" s="1"/>
  <c r="LI14" i="9"/>
  <c r="CU37" i="9" s="1"/>
  <c r="Z75" i="9" s="1"/>
  <c r="KW14" i="9"/>
  <c r="LD12" i="9"/>
  <c r="CM35" i="9" s="1"/>
  <c r="V135" i="9" s="1"/>
  <c r="LH12" i="9"/>
  <c r="CS35" i="9" s="1"/>
  <c r="V73" i="9" s="1"/>
  <c r="KX12" i="9"/>
  <c r="LL12" i="9"/>
  <c r="CY35" i="9" s="1"/>
  <c r="AH73" i="9" s="1"/>
  <c r="CK73" i="9" s="1"/>
  <c r="FF17" i="9"/>
  <c r="FE17" i="9"/>
  <c r="FG17" i="9" s="1"/>
  <c r="EF19" i="9"/>
  <c r="EH19" i="9"/>
  <c r="EC19" i="9"/>
  <c r="GP19" i="9"/>
  <c r="ED19" i="9"/>
  <c r="EI19" i="9"/>
  <c r="EE19" i="9"/>
  <c r="EG19" i="9"/>
  <c r="EB19" i="9"/>
  <c r="EA20" i="9"/>
  <c r="GJ10" i="9"/>
  <c r="GE10" i="9"/>
  <c r="GH10" i="9" s="1"/>
  <c r="EU18" i="9"/>
  <c r="EW18" i="9"/>
  <c r="EQ18" i="9"/>
  <c r="ES18" i="9"/>
  <c r="FK15" i="9"/>
  <c r="FL15" i="9"/>
  <c r="EM18" i="9"/>
  <c r="FB18" i="9" s="1"/>
  <c r="FD18" i="9" s="1"/>
  <c r="EO18" i="9"/>
  <c r="FC18" i="9" s="1"/>
  <c r="FH16" i="9"/>
  <c r="FJ16" i="9" s="1"/>
  <c r="FI16" i="9"/>
  <c r="GJ9" i="9"/>
  <c r="GE9" i="9"/>
  <c r="GH9" i="9" s="1"/>
  <c r="EY18" i="9"/>
  <c r="EZ18" i="9"/>
  <c r="GB12" i="9"/>
  <c r="FT12" i="9"/>
  <c r="FP12" i="9"/>
  <c r="FX12" i="9"/>
  <c r="LI18" i="9" l="1"/>
  <c r="CU41" i="9" s="1"/>
  <c r="CV41" i="9" s="1"/>
  <c r="KW18" i="9"/>
  <c r="LL18" i="9" s="1"/>
  <c r="CY41" i="9" s="1"/>
  <c r="AH79" i="9" s="1"/>
  <c r="L79" i="9"/>
  <c r="V67" i="9"/>
  <c r="DD42" i="9"/>
  <c r="AB80" i="9" s="1"/>
  <c r="CV42" i="9"/>
  <c r="CN43" i="9"/>
  <c r="AA143" i="9" s="1"/>
  <c r="Z80" i="9"/>
  <c r="Z67" i="9"/>
  <c r="CN42" i="9"/>
  <c r="AA142" i="9" s="1"/>
  <c r="CX21" i="2"/>
  <c r="CP21" i="2"/>
  <c r="CN21" i="2"/>
  <c r="CL21" i="2"/>
  <c r="CO21" i="2" s="1"/>
  <c r="CY21" i="2" s="1"/>
  <c r="CK22" i="2"/>
  <c r="CQ20" i="2"/>
  <c r="DA20" i="2" s="1"/>
  <c r="CY20" i="2"/>
  <c r="CU20" i="1"/>
  <c r="CY20" i="1"/>
  <c r="CR20" i="1"/>
  <c r="CW20" i="1" s="1"/>
  <c r="CV21" i="1"/>
  <c r="CQ21" i="1"/>
  <c r="CP21" i="1"/>
  <c r="CM23" i="1"/>
  <c r="CT22" i="1"/>
  <c r="CX22" i="1" s="1"/>
  <c r="CO22" i="1"/>
  <c r="CN22" i="1"/>
  <c r="EL124" i="10"/>
  <c r="ER123" i="10"/>
  <c r="EV123" i="10" s="1"/>
  <c r="EI123" i="10"/>
  <c r="EN123" i="10" s="1"/>
  <c r="EQ20" i="10"/>
  <c r="ES20" i="10" s="1"/>
  <c r="EU20" i="10"/>
  <c r="EW20" i="10" s="1"/>
  <c r="EM20" i="10"/>
  <c r="EJ20" i="10"/>
  <c r="EO20" i="10" s="1"/>
  <c r="EH21" i="10"/>
  <c r="ED22" i="10"/>
  <c r="EF22" i="10"/>
  <c r="EC22" i="10"/>
  <c r="EB22" i="10"/>
  <c r="EE22" i="10"/>
  <c r="EA23" i="10"/>
  <c r="GM19" i="9"/>
  <c r="GF19" i="9"/>
  <c r="GK9" i="9"/>
  <c r="GQ9" i="9" s="1"/>
  <c r="GG9" i="9"/>
  <c r="GS9" i="9"/>
  <c r="GK10" i="9"/>
  <c r="GQ10" i="9" s="1"/>
  <c r="GG10" i="9"/>
  <c r="GS10" i="9"/>
  <c r="GR19" i="9"/>
  <c r="J74" i="9"/>
  <c r="CO74" i="9" s="1"/>
  <c r="L78" i="9"/>
  <c r="CP78" i="9" s="1"/>
  <c r="L76" i="9"/>
  <c r="CP76" i="9" s="1"/>
  <c r="L68" i="9"/>
  <c r="CP68" i="9" s="1"/>
  <c r="J68" i="9"/>
  <c r="CO68" i="9" s="1"/>
  <c r="L69" i="9"/>
  <c r="CP69" i="9" s="1"/>
  <c r="L70" i="9"/>
  <c r="CP70" i="9" s="1"/>
  <c r="L75" i="9"/>
  <c r="CP75" i="9" s="1"/>
  <c r="L77" i="9"/>
  <c r="CP77" i="9" s="1"/>
  <c r="J73" i="9"/>
  <c r="CO73" i="9" s="1"/>
  <c r="L71" i="9"/>
  <c r="CP71" i="9" s="1"/>
  <c r="L74" i="9"/>
  <c r="CP74" i="9" s="1"/>
  <c r="LL15" i="9"/>
  <c r="CY38" i="9" s="1"/>
  <c r="AH76" i="9" s="1"/>
  <c r="CK76" i="9" s="1"/>
  <c r="GC13" i="9"/>
  <c r="KX15" i="9"/>
  <c r="LC15" i="9" s="1"/>
  <c r="CL38" i="9" s="1"/>
  <c r="Q138" i="9" s="1"/>
  <c r="DD34" i="9"/>
  <c r="AB72" i="9" s="1"/>
  <c r="CV34" i="9"/>
  <c r="DD33" i="9"/>
  <c r="AB71" i="9" s="1"/>
  <c r="CV33" i="9"/>
  <c r="DC34" i="9"/>
  <c r="X72" i="9" s="1"/>
  <c r="CT34" i="9"/>
  <c r="DC35" i="9"/>
  <c r="X73" i="9" s="1"/>
  <c r="CT35" i="9"/>
  <c r="LL19" i="9"/>
  <c r="LD19" i="9"/>
  <c r="LH19" i="9"/>
  <c r="DD40" i="9"/>
  <c r="AB78" i="9" s="1"/>
  <c r="CV40" i="9"/>
  <c r="LD15" i="9"/>
  <c r="CM38" i="9" s="1"/>
  <c r="V138" i="9" s="1"/>
  <c r="DC38" i="9"/>
  <c r="X76" i="9" s="1"/>
  <c r="CT38" i="9"/>
  <c r="DD37" i="9"/>
  <c r="AB75" i="9" s="1"/>
  <c r="CV37" i="9"/>
  <c r="LH13" i="9"/>
  <c r="CS36" i="9" s="1"/>
  <c r="V74" i="9" s="1"/>
  <c r="KX13" i="9"/>
  <c r="LG13" i="9" s="1"/>
  <c r="CQ36" i="9" s="1"/>
  <c r="R74" i="9" s="1"/>
  <c r="LL13" i="9"/>
  <c r="CY36" i="9" s="1"/>
  <c r="AH74" i="9" s="1"/>
  <c r="CK74" i="9" s="1"/>
  <c r="CV29" i="9"/>
  <c r="CT29" i="9"/>
  <c r="FU13" i="9"/>
  <c r="LL6" i="9"/>
  <c r="CY29" i="9" s="1"/>
  <c r="FO13" i="9"/>
  <c r="FT13" i="9" s="1"/>
  <c r="DD29" i="9"/>
  <c r="DC29" i="9"/>
  <c r="KW9" i="9"/>
  <c r="LH9" i="9" s="1"/>
  <c r="CS32" i="9" s="1"/>
  <c r="V70" i="9" s="1"/>
  <c r="KW16" i="9"/>
  <c r="LL16" i="9" s="1"/>
  <c r="CY39" i="9" s="1"/>
  <c r="AH77" i="9" s="1"/>
  <c r="CK77" i="9" s="1"/>
  <c r="FZ14" i="9"/>
  <c r="FN14" i="9"/>
  <c r="FY14" i="9" s="1"/>
  <c r="KW20" i="9"/>
  <c r="LH20" i="9" s="1"/>
  <c r="LI9" i="9"/>
  <c r="CU32" i="9" s="1"/>
  <c r="Z70" i="9" s="1"/>
  <c r="KX11" i="9"/>
  <c r="LC11" i="9" s="1"/>
  <c r="CL34" i="9" s="1"/>
  <c r="Q134" i="9" s="1"/>
  <c r="LL11" i="9"/>
  <c r="CY34" i="9" s="1"/>
  <c r="AH72" i="9" s="1"/>
  <c r="CK72" i="9" s="1"/>
  <c r="LI8" i="9"/>
  <c r="CU31" i="9" s="1"/>
  <c r="Z69" i="9" s="1"/>
  <c r="LD6" i="9"/>
  <c r="CM29" i="9" s="1"/>
  <c r="KX6" i="9"/>
  <c r="KY6" i="9" s="1"/>
  <c r="LD11" i="9"/>
  <c r="CM34" i="9" s="1"/>
  <c r="V134" i="9" s="1"/>
  <c r="LI20" i="9"/>
  <c r="LI16" i="9"/>
  <c r="CU39" i="9" s="1"/>
  <c r="Z77" i="9" s="1"/>
  <c r="KW8" i="9"/>
  <c r="KX8" i="9" s="1"/>
  <c r="LH7" i="9"/>
  <c r="CS30" i="9" s="1"/>
  <c r="V68" i="9" s="1"/>
  <c r="KX7" i="9"/>
  <c r="LK7" i="9" s="1"/>
  <c r="CX30" i="9" s="1"/>
  <c r="AF68" i="9" s="1"/>
  <c r="CJ68" i="9" s="1"/>
  <c r="LL7" i="9"/>
  <c r="CY30" i="9" s="1"/>
  <c r="AH68" i="9" s="1"/>
  <c r="CK68" i="9" s="1"/>
  <c r="FS11" i="9"/>
  <c r="FR11" i="9"/>
  <c r="GA11" i="9"/>
  <c r="FW11" i="9"/>
  <c r="FQ11" i="9"/>
  <c r="GD11" i="9" s="1"/>
  <c r="FM15" i="9"/>
  <c r="FZ15" i="9" s="1"/>
  <c r="LD10" i="9"/>
  <c r="CM33" i="9" s="1"/>
  <c r="V133" i="9" s="1"/>
  <c r="KX10" i="9"/>
  <c r="LH10" i="9"/>
  <c r="CS33" i="9" s="1"/>
  <c r="V71" i="9" s="1"/>
  <c r="LL10" i="9"/>
  <c r="CY33" i="9" s="1"/>
  <c r="AH71" i="9" s="1"/>
  <c r="CK71" i="9" s="1"/>
  <c r="LC19" i="9"/>
  <c r="KY19" i="9"/>
  <c r="LG19" i="9"/>
  <c r="LK19" i="9"/>
  <c r="LD14" i="9"/>
  <c r="CM37" i="9" s="1"/>
  <c r="V137" i="9" s="1"/>
  <c r="LL14" i="9"/>
  <c r="CY37" i="9" s="1"/>
  <c r="AH75" i="9" s="1"/>
  <c r="CK75" i="9" s="1"/>
  <c r="LH14" i="9"/>
  <c r="CS37" i="9" s="1"/>
  <c r="V75" i="9" s="1"/>
  <c r="KX14" i="9"/>
  <c r="LC12" i="9"/>
  <c r="CL35" i="9" s="1"/>
  <c r="Q135" i="9" s="1"/>
  <c r="LG12" i="9"/>
  <c r="CQ35" i="9" s="1"/>
  <c r="R73" i="9" s="1"/>
  <c r="LK12" i="9"/>
  <c r="CX35" i="9" s="1"/>
  <c r="AF73" i="9" s="1"/>
  <c r="CJ73" i="9" s="1"/>
  <c r="KY12" i="9"/>
  <c r="LD17" i="9"/>
  <c r="CM40" i="9" s="1"/>
  <c r="V140" i="9" s="1"/>
  <c r="LL17" i="9"/>
  <c r="CY40" i="9" s="1"/>
  <c r="AH78" i="9" s="1"/>
  <c r="CK78" i="9" s="1"/>
  <c r="KX17" i="9"/>
  <c r="LH17" i="9"/>
  <c r="CS40" i="9" s="1"/>
  <c r="V78" i="9" s="1"/>
  <c r="FF18" i="9"/>
  <c r="FE18" i="9"/>
  <c r="FG18" i="9" s="1"/>
  <c r="EE20" i="9"/>
  <c r="EA21" i="9"/>
  <c r="EC20" i="9"/>
  <c r="GP20" i="9"/>
  <c r="EF20" i="9"/>
  <c r="EI20" i="9"/>
  <c r="EB20" i="9"/>
  <c r="ED20" i="9"/>
  <c r="EH20" i="9"/>
  <c r="EG20" i="9"/>
  <c r="EM19" i="9"/>
  <c r="FB19" i="9" s="1"/>
  <c r="FD19" i="9" s="1"/>
  <c r="EO19" i="9"/>
  <c r="FC19" i="9" s="1"/>
  <c r="FQ12" i="9"/>
  <c r="GD12" i="9" s="1"/>
  <c r="FS12" i="9"/>
  <c r="GA12" i="9"/>
  <c r="FW12" i="9"/>
  <c r="FR12" i="9"/>
  <c r="EQ19" i="9"/>
  <c r="ES19" i="9"/>
  <c r="FK16" i="9"/>
  <c r="FL16" i="9"/>
  <c r="FH17" i="9"/>
  <c r="FJ17" i="9" s="1"/>
  <c r="FI17" i="9"/>
  <c r="EW19" i="9"/>
  <c r="EU19" i="9"/>
  <c r="EY19" i="9"/>
  <c r="EZ19" i="9"/>
  <c r="L81" i="9" l="1"/>
  <c r="CP80" i="9" s="1"/>
  <c r="Z79" i="9"/>
  <c r="DD41" i="9"/>
  <c r="AB79" i="9" s="1"/>
  <c r="CN46" i="9"/>
  <c r="AA144" i="9" s="1"/>
  <c r="LD18" i="9"/>
  <c r="CM41" i="9" s="1"/>
  <c r="V141" i="9" s="1"/>
  <c r="LH18" i="9"/>
  <c r="CS41" i="9" s="1"/>
  <c r="CT41" i="9" s="1"/>
  <c r="KX18" i="9"/>
  <c r="KY18" i="9" s="1"/>
  <c r="CS43" i="9"/>
  <c r="CY42" i="9"/>
  <c r="AH80" i="9" s="1"/>
  <c r="CK79" i="9" s="1"/>
  <c r="AH67" i="9"/>
  <c r="CK67" i="9" s="1"/>
  <c r="CM42" i="9"/>
  <c r="J80" i="9" s="1"/>
  <c r="CO79" i="9" s="1"/>
  <c r="CL42" i="9"/>
  <c r="H80" i="9" s="1"/>
  <c r="CN79" i="9" s="1"/>
  <c r="V129" i="9"/>
  <c r="CU43" i="9"/>
  <c r="CU46" i="9" s="1"/>
  <c r="CX42" i="9"/>
  <c r="AF80" i="9" s="1"/>
  <c r="CJ79" i="9" s="1"/>
  <c r="X67" i="9"/>
  <c r="L80" i="9"/>
  <c r="CP79" i="9" s="1"/>
  <c r="CP81" i="9" s="1"/>
  <c r="CQ42" i="9"/>
  <c r="R80" i="9" s="1"/>
  <c r="AB67" i="9"/>
  <c r="CS42" i="9"/>
  <c r="CZ21" i="2"/>
  <c r="CQ21" i="2"/>
  <c r="DA21" i="2" s="1"/>
  <c r="CX22" i="2"/>
  <c r="CP22" i="2"/>
  <c r="CZ22" i="2" s="1"/>
  <c r="CN22" i="2"/>
  <c r="CL22" i="2"/>
  <c r="CO22" i="2" s="1"/>
  <c r="CK23" i="2"/>
  <c r="CU21" i="1"/>
  <c r="CY21" i="1"/>
  <c r="CP22" i="1"/>
  <c r="CR21" i="1"/>
  <c r="CW21" i="1" s="1"/>
  <c r="CV22" i="1"/>
  <c r="CQ22" i="1"/>
  <c r="CM24" i="1"/>
  <c r="CT23" i="1"/>
  <c r="CX23" i="1" s="1"/>
  <c r="CO23" i="1"/>
  <c r="CN23" i="1"/>
  <c r="EL125" i="10"/>
  <c r="ER124" i="10"/>
  <c r="EV124" i="10" s="1"/>
  <c r="EI124" i="10"/>
  <c r="EN124" i="10" s="1"/>
  <c r="EU21" i="10"/>
  <c r="EW21" i="10" s="1"/>
  <c r="EQ21" i="10"/>
  <c r="ES21" i="10" s="1"/>
  <c r="EH22" i="10"/>
  <c r="EM21" i="10"/>
  <c r="EJ21" i="10"/>
  <c r="EO21" i="10" s="1"/>
  <c r="EF23" i="10"/>
  <c r="EC23" i="10"/>
  <c r="ED23" i="10"/>
  <c r="EE23" i="10"/>
  <c r="EB23" i="10"/>
  <c r="EA24" i="10"/>
  <c r="GM20" i="9"/>
  <c r="GR20" i="9" s="1"/>
  <c r="GF20" i="9"/>
  <c r="J72" i="9"/>
  <c r="CO72" i="9" s="1"/>
  <c r="H76" i="9"/>
  <c r="CN76" i="9" s="1"/>
  <c r="J67" i="9"/>
  <c r="CO67" i="9" s="1"/>
  <c r="J75" i="9"/>
  <c r="CO75" i="9" s="1"/>
  <c r="J71" i="9"/>
  <c r="CO71" i="9" s="1"/>
  <c r="J76" i="9"/>
  <c r="CO76" i="9" s="1"/>
  <c r="J78" i="9"/>
  <c r="CO78" i="9" s="1"/>
  <c r="H72" i="9"/>
  <c r="CN72" i="9" s="1"/>
  <c r="L82" i="9"/>
  <c r="H73" i="9"/>
  <c r="CN73" i="9" s="1"/>
  <c r="KY15" i="9"/>
  <c r="LB15" i="9" s="1"/>
  <c r="LK15" i="9"/>
  <c r="CX38" i="9" s="1"/>
  <c r="AF76" i="9" s="1"/>
  <c r="CJ76" i="9" s="1"/>
  <c r="LG15" i="9"/>
  <c r="CQ38" i="9" s="1"/>
  <c r="DB38" i="9" s="1"/>
  <c r="T76" i="9" s="1"/>
  <c r="FX13" i="9"/>
  <c r="FP13" i="9"/>
  <c r="FW13" i="9" s="1"/>
  <c r="GB13" i="9"/>
  <c r="DC33" i="9"/>
  <c r="X71" i="9" s="1"/>
  <c r="CT33" i="9"/>
  <c r="DB35" i="9"/>
  <c r="T73" i="9" s="1"/>
  <c r="CR35" i="9"/>
  <c r="DC32" i="9"/>
  <c r="X70" i="9" s="1"/>
  <c r="CT32" i="9"/>
  <c r="DD32" i="9"/>
  <c r="AB70" i="9" s="1"/>
  <c r="CV32" i="9"/>
  <c r="DC40" i="9"/>
  <c r="X78" i="9" s="1"/>
  <c r="CT40" i="9"/>
  <c r="DD39" i="9"/>
  <c r="AB77" i="9" s="1"/>
  <c r="CV39" i="9"/>
  <c r="DC37" i="9"/>
  <c r="X75" i="9" s="1"/>
  <c r="CT37" i="9"/>
  <c r="DB36" i="9"/>
  <c r="T74" i="9" s="1"/>
  <c r="CR36" i="9"/>
  <c r="LC13" i="9"/>
  <c r="CL36" i="9" s="1"/>
  <c r="Q136" i="9" s="1"/>
  <c r="LK13" i="9"/>
  <c r="CX36" i="9" s="1"/>
  <c r="AF74" i="9" s="1"/>
  <c r="CJ74" i="9" s="1"/>
  <c r="KY13" i="9"/>
  <c r="KZ13" i="9" s="1"/>
  <c r="DC36" i="9"/>
  <c r="X74" i="9" s="1"/>
  <c r="CT36" i="9"/>
  <c r="DD31" i="9"/>
  <c r="AB69" i="9" s="1"/>
  <c r="CV31" i="9"/>
  <c r="DC30" i="9"/>
  <c r="X68" i="9" s="1"/>
  <c r="CT30" i="9"/>
  <c r="KX9" i="9"/>
  <c r="LC9" i="9" s="1"/>
  <c r="CL32" i="9" s="1"/>
  <c r="Q132" i="9" s="1"/>
  <c r="LD9" i="9"/>
  <c r="CM32" i="9" s="1"/>
  <c r="V132" i="9" s="1"/>
  <c r="GC14" i="9"/>
  <c r="FO14" i="9"/>
  <c r="FX14" i="9" s="1"/>
  <c r="FU14" i="9"/>
  <c r="KX16" i="9"/>
  <c r="LG16" i="9" s="1"/>
  <c r="CQ39" i="9" s="1"/>
  <c r="R77" i="9" s="1"/>
  <c r="LK6" i="9"/>
  <c r="CX29" i="9" s="1"/>
  <c r="LC6" i="9"/>
  <c r="CL29" i="9" s="1"/>
  <c r="LG6" i="9"/>
  <c r="CQ29" i="9" s="1"/>
  <c r="LD16" i="9"/>
  <c r="CM39" i="9" s="1"/>
  <c r="V139" i="9" s="1"/>
  <c r="LL9" i="9"/>
  <c r="CY32" i="9" s="1"/>
  <c r="AH70" i="9" s="1"/>
  <c r="CK70" i="9" s="1"/>
  <c r="KX20" i="9"/>
  <c r="LC20" i="9" s="1"/>
  <c r="LH16" i="9"/>
  <c r="CS39" i="9" s="1"/>
  <c r="V77" i="9" s="1"/>
  <c r="LD20" i="9"/>
  <c r="LL20" i="9"/>
  <c r="KY11" i="9"/>
  <c r="KZ11" i="9" s="1"/>
  <c r="LK11" i="9"/>
  <c r="CX34" i="9" s="1"/>
  <c r="AF72" i="9" s="1"/>
  <c r="CJ72" i="9" s="1"/>
  <c r="LG11" i="9"/>
  <c r="CQ34" i="9" s="1"/>
  <c r="R72" i="9" s="1"/>
  <c r="LD8" i="9"/>
  <c r="CM31" i="9" s="1"/>
  <c r="V131" i="9" s="1"/>
  <c r="KY7" i="9"/>
  <c r="LB7" i="9" s="1"/>
  <c r="FV15" i="9"/>
  <c r="LG7" i="9"/>
  <c r="CQ30" i="9" s="1"/>
  <c r="R68" i="9" s="1"/>
  <c r="LC7" i="9"/>
  <c r="CL30" i="9" s="1"/>
  <c r="Q130" i="9" s="1"/>
  <c r="LL8" i="9"/>
  <c r="CY31" i="9" s="1"/>
  <c r="AH69" i="9" s="1"/>
  <c r="CK69" i="9" s="1"/>
  <c r="FN15" i="9"/>
  <c r="GC15" i="9" s="1"/>
  <c r="LH8" i="9"/>
  <c r="CS31" i="9" s="1"/>
  <c r="V69" i="9" s="1"/>
  <c r="GE11" i="9"/>
  <c r="GH11" i="9" s="1"/>
  <c r="GJ11" i="9"/>
  <c r="KZ19" i="9"/>
  <c r="CK42" i="9" s="1"/>
  <c r="LF19" i="9"/>
  <c r="LJ19" i="9"/>
  <c r="LB19" i="9"/>
  <c r="LA19" i="9"/>
  <c r="LC10" i="9"/>
  <c r="CL33" i="9" s="1"/>
  <c r="Q133" i="9" s="1"/>
  <c r="LG10" i="9"/>
  <c r="CQ33" i="9" s="1"/>
  <c r="R71" i="9" s="1"/>
  <c r="LK10" i="9"/>
  <c r="CX33" i="9" s="1"/>
  <c r="AF71" i="9" s="1"/>
  <c r="CJ71" i="9" s="1"/>
  <c r="KY10" i="9"/>
  <c r="LC14" i="9"/>
  <c r="CL37" i="9" s="1"/>
  <c r="Q137" i="9" s="1"/>
  <c r="LG14" i="9"/>
  <c r="CQ37" i="9" s="1"/>
  <c r="R75" i="9" s="1"/>
  <c r="KY14" i="9"/>
  <c r="LK14" i="9"/>
  <c r="CX37" i="9" s="1"/>
  <c r="AF75" i="9" s="1"/>
  <c r="CJ75" i="9" s="1"/>
  <c r="LC8" i="9"/>
  <c r="CL31" i="9" s="1"/>
  <c r="Q131" i="9" s="1"/>
  <c r="LK8" i="9"/>
  <c r="CX31" i="9" s="1"/>
  <c r="AF69" i="9" s="1"/>
  <c r="CJ69" i="9" s="1"/>
  <c r="LG8" i="9"/>
  <c r="CQ31" i="9" s="1"/>
  <c r="R69" i="9" s="1"/>
  <c r="KY8" i="9"/>
  <c r="KZ12" i="9"/>
  <c r="LA12" i="9"/>
  <c r="LF12" i="9"/>
  <c r="CO35" i="9" s="1"/>
  <c r="N73" i="9" s="1"/>
  <c r="LB12" i="9"/>
  <c r="LJ12" i="9"/>
  <c r="CW35" i="9" s="1"/>
  <c r="AD73" i="9" s="1"/>
  <c r="CI73" i="9" s="1"/>
  <c r="LC17" i="9"/>
  <c r="CL40" i="9" s="1"/>
  <c r="Q140" i="9" s="1"/>
  <c r="KY17" i="9"/>
  <c r="LG17" i="9"/>
  <c r="CQ40" i="9" s="1"/>
  <c r="R78" i="9" s="1"/>
  <c r="LK17" i="9"/>
  <c r="CX40" i="9" s="1"/>
  <c r="AF78" i="9" s="1"/>
  <c r="CJ78" i="9" s="1"/>
  <c r="LJ6" i="9"/>
  <c r="CW29" i="9" s="1"/>
  <c r="LB6" i="9"/>
  <c r="LA6" i="9"/>
  <c r="LF6" i="9"/>
  <c r="CO29" i="9" s="1"/>
  <c r="KZ6" i="9"/>
  <c r="GJ12" i="9"/>
  <c r="GE12" i="9"/>
  <c r="GH12" i="9" s="1"/>
  <c r="ES20" i="9"/>
  <c r="EQ20" i="9"/>
  <c r="EE21" i="9"/>
  <c r="EH21" i="9"/>
  <c r="EB21" i="9"/>
  <c r="EA22" i="9"/>
  <c r="EC21" i="9"/>
  <c r="GP21" i="9"/>
  <c r="ED21" i="9"/>
  <c r="EF21" i="9"/>
  <c r="EI21" i="9"/>
  <c r="EG21" i="9"/>
  <c r="FE19" i="9"/>
  <c r="FG19" i="9" s="1"/>
  <c r="FF19" i="9"/>
  <c r="EY20" i="9"/>
  <c r="EZ20" i="9"/>
  <c r="EU20" i="9"/>
  <c r="EW20" i="9"/>
  <c r="FH18" i="9"/>
  <c r="FJ18" i="9" s="1"/>
  <c r="FI18" i="9"/>
  <c r="FL17" i="9"/>
  <c r="FK17" i="9"/>
  <c r="FM16" i="9"/>
  <c r="EO20" i="9"/>
  <c r="FC20" i="9" s="1"/>
  <c r="EM20" i="9"/>
  <c r="FB20" i="9" s="1"/>
  <c r="FD20" i="9" s="1"/>
  <c r="DC41" i="9" l="1"/>
  <c r="X79" i="9" s="1"/>
  <c r="LG18" i="9"/>
  <c r="CQ41" i="9" s="1"/>
  <c r="CR41" i="9" s="1"/>
  <c r="V79" i="9"/>
  <c r="J79" i="9"/>
  <c r="LC18" i="9"/>
  <c r="CL41" i="9" s="1"/>
  <c r="Q141" i="9" s="1"/>
  <c r="Q142" i="9"/>
  <c r="LK18" i="9"/>
  <c r="CX41" i="9" s="1"/>
  <c r="AF79" i="9" s="1"/>
  <c r="V142" i="9"/>
  <c r="Q129" i="9"/>
  <c r="CS48" i="9"/>
  <c r="BF34" i="9" s="1"/>
  <c r="CY43" i="9"/>
  <c r="CY46" i="9" s="1"/>
  <c r="NK63" i="9" s="1"/>
  <c r="NH63" i="9" s="1"/>
  <c r="AF67" i="9"/>
  <c r="CJ67" i="9" s="1"/>
  <c r="R67" i="9"/>
  <c r="CW42" i="9"/>
  <c r="AD80" i="9" s="1"/>
  <c r="CI79" i="9" s="1"/>
  <c r="CM43" i="9"/>
  <c r="CM46" i="9" s="1"/>
  <c r="V144" i="9" s="1"/>
  <c r="DC42" i="9"/>
  <c r="X80" i="9" s="1"/>
  <c r="CT42" i="9"/>
  <c r="CV43" i="9"/>
  <c r="CV46" i="9" s="1"/>
  <c r="CA45" i="9" s="1"/>
  <c r="AZ44" i="9" s="1"/>
  <c r="DD43" i="9"/>
  <c r="AB81" i="9" s="1"/>
  <c r="CU48" i="9"/>
  <c r="BF43" i="9" s="1"/>
  <c r="LF18" i="9"/>
  <c r="CO41" i="9" s="1"/>
  <c r="LA18" i="9"/>
  <c r="LB18" i="9"/>
  <c r="LJ18" i="9"/>
  <c r="CW41" i="9" s="1"/>
  <c r="AD79" i="9" s="1"/>
  <c r="KZ18" i="9"/>
  <c r="AD67" i="9"/>
  <c r="CI67" i="9" s="1"/>
  <c r="CO42" i="9"/>
  <c r="N80" i="9" s="1"/>
  <c r="V80" i="9"/>
  <c r="Z81" i="9"/>
  <c r="CT43" i="9"/>
  <c r="DC43" i="9"/>
  <c r="X81" i="9" s="1"/>
  <c r="N67" i="9"/>
  <c r="CL43" i="9"/>
  <c r="H81" i="9" s="1"/>
  <c r="CN80" i="9" s="1"/>
  <c r="DB41" i="9"/>
  <c r="T79" i="9" s="1"/>
  <c r="DB42" i="9"/>
  <c r="T80" i="9" s="1"/>
  <c r="CR42" i="9"/>
  <c r="CS46" i="9"/>
  <c r="V81" i="9"/>
  <c r="CX23" i="2"/>
  <c r="CP23" i="2"/>
  <c r="CL23" i="2"/>
  <c r="CN23" i="2"/>
  <c r="CK24" i="2"/>
  <c r="CQ22" i="2"/>
  <c r="DA22" i="2" s="1"/>
  <c r="CY22" i="2"/>
  <c r="CU22" i="1"/>
  <c r="CY22" i="1"/>
  <c r="CR22" i="1"/>
  <c r="CW22" i="1" s="1"/>
  <c r="CP23" i="1"/>
  <c r="CV23" i="1"/>
  <c r="CQ23" i="1"/>
  <c r="CM25" i="1"/>
  <c r="CT24" i="1"/>
  <c r="CX24" i="1" s="1"/>
  <c r="CO24" i="1"/>
  <c r="CN24" i="1"/>
  <c r="EL126" i="10"/>
  <c r="ER125" i="10"/>
  <c r="EV125" i="10" s="1"/>
  <c r="EI125" i="10"/>
  <c r="EN125" i="10" s="1"/>
  <c r="EU22" i="10"/>
  <c r="EW22" i="10" s="1"/>
  <c r="EQ22" i="10"/>
  <c r="ES22" i="10" s="1"/>
  <c r="EM22" i="10"/>
  <c r="EJ22" i="10"/>
  <c r="EO22" i="10" s="1"/>
  <c r="ED24" i="10"/>
  <c r="EC24" i="10"/>
  <c r="EF24" i="10"/>
  <c r="EB24" i="10"/>
  <c r="EE24" i="10"/>
  <c r="EH23" i="10"/>
  <c r="AZ42" i="10"/>
  <c r="AZ43" i="10"/>
  <c r="EA25" i="10"/>
  <c r="AZ44" i="10"/>
  <c r="LJ15" i="9"/>
  <c r="CW38" i="9" s="1"/>
  <c r="AD76" i="9" s="1"/>
  <c r="CI76" i="9" s="1"/>
  <c r="KZ15" i="9"/>
  <c r="LM15" i="9" s="1"/>
  <c r="LU15" i="9" s="1"/>
  <c r="AM76" i="9" s="1"/>
  <c r="GM21" i="9"/>
  <c r="GR21" i="9" s="1"/>
  <c r="GF21" i="9"/>
  <c r="GK12" i="9"/>
  <c r="GQ12" i="9" s="1"/>
  <c r="GG12" i="9"/>
  <c r="GS12" i="9"/>
  <c r="GK11" i="9"/>
  <c r="GQ11" i="9" s="1"/>
  <c r="GG11" i="9"/>
  <c r="GS11" i="9"/>
  <c r="H74" i="9"/>
  <c r="CN74" i="9" s="1"/>
  <c r="J69" i="9"/>
  <c r="CO69" i="9" s="1"/>
  <c r="H78" i="9"/>
  <c r="CN78" i="9" s="1"/>
  <c r="H71" i="9"/>
  <c r="CN71" i="9" s="1"/>
  <c r="J77" i="9"/>
  <c r="CO77" i="9" s="1"/>
  <c r="J70" i="9"/>
  <c r="CO70" i="9" s="1"/>
  <c r="H70" i="9"/>
  <c r="CN70" i="9" s="1"/>
  <c r="H67" i="9"/>
  <c r="CN67" i="9" s="1"/>
  <c r="H69" i="9"/>
  <c r="CN69" i="9" s="1"/>
  <c r="H75" i="9"/>
  <c r="CN75" i="9" s="1"/>
  <c r="H68" i="9"/>
  <c r="CN68" i="9" s="1"/>
  <c r="FQ13" i="9"/>
  <c r="GD13" i="9" s="1"/>
  <c r="GJ13" i="9" s="1"/>
  <c r="GA13" i="9"/>
  <c r="LF15" i="9"/>
  <c r="CO38" i="9" s="1"/>
  <c r="N76" i="9" s="1"/>
  <c r="LA15" i="9"/>
  <c r="CR38" i="9"/>
  <c r="R76" i="9"/>
  <c r="CA44" i="9"/>
  <c r="AZ43" i="9" s="1"/>
  <c r="Z82" i="9"/>
  <c r="FR13" i="9"/>
  <c r="FS13" i="9"/>
  <c r="FP14" i="9"/>
  <c r="FQ14" i="9" s="1"/>
  <c r="GB14" i="9"/>
  <c r="LB13" i="9"/>
  <c r="CV49" i="9"/>
  <c r="BF44" i="9" s="1"/>
  <c r="DA35" i="9"/>
  <c r="P73" i="9" s="1"/>
  <c r="CP35" i="9"/>
  <c r="DB33" i="9"/>
  <c r="T71" i="9" s="1"/>
  <c r="CR33" i="9"/>
  <c r="DB34" i="9"/>
  <c r="T72" i="9" s="1"/>
  <c r="CR34" i="9"/>
  <c r="KY9" i="9"/>
  <c r="LF9" i="9" s="1"/>
  <c r="CO32" i="9" s="1"/>
  <c r="N70" i="9" s="1"/>
  <c r="LK9" i="9"/>
  <c r="CX32" i="9" s="1"/>
  <c r="AF70" i="9" s="1"/>
  <c r="CJ70" i="9" s="1"/>
  <c r="LG9" i="9"/>
  <c r="CQ32" i="9" s="1"/>
  <c r="R70" i="9" s="1"/>
  <c r="DB40" i="9"/>
  <c r="T78" i="9" s="1"/>
  <c r="CR40" i="9"/>
  <c r="DC39" i="9"/>
  <c r="X77" i="9" s="1"/>
  <c r="CT39" i="9"/>
  <c r="DB39" i="9"/>
  <c r="T77" i="9" s="1"/>
  <c r="CR39" i="9"/>
  <c r="DB37" i="9"/>
  <c r="T75" i="9" s="1"/>
  <c r="CR37" i="9"/>
  <c r="LJ13" i="9"/>
  <c r="CW36" i="9" s="1"/>
  <c r="AD74" i="9" s="1"/>
  <c r="CI74" i="9" s="1"/>
  <c r="LA13" i="9"/>
  <c r="LF13" i="9"/>
  <c r="CO36" i="9" s="1"/>
  <c r="N74" i="9" s="1"/>
  <c r="DB31" i="9"/>
  <c r="T69" i="9" s="1"/>
  <c r="CR31" i="9"/>
  <c r="DC31" i="9"/>
  <c r="CT31" i="9"/>
  <c r="DB30" i="9"/>
  <c r="T68" i="9" s="1"/>
  <c r="CR30" i="9"/>
  <c r="CR29" i="9"/>
  <c r="CP29" i="9"/>
  <c r="FT14" i="9"/>
  <c r="LK16" i="9"/>
  <c r="CX39" i="9" s="1"/>
  <c r="AF77" i="9" s="1"/>
  <c r="CJ77" i="9" s="1"/>
  <c r="KY16" i="9"/>
  <c r="KZ16" i="9" s="1"/>
  <c r="LC16" i="9"/>
  <c r="CL39" i="9" s="1"/>
  <c r="Q139" i="9" s="1"/>
  <c r="DA29" i="9"/>
  <c r="DB29" i="9"/>
  <c r="LB11" i="9"/>
  <c r="LA11" i="9"/>
  <c r="LJ11" i="9"/>
  <c r="CW34" i="9" s="1"/>
  <c r="AD72" i="9" s="1"/>
  <c r="CI72" i="9" s="1"/>
  <c r="KY20" i="9"/>
  <c r="LA20" i="9" s="1"/>
  <c r="LK20" i="9"/>
  <c r="LG20" i="9"/>
  <c r="LF11" i="9"/>
  <c r="CO34" i="9" s="1"/>
  <c r="N72" i="9" s="1"/>
  <c r="FU15" i="9"/>
  <c r="LF7" i="9"/>
  <c r="CO30" i="9" s="1"/>
  <c r="N68" i="9" s="1"/>
  <c r="KZ7" i="9"/>
  <c r="CK30" i="9" s="1"/>
  <c r="L130" i="9" s="1"/>
  <c r="LJ7" i="9"/>
  <c r="CW30" i="9" s="1"/>
  <c r="AD68" i="9" s="1"/>
  <c r="CI68" i="9" s="1"/>
  <c r="LA7" i="9"/>
  <c r="FO15" i="9"/>
  <c r="GB15" i="9" s="1"/>
  <c r="FY15" i="9"/>
  <c r="FM17" i="9"/>
  <c r="FN17" i="9" s="1"/>
  <c r="KZ10" i="9"/>
  <c r="LB10" i="9"/>
  <c r="LA10" i="9"/>
  <c r="LF10" i="9"/>
  <c r="CO33" i="9" s="1"/>
  <c r="N71" i="9" s="1"/>
  <c r="LJ10" i="9"/>
  <c r="CW33" i="9" s="1"/>
  <c r="AD71" i="9" s="1"/>
  <c r="CI71" i="9" s="1"/>
  <c r="L142" i="9"/>
  <c r="LM19" i="9"/>
  <c r="KZ17" i="9"/>
  <c r="LJ17" i="9"/>
  <c r="CW40" i="9" s="1"/>
  <c r="AD78" i="9" s="1"/>
  <c r="CI78" i="9" s="1"/>
  <c r="LB17" i="9"/>
  <c r="LA17" i="9"/>
  <c r="LF17" i="9"/>
  <c r="CO40" i="9" s="1"/>
  <c r="N78" i="9" s="1"/>
  <c r="CK34" i="9"/>
  <c r="L134" i="9" s="1"/>
  <c r="LM11" i="9"/>
  <c r="LU11" i="9" s="1"/>
  <c r="AM72" i="9" s="1"/>
  <c r="KZ14" i="9"/>
  <c r="LJ14" i="9"/>
  <c r="CW37" i="9" s="1"/>
  <c r="AD75" i="9" s="1"/>
  <c r="CI75" i="9" s="1"/>
  <c r="LB14" i="9"/>
  <c r="LA14" i="9"/>
  <c r="LF14" i="9"/>
  <c r="CO37" i="9" s="1"/>
  <c r="N75" i="9" s="1"/>
  <c r="CK36" i="9"/>
  <c r="L136" i="9" s="1"/>
  <c r="LM13" i="9"/>
  <c r="LU13" i="9" s="1"/>
  <c r="AM74" i="9" s="1"/>
  <c r="KZ8" i="9"/>
  <c r="LF8" i="9"/>
  <c r="CO31" i="9" s="1"/>
  <c r="N69" i="9" s="1"/>
  <c r="LA8" i="9"/>
  <c r="LJ8" i="9"/>
  <c r="CW31" i="9" s="1"/>
  <c r="AD69" i="9" s="1"/>
  <c r="CI69" i="9" s="1"/>
  <c r="LB8" i="9"/>
  <c r="CK38" i="9"/>
  <c r="L138" i="9" s="1"/>
  <c r="CK35" i="9"/>
  <c r="L135" i="9" s="1"/>
  <c r="LM12" i="9"/>
  <c r="LU12" i="9" s="1"/>
  <c r="AM73" i="9" s="1"/>
  <c r="LM6" i="9"/>
  <c r="CK29" i="9"/>
  <c r="FH19" i="9"/>
  <c r="FJ19" i="9" s="1"/>
  <c r="FI19" i="9"/>
  <c r="EY21" i="9"/>
  <c r="EZ21" i="9"/>
  <c r="FE20" i="9"/>
  <c r="FG20" i="9" s="1"/>
  <c r="FF20" i="9"/>
  <c r="ES21" i="9"/>
  <c r="EQ21" i="9"/>
  <c r="EO21" i="9"/>
  <c r="FC21" i="9" s="1"/>
  <c r="EM21" i="9"/>
  <c r="FB21" i="9" s="1"/>
  <c r="FD21" i="9" s="1"/>
  <c r="FL18" i="9"/>
  <c r="FK18" i="9"/>
  <c r="EW21" i="9"/>
  <c r="EU21" i="9"/>
  <c r="FZ16" i="9"/>
  <c r="FN16" i="9"/>
  <c r="FV16" i="9"/>
  <c r="GP22" i="9"/>
  <c r="EC22" i="9"/>
  <c r="EI22" i="9"/>
  <c r="EG22" i="9"/>
  <c r="ED22" i="9"/>
  <c r="EE22" i="9"/>
  <c r="EF22" i="9"/>
  <c r="EB22" i="9"/>
  <c r="EA23" i="9"/>
  <c r="EH22" i="9"/>
  <c r="R79" i="9" l="1"/>
  <c r="Q143" i="9"/>
  <c r="J81" i="9"/>
  <c r="CO80" i="9" s="1"/>
  <c r="CO81" i="9" s="1"/>
  <c r="V143" i="9"/>
  <c r="H79" i="9"/>
  <c r="P67" i="9"/>
  <c r="AH81" i="9"/>
  <c r="CK80" i="9" s="1"/>
  <c r="CK81" i="9" s="1"/>
  <c r="LU19" i="9"/>
  <c r="AM80" i="9" s="1"/>
  <c r="CZ42" i="9"/>
  <c r="CQ43" i="9"/>
  <c r="CQ46" i="9" s="1"/>
  <c r="X69" i="9"/>
  <c r="DC46" i="9"/>
  <c r="DC50" i="9"/>
  <c r="BF32" i="9" s="1"/>
  <c r="LM18" i="9"/>
  <c r="CK41" i="9"/>
  <c r="DD50" i="9"/>
  <c r="BF41" i="9" s="1"/>
  <c r="DD46" i="9"/>
  <c r="CA42" i="9" s="1"/>
  <c r="AZ41" i="9" s="1"/>
  <c r="T67" i="9"/>
  <c r="L129" i="9"/>
  <c r="CX43" i="9"/>
  <c r="AF81" i="9" s="1"/>
  <c r="CJ80" i="9" s="1"/>
  <c r="CJ81" i="9" s="1"/>
  <c r="DC48" i="9"/>
  <c r="DC49" i="9"/>
  <c r="BF33" i="9" s="1"/>
  <c r="CL46" i="9"/>
  <c r="Q144" i="9" s="1"/>
  <c r="DD49" i="9"/>
  <c r="BF42" i="9" s="1"/>
  <c r="DD48" i="9"/>
  <c r="CA43" i="9" s="1"/>
  <c r="AZ42" i="9" s="1"/>
  <c r="DA42" i="9"/>
  <c r="P80" i="9" s="1"/>
  <c r="CP42" i="9"/>
  <c r="CP41" i="9"/>
  <c r="N79" i="9"/>
  <c r="DA41" i="9"/>
  <c r="P79" i="9" s="1"/>
  <c r="CX24" i="2"/>
  <c r="CP24" i="2"/>
  <c r="CK25" i="2"/>
  <c r="CN24" i="2"/>
  <c r="CL24" i="2"/>
  <c r="CO24" i="2" s="1"/>
  <c r="CY24" i="2" s="1"/>
  <c r="CO23" i="2"/>
  <c r="CY23" i="2" s="1"/>
  <c r="CZ23" i="2"/>
  <c r="CU23" i="1"/>
  <c r="CY23" i="1"/>
  <c r="CR23" i="1"/>
  <c r="CW23" i="1" s="1"/>
  <c r="CV24" i="1"/>
  <c r="CQ24" i="1"/>
  <c r="CP24" i="1"/>
  <c r="CM26" i="1"/>
  <c r="CT25" i="1"/>
  <c r="CX25" i="1" s="1"/>
  <c r="CO25" i="1"/>
  <c r="CN25" i="1"/>
  <c r="EL127" i="10"/>
  <c r="ER126" i="10"/>
  <c r="EV126" i="10" s="1"/>
  <c r="EI126" i="10"/>
  <c r="EN126" i="10" s="1"/>
  <c r="EU23" i="10"/>
  <c r="EW23" i="10" s="1"/>
  <c r="EQ23" i="10"/>
  <c r="ES23" i="10" s="1"/>
  <c r="EM23" i="10"/>
  <c r="EJ23" i="10"/>
  <c r="EO23" i="10" s="1"/>
  <c r="EH24" i="10"/>
  <c r="EF25" i="10"/>
  <c r="EC25" i="10"/>
  <c r="ED25" i="10"/>
  <c r="EB25" i="10"/>
  <c r="EE25" i="10"/>
  <c r="AZ34" i="10"/>
  <c r="EA26" i="10"/>
  <c r="AZ35" i="10"/>
  <c r="AZ41" i="10"/>
  <c r="AZ33" i="10"/>
  <c r="GM22" i="9"/>
  <c r="GF22" i="9"/>
  <c r="GA14" i="9"/>
  <c r="FR14" i="9"/>
  <c r="GR22" i="9"/>
  <c r="F74" i="9"/>
  <c r="CM74" i="9" s="1"/>
  <c r="F68" i="9"/>
  <c r="CM68" i="9" s="1"/>
  <c r="J82" i="9"/>
  <c r="F76" i="9"/>
  <c r="CM76" i="9" s="1"/>
  <c r="F67" i="9"/>
  <c r="CM67" i="9" s="1"/>
  <c r="F80" i="9"/>
  <c r="CM79" i="9" s="1"/>
  <c r="F73" i="9"/>
  <c r="CM73" i="9" s="1"/>
  <c r="F72" i="9"/>
  <c r="CM72" i="9" s="1"/>
  <c r="DA38" i="9"/>
  <c r="P76" i="9" s="1"/>
  <c r="GE13" i="9"/>
  <c r="GH13" i="9" s="1"/>
  <c r="CP38" i="9"/>
  <c r="CZ29" i="9"/>
  <c r="LU6" i="9"/>
  <c r="AM67" i="9" s="1"/>
  <c r="FS14" i="9"/>
  <c r="FW14" i="9"/>
  <c r="H77" i="9"/>
  <c r="CN77" i="9" s="1"/>
  <c r="CN81" i="9" s="1"/>
  <c r="CA35" i="9"/>
  <c r="AZ34" i="9" s="1"/>
  <c r="V82" i="9"/>
  <c r="AL41" i="9"/>
  <c r="AH82" i="9"/>
  <c r="GD14" i="9"/>
  <c r="GJ14" i="9" s="1"/>
  <c r="DA34" i="9"/>
  <c r="P72" i="9" s="1"/>
  <c r="CP34" i="9"/>
  <c r="DA33" i="9"/>
  <c r="P71" i="9" s="1"/>
  <c r="CP33" i="9"/>
  <c r="DA32" i="9"/>
  <c r="P70" i="9" s="1"/>
  <c r="CP32" i="9"/>
  <c r="LB9" i="9"/>
  <c r="LA9" i="9"/>
  <c r="LJ9" i="9"/>
  <c r="CW32" i="9" s="1"/>
  <c r="AD70" i="9" s="1"/>
  <c r="CI70" i="9" s="1"/>
  <c r="KZ9" i="9"/>
  <c r="CK32" i="9" s="1"/>
  <c r="L132" i="9" s="1"/>
  <c r="DB32" i="9"/>
  <c r="T70" i="9" s="1"/>
  <c r="CR32" i="9"/>
  <c r="LJ20" i="9"/>
  <c r="KZ20" i="9"/>
  <c r="DA40" i="9"/>
  <c r="P78" i="9" s="1"/>
  <c r="CP40" i="9"/>
  <c r="LF16" i="9"/>
  <c r="CO39" i="9" s="1"/>
  <c r="N77" i="9" s="1"/>
  <c r="LA16" i="9"/>
  <c r="DA37" i="9"/>
  <c r="P75" i="9" s="1"/>
  <c r="CP37" i="9"/>
  <c r="DA36" i="9"/>
  <c r="P74" i="9" s="1"/>
  <c r="CP36" i="9"/>
  <c r="DA31" i="9"/>
  <c r="P69" i="9" s="1"/>
  <c r="CP31" i="9"/>
  <c r="CT49" i="9"/>
  <c r="BF35" i="9" s="1"/>
  <c r="CT46" i="9"/>
  <c r="CA36" i="9" s="1"/>
  <c r="AZ35" i="9" s="1"/>
  <c r="CA34" i="9"/>
  <c r="AZ33" i="9" s="1"/>
  <c r="DA30" i="9"/>
  <c r="P68" i="9" s="1"/>
  <c r="CP30" i="9"/>
  <c r="LB16" i="9"/>
  <c r="LJ16" i="9"/>
  <c r="CW39" i="9" s="1"/>
  <c r="AD77" i="9" s="1"/>
  <c r="CI77" i="9" s="1"/>
  <c r="LB20" i="9"/>
  <c r="LF20" i="9"/>
  <c r="LM7" i="9"/>
  <c r="FV17" i="9"/>
  <c r="FZ17" i="9"/>
  <c r="FP15" i="9"/>
  <c r="FT15" i="9"/>
  <c r="FX15" i="9"/>
  <c r="CK33" i="9"/>
  <c r="L133" i="9" s="1"/>
  <c r="LM10" i="9"/>
  <c r="LU10" i="9" s="1"/>
  <c r="AM71" i="9" s="1"/>
  <c r="CK40" i="9"/>
  <c r="L140" i="9" s="1"/>
  <c r="LM17" i="9"/>
  <c r="LU17" i="9" s="1"/>
  <c r="AM78" i="9" s="1"/>
  <c r="CK37" i="9"/>
  <c r="L137" i="9" s="1"/>
  <c r="LM14" i="9"/>
  <c r="LU14" i="9" s="1"/>
  <c r="AM75" i="9" s="1"/>
  <c r="LN19" i="9"/>
  <c r="LT19" i="9" s="1"/>
  <c r="CK31" i="9"/>
  <c r="L131" i="9" s="1"/>
  <c r="LM8" i="9"/>
  <c r="LU8" i="9" s="1"/>
  <c r="AM69" i="9" s="1"/>
  <c r="LN6" i="9"/>
  <c r="LT6" i="9" s="1"/>
  <c r="CZ36" i="9"/>
  <c r="LN13" i="9"/>
  <c r="LT13" i="9" s="1"/>
  <c r="CK39" i="9"/>
  <c r="L139" i="9" s="1"/>
  <c r="LM16" i="9"/>
  <c r="LU16" i="9" s="1"/>
  <c r="AM77" i="9" s="1"/>
  <c r="CZ35" i="9"/>
  <c r="LN12" i="9"/>
  <c r="LT12" i="9" s="1"/>
  <c r="CZ38" i="9"/>
  <c r="LN15" i="9"/>
  <c r="LT15" i="9" s="1"/>
  <c r="CZ34" i="9"/>
  <c r="LN11" i="9"/>
  <c r="LT11" i="9" s="1"/>
  <c r="EW22" i="9"/>
  <c r="EU22" i="9"/>
  <c r="FO17" i="9"/>
  <c r="FY17" i="9"/>
  <c r="GC17" i="9"/>
  <c r="FU17" i="9"/>
  <c r="EQ22" i="9"/>
  <c r="ES22" i="9"/>
  <c r="EH23" i="9"/>
  <c r="EE23" i="9"/>
  <c r="ED23" i="9"/>
  <c r="EG23" i="9"/>
  <c r="EA24" i="9"/>
  <c r="EB23" i="9"/>
  <c r="EI23" i="9"/>
  <c r="GP23" i="9"/>
  <c r="EC23" i="9"/>
  <c r="EF23" i="9"/>
  <c r="EM22" i="9"/>
  <c r="FB22" i="9" s="1"/>
  <c r="FD22" i="9" s="1"/>
  <c r="EO22" i="9"/>
  <c r="FC22" i="9" s="1"/>
  <c r="FM18" i="9"/>
  <c r="FE21" i="9"/>
  <c r="FG21" i="9" s="1"/>
  <c r="FF21" i="9"/>
  <c r="GC16" i="9"/>
  <c r="FO16" i="9"/>
  <c r="FY16" i="9"/>
  <c r="FU16" i="9"/>
  <c r="FH20" i="9"/>
  <c r="FJ20" i="9" s="1"/>
  <c r="FI20" i="9"/>
  <c r="EZ22" i="9"/>
  <c r="EY22" i="9"/>
  <c r="FK19" i="9"/>
  <c r="FL19" i="9"/>
  <c r="AB82" i="9" l="1"/>
  <c r="CQ48" i="9"/>
  <c r="BF25" i="9" s="1"/>
  <c r="CX46" i="9"/>
  <c r="NK62" i="9" s="1"/>
  <c r="NH62" i="9" s="1"/>
  <c r="CZ41" i="9"/>
  <c r="LU18" i="9"/>
  <c r="AM79" i="9" s="1"/>
  <c r="LN18" i="9"/>
  <c r="LT18" i="9" s="1"/>
  <c r="LM20" i="9"/>
  <c r="LN20" i="9" s="1"/>
  <c r="LT20" i="9" s="1"/>
  <c r="CK43" i="9"/>
  <c r="CK46" i="9" s="1"/>
  <c r="CW43" i="9"/>
  <c r="CW46" i="9" s="1"/>
  <c r="NK61" i="9" s="1"/>
  <c r="NH61" i="9" s="1"/>
  <c r="CO43" i="9"/>
  <c r="CR43" i="9"/>
  <c r="CR49" i="9" s="1"/>
  <c r="BF26" i="9" s="1"/>
  <c r="DB43" i="9"/>
  <c r="DB46" i="9" s="1"/>
  <c r="R81" i="9"/>
  <c r="L141" i="9"/>
  <c r="F79" i="9"/>
  <c r="CQ23" i="2"/>
  <c r="DA23" i="2" s="1"/>
  <c r="CX25" i="2"/>
  <c r="CP25" i="2"/>
  <c r="CL25" i="2"/>
  <c r="CO25" i="2" s="1"/>
  <c r="CY25" i="2" s="1"/>
  <c r="CN25" i="2"/>
  <c r="CK26" i="2"/>
  <c r="CZ24" i="2"/>
  <c r="CQ24" i="2"/>
  <c r="DA24" i="2" s="1"/>
  <c r="CU24" i="1"/>
  <c r="CY24" i="1"/>
  <c r="CR24" i="1"/>
  <c r="CW24" i="1" s="1"/>
  <c r="CP25" i="1"/>
  <c r="CV25" i="1"/>
  <c r="CQ25" i="1"/>
  <c r="CM27" i="1"/>
  <c r="CT26" i="1"/>
  <c r="CX26" i="1" s="1"/>
  <c r="CO26" i="1"/>
  <c r="CN26" i="1"/>
  <c r="EL128" i="10"/>
  <c r="ER127" i="10"/>
  <c r="EV127" i="10" s="1"/>
  <c r="EI127" i="10"/>
  <c r="EN127" i="10" s="1"/>
  <c r="EU24" i="10"/>
  <c r="EW24" i="10" s="1"/>
  <c r="EQ24" i="10"/>
  <c r="ES24" i="10" s="1"/>
  <c r="EM24" i="10"/>
  <c r="EJ24" i="10"/>
  <c r="EO24" i="10" s="1"/>
  <c r="ED26" i="10"/>
  <c r="EF26" i="10"/>
  <c r="EC26" i="10"/>
  <c r="EB26" i="10"/>
  <c r="EE26" i="10"/>
  <c r="EH25" i="10"/>
  <c r="AZ24" i="10"/>
  <c r="AZ26" i="10"/>
  <c r="EA27" i="10"/>
  <c r="AZ32" i="10"/>
  <c r="AZ25" i="10"/>
  <c r="GM23" i="9"/>
  <c r="GR23" i="9" s="1"/>
  <c r="GF23" i="9"/>
  <c r="GK13" i="9"/>
  <c r="GQ13" i="9" s="1"/>
  <c r="GG13" i="9"/>
  <c r="GS13" i="9"/>
  <c r="F69" i="9"/>
  <c r="CM69" i="9" s="1"/>
  <c r="F71" i="9"/>
  <c r="CM71" i="9" s="1"/>
  <c r="H82" i="9"/>
  <c r="F77" i="9"/>
  <c r="CM77" i="9" s="1"/>
  <c r="F75" i="9"/>
  <c r="CM75" i="9" s="1"/>
  <c r="F70" i="9"/>
  <c r="CM70" i="9" s="1"/>
  <c r="F78" i="9"/>
  <c r="CM78" i="9" s="1"/>
  <c r="GE14" i="9"/>
  <c r="GH14" i="9" s="1"/>
  <c r="LN7" i="9"/>
  <c r="LT7" i="9" s="1"/>
  <c r="LU7" i="9"/>
  <c r="AM68" i="9" s="1"/>
  <c r="CA33" i="9"/>
  <c r="AZ32" i="9" s="1"/>
  <c r="X82" i="9"/>
  <c r="CA26" i="9"/>
  <c r="AZ25" i="9" s="1"/>
  <c r="R82" i="9"/>
  <c r="AL40" i="9"/>
  <c r="AF82" i="9"/>
  <c r="LM9" i="9"/>
  <c r="DA39" i="9"/>
  <c r="P77" i="9" s="1"/>
  <c r="CP39" i="9"/>
  <c r="CZ30" i="9"/>
  <c r="GA15" i="9"/>
  <c r="FQ15" i="9"/>
  <c r="GD15" i="9" s="1"/>
  <c r="FW15" i="9"/>
  <c r="FR15" i="9"/>
  <c r="FS15" i="9"/>
  <c r="CZ31" i="9"/>
  <c r="LN8" i="9"/>
  <c r="LT8" i="9" s="1"/>
  <c r="CZ33" i="9"/>
  <c r="LN10" i="9"/>
  <c r="LT10" i="9" s="1"/>
  <c r="CZ40" i="9"/>
  <c r="LN17" i="9"/>
  <c r="LT17" i="9" s="1"/>
  <c r="CZ39" i="9"/>
  <c r="LN16" i="9"/>
  <c r="LT16" i="9" s="1"/>
  <c r="CZ37" i="9"/>
  <c r="LN14" i="9"/>
  <c r="LT14" i="9" s="1"/>
  <c r="EM23" i="9"/>
  <c r="FB23" i="9" s="1"/>
  <c r="FD23" i="9" s="1"/>
  <c r="EO23" i="9"/>
  <c r="FC23" i="9" s="1"/>
  <c r="EF24" i="9"/>
  <c r="EA25" i="9"/>
  <c r="EB24" i="9"/>
  <c r="EH24" i="9"/>
  <c r="EG24" i="9"/>
  <c r="EI24" i="9"/>
  <c r="ED24" i="9"/>
  <c r="EE24" i="9"/>
  <c r="EC24" i="9"/>
  <c r="GP24" i="9"/>
  <c r="FI21" i="9"/>
  <c r="FH21" i="9"/>
  <c r="FJ21" i="9" s="1"/>
  <c r="FM19" i="9"/>
  <c r="FE22" i="9"/>
  <c r="FG22" i="9" s="1"/>
  <c r="FF22" i="9"/>
  <c r="FZ18" i="9"/>
  <c r="FN18" i="9"/>
  <c r="FV18" i="9"/>
  <c r="EW23" i="9"/>
  <c r="EU23" i="9"/>
  <c r="FX17" i="9"/>
  <c r="FT17" i="9"/>
  <c r="GB17" i="9"/>
  <c r="FP17" i="9"/>
  <c r="FK20" i="9"/>
  <c r="FL20" i="9"/>
  <c r="FX16" i="9"/>
  <c r="FT16" i="9"/>
  <c r="GB16" i="9"/>
  <c r="FP16" i="9"/>
  <c r="EY23" i="9"/>
  <c r="EZ23" i="9"/>
  <c r="ES23" i="9"/>
  <c r="EQ23" i="9"/>
  <c r="CR46" i="9" l="1"/>
  <c r="CA27" i="9" s="1"/>
  <c r="AZ26" i="9" s="1"/>
  <c r="L143" i="9"/>
  <c r="AD81" i="9"/>
  <c r="CI80" i="9" s="1"/>
  <c r="CI81" i="9" s="1"/>
  <c r="BH134" i="9" s="1"/>
  <c r="BL134" i="9" s="1"/>
  <c r="DB48" i="9"/>
  <c r="CA25" i="9" s="1"/>
  <c r="AZ24" i="9" s="1"/>
  <c r="CP43" i="9"/>
  <c r="CP49" i="9" s="1"/>
  <c r="BF17" i="9" s="1"/>
  <c r="DA43" i="9"/>
  <c r="P81" i="9" s="1"/>
  <c r="CO46" i="9"/>
  <c r="N82" i="9" s="1"/>
  <c r="CO48" i="9"/>
  <c r="BF16" i="9" s="1"/>
  <c r="N81" i="9"/>
  <c r="LU20" i="9"/>
  <c r="AM81" i="9" s="1"/>
  <c r="CZ43" i="9"/>
  <c r="T81" i="9"/>
  <c r="DB49" i="9"/>
  <c r="BF24" i="9" s="1"/>
  <c r="DB50" i="9"/>
  <c r="BF23" i="9" s="1"/>
  <c r="CQ25" i="2"/>
  <c r="DA25" i="2" s="1"/>
  <c r="CZ25" i="2"/>
  <c r="CX26" i="2"/>
  <c r="CP26" i="2"/>
  <c r="CK27" i="2"/>
  <c r="CN26" i="2"/>
  <c r="CL26" i="2"/>
  <c r="CO26" i="2" s="1"/>
  <c r="CY26" i="2" s="1"/>
  <c r="CU25" i="1"/>
  <c r="CY25" i="1"/>
  <c r="CR25" i="1"/>
  <c r="CW25" i="1" s="1"/>
  <c r="CP26" i="1"/>
  <c r="CV26" i="1"/>
  <c r="CQ26" i="1"/>
  <c r="CM28" i="1"/>
  <c r="CT27" i="1"/>
  <c r="CX27" i="1" s="1"/>
  <c r="CO27" i="1"/>
  <c r="CN27" i="1"/>
  <c r="EL129" i="10"/>
  <c r="ER128" i="10"/>
  <c r="EV128" i="10" s="1"/>
  <c r="EI128" i="10"/>
  <c r="EN128" i="10" s="1"/>
  <c r="EU25" i="10"/>
  <c r="EW25" i="10" s="1"/>
  <c r="EQ25" i="10"/>
  <c r="ES25" i="10" s="1"/>
  <c r="EM25" i="10"/>
  <c r="EJ25" i="10"/>
  <c r="EO25" i="10" s="1"/>
  <c r="EH26" i="10"/>
  <c r="EC27" i="10"/>
  <c r="EF27" i="10"/>
  <c r="ED27" i="10"/>
  <c r="EE27" i="10"/>
  <c r="EB27" i="10"/>
  <c r="AZ16" i="10"/>
  <c r="EA28" i="10"/>
  <c r="AZ23" i="10"/>
  <c r="AZ15" i="10"/>
  <c r="V183" i="10"/>
  <c r="GM24" i="9"/>
  <c r="GF24" i="9"/>
  <c r="AD82" i="9"/>
  <c r="BH129" i="9"/>
  <c r="GK14" i="9"/>
  <c r="GQ14" i="9" s="1"/>
  <c r="GG14" i="9"/>
  <c r="GS14" i="9"/>
  <c r="GR24" i="9"/>
  <c r="CZ32" i="9"/>
  <c r="LU9" i="9"/>
  <c r="AM70" i="9" s="1"/>
  <c r="L144" i="9"/>
  <c r="F81" i="9"/>
  <c r="CM80" i="9" s="1"/>
  <c r="CM81" i="9" s="1"/>
  <c r="BH135" i="9" s="1"/>
  <c r="CA24" i="9"/>
  <c r="AZ23" i="9" s="1"/>
  <c r="T82" i="9"/>
  <c r="AL39" i="9"/>
  <c r="LN9" i="9"/>
  <c r="LT9" i="9" s="1"/>
  <c r="GJ15" i="9"/>
  <c r="GE15" i="9"/>
  <c r="GH15" i="9" s="1"/>
  <c r="FQ16" i="9"/>
  <c r="GD16" i="9" s="1"/>
  <c r="FS16" i="9"/>
  <c r="FW16" i="9"/>
  <c r="FR16" i="9"/>
  <c r="GA16" i="9"/>
  <c r="FZ19" i="9"/>
  <c r="FN19" i="9"/>
  <c r="FV19" i="9"/>
  <c r="FK21" i="9"/>
  <c r="FL21" i="9"/>
  <c r="EM24" i="9"/>
  <c r="FB24" i="9" s="1"/>
  <c r="FD24" i="9" s="1"/>
  <c r="EO24" i="9"/>
  <c r="FC24" i="9" s="1"/>
  <c r="FM20" i="9"/>
  <c r="EA26" i="9"/>
  <c r="ED25" i="9"/>
  <c r="GP25" i="9"/>
  <c r="EC25" i="9"/>
  <c r="EF25" i="9"/>
  <c r="EG25" i="9"/>
  <c r="EH25" i="9"/>
  <c r="EB25" i="9"/>
  <c r="EI25" i="9"/>
  <c r="EE25" i="9"/>
  <c r="FU18" i="9"/>
  <c r="FY18" i="9"/>
  <c r="GC18" i="9"/>
  <c r="FO18" i="9"/>
  <c r="EQ24" i="9"/>
  <c r="ES24" i="9"/>
  <c r="FS17" i="9"/>
  <c r="FQ17" i="9"/>
  <c r="GD17" i="9" s="1"/>
  <c r="GA17" i="9"/>
  <c r="FW17" i="9"/>
  <c r="FR17" i="9"/>
  <c r="EY24" i="9"/>
  <c r="EZ24" i="9"/>
  <c r="FH22" i="9"/>
  <c r="FJ22" i="9" s="1"/>
  <c r="FI22" i="9"/>
  <c r="EW24" i="9"/>
  <c r="EU24" i="9"/>
  <c r="FF23" i="9"/>
  <c r="FE23" i="9"/>
  <c r="FG23" i="9" s="1"/>
  <c r="CA17" i="9" l="1"/>
  <c r="AZ16" i="9" s="1"/>
  <c r="AM82" i="9"/>
  <c r="CP46" i="9"/>
  <c r="CA18" i="9" s="1"/>
  <c r="AZ17" i="9" s="1"/>
  <c r="CZ46" i="9"/>
  <c r="DA50" i="9"/>
  <c r="BF14" i="9" s="1"/>
  <c r="DA48" i="9"/>
  <c r="CA16" i="9" s="1"/>
  <c r="AZ15" i="9" s="1"/>
  <c r="DA49" i="9"/>
  <c r="BF15" i="9" s="1"/>
  <c r="DA46" i="9"/>
  <c r="P82" i="9" s="1"/>
  <c r="CZ26" i="2"/>
  <c r="CQ26" i="2"/>
  <c r="DA26" i="2" s="1"/>
  <c r="CX27" i="2"/>
  <c r="CP27" i="2"/>
  <c r="CL27" i="2"/>
  <c r="CO27" i="2" s="1"/>
  <c r="CY27" i="2" s="1"/>
  <c r="CN27" i="2"/>
  <c r="CK28" i="2"/>
  <c r="CR26" i="1"/>
  <c r="CW26" i="1" s="1"/>
  <c r="CU26" i="1"/>
  <c r="CY26" i="1"/>
  <c r="CV27" i="1"/>
  <c r="CQ27" i="1"/>
  <c r="CP27" i="1"/>
  <c r="CM29" i="1"/>
  <c r="CT28" i="1"/>
  <c r="CX28" i="1" s="1"/>
  <c r="CO28" i="1"/>
  <c r="CN28" i="1"/>
  <c r="EL130" i="10"/>
  <c r="ER129" i="10"/>
  <c r="EV129" i="10" s="1"/>
  <c r="EI129" i="10"/>
  <c r="EN129" i="10" s="1"/>
  <c r="EU26" i="10"/>
  <c r="EW26" i="10" s="1"/>
  <c r="EQ26" i="10"/>
  <c r="ES26" i="10" s="1"/>
  <c r="EH27" i="10"/>
  <c r="EM26" i="10"/>
  <c r="EJ26" i="10"/>
  <c r="EO26" i="10" s="1"/>
  <c r="ED28" i="10"/>
  <c r="EF28" i="10"/>
  <c r="EC28" i="10"/>
  <c r="EE28" i="10"/>
  <c r="EB28" i="10"/>
  <c r="V178" i="10"/>
  <c r="R180" i="10"/>
  <c r="V180" i="10" s="1"/>
  <c r="EA29" i="10"/>
  <c r="AZ14" i="10"/>
  <c r="GM25" i="9"/>
  <c r="GR25" i="9" s="1"/>
  <c r="GF25" i="9"/>
  <c r="BL135" i="9"/>
  <c r="BH136" i="9"/>
  <c r="GK15" i="9"/>
  <c r="GQ15" i="9" s="1"/>
  <c r="GG15" i="9"/>
  <c r="GS15" i="9"/>
  <c r="BL129" i="9"/>
  <c r="BH131" i="9"/>
  <c r="BL131" i="9" s="1"/>
  <c r="F82" i="9"/>
  <c r="GE17" i="9"/>
  <c r="GH17" i="9" s="1"/>
  <c r="GJ17" i="9"/>
  <c r="EU25" i="9"/>
  <c r="EW25" i="9"/>
  <c r="FL22" i="9"/>
  <c r="FK22" i="9"/>
  <c r="FN20" i="9"/>
  <c r="FV20" i="9"/>
  <c r="FZ20" i="9"/>
  <c r="FT18" i="9"/>
  <c r="GB18" i="9"/>
  <c r="FP18" i="9"/>
  <c r="FX18" i="9"/>
  <c r="FF24" i="9"/>
  <c r="FE24" i="9"/>
  <c r="FG24" i="9" s="1"/>
  <c r="FI23" i="9"/>
  <c r="FH23" i="9"/>
  <c r="FJ23" i="9" s="1"/>
  <c r="FM21" i="9"/>
  <c r="EY25" i="9"/>
  <c r="EZ25" i="9"/>
  <c r="GC19" i="9"/>
  <c r="FO19" i="9"/>
  <c r="FU19" i="9"/>
  <c r="FY19" i="9"/>
  <c r="EG26" i="9"/>
  <c r="EH26" i="9"/>
  <c r="EB26" i="9"/>
  <c r="GP26" i="9"/>
  <c r="EF26" i="9"/>
  <c r="EI26" i="9"/>
  <c r="ED26" i="9"/>
  <c r="EA27" i="9"/>
  <c r="EC26" i="9"/>
  <c r="EE26" i="9"/>
  <c r="EO25" i="9"/>
  <c r="FC25" i="9" s="1"/>
  <c r="EM25" i="9"/>
  <c r="FB25" i="9" s="1"/>
  <c r="FD25" i="9" s="1"/>
  <c r="ES25" i="9"/>
  <c r="EQ25" i="9"/>
  <c r="GJ16" i="9"/>
  <c r="GE16" i="9"/>
  <c r="GH16" i="9" s="1"/>
  <c r="CA15" i="9" l="1"/>
  <c r="AZ14" i="9" s="1"/>
  <c r="CX28" i="2"/>
  <c r="CP28" i="2"/>
  <c r="CK29" i="2"/>
  <c r="CL28" i="2"/>
  <c r="CO28" i="2" s="1"/>
  <c r="CY28" i="2" s="1"/>
  <c r="CN28" i="2"/>
  <c r="CZ27" i="2"/>
  <c r="CQ27" i="2"/>
  <c r="DA27" i="2" s="1"/>
  <c r="CU27" i="1"/>
  <c r="CY27" i="1"/>
  <c r="CR27" i="1"/>
  <c r="CW27" i="1" s="1"/>
  <c r="CV28" i="1"/>
  <c r="CQ28" i="1"/>
  <c r="CP28" i="1"/>
  <c r="CM30" i="1"/>
  <c r="CT29" i="1"/>
  <c r="CX29" i="1" s="1"/>
  <c r="CO29" i="1"/>
  <c r="CN29" i="1"/>
  <c r="EL131" i="10"/>
  <c r="ER130" i="10"/>
  <c r="EV130" i="10" s="1"/>
  <c r="EI130" i="10"/>
  <c r="EN130" i="10" s="1"/>
  <c r="EU27" i="10"/>
  <c r="EW27" i="10" s="1"/>
  <c r="EQ27" i="10"/>
  <c r="ES27" i="10" s="1"/>
  <c r="EM27" i="10"/>
  <c r="EJ27" i="10"/>
  <c r="EO27" i="10" s="1"/>
  <c r="EC29" i="10"/>
  <c r="EF29" i="10"/>
  <c r="ED29" i="10"/>
  <c r="EE29" i="10"/>
  <c r="EB29" i="10"/>
  <c r="EH28" i="10"/>
  <c r="V184" i="10"/>
  <c r="R185" i="10"/>
  <c r="EA30" i="10"/>
  <c r="GM26" i="9"/>
  <c r="GR26" i="9" s="1"/>
  <c r="GF26" i="9"/>
  <c r="GK16" i="9"/>
  <c r="GQ16" i="9" s="1"/>
  <c r="GG16" i="9"/>
  <c r="GS16" i="9"/>
  <c r="GK17" i="9"/>
  <c r="GQ17" i="9" s="1"/>
  <c r="GG17" i="9"/>
  <c r="GS17" i="9"/>
  <c r="BH138" i="9"/>
  <c r="BL138" i="9" s="1"/>
  <c r="BL136" i="9"/>
  <c r="FE25" i="9"/>
  <c r="FG25" i="9" s="1"/>
  <c r="FH25" i="9" s="1"/>
  <c r="FJ25" i="9" s="1"/>
  <c r="FF25" i="9"/>
  <c r="FR18" i="9"/>
  <c r="FQ18" i="9"/>
  <c r="GD18" i="9" s="1"/>
  <c r="FS18" i="9"/>
  <c r="GA18" i="9"/>
  <c r="FW18" i="9"/>
  <c r="FI24" i="9"/>
  <c r="FH24" i="9"/>
  <c r="FJ24" i="9" s="1"/>
  <c r="EW26" i="9"/>
  <c r="EU26" i="9"/>
  <c r="FY20" i="9"/>
  <c r="FO20" i="9"/>
  <c r="FU20" i="9"/>
  <c r="GC20" i="9"/>
  <c r="FT19" i="9"/>
  <c r="GB19" i="9"/>
  <c r="FX19" i="9"/>
  <c r="FP19" i="9"/>
  <c r="EZ26" i="9"/>
  <c r="EY26" i="9"/>
  <c r="FN21" i="9"/>
  <c r="FV21" i="9"/>
  <c r="FZ21" i="9"/>
  <c r="EE27" i="9"/>
  <c r="EB27" i="9"/>
  <c r="GP27" i="9"/>
  <c r="EI27" i="9"/>
  <c r="EF27" i="9"/>
  <c r="EH27" i="9"/>
  <c r="ED27" i="9"/>
  <c r="EA28" i="9"/>
  <c r="EG27" i="9"/>
  <c r="EC27" i="9"/>
  <c r="FM22" i="9"/>
  <c r="EO26" i="9"/>
  <c r="FC26" i="9" s="1"/>
  <c r="EM26" i="9"/>
  <c r="FB26" i="9" s="1"/>
  <c r="FD26" i="9" s="1"/>
  <c r="EQ26" i="9"/>
  <c r="ES26" i="9"/>
  <c r="FK23" i="9"/>
  <c r="FL23" i="9"/>
  <c r="CX29" i="2" l="1"/>
  <c r="CP29" i="2"/>
  <c r="CK30" i="2"/>
  <c r="CL29" i="2"/>
  <c r="CO29" i="2" s="1"/>
  <c r="CY29" i="2" s="1"/>
  <c r="CN29" i="2"/>
  <c r="CZ28" i="2"/>
  <c r="CQ28" i="2"/>
  <c r="DA28" i="2" s="1"/>
  <c r="CU28" i="1"/>
  <c r="CY28" i="1"/>
  <c r="CR28" i="1"/>
  <c r="CW28" i="1" s="1"/>
  <c r="CP29" i="1"/>
  <c r="CV29" i="1"/>
  <c r="CQ29" i="1"/>
  <c r="CM31" i="1"/>
  <c r="CT30" i="1"/>
  <c r="CX30" i="1" s="1"/>
  <c r="CO30" i="1"/>
  <c r="CN30" i="1"/>
  <c r="EL132" i="10"/>
  <c r="ER131" i="10"/>
  <c r="EV131" i="10" s="1"/>
  <c r="EI131" i="10"/>
  <c r="EN131" i="10" s="1"/>
  <c r="EU28" i="10"/>
  <c r="EW28" i="10" s="1"/>
  <c r="EQ28" i="10"/>
  <c r="ES28" i="10" s="1"/>
  <c r="EM28" i="10"/>
  <c r="EJ28" i="10"/>
  <c r="EO28" i="10" s="1"/>
  <c r="EH29" i="10"/>
  <c r="EC30" i="10"/>
  <c r="EF30" i="10"/>
  <c r="ED30" i="10"/>
  <c r="EE30" i="10"/>
  <c r="EB30" i="10"/>
  <c r="EA31" i="10"/>
  <c r="V185" i="10"/>
  <c r="R187" i="10"/>
  <c r="V187" i="10" s="1"/>
  <c r="GM27" i="9"/>
  <c r="GR27" i="9" s="1"/>
  <c r="GF27" i="9"/>
  <c r="FI25" i="9"/>
  <c r="FY21" i="9"/>
  <c r="FU21" i="9"/>
  <c r="GC21" i="9"/>
  <c r="FO21" i="9"/>
  <c r="GP28" i="9"/>
  <c r="EC28" i="9"/>
  <c r="EF28" i="9"/>
  <c r="EG28" i="9"/>
  <c r="EI28" i="9"/>
  <c r="EH28" i="9"/>
  <c r="EB28" i="9"/>
  <c r="EE28" i="9"/>
  <c r="EA29" i="9"/>
  <c r="ED28" i="9"/>
  <c r="GB20" i="9"/>
  <c r="FX20" i="9"/>
  <c r="FT20" i="9"/>
  <c r="FP20" i="9"/>
  <c r="GE18" i="9"/>
  <c r="GH18" i="9" s="1"/>
  <c r="GJ18" i="9"/>
  <c r="EW27" i="9"/>
  <c r="EU27" i="9"/>
  <c r="FE26" i="9"/>
  <c r="FG26" i="9" s="1"/>
  <c r="FH26" i="9" s="1"/>
  <c r="FJ26" i="9" s="1"/>
  <c r="FF26" i="9"/>
  <c r="FN22" i="9"/>
  <c r="FV22" i="9"/>
  <c r="FZ22" i="9"/>
  <c r="GA19" i="9"/>
  <c r="FW19" i="9"/>
  <c r="FS19" i="9"/>
  <c r="FQ19" i="9"/>
  <c r="GD19" i="9" s="1"/>
  <c r="FR19" i="9"/>
  <c r="EO27" i="9"/>
  <c r="FC27" i="9" s="1"/>
  <c r="EM27" i="9"/>
  <c r="FB27" i="9" s="1"/>
  <c r="FD27" i="9" s="1"/>
  <c r="FL25" i="9"/>
  <c r="FK25" i="9"/>
  <c r="EQ27" i="9"/>
  <c r="ES27" i="9"/>
  <c r="FM23" i="9"/>
  <c r="EY27" i="9"/>
  <c r="EZ27" i="9"/>
  <c r="FL24" i="9"/>
  <c r="FK24" i="9"/>
  <c r="CX30" i="2" l="1"/>
  <c r="CP30" i="2"/>
  <c r="CZ30" i="2" s="1"/>
  <c r="CL30" i="2"/>
  <c r="CO30" i="2" s="1"/>
  <c r="CN30" i="2"/>
  <c r="CK31" i="2"/>
  <c r="CZ29" i="2"/>
  <c r="CQ29" i="2"/>
  <c r="DA29" i="2" s="1"/>
  <c r="CR29" i="1"/>
  <c r="CW29" i="1" s="1"/>
  <c r="CU29" i="1"/>
  <c r="CY29" i="1"/>
  <c r="CP30" i="1"/>
  <c r="CV30" i="1"/>
  <c r="CQ30" i="1"/>
  <c r="CM32" i="1"/>
  <c r="CT31" i="1"/>
  <c r="CX31" i="1" s="1"/>
  <c r="CO31" i="1"/>
  <c r="CN31" i="1"/>
  <c r="EL133" i="10"/>
  <c r="ER132" i="10"/>
  <c r="EV132" i="10" s="1"/>
  <c r="EI132" i="10"/>
  <c r="EN132" i="10" s="1"/>
  <c r="EU29" i="10"/>
  <c r="EW29" i="10" s="1"/>
  <c r="EQ29" i="10"/>
  <c r="ES29" i="10" s="1"/>
  <c r="EM29" i="10"/>
  <c r="EJ29" i="10"/>
  <c r="EO29" i="10" s="1"/>
  <c r="EH30" i="10"/>
  <c r="EC31" i="10"/>
  <c r="EF31" i="10"/>
  <c r="ED31" i="10"/>
  <c r="EE31" i="10"/>
  <c r="EB31" i="10"/>
  <c r="EA32" i="10"/>
  <c r="GM28" i="9"/>
  <c r="GR28" i="9" s="1"/>
  <c r="GF28" i="9"/>
  <c r="GK18" i="9"/>
  <c r="GQ18" i="9" s="1"/>
  <c r="GG18" i="9"/>
  <c r="GS18" i="9"/>
  <c r="FM24" i="9"/>
  <c r="FI26" i="9"/>
  <c r="FK26" i="9"/>
  <c r="FL26" i="9"/>
  <c r="EU28" i="9"/>
  <c r="EW28" i="9"/>
  <c r="ES28" i="9"/>
  <c r="EQ28" i="9"/>
  <c r="GP29" i="9"/>
  <c r="ED29" i="9"/>
  <c r="EF29" i="9"/>
  <c r="EI29" i="9"/>
  <c r="EB29" i="9"/>
  <c r="EA30" i="9"/>
  <c r="EE29" i="9"/>
  <c r="EG29" i="9"/>
  <c r="EH29" i="9"/>
  <c r="EC29" i="9"/>
  <c r="EY28" i="9"/>
  <c r="EZ28" i="9"/>
  <c r="FT21" i="9"/>
  <c r="GB21" i="9"/>
  <c r="FP21" i="9"/>
  <c r="FX21" i="9"/>
  <c r="FN23" i="9"/>
  <c r="FV23" i="9"/>
  <c r="FZ23" i="9"/>
  <c r="FM25" i="9"/>
  <c r="EM28" i="9"/>
  <c r="FB28" i="9" s="1"/>
  <c r="FD28" i="9" s="1"/>
  <c r="EO28" i="9"/>
  <c r="FC28" i="9" s="1"/>
  <c r="GJ19" i="9"/>
  <c r="GE19" i="9"/>
  <c r="GH19" i="9" s="1"/>
  <c r="FF27" i="9"/>
  <c r="FE27" i="9"/>
  <c r="FG27" i="9" s="1"/>
  <c r="GA20" i="9"/>
  <c r="FR20" i="9"/>
  <c r="FW20" i="9"/>
  <c r="FS20" i="9"/>
  <c r="FQ20" i="9"/>
  <c r="GD20" i="9" s="1"/>
  <c r="FU22" i="9"/>
  <c r="FY22" i="9"/>
  <c r="FO22" i="9"/>
  <c r="GC22" i="9"/>
  <c r="CQ30" i="2" l="1"/>
  <c r="DA30" i="2" s="1"/>
  <c r="CY30" i="2"/>
  <c r="CX31" i="2"/>
  <c r="CP31" i="2"/>
  <c r="CK32" i="2"/>
  <c r="CL31" i="2"/>
  <c r="CO31" i="2" s="1"/>
  <c r="CY31" i="2" s="1"/>
  <c r="CN31" i="2"/>
  <c r="CU30" i="1"/>
  <c r="CY30" i="1"/>
  <c r="CR30" i="1"/>
  <c r="CW30" i="1" s="1"/>
  <c r="CV31" i="1"/>
  <c r="CQ31" i="1"/>
  <c r="CP31" i="1"/>
  <c r="CM33" i="1"/>
  <c r="CT32" i="1"/>
  <c r="CX32" i="1" s="1"/>
  <c r="CO32" i="1"/>
  <c r="CN32" i="1"/>
  <c r="EL134" i="10"/>
  <c r="ER133" i="10"/>
  <c r="EV133" i="10" s="1"/>
  <c r="EI133" i="10"/>
  <c r="EN133" i="10" s="1"/>
  <c r="EU30" i="10"/>
  <c r="EW30" i="10" s="1"/>
  <c r="EQ30" i="10"/>
  <c r="ES30" i="10" s="1"/>
  <c r="EM30" i="10"/>
  <c r="EJ30" i="10"/>
  <c r="EO30" i="10" s="1"/>
  <c r="EH31" i="10"/>
  <c r="ED32" i="10"/>
  <c r="EC32" i="10"/>
  <c r="EF32" i="10"/>
  <c r="EE32" i="10"/>
  <c r="EB32" i="10"/>
  <c r="EA33" i="10"/>
  <c r="GM29" i="9"/>
  <c r="GR29" i="9" s="1"/>
  <c r="GF29" i="9"/>
  <c r="GK19" i="9"/>
  <c r="GQ19" i="9" s="1"/>
  <c r="GG19" i="9"/>
  <c r="GS19" i="9"/>
  <c r="FM26" i="9"/>
  <c r="FN26" i="9" s="1"/>
  <c r="FE28" i="9"/>
  <c r="FG28" i="9" s="1"/>
  <c r="FH28" i="9" s="1"/>
  <c r="FJ28" i="9" s="1"/>
  <c r="FK28" i="9" s="1"/>
  <c r="FZ24" i="9"/>
  <c r="FN24" i="9"/>
  <c r="FV24" i="9"/>
  <c r="EQ29" i="9"/>
  <c r="ES29" i="9"/>
  <c r="EU29" i="9"/>
  <c r="EW29" i="9"/>
  <c r="FY23" i="9"/>
  <c r="FU23" i="9"/>
  <c r="GC23" i="9"/>
  <c r="FO23" i="9"/>
  <c r="FI27" i="9"/>
  <c r="FH27" i="9"/>
  <c r="FJ27" i="9" s="1"/>
  <c r="GE20" i="9"/>
  <c r="GH20" i="9" s="1"/>
  <c r="GJ20" i="9"/>
  <c r="FR21" i="9"/>
  <c r="GA21" i="9"/>
  <c r="FQ21" i="9"/>
  <c r="GD21" i="9" s="1"/>
  <c r="FS21" i="9"/>
  <c r="FW21" i="9"/>
  <c r="EY29" i="9"/>
  <c r="EZ29" i="9"/>
  <c r="FF28" i="9"/>
  <c r="EF30" i="9"/>
  <c r="EC30" i="9"/>
  <c r="EI30" i="9"/>
  <c r="GP30" i="9"/>
  <c r="EG30" i="9"/>
  <c r="EH30" i="9"/>
  <c r="EA31" i="9"/>
  <c r="EB30" i="9"/>
  <c r="EE30" i="9"/>
  <c r="ED30" i="9"/>
  <c r="EO29" i="9"/>
  <c r="FC29" i="9" s="1"/>
  <c r="EM29" i="9"/>
  <c r="FB29" i="9" s="1"/>
  <c r="FD29" i="9" s="1"/>
  <c r="FV25" i="9"/>
  <c r="FN25" i="9"/>
  <c r="FZ25" i="9"/>
  <c r="FX22" i="9"/>
  <c r="FT22" i="9"/>
  <c r="GB22" i="9"/>
  <c r="FP22" i="9"/>
  <c r="CX32" i="2" l="1"/>
  <c r="CP32" i="2"/>
  <c r="CN32" i="2"/>
  <c r="CL32" i="2"/>
  <c r="CO32" i="2" s="1"/>
  <c r="CY32" i="2" s="1"/>
  <c r="CK33" i="2"/>
  <c r="CZ31" i="2"/>
  <c r="CQ31" i="2"/>
  <c r="DA31" i="2" s="1"/>
  <c r="CU31" i="1"/>
  <c r="CY31" i="1"/>
  <c r="CR31" i="1"/>
  <c r="CW31" i="1" s="1"/>
  <c r="CV32" i="1"/>
  <c r="CQ32" i="1"/>
  <c r="CP32" i="1"/>
  <c r="CM34" i="1"/>
  <c r="CT33" i="1"/>
  <c r="CX33" i="1" s="1"/>
  <c r="CO33" i="1"/>
  <c r="CN33" i="1"/>
  <c r="EL135" i="10"/>
  <c r="ER134" i="10"/>
  <c r="EV134" i="10" s="1"/>
  <c r="EI134" i="10"/>
  <c r="EN134" i="10" s="1"/>
  <c r="EU31" i="10"/>
  <c r="EW31" i="10" s="1"/>
  <c r="EQ31" i="10"/>
  <c r="ES31" i="10" s="1"/>
  <c r="EH32" i="10"/>
  <c r="EM31" i="10"/>
  <c r="EJ31" i="10"/>
  <c r="EO31" i="10" s="1"/>
  <c r="ED33" i="10"/>
  <c r="EF33" i="10"/>
  <c r="EC33" i="10"/>
  <c r="EB33" i="10"/>
  <c r="EE33" i="10"/>
  <c r="EA34" i="10"/>
  <c r="GM30" i="9"/>
  <c r="GR30" i="9" s="1"/>
  <c r="GF30" i="9"/>
  <c r="GK20" i="9"/>
  <c r="GQ20" i="9" s="1"/>
  <c r="GG20" i="9"/>
  <c r="GS20" i="9"/>
  <c r="FE29" i="9"/>
  <c r="FG29" i="9" s="1"/>
  <c r="FH29" i="9" s="1"/>
  <c r="FJ29" i="9" s="1"/>
  <c r="FL28" i="9"/>
  <c r="FM28" i="9" s="1"/>
  <c r="FY26" i="9"/>
  <c r="FU26" i="9"/>
  <c r="GC26" i="9"/>
  <c r="FO26" i="9"/>
  <c r="FX26" i="9" s="1"/>
  <c r="FI28" i="9"/>
  <c r="FV26" i="9"/>
  <c r="FZ26" i="9"/>
  <c r="FY24" i="9"/>
  <c r="FU24" i="9"/>
  <c r="FO24" i="9"/>
  <c r="GC24" i="9"/>
  <c r="FQ22" i="9"/>
  <c r="GD22" i="9" s="1"/>
  <c r="FR22" i="9"/>
  <c r="FW22" i="9"/>
  <c r="GA22" i="9"/>
  <c r="FS22" i="9"/>
  <c r="GB23" i="9"/>
  <c r="FP23" i="9"/>
  <c r="FX23" i="9"/>
  <c r="FT23" i="9"/>
  <c r="EW30" i="9"/>
  <c r="EU30" i="9"/>
  <c r="ES30" i="9"/>
  <c r="EQ30" i="9"/>
  <c r="EZ30" i="9"/>
  <c r="EY30" i="9"/>
  <c r="GJ21" i="9"/>
  <c r="GE21" i="9"/>
  <c r="GH21" i="9" s="1"/>
  <c r="EO30" i="9"/>
  <c r="FC30" i="9" s="1"/>
  <c r="EM30" i="9"/>
  <c r="FB30" i="9" s="1"/>
  <c r="FD30" i="9" s="1"/>
  <c r="EI31" i="9"/>
  <c r="EG31" i="9"/>
  <c r="EH31" i="9"/>
  <c r="EB31" i="9"/>
  <c r="EF31" i="9"/>
  <c r="EE31" i="9"/>
  <c r="EA32" i="9"/>
  <c r="ED31" i="9"/>
  <c r="GP31" i="9"/>
  <c r="EC31" i="9"/>
  <c r="FY25" i="9"/>
  <c r="GC25" i="9"/>
  <c r="FU25" i="9"/>
  <c r="FO25" i="9"/>
  <c r="FL27" i="9"/>
  <c r="FK27" i="9"/>
  <c r="FF29" i="9"/>
  <c r="FI29" i="9" s="1"/>
  <c r="CX33" i="2" l="1"/>
  <c r="CP33" i="2"/>
  <c r="CN33" i="2"/>
  <c r="CL33" i="2"/>
  <c r="CO33" i="2" s="1"/>
  <c r="CY33" i="2" s="1"/>
  <c r="CK34" i="2"/>
  <c r="CZ32" i="2"/>
  <c r="CQ32" i="2"/>
  <c r="DA32" i="2" s="1"/>
  <c r="CU32" i="1"/>
  <c r="CY32" i="1"/>
  <c r="CR32" i="1"/>
  <c r="CW32" i="1" s="1"/>
  <c r="CV33" i="1"/>
  <c r="CQ33" i="1"/>
  <c r="CP33" i="1"/>
  <c r="CM35" i="1"/>
  <c r="CT34" i="1"/>
  <c r="CX34" i="1" s="1"/>
  <c r="CO34" i="1"/>
  <c r="CN34" i="1"/>
  <c r="EL136" i="10"/>
  <c r="ER135" i="10"/>
  <c r="EV135" i="10" s="1"/>
  <c r="EI135" i="10"/>
  <c r="EN135" i="10" s="1"/>
  <c r="EM32" i="10"/>
  <c r="EQ32" i="10"/>
  <c r="ES32" i="10" s="1"/>
  <c r="EU32" i="10"/>
  <c r="EW32" i="10" s="1"/>
  <c r="EJ32" i="10"/>
  <c r="EO32" i="10" s="1"/>
  <c r="EH33" i="10"/>
  <c r="EC34" i="10"/>
  <c r="EF34" i="10"/>
  <c r="ED34" i="10"/>
  <c r="EE34" i="10"/>
  <c r="EB34" i="10"/>
  <c r="EA35" i="10"/>
  <c r="GM31" i="9"/>
  <c r="GR31" i="9" s="1"/>
  <c r="GF31" i="9"/>
  <c r="GK21" i="9"/>
  <c r="GQ21" i="9" s="1"/>
  <c r="GG21" i="9"/>
  <c r="GS21" i="9"/>
  <c r="FK29" i="9"/>
  <c r="FL29" i="9"/>
  <c r="GB26" i="9"/>
  <c r="FT26" i="9"/>
  <c r="FP26" i="9"/>
  <c r="FQ26" i="9" s="1"/>
  <c r="FF30" i="9"/>
  <c r="GB24" i="9"/>
  <c r="FT24" i="9"/>
  <c r="FP24" i="9"/>
  <c r="FX24" i="9"/>
  <c r="EO31" i="9"/>
  <c r="FC31" i="9" s="1"/>
  <c r="EM31" i="9"/>
  <c r="FB31" i="9" s="1"/>
  <c r="FD31" i="9" s="1"/>
  <c r="FQ23" i="9"/>
  <c r="GD23" i="9" s="1"/>
  <c r="FW23" i="9"/>
  <c r="GA23" i="9"/>
  <c r="FR23" i="9"/>
  <c r="FS23" i="9"/>
  <c r="EQ31" i="9"/>
  <c r="ES31" i="9"/>
  <c r="FE30" i="9"/>
  <c r="FG30" i="9" s="1"/>
  <c r="FH30" i="9" s="1"/>
  <c r="FJ30" i="9" s="1"/>
  <c r="EW31" i="9"/>
  <c r="EU31" i="9"/>
  <c r="FM27" i="9"/>
  <c r="EF32" i="9"/>
  <c r="EG32" i="9"/>
  <c r="EB32" i="9"/>
  <c r="EH32" i="9"/>
  <c r="ED32" i="9"/>
  <c r="GP32" i="9"/>
  <c r="EC32" i="9"/>
  <c r="EA33" i="9"/>
  <c r="EE32" i="9"/>
  <c r="EI32" i="9"/>
  <c r="FX25" i="9"/>
  <c r="FT25" i="9"/>
  <c r="GB25" i="9"/>
  <c r="FP25" i="9"/>
  <c r="EZ31" i="9"/>
  <c r="EY31" i="9"/>
  <c r="GE22" i="9"/>
  <c r="GH22" i="9" s="1"/>
  <c r="GJ22" i="9"/>
  <c r="FN28" i="9"/>
  <c r="FV28" i="9"/>
  <c r="FZ28" i="9"/>
  <c r="CX34" i="2" l="1"/>
  <c r="CP34" i="2"/>
  <c r="CN34" i="2"/>
  <c r="CK35" i="2"/>
  <c r="CL34" i="2"/>
  <c r="CO34" i="2" s="1"/>
  <c r="CY34" i="2" s="1"/>
  <c r="CZ33" i="2"/>
  <c r="CQ33" i="2"/>
  <c r="DA33" i="2" s="1"/>
  <c r="CU33" i="1"/>
  <c r="CY33" i="1"/>
  <c r="CR33" i="1"/>
  <c r="CW33" i="1" s="1"/>
  <c r="CV34" i="1"/>
  <c r="CQ34" i="1"/>
  <c r="CP34" i="1"/>
  <c r="CM36" i="1"/>
  <c r="CT35" i="1"/>
  <c r="CX35" i="1" s="1"/>
  <c r="CO35" i="1"/>
  <c r="CN35" i="1"/>
  <c r="EL137" i="10"/>
  <c r="ER136" i="10"/>
  <c r="EV136" i="10" s="1"/>
  <c r="EI136" i="10"/>
  <c r="EN136" i="10" s="1"/>
  <c r="EQ33" i="10"/>
  <c r="ES33" i="10" s="1"/>
  <c r="EU33" i="10"/>
  <c r="EW33" i="10" s="1"/>
  <c r="EM33" i="10"/>
  <c r="EJ33" i="10"/>
  <c r="EO33" i="10" s="1"/>
  <c r="EH34" i="10"/>
  <c r="EF35" i="10"/>
  <c r="ED35" i="10"/>
  <c r="EC35" i="10"/>
  <c r="EE35" i="10"/>
  <c r="EB35" i="10"/>
  <c r="EA36" i="10"/>
  <c r="GM32" i="9"/>
  <c r="GF32" i="9"/>
  <c r="GK22" i="9"/>
  <c r="GQ22" i="9" s="1"/>
  <c r="GG22" i="9"/>
  <c r="GS22" i="9"/>
  <c r="GR32" i="9"/>
  <c r="FM29" i="9"/>
  <c r="FN29" i="9" s="1"/>
  <c r="FO29" i="9" s="1"/>
  <c r="FW26" i="9"/>
  <c r="FS26" i="9"/>
  <c r="GA26" i="9"/>
  <c r="FR26" i="9"/>
  <c r="GD26" i="9"/>
  <c r="GE26" i="9" s="1"/>
  <c r="GH26" i="9" s="1"/>
  <c r="FW24" i="9"/>
  <c r="GA24" i="9"/>
  <c r="FS24" i="9"/>
  <c r="FQ24" i="9"/>
  <c r="GD24" i="9" s="1"/>
  <c r="FR24" i="9"/>
  <c r="EZ32" i="9"/>
  <c r="EY32" i="9"/>
  <c r="EH33" i="9"/>
  <c r="EF33" i="9"/>
  <c r="EG33" i="9"/>
  <c r="EI33" i="9"/>
  <c r="EE33" i="9"/>
  <c r="EC33" i="9"/>
  <c r="EB33" i="9"/>
  <c r="EA34" i="9"/>
  <c r="ED33" i="9"/>
  <c r="GP33" i="9"/>
  <c r="FZ27" i="9"/>
  <c r="FV27" i="9"/>
  <c r="FN27" i="9"/>
  <c r="EQ32" i="9"/>
  <c r="ES32" i="9"/>
  <c r="FI30" i="9"/>
  <c r="FS25" i="9"/>
  <c r="GA25" i="9"/>
  <c r="FW25" i="9"/>
  <c r="FQ25" i="9"/>
  <c r="GD25" i="9" s="1"/>
  <c r="FR25" i="9"/>
  <c r="EW32" i="9"/>
  <c r="EU32" i="9"/>
  <c r="GJ23" i="9"/>
  <c r="GE23" i="9"/>
  <c r="GH23" i="9" s="1"/>
  <c r="FF31" i="9"/>
  <c r="FE31" i="9"/>
  <c r="FG31" i="9" s="1"/>
  <c r="FK30" i="9"/>
  <c r="FL30" i="9"/>
  <c r="EM32" i="9"/>
  <c r="FB32" i="9" s="1"/>
  <c r="FD32" i="9" s="1"/>
  <c r="EO32" i="9"/>
  <c r="FC32" i="9" s="1"/>
  <c r="FO28" i="9"/>
  <c r="FY28" i="9"/>
  <c r="FU28" i="9"/>
  <c r="GC28" i="9"/>
  <c r="CX35" i="2" l="1"/>
  <c r="CP35" i="2"/>
  <c r="CN35" i="2"/>
  <c r="CL35" i="2"/>
  <c r="CO35" i="2" s="1"/>
  <c r="CY35" i="2" s="1"/>
  <c r="CK36" i="2"/>
  <c r="CZ34" i="2"/>
  <c r="CQ34" i="2"/>
  <c r="DA34" i="2" s="1"/>
  <c r="CR34" i="1"/>
  <c r="CW34" i="1" s="1"/>
  <c r="CU34" i="1"/>
  <c r="CY34" i="1"/>
  <c r="CP35" i="1"/>
  <c r="CV35" i="1"/>
  <c r="CQ35" i="1"/>
  <c r="CM37" i="1"/>
  <c r="CT36" i="1"/>
  <c r="CX36" i="1" s="1"/>
  <c r="CO36" i="1"/>
  <c r="CN36" i="1"/>
  <c r="EL138" i="10"/>
  <c r="ER137" i="10"/>
  <c r="EV137" i="10" s="1"/>
  <c r="EI137" i="10"/>
  <c r="EN137" i="10" s="1"/>
  <c r="EU34" i="10"/>
  <c r="EW34" i="10" s="1"/>
  <c r="EQ34" i="10"/>
  <c r="ES34" i="10" s="1"/>
  <c r="EM34" i="10"/>
  <c r="EJ34" i="10"/>
  <c r="EO34" i="10" s="1"/>
  <c r="EH35" i="10"/>
  <c r="EC36" i="10"/>
  <c r="EF36" i="10"/>
  <c r="ED36" i="10"/>
  <c r="EB36" i="10"/>
  <c r="EE36" i="10"/>
  <c r="EA37" i="10"/>
  <c r="GM33" i="9"/>
  <c r="GF33" i="9"/>
  <c r="GK23" i="9"/>
  <c r="GQ23" i="9" s="1"/>
  <c r="GG23" i="9"/>
  <c r="GS23" i="9"/>
  <c r="GK26" i="9"/>
  <c r="GQ26" i="9" s="1"/>
  <c r="GG26" i="9"/>
  <c r="GS26" i="9"/>
  <c r="GR33" i="9"/>
  <c r="FZ29" i="9"/>
  <c r="FV29" i="9"/>
  <c r="GC29" i="9"/>
  <c r="FU29" i="9"/>
  <c r="FY29" i="9"/>
  <c r="GJ26" i="9"/>
  <c r="GE24" i="9"/>
  <c r="GH24" i="9" s="1"/>
  <c r="GJ24" i="9"/>
  <c r="EQ33" i="9"/>
  <c r="ES33" i="9"/>
  <c r="FM30" i="9"/>
  <c r="FU27" i="9"/>
  <c r="FY27" i="9"/>
  <c r="GC27" i="9"/>
  <c r="FO27" i="9"/>
  <c r="EZ33" i="9"/>
  <c r="EY33" i="9"/>
  <c r="GE25" i="9"/>
  <c r="GH25" i="9" s="1"/>
  <c r="GJ25" i="9"/>
  <c r="FH31" i="9"/>
  <c r="FJ31" i="9" s="1"/>
  <c r="FI31" i="9"/>
  <c r="FE32" i="9"/>
  <c r="FG32" i="9" s="1"/>
  <c r="FH32" i="9" s="1"/>
  <c r="FJ32" i="9" s="1"/>
  <c r="FF32" i="9"/>
  <c r="EW33" i="9"/>
  <c r="EU33" i="9"/>
  <c r="EA35" i="9"/>
  <c r="ED34" i="9"/>
  <c r="GP34" i="9"/>
  <c r="EC34" i="9"/>
  <c r="EF34" i="9"/>
  <c r="EI34" i="9"/>
  <c r="EH34" i="9"/>
  <c r="EG34" i="9"/>
  <c r="EB34" i="9"/>
  <c r="EE34" i="9"/>
  <c r="EM33" i="9"/>
  <c r="FB33" i="9" s="1"/>
  <c r="FD33" i="9" s="1"/>
  <c r="EO33" i="9"/>
  <c r="FC33" i="9" s="1"/>
  <c r="FP28" i="9"/>
  <c r="FX28" i="9"/>
  <c r="FT28" i="9"/>
  <c r="GB28" i="9"/>
  <c r="FP29" i="9"/>
  <c r="FT29" i="9"/>
  <c r="GB29" i="9"/>
  <c r="FX29" i="9"/>
  <c r="CX36" i="2" l="1"/>
  <c r="CP36" i="2"/>
  <c r="CK37" i="2"/>
  <c r="CL36" i="2"/>
  <c r="CO36" i="2" s="1"/>
  <c r="CY36" i="2" s="1"/>
  <c r="CN36" i="2"/>
  <c r="CZ35" i="2"/>
  <c r="CQ35" i="2"/>
  <c r="DA35" i="2" s="1"/>
  <c r="CU35" i="1"/>
  <c r="CY35" i="1"/>
  <c r="CR35" i="1"/>
  <c r="CW35" i="1" s="1"/>
  <c r="CV36" i="1"/>
  <c r="CQ36" i="1"/>
  <c r="CP36" i="1"/>
  <c r="CM38" i="1"/>
  <c r="CT37" i="1"/>
  <c r="CX37" i="1" s="1"/>
  <c r="CO37" i="1"/>
  <c r="CN37" i="1"/>
  <c r="EL139" i="10"/>
  <c r="ER138" i="10"/>
  <c r="EV138" i="10" s="1"/>
  <c r="EI138" i="10"/>
  <c r="EN138" i="10" s="1"/>
  <c r="EU35" i="10"/>
  <c r="EW35" i="10" s="1"/>
  <c r="EQ35" i="10"/>
  <c r="ES35" i="10" s="1"/>
  <c r="EM35" i="10"/>
  <c r="EJ35" i="10"/>
  <c r="EO35" i="10" s="1"/>
  <c r="EH36" i="10"/>
  <c r="EF37" i="10"/>
  <c r="ED37" i="10"/>
  <c r="EC37" i="10"/>
  <c r="EE37" i="10"/>
  <c r="EB37" i="10"/>
  <c r="EA38" i="10"/>
  <c r="GM34" i="9"/>
  <c r="GF34" i="9"/>
  <c r="GK25" i="9"/>
  <c r="GQ25" i="9" s="1"/>
  <c r="GG25" i="9"/>
  <c r="GS25" i="9"/>
  <c r="GK24" i="9"/>
  <c r="GQ24" i="9" s="1"/>
  <c r="GG24" i="9"/>
  <c r="GS24" i="9"/>
  <c r="GR34" i="9"/>
  <c r="FI32" i="9"/>
  <c r="FL32" i="9"/>
  <c r="FK32" i="9"/>
  <c r="ES34" i="9"/>
  <c r="EQ34" i="9"/>
  <c r="FL31" i="9"/>
  <c r="FK31" i="9"/>
  <c r="EU34" i="9"/>
  <c r="EW34" i="9"/>
  <c r="FV30" i="9"/>
  <c r="FN30" i="9"/>
  <c r="FZ30" i="9"/>
  <c r="FE33" i="9"/>
  <c r="FG33" i="9" s="1"/>
  <c r="FF33" i="9"/>
  <c r="EY34" i="9"/>
  <c r="EZ34" i="9"/>
  <c r="EH35" i="9"/>
  <c r="EI35" i="9"/>
  <c r="EE35" i="9"/>
  <c r="EG35" i="9"/>
  <c r="EB35" i="9"/>
  <c r="EA36" i="9"/>
  <c r="ED35" i="9"/>
  <c r="EF35" i="9"/>
  <c r="GP35" i="9"/>
  <c r="EC35" i="9"/>
  <c r="FT27" i="9"/>
  <c r="FP27" i="9"/>
  <c r="FX27" i="9"/>
  <c r="GB27" i="9"/>
  <c r="EO34" i="9"/>
  <c r="FC34" i="9" s="1"/>
  <c r="EM34" i="9"/>
  <c r="FB34" i="9" s="1"/>
  <c r="FD34" i="9" s="1"/>
  <c r="FW29" i="9"/>
  <c r="FQ29" i="9"/>
  <c r="GD29" i="9" s="1"/>
  <c r="FR29" i="9"/>
  <c r="FS29" i="9"/>
  <c r="GA29" i="9"/>
  <c r="FQ28" i="9"/>
  <c r="GD28" i="9" s="1"/>
  <c r="FW28" i="9"/>
  <c r="FR28" i="9"/>
  <c r="FS28" i="9"/>
  <c r="GA28" i="9"/>
  <c r="CX37" i="2" l="1"/>
  <c r="CP37" i="2"/>
  <c r="CL37" i="2"/>
  <c r="CO37" i="2" s="1"/>
  <c r="CY37" i="2" s="1"/>
  <c r="CN37" i="2"/>
  <c r="CK38" i="2"/>
  <c r="CQ36" i="2"/>
  <c r="DA36" i="2" s="1"/>
  <c r="CZ36" i="2"/>
  <c r="CU36" i="1"/>
  <c r="CY36" i="1"/>
  <c r="CP37" i="1"/>
  <c r="CR36" i="1"/>
  <c r="CW36" i="1" s="1"/>
  <c r="CV37" i="1"/>
  <c r="CQ37" i="1"/>
  <c r="CM39" i="1"/>
  <c r="CT38" i="1"/>
  <c r="CX38" i="1" s="1"/>
  <c r="CO38" i="1"/>
  <c r="CN38" i="1"/>
  <c r="EL140" i="10"/>
  <c r="ER139" i="10"/>
  <c r="EV139" i="10" s="1"/>
  <c r="EI139" i="10"/>
  <c r="EN139" i="10" s="1"/>
  <c r="EQ36" i="10"/>
  <c r="ES36" i="10" s="1"/>
  <c r="EU36" i="10"/>
  <c r="EW36" i="10" s="1"/>
  <c r="EM36" i="10"/>
  <c r="EJ36" i="10"/>
  <c r="EO36" i="10" s="1"/>
  <c r="EH37" i="10"/>
  <c r="ED38" i="10"/>
  <c r="EF38" i="10"/>
  <c r="EC38" i="10"/>
  <c r="EE38" i="10"/>
  <c r="EB38" i="10"/>
  <c r="EA39" i="10"/>
  <c r="GM35" i="9"/>
  <c r="GR35" i="9" s="1"/>
  <c r="GF35" i="9"/>
  <c r="FM32" i="9"/>
  <c r="EU35" i="9"/>
  <c r="EW35" i="9"/>
  <c r="EG36" i="9"/>
  <c r="EE36" i="9"/>
  <c r="ED36" i="9"/>
  <c r="EH36" i="9"/>
  <c r="EC36" i="9"/>
  <c r="EA37" i="9"/>
  <c r="GP36" i="9"/>
  <c r="EI36" i="9"/>
  <c r="EB36" i="9"/>
  <c r="EF36" i="9"/>
  <c r="FM31" i="9"/>
  <c r="EO35" i="9"/>
  <c r="FC35" i="9" s="1"/>
  <c r="EM35" i="9"/>
  <c r="FB35" i="9" s="1"/>
  <c r="FD35" i="9" s="1"/>
  <c r="FH33" i="9"/>
  <c r="FJ33" i="9" s="1"/>
  <c r="FI33" i="9"/>
  <c r="FE34" i="9"/>
  <c r="FG34" i="9" s="1"/>
  <c r="FF34" i="9"/>
  <c r="FS27" i="9"/>
  <c r="FW27" i="9"/>
  <c r="GA27" i="9"/>
  <c r="FQ27" i="9"/>
  <c r="GD27" i="9" s="1"/>
  <c r="FR27" i="9"/>
  <c r="EZ35" i="9"/>
  <c r="EY35" i="9"/>
  <c r="FO30" i="9"/>
  <c r="FU30" i="9"/>
  <c r="GC30" i="9"/>
  <c r="FY30" i="9"/>
  <c r="ES35" i="9"/>
  <c r="EQ35" i="9"/>
  <c r="GE29" i="9"/>
  <c r="GH29" i="9" s="1"/>
  <c r="GJ29" i="9"/>
  <c r="GJ28" i="9"/>
  <c r="GE28" i="9"/>
  <c r="GH28" i="9" s="1"/>
  <c r="CZ37" i="2" l="1"/>
  <c r="CQ37" i="2"/>
  <c r="DA37" i="2" s="1"/>
  <c r="CX38" i="2"/>
  <c r="CP38" i="2"/>
  <c r="CZ38" i="2" s="1"/>
  <c r="CL38" i="2"/>
  <c r="CO38" i="2" s="1"/>
  <c r="CK39" i="2"/>
  <c r="CN38" i="2"/>
  <c r="CU37" i="1"/>
  <c r="CY37" i="1"/>
  <c r="CR37" i="1"/>
  <c r="CW37" i="1" s="1"/>
  <c r="CV38" i="1"/>
  <c r="CQ38" i="1"/>
  <c r="CP38" i="1"/>
  <c r="CM40" i="1"/>
  <c r="CT39" i="1"/>
  <c r="CX39" i="1" s="1"/>
  <c r="CO39" i="1"/>
  <c r="CN39" i="1"/>
  <c r="EL141" i="10"/>
  <c r="ER140" i="10"/>
  <c r="EV140" i="10" s="1"/>
  <c r="EI140" i="10"/>
  <c r="EN140" i="10" s="1"/>
  <c r="EU37" i="10"/>
  <c r="EW37" i="10" s="1"/>
  <c r="EQ37" i="10"/>
  <c r="ES37" i="10" s="1"/>
  <c r="EM37" i="10"/>
  <c r="EJ37" i="10"/>
  <c r="EO37" i="10" s="1"/>
  <c r="EH38" i="10"/>
  <c r="EC39" i="10"/>
  <c r="ED39" i="10"/>
  <c r="EF39" i="10"/>
  <c r="EB39" i="10"/>
  <c r="EE39" i="10"/>
  <c r="EA40" i="10"/>
  <c r="GM36" i="9"/>
  <c r="GF36" i="9"/>
  <c r="GK29" i="9"/>
  <c r="GQ29" i="9" s="1"/>
  <c r="GG29" i="9"/>
  <c r="GS29" i="9"/>
  <c r="GK28" i="9"/>
  <c r="GQ28" i="9" s="1"/>
  <c r="GG28" i="9"/>
  <c r="GS28" i="9"/>
  <c r="GR36" i="9"/>
  <c r="FV32" i="9"/>
  <c r="FZ32" i="9"/>
  <c r="FN32" i="9"/>
  <c r="FL33" i="9"/>
  <c r="FK33" i="9"/>
  <c r="GJ27" i="9"/>
  <c r="GE27" i="9"/>
  <c r="GH27" i="9" s="1"/>
  <c r="FF35" i="9"/>
  <c r="FE35" i="9"/>
  <c r="FG35" i="9" s="1"/>
  <c r="ES36" i="9"/>
  <c r="EQ36" i="9"/>
  <c r="EI37" i="9"/>
  <c r="EE37" i="9"/>
  <c r="EH37" i="9"/>
  <c r="EB37" i="9"/>
  <c r="EA38" i="9"/>
  <c r="ED37" i="9"/>
  <c r="GP37" i="9"/>
  <c r="EC37" i="9"/>
  <c r="EF37" i="9"/>
  <c r="EG37" i="9"/>
  <c r="FN31" i="9"/>
  <c r="FV31" i="9"/>
  <c r="FZ31" i="9"/>
  <c r="EU36" i="9"/>
  <c r="EW36" i="9"/>
  <c r="EZ36" i="9"/>
  <c r="EY36" i="9"/>
  <c r="FT30" i="9"/>
  <c r="FX30" i="9"/>
  <c r="GB30" i="9"/>
  <c r="FP30" i="9"/>
  <c r="EM36" i="9"/>
  <c r="FB36" i="9" s="1"/>
  <c r="FD36" i="9" s="1"/>
  <c r="EO36" i="9"/>
  <c r="FC36" i="9" s="1"/>
  <c r="FH34" i="9"/>
  <c r="FJ34" i="9" s="1"/>
  <c r="FI34" i="9"/>
  <c r="CQ38" i="2" l="1"/>
  <c r="DA38" i="2" s="1"/>
  <c r="CY38" i="2"/>
  <c r="CX39" i="2"/>
  <c r="CP39" i="2"/>
  <c r="CL39" i="2"/>
  <c r="CK40" i="2"/>
  <c r="CN39" i="2"/>
  <c r="CU38" i="1"/>
  <c r="CY38" i="1"/>
  <c r="CR38" i="1"/>
  <c r="CW38" i="1" s="1"/>
  <c r="CV39" i="1"/>
  <c r="CQ39" i="1"/>
  <c r="CP39" i="1"/>
  <c r="CM41" i="1"/>
  <c r="CT40" i="1"/>
  <c r="CX40" i="1" s="1"/>
  <c r="CO40" i="1"/>
  <c r="CN40" i="1"/>
  <c r="EL142" i="10"/>
  <c r="ER141" i="10"/>
  <c r="EV141" i="10" s="1"/>
  <c r="EI141" i="10"/>
  <c r="EN141" i="10" s="1"/>
  <c r="EU38" i="10"/>
  <c r="EW38" i="10" s="1"/>
  <c r="EQ38" i="10"/>
  <c r="ES38" i="10" s="1"/>
  <c r="EM38" i="10"/>
  <c r="EJ38" i="10"/>
  <c r="EO38" i="10" s="1"/>
  <c r="EH39" i="10"/>
  <c r="ED40" i="10"/>
  <c r="EC40" i="10"/>
  <c r="EF40" i="10"/>
  <c r="EB40" i="10"/>
  <c r="EE40" i="10"/>
  <c r="EA41" i="10"/>
  <c r="GM37" i="9"/>
  <c r="GR37" i="9" s="1"/>
  <c r="GF37" i="9"/>
  <c r="GK27" i="9"/>
  <c r="GQ27" i="9" s="1"/>
  <c r="GG27" i="9"/>
  <c r="GS27" i="9"/>
  <c r="FM33" i="9"/>
  <c r="FZ33" i="9" s="1"/>
  <c r="FO32" i="9"/>
  <c r="FU32" i="9"/>
  <c r="FY32" i="9"/>
  <c r="GC32" i="9"/>
  <c r="FK34" i="9"/>
  <c r="FL34" i="9"/>
  <c r="ES37" i="9"/>
  <c r="EQ37" i="9"/>
  <c r="FE36" i="9"/>
  <c r="FG36" i="9" s="1"/>
  <c r="FH36" i="9" s="1"/>
  <c r="FJ36" i="9" s="1"/>
  <c r="FF36" i="9"/>
  <c r="EU37" i="9"/>
  <c r="EW37" i="9"/>
  <c r="FH35" i="9"/>
  <c r="FJ35" i="9" s="1"/>
  <c r="FI35" i="9"/>
  <c r="FR30" i="9"/>
  <c r="GA30" i="9"/>
  <c r="FS30" i="9"/>
  <c r="FQ30" i="9"/>
  <c r="GD30" i="9" s="1"/>
  <c r="FW30" i="9"/>
  <c r="EE38" i="9"/>
  <c r="EB38" i="9"/>
  <c r="EA39" i="9"/>
  <c r="ED38" i="9"/>
  <c r="EG38" i="9"/>
  <c r="GP38" i="9"/>
  <c r="EC38" i="9"/>
  <c r="EF38" i="9"/>
  <c r="EI38" i="9"/>
  <c r="EH38" i="9"/>
  <c r="EM37" i="9"/>
  <c r="FB37" i="9" s="1"/>
  <c r="FD37" i="9" s="1"/>
  <c r="EO37" i="9"/>
  <c r="FC37" i="9" s="1"/>
  <c r="FU31" i="9"/>
  <c r="GC31" i="9"/>
  <c r="FY31" i="9"/>
  <c r="FO31" i="9"/>
  <c r="EZ37" i="9"/>
  <c r="EY37" i="9"/>
  <c r="CO39" i="2" l="1"/>
  <c r="CY39" i="2" s="1"/>
  <c r="CZ39" i="2"/>
  <c r="CQ39" i="2"/>
  <c r="DA39" i="2" s="1"/>
  <c r="CX40" i="2"/>
  <c r="CP40" i="2"/>
  <c r="CK41" i="2"/>
  <c r="CN40" i="2"/>
  <c r="CL40" i="2"/>
  <c r="CO40" i="2" s="1"/>
  <c r="CY40" i="2" s="1"/>
  <c r="CR39" i="1"/>
  <c r="CW39" i="1" s="1"/>
  <c r="CU39" i="1"/>
  <c r="CY39" i="1"/>
  <c r="CV40" i="1"/>
  <c r="CQ40" i="1"/>
  <c r="CP40" i="1"/>
  <c r="CM42" i="1"/>
  <c r="CT41" i="1"/>
  <c r="CX41" i="1" s="1"/>
  <c r="CO41" i="1"/>
  <c r="CN41" i="1"/>
  <c r="EL143" i="10"/>
  <c r="ER142" i="10"/>
  <c r="EV142" i="10" s="1"/>
  <c r="EI142" i="10"/>
  <c r="EN142" i="10" s="1"/>
  <c r="EQ39" i="10"/>
  <c r="ES39" i="10" s="1"/>
  <c r="EU39" i="10"/>
  <c r="EW39" i="10" s="1"/>
  <c r="EM39" i="10"/>
  <c r="EJ39" i="10"/>
  <c r="EO39" i="10" s="1"/>
  <c r="EH40" i="10"/>
  <c r="ED41" i="10"/>
  <c r="EC41" i="10"/>
  <c r="EF41" i="10"/>
  <c r="EE41" i="10"/>
  <c r="EB41" i="10"/>
  <c r="EA42" i="10"/>
  <c r="GM38" i="9"/>
  <c r="GR38" i="9" s="1"/>
  <c r="GF38" i="9"/>
  <c r="FN33" i="9"/>
  <c r="GC33" i="9" s="1"/>
  <c r="FV33" i="9"/>
  <c r="FM34" i="9"/>
  <c r="FV34" i="9" s="1"/>
  <c r="FX32" i="9"/>
  <c r="FT32" i="9"/>
  <c r="FP32" i="9"/>
  <c r="GB32" i="9"/>
  <c r="EZ38" i="9"/>
  <c r="EY38" i="9"/>
  <c r="FT31" i="9"/>
  <c r="GB31" i="9"/>
  <c r="FP31" i="9"/>
  <c r="FX31" i="9"/>
  <c r="EQ38" i="9"/>
  <c r="ES38" i="9"/>
  <c r="GE30" i="9"/>
  <c r="GH30" i="9" s="1"/>
  <c r="GJ30" i="9"/>
  <c r="FI36" i="9"/>
  <c r="FK36" i="9"/>
  <c r="FL36" i="9"/>
  <c r="EW38" i="9"/>
  <c r="EU38" i="9"/>
  <c r="FF37" i="9"/>
  <c r="FE37" i="9"/>
  <c r="FG37" i="9" s="1"/>
  <c r="EE39" i="9"/>
  <c r="EB39" i="9"/>
  <c r="GP39" i="9"/>
  <c r="EF39" i="9"/>
  <c r="EA40" i="9"/>
  <c r="EC39" i="9"/>
  <c r="ED39" i="9"/>
  <c r="EH39" i="9"/>
  <c r="EI39" i="9"/>
  <c r="EG39" i="9"/>
  <c r="EM38" i="9"/>
  <c r="FB38" i="9" s="1"/>
  <c r="FD38" i="9" s="1"/>
  <c r="EO38" i="9"/>
  <c r="FC38" i="9" s="1"/>
  <c r="FK35" i="9"/>
  <c r="FL35" i="9"/>
  <c r="CX41" i="2" l="1"/>
  <c r="CP41" i="2"/>
  <c r="CL41" i="2"/>
  <c r="CO41" i="2" s="1"/>
  <c r="CY41" i="2" s="1"/>
  <c r="CN41" i="2"/>
  <c r="CK42" i="2"/>
  <c r="CZ40" i="2"/>
  <c r="CQ40" i="2"/>
  <c r="DA40" i="2" s="1"/>
  <c r="CU40" i="1"/>
  <c r="CY40" i="1"/>
  <c r="CR40" i="1"/>
  <c r="CW40" i="1" s="1"/>
  <c r="CV41" i="1"/>
  <c r="CQ41" i="1"/>
  <c r="CP41" i="1"/>
  <c r="CM43" i="1"/>
  <c r="CT42" i="1"/>
  <c r="CX42" i="1" s="1"/>
  <c r="CO42" i="1"/>
  <c r="CN42" i="1"/>
  <c r="EL144" i="10"/>
  <c r="ER143" i="10"/>
  <c r="EV143" i="10" s="1"/>
  <c r="EI143" i="10"/>
  <c r="EN143" i="10" s="1"/>
  <c r="EU40" i="10"/>
  <c r="EW40" i="10" s="1"/>
  <c r="EQ40" i="10"/>
  <c r="ES40" i="10" s="1"/>
  <c r="EM40" i="10"/>
  <c r="EJ40" i="10"/>
  <c r="EO40" i="10" s="1"/>
  <c r="EH41" i="10"/>
  <c r="ED42" i="10"/>
  <c r="EC42" i="10"/>
  <c r="EF42" i="10"/>
  <c r="EE42" i="10"/>
  <c r="EB42" i="10"/>
  <c r="EA43" i="10"/>
  <c r="GM39" i="9"/>
  <c r="GF39" i="9"/>
  <c r="GK30" i="9"/>
  <c r="GQ30" i="9" s="1"/>
  <c r="GG30" i="9"/>
  <c r="GS30" i="9"/>
  <c r="GR39" i="9"/>
  <c r="FU33" i="9"/>
  <c r="FO33" i="9"/>
  <c r="GB33" i="9" s="1"/>
  <c r="FY33" i="9"/>
  <c r="FN34" i="9"/>
  <c r="FY34" i="9" s="1"/>
  <c r="FM36" i="9"/>
  <c r="FV36" i="9" s="1"/>
  <c r="FZ34" i="9"/>
  <c r="FS32" i="9"/>
  <c r="FW32" i="9"/>
  <c r="GA32" i="9"/>
  <c r="FQ32" i="9"/>
  <c r="GD32" i="9" s="1"/>
  <c r="FR32" i="9"/>
  <c r="FM35" i="9"/>
  <c r="FV35" i="9" s="1"/>
  <c r="ES39" i="9"/>
  <c r="EQ39" i="9"/>
  <c r="EH40" i="9"/>
  <c r="EG40" i="9"/>
  <c r="EB40" i="9"/>
  <c r="ED40" i="9"/>
  <c r="EA41" i="9"/>
  <c r="EE40" i="9"/>
  <c r="GP40" i="9"/>
  <c r="EC40" i="9"/>
  <c r="EI40" i="9"/>
  <c r="EF40" i="9"/>
  <c r="EU39" i="9"/>
  <c r="EW39" i="9"/>
  <c r="FW31" i="9"/>
  <c r="GA31" i="9"/>
  <c r="FQ31" i="9"/>
  <c r="GD31" i="9" s="1"/>
  <c r="FR31" i="9"/>
  <c r="FS31" i="9"/>
  <c r="EM39" i="9"/>
  <c r="FB39" i="9" s="1"/>
  <c r="FD39" i="9" s="1"/>
  <c r="EO39" i="9"/>
  <c r="FC39" i="9" s="1"/>
  <c r="FE38" i="9"/>
  <c r="FG38" i="9" s="1"/>
  <c r="FF38" i="9"/>
  <c r="EZ39" i="9"/>
  <c r="EY39" i="9"/>
  <c r="FI37" i="9"/>
  <c r="FH37" i="9"/>
  <c r="FJ37" i="9" s="1"/>
  <c r="CX42" i="2" l="1"/>
  <c r="CP42" i="2"/>
  <c r="CK43" i="2"/>
  <c r="CL42" i="2"/>
  <c r="CO42" i="2" s="1"/>
  <c r="CY42" i="2" s="1"/>
  <c r="CN42" i="2"/>
  <c r="CZ41" i="2"/>
  <c r="CQ41" i="2"/>
  <c r="DA41" i="2" s="1"/>
  <c r="CU41" i="1"/>
  <c r="CY41" i="1"/>
  <c r="CR41" i="1"/>
  <c r="CW41" i="1" s="1"/>
  <c r="CV42" i="1"/>
  <c r="CQ42" i="1"/>
  <c r="CP42" i="1"/>
  <c r="CM44" i="1"/>
  <c r="CT43" i="1"/>
  <c r="CX43" i="1" s="1"/>
  <c r="CO43" i="1"/>
  <c r="CN43" i="1"/>
  <c r="EL145" i="10"/>
  <c r="ER144" i="10"/>
  <c r="EV144" i="10" s="1"/>
  <c r="EI144" i="10"/>
  <c r="EN144" i="10" s="1"/>
  <c r="EU41" i="10"/>
  <c r="EW41" i="10" s="1"/>
  <c r="EQ41" i="10"/>
  <c r="ES41" i="10" s="1"/>
  <c r="EM41" i="10"/>
  <c r="EJ41" i="10"/>
  <c r="EO41" i="10" s="1"/>
  <c r="EH42" i="10"/>
  <c r="EC43" i="10"/>
  <c r="ED43" i="10"/>
  <c r="EF43" i="10"/>
  <c r="EE43" i="10"/>
  <c r="EB43" i="10"/>
  <c r="EA44" i="10"/>
  <c r="GM40" i="9"/>
  <c r="GR40" i="9" s="1"/>
  <c r="GF40" i="9"/>
  <c r="FP33" i="9"/>
  <c r="FQ33" i="9" s="1"/>
  <c r="FX33" i="9"/>
  <c r="FT33" i="9"/>
  <c r="FN36" i="9"/>
  <c r="FO36" i="9" s="1"/>
  <c r="FZ36" i="9"/>
  <c r="FO34" i="9"/>
  <c r="FU34" i="9"/>
  <c r="GC34" i="9"/>
  <c r="FN35" i="9"/>
  <c r="FY35" i="9" s="1"/>
  <c r="FZ35" i="9"/>
  <c r="GJ32" i="9"/>
  <c r="GE32" i="9"/>
  <c r="GH32" i="9" s="1"/>
  <c r="GJ31" i="9"/>
  <c r="GE31" i="9"/>
  <c r="GH31" i="9" s="1"/>
  <c r="FE39" i="9"/>
  <c r="FG39" i="9" s="1"/>
  <c r="FH39" i="9" s="1"/>
  <c r="FJ39" i="9" s="1"/>
  <c r="FF39" i="9"/>
  <c r="EQ40" i="9"/>
  <c r="ES40" i="9"/>
  <c r="FK37" i="9"/>
  <c r="FL37" i="9"/>
  <c r="EZ40" i="9"/>
  <c r="EY40" i="9"/>
  <c r="EE41" i="9"/>
  <c r="EA42" i="9"/>
  <c r="EC41" i="9"/>
  <c r="GP41" i="9"/>
  <c r="ED41" i="9"/>
  <c r="EB41" i="9"/>
  <c r="EG41" i="9"/>
  <c r="EF41" i="9"/>
  <c r="EH41" i="9"/>
  <c r="EI41" i="9"/>
  <c r="FH38" i="9"/>
  <c r="FJ38" i="9" s="1"/>
  <c r="FI38" i="9"/>
  <c r="EW40" i="9"/>
  <c r="EU40" i="9"/>
  <c r="EO40" i="9"/>
  <c r="FC40" i="9" s="1"/>
  <c r="EM40" i="9"/>
  <c r="FB40" i="9" s="1"/>
  <c r="FD40" i="9" s="1"/>
  <c r="CX43" i="2" l="1"/>
  <c r="CP43" i="2"/>
  <c r="CN43" i="2"/>
  <c r="CK44" i="2"/>
  <c r="CL43" i="2"/>
  <c r="CO43" i="2" s="1"/>
  <c r="CY43" i="2" s="1"/>
  <c r="CZ42" i="2"/>
  <c r="CQ42" i="2"/>
  <c r="DA42" i="2" s="1"/>
  <c r="CU42" i="1"/>
  <c r="CY42" i="1"/>
  <c r="CR42" i="1"/>
  <c r="CW42" i="1" s="1"/>
  <c r="CV43" i="1"/>
  <c r="CQ43" i="1"/>
  <c r="CP43" i="1"/>
  <c r="CM45" i="1"/>
  <c r="CT44" i="1"/>
  <c r="CX44" i="1" s="1"/>
  <c r="CO44" i="1"/>
  <c r="CN44" i="1"/>
  <c r="EL146" i="10"/>
  <c r="ER145" i="10"/>
  <c r="EV145" i="10" s="1"/>
  <c r="EI145" i="10"/>
  <c r="EN145" i="10" s="1"/>
  <c r="EU42" i="10"/>
  <c r="EW42" i="10" s="1"/>
  <c r="EQ42" i="10"/>
  <c r="ES42" i="10" s="1"/>
  <c r="EM42" i="10"/>
  <c r="EJ42" i="10"/>
  <c r="EO42" i="10" s="1"/>
  <c r="EC44" i="10"/>
  <c r="EF44" i="10"/>
  <c r="ED44" i="10"/>
  <c r="EB44" i="10"/>
  <c r="EE44" i="10"/>
  <c r="EH43" i="10"/>
  <c r="EA45" i="10"/>
  <c r="GM41" i="9"/>
  <c r="GF41" i="9"/>
  <c r="GK31" i="9"/>
  <c r="GQ31" i="9" s="1"/>
  <c r="GG31" i="9"/>
  <c r="GS31" i="9"/>
  <c r="GK32" i="9"/>
  <c r="GQ32" i="9" s="1"/>
  <c r="GG32" i="9"/>
  <c r="GS32" i="9"/>
  <c r="GR41" i="9"/>
  <c r="FW33" i="9"/>
  <c r="GA33" i="9"/>
  <c r="FS33" i="9"/>
  <c r="FR33" i="9"/>
  <c r="GD33" i="9"/>
  <c r="GE33" i="9" s="1"/>
  <c r="GH33" i="9" s="1"/>
  <c r="FU36" i="9"/>
  <c r="GC36" i="9"/>
  <c r="FY36" i="9"/>
  <c r="GB34" i="9"/>
  <c r="FP34" i="9"/>
  <c r="FT34" i="9"/>
  <c r="FX34" i="9"/>
  <c r="FO35" i="9"/>
  <c r="FT35" i="9" s="1"/>
  <c r="GC35" i="9"/>
  <c r="FU35" i="9"/>
  <c r="FM37" i="9"/>
  <c r="FZ37" i="9" s="1"/>
  <c r="FE40" i="9"/>
  <c r="FG40" i="9" s="1"/>
  <c r="FF40" i="9"/>
  <c r="EO41" i="9"/>
  <c r="FC41" i="9" s="1"/>
  <c r="EM41" i="9"/>
  <c r="FB41" i="9" s="1"/>
  <c r="FD41" i="9" s="1"/>
  <c r="FP36" i="9"/>
  <c r="GB36" i="9"/>
  <c r="FX36" i="9"/>
  <c r="FT36" i="9"/>
  <c r="EW41" i="9"/>
  <c r="EU41" i="9"/>
  <c r="FI39" i="9"/>
  <c r="EY41" i="9"/>
  <c r="EZ41" i="9"/>
  <c r="FK39" i="9"/>
  <c r="FL39" i="9"/>
  <c r="FL38" i="9"/>
  <c r="FK38" i="9"/>
  <c r="ES41" i="9"/>
  <c r="EQ41" i="9"/>
  <c r="GP42" i="9"/>
  <c r="ED42" i="9"/>
  <c r="EF42" i="9"/>
  <c r="EG42" i="9"/>
  <c r="EI42" i="9"/>
  <c r="EH42" i="9"/>
  <c r="EA43" i="9"/>
  <c r="EB42" i="9"/>
  <c r="EE42" i="9"/>
  <c r="EC42" i="9"/>
  <c r="CZ43" i="2" l="1"/>
  <c r="CQ43" i="2"/>
  <c r="DA43" i="2" s="1"/>
  <c r="CX44" i="2"/>
  <c r="CP44" i="2"/>
  <c r="CK45" i="2"/>
  <c r="CL44" i="2"/>
  <c r="CO44" i="2" s="1"/>
  <c r="CY44" i="2" s="1"/>
  <c r="CN44" i="2"/>
  <c r="CU43" i="1"/>
  <c r="CY43" i="1"/>
  <c r="CR43" i="1"/>
  <c r="CW43" i="1" s="1"/>
  <c r="CV44" i="1"/>
  <c r="CQ44" i="1"/>
  <c r="CP44" i="1"/>
  <c r="CM46" i="1"/>
  <c r="CT45" i="1"/>
  <c r="CX45" i="1" s="1"/>
  <c r="CO45" i="1"/>
  <c r="CN45" i="1"/>
  <c r="EL147" i="10"/>
  <c r="ER146" i="10"/>
  <c r="EV146" i="10" s="1"/>
  <c r="EI146" i="10"/>
  <c r="EN146" i="10" s="1"/>
  <c r="EU43" i="10"/>
  <c r="EW43" i="10" s="1"/>
  <c r="EQ43" i="10"/>
  <c r="ES43" i="10" s="1"/>
  <c r="EH44" i="10"/>
  <c r="EM43" i="10"/>
  <c r="EJ43" i="10"/>
  <c r="EO43" i="10" s="1"/>
  <c r="EC45" i="10"/>
  <c r="ED45" i="10"/>
  <c r="EF45" i="10"/>
  <c r="EB45" i="10"/>
  <c r="EE45" i="10"/>
  <c r="EA46" i="10"/>
  <c r="GM42" i="9"/>
  <c r="GR42" i="9" s="1"/>
  <c r="GF42" i="9"/>
  <c r="GK33" i="9"/>
  <c r="GQ33" i="9" s="1"/>
  <c r="GG33" i="9"/>
  <c r="GS33" i="9"/>
  <c r="GJ33" i="9"/>
  <c r="GB35" i="9"/>
  <c r="FP35" i="9"/>
  <c r="FR35" i="9" s="1"/>
  <c r="FX35" i="9"/>
  <c r="FR34" i="9"/>
  <c r="FQ34" i="9"/>
  <c r="GD34" i="9" s="1"/>
  <c r="FS34" i="9"/>
  <c r="FW34" i="9"/>
  <c r="GA34" i="9"/>
  <c r="FN37" i="9"/>
  <c r="FV37" i="9"/>
  <c r="FE41" i="9"/>
  <c r="FG41" i="9" s="1"/>
  <c r="FF41" i="9"/>
  <c r="FM39" i="9"/>
  <c r="FM38" i="9"/>
  <c r="ES42" i="9"/>
  <c r="EQ42" i="9"/>
  <c r="EW42" i="9"/>
  <c r="EU42" i="9"/>
  <c r="EZ42" i="9"/>
  <c r="EY42" i="9"/>
  <c r="EO42" i="9"/>
  <c r="FC42" i="9" s="1"/>
  <c r="EM42" i="9"/>
  <c r="FB42" i="9" s="1"/>
  <c r="FD42" i="9" s="1"/>
  <c r="EI43" i="9"/>
  <c r="EF43" i="9"/>
  <c r="GP43" i="9"/>
  <c r="EC43" i="9"/>
  <c r="EG43" i="9"/>
  <c r="EH43" i="9"/>
  <c r="EB43" i="9"/>
  <c r="EE43" i="9"/>
  <c r="EA44" i="9"/>
  <c r="ED43" i="9"/>
  <c r="FH40" i="9"/>
  <c r="FJ40" i="9" s="1"/>
  <c r="FI40" i="9"/>
  <c r="FW36" i="9"/>
  <c r="FQ36" i="9"/>
  <c r="GD36" i="9" s="1"/>
  <c r="FR36" i="9"/>
  <c r="FS36" i="9"/>
  <c r="GA36" i="9"/>
  <c r="CX45" i="2" l="1"/>
  <c r="CP45" i="2"/>
  <c r="CN45" i="2"/>
  <c r="CK46" i="2"/>
  <c r="CL45" i="2"/>
  <c r="CO45" i="2" s="1"/>
  <c r="CY45" i="2" s="1"/>
  <c r="CZ44" i="2"/>
  <c r="CQ44" i="2"/>
  <c r="DA44" i="2" s="1"/>
  <c r="CU44" i="1"/>
  <c r="CY44" i="1"/>
  <c r="CR44" i="1"/>
  <c r="CW44" i="1" s="1"/>
  <c r="CV45" i="1"/>
  <c r="CQ45" i="1"/>
  <c r="CP45" i="1"/>
  <c r="CM47" i="1"/>
  <c r="CT46" i="1"/>
  <c r="CX46" i="1" s="1"/>
  <c r="CO46" i="1"/>
  <c r="CN46" i="1"/>
  <c r="EL148" i="10"/>
  <c r="ER147" i="10"/>
  <c r="EV147" i="10" s="1"/>
  <c r="EI147" i="10"/>
  <c r="EN147" i="10" s="1"/>
  <c r="EM44" i="10"/>
  <c r="EU44" i="10"/>
  <c r="EW44" i="10" s="1"/>
  <c r="EQ44" i="10"/>
  <c r="ES44" i="10" s="1"/>
  <c r="EJ44" i="10"/>
  <c r="EO44" i="10" s="1"/>
  <c r="EH45" i="10"/>
  <c r="EC46" i="10"/>
  <c r="EF46" i="10"/>
  <c r="ED46" i="10"/>
  <c r="EE46" i="10"/>
  <c r="EB46" i="10"/>
  <c r="EA47" i="10"/>
  <c r="GM43" i="9"/>
  <c r="GF43" i="9"/>
  <c r="GR43" i="9"/>
  <c r="FQ35" i="9"/>
  <c r="GD35" i="9" s="1"/>
  <c r="GE35" i="9" s="1"/>
  <c r="GH35" i="9" s="1"/>
  <c r="FW35" i="9"/>
  <c r="GA35" i="9"/>
  <c r="FS35" i="9"/>
  <c r="GE34" i="9"/>
  <c r="GH34" i="9" s="1"/>
  <c r="GJ34" i="9"/>
  <c r="GC37" i="9"/>
  <c r="FY37" i="9"/>
  <c r="FO37" i="9"/>
  <c r="FU37" i="9"/>
  <c r="GE36" i="9"/>
  <c r="GH36" i="9" s="1"/>
  <c r="GJ36" i="9"/>
  <c r="EO43" i="9"/>
  <c r="FC43" i="9" s="1"/>
  <c r="EM43" i="9"/>
  <c r="FB43" i="9" s="1"/>
  <c r="FD43" i="9" s="1"/>
  <c r="EQ43" i="9"/>
  <c r="ES43" i="9"/>
  <c r="FL40" i="9"/>
  <c r="FK40" i="9"/>
  <c r="EU43" i="9"/>
  <c r="EW43" i="9"/>
  <c r="FZ39" i="9"/>
  <c r="FN39" i="9"/>
  <c r="FV39" i="9"/>
  <c r="EI44" i="9"/>
  <c r="EH44" i="9"/>
  <c r="EG44" i="9"/>
  <c r="ED44" i="9"/>
  <c r="EF44" i="9"/>
  <c r="EB44" i="9"/>
  <c r="EA45" i="9"/>
  <c r="EC44" i="9"/>
  <c r="GP44" i="9"/>
  <c r="EE44" i="9"/>
  <c r="EZ43" i="9"/>
  <c r="EY43" i="9"/>
  <c r="FE42" i="9"/>
  <c r="FG42" i="9" s="1"/>
  <c r="FF42" i="9"/>
  <c r="FV38" i="9"/>
  <c r="FZ38" i="9"/>
  <c r="FN38" i="9"/>
  <c r="FH41" i="9"/>
  <c r="FJ41" i="9" s="1"/>
  <c r="FI41" i="9"/>
  <c r="CX46" i="2" l="1"/>
  <c r="CP46" i="2"/>
  <c r="CZ46" i="2" s="1"/>
  <c r="CL46" i="2"/>
  <c r="CO46" i="2" s="1"/>
  <c r="CK47" i="2"/>
  <c r="CN46" i="2"/>
  <c r="CZ45" i="2"/>
  <c r="CQ45" i="2"/>
  <c r="DA45" i="2" s="1"/>
  <c r="CU45" i="1"/>
  <c r="CY45" i="1"/>
  <c r="CR45" i="1"/>
  <c r="CW45" i="1" s="1"/>
  <c r="CV46" i="1"/>
  <c r="CQ46" i="1"/>
  <c r="CP46" i="1"/>
  <c r="CM48" i="1"/>
  <c r="CT47" i="1"/>
  <c r="CX47" i="1" s="1"/>
  <c r="CO47" i="1"/>
  <c r="CN47" i="1"/>
  <c r="EL149" i="10"/>
  <c r="ER148" i="10"/>
  <c r="EV148" i="10" s="1"/>
  <c r="EI148" i="10"/>
  <c r="EN148" i="10" s="1"/>
  <c r="EU45" i="10"/>
  <c r="EW45" i="10" s="1"/>
  <c r="EQ45" i="10"/>
  <c r="ES45" i="10" s="1"/>
  <c r="EM45" i="10"/>
  <c r="EJ45" i="10"/>
  <c r="EO45" i="10" s="1"/>
  <c r="EH46" i="10"/>
  <c r="ED47" i="10"/>
  <c r="EC47" i="10"/>
  <c r="EF47" i="10"/>
  <c r="EB47" i="10"/>
  <c r="EE47" i="10"/>
  <c r="EA48" i="10"/>
  <c r="GM44" i="9"/>
  <c r="GR44" i="9" s="1"/>
  <c r="GF44" i="9"/>
  <c r="GK36" i="9"/>
  <c r="GQ36" i="9" s="1"/>
  <c r="GG36" i="9"/>
  <c r="GS36" i="9"/>
  <c r="GK35" i="9"/>
  <c r="GQ35" i="9" s="1"/>
  <c r="GG35" i="9"/>
  <c r="GS35" i="9"/>
  <c r="GK34" i="9"/>
  <c r="GQ34" i="9" s="1"/>
  <c r="GG34" i="9"/>
  <c r="GS34" i="9"/>
  <c r="GJ35" i="9"/>
  <c r="FE43" i="9"/>
  <c r="FG43" i="9" s="1"/>
  <c r="FH43" i="9" s="1"/>
  <c r="FJ43" i="9" s="1"/>
  <c r="FF43" i="9"/>
  <c r="GB37" i="9"/>
  <c r="FT37" i="9"/>
  <c r="FP37" i="9"/>
  <c r="FX37" i="9"/>
  <c r="FM40" i="9"/>
  <c r="EG45" i="9"/>
  <c r="EA46" i="9"/>
  <c r="GP45" i="9"/>
  <c r="EH45" i="9"/>
  <c r="EC45" i="9"/>
  <c r="EI45" i="9"/>
  <c r="EB45" i="9"/>
  <c r="ED45" i="9"/>
  <c r="EF45" i="9"/>
  <c r="EE45" i="9"/>
  <c r="FU39" i="9"/>
  <c r="GC39" i="9"/>
  <c r="FO39" i="9"/>
  <c r="FY39" i="9"/>
  <c r="FO38" i="9"/>
  <c r="FY38" i="9"/>
  <c r="GC38" i="9"/>
  <c r="FU38" i="9"/>
  <c r="EQ44" i="9"/>
  <c r="ES44" i="9"/>
  <c r="EM44" i="9"/>
  <c r="FB44" i="9" s="1"/>
  <c r="FD44" i="9" s="1"/>
  <c r="EO44" i="9"/>
  <c r="FC44" i="9" s="1"/>
  <c r="FI42" i="9"/>
  <c r="FH42" i="9"/>
  <c r="FJ42" i="9" s="1"/>
  <c r="EW44" i="9"/>
  <c r="EU44" i="9"/>
  <c r="FK41" i="9"/>
  <c r="FL41" i="9"/>
  <c r="EZ44" i="9"/>
  <c r="EY44" i="9"/>
  <c r="CX47" i="2" l="1"/>
  <c r="CP47" i="2"/>
  <c r="CK48" i="2"/>
  <c r="CL47" i="2"/>
  <c r="CO47" i="2" s="1"/>
  <c r="CY47" i="2" s="1"/>
  <c r="CN47" i="2"/>
  <c r="CQ46" i="2"/>
  <c r="DA46" i="2" s="1"/>
  <c r="CY46" i="2"/>
  <c r="CU46" i="1"/>
  <c r="CY46" i="1"/>
  <c r="CR46" i="1"/>
  <c r="CW46" i="1" s="1"/>
  <c r="CV47" i="1"/>
  <c r="CQ47" i="1"/>
  <c r="CP47" i="1"/>
  <c r="CM49" i="1"/>
  <c r="CT48" i="1"/>
  <c r="CX48" i="1" s="1"/>
  <c r="CO48" i="1"/>
  <c r="CN48" i="1"/>
  <c r="EL150" i="10"/>
  <c r="ER149" i="10"/>
  <c r="EV149" i="10" s="1"/>
  <c r="EI149" i="10"/>
  <c r="EN149" i="10" s="1"/>
  <c r="EQ46" i="10"/>
  <c r="ES46" i="10" s="1"/>
  <c r="EU46" i="10"/>
  <c r="EW46" i="10" s="1"/>
  <c r="EM46" i="10"/>
  <c r="EJ46" i="10"/>
  <c r="EO46" i="10" s="1"/>
  <c r="EH47" i="10"/>
  <c r="EC48" i="10"/>
  <c r="ED48" i="10"/>
  <c r="EF48" i="10"/>
  <c r="EE48" i="10"/>
  <c r="EB48" i="10"/>
  <c r="EA49" i="10"/>
  <c r="GM45" i="9"/>
  <c r="GR45" i="9" s="1"/>
  <c r="GF45" i="9"/>
  <c r="FI43" i="9"/>
  <c r="FM41" i="9"/>
  <c r="FZ41" i="9" s="1"/>
  <c r="FQ37" i="9"/>
  <c r="GD37" i="9" s="1"/>
  <c r="FR37" i="9"/>
  <c r="FW37" i="9"/>
  <c r="GA37" i="9"/>
  <c r="FS37" i="9"/>
  <c r="FV40" i="9"/>
  <c r="FZ40" i="9"/>
  <c r="FN40" i="9"/>
  <c r="GB39" i="9"/>
  <c r="FX39" i="9"/>
  <c r="FT39" i="9"/>
  <c r="FP39" i="9"/>
  <c r="ES45" i="9"/>
  <c r="EQ45" i="9"/>
  <c r="EO45" i="9"/>
  <c r="FC45" i="9" s="1"/>
  <c r="EM45" i="9"/>
  <c r="FB45" i="9" s="1"/>
  <c r="FD45" i="9" s="1"/>
  <c r="FK43" i="9"/>
  <c r="FL43" i="9"/>
  <c r="FF44" i="9"/>
  <c r="FE44" i="9"/>
  <c r="FG44" i="9" s="1"/>
  <c r="EW45" i="9"/>
  <c r="EU45" i="9"/>
  <c r="FL42" i="9"/>
  <c r="FK42" i="9"/>
  <c r="EZ45" i="9"/>
  <c r="EY45" i="9"/>
  <c r="EE46" i="9"/>
  <c r="EA47" i="9"/>
  <c r="EC46" i="9"/>
  <c r="GP46" i="9"/>
  <c r="ED46" i="9"/>
  <c r="EF46" i="9"/>
  <c r="EH46" i="9"/>
  <c r="EI46" i="9"/>
  <c r="EB46" i="9"/>
  <c r="EG46" i="9"/>
  <c r="FT38" i="9"/>
  <c r="FX38" i="9"/>
  <c r="FP38" i="9"/>
  <c r="GB38" i="9"/>
  <c r="CX48" i="2" l="1"/>
  <c r="CP48" i="2"/>
  <c r="CN48" i="2"/>
  <c r="CL48" i="2"/>
  <c r="CO48" i="2" s="1"/>
  <c r="CY48" i="2" s="1"/>
  <c r="CK49" i="2"/>
  <c r="CQ47" i="2"/>
  <c r="DA47" i="2" s="1"/>
  <c r="CZ47" i="2"/>
  <c r="CU47" i="1"/>
  <c r="CY47" i="1"/>
  <c r="CR47" i="1"/>
  <c r="CW47" i="1" s="1"/>
  <c r="CV48" i="1"/>
  <c r="CQ48" i="1"/>
  <c r="CP48" i="1"/>
  <c r="CM50" i="1"/>
  <c r="CT49" i="1"/>
  <c r="CX49" i="1" s="1"/>
  <c r="CO49" i="1"/>
  <c r="CN49" i="1"/>
  <c r="EL151" i="10"/>
  <c r="ER150" i="10"/>
  <c r="EV150" i="10" s="1"/>
  <c r="EI150" i="10"/>
  <c r="EN150" i="10" s="1"/>
  <c r="EU47" i="10"/>
  <c r="EW47" i="10" s="1"/>
  <c r="EQ47" i="10"/>
  <c r="ES47" i="10" s="1"/>
  <c r="EM47" i="10"/>
  <c r="EJ47" i="10"/>
  <c r="EO47" i="10" s="1"/>
  <c r="EH48" i="10"/>
  <c r="ED49" i="10"/>
  <c r="EC49" i="10"/>
  <c r="EF49" i="10"/>
  <c r="EE49" i="10"/>
  <c r="EB49" i="10"/>
  <c r="EA50" i="10"/>
  <c r="GM46" i="9"/>
  <c r="GR46" i="9" s="1"/>
  <c r="GF46" i="9"/>
  <c r="FV41" i="9"/>
  <c r="FN41" i="9"/>
  <c r="GC41" i="9" s="1"/>
  <c r="GE37" i="9"/>
  <c r="GH37" i="9" s="1"/>
  <c r="GJ37" i="9"/>
  <c r="FY40" i="9"/>
  <c r="GC40" i="9"/>
  <c r="FO40" i="9"/>
  <c r="FU40" i="9"/>
  <c r="FE45" i="9"/>
  <c r="FG45" i="9" s="1"/>
  <c r="FF45" i="9"/>
  <c r="ES46" i="9"/>
  <c r="EQ46" i="9"/>
  <c r="EA48" i="9"/>
  <c r="EC47" i="9"/>
  <c r="GP47" i="9"/>
  <c r="ED47" i="9"/>
  <c r="EF47" i="9"/>
  <c r="EI47" i="9"/>
  <c r="EE47" i="9"/>
  <c r="EH47" i="9"/>
  <c r="EG47" i="9"/>
  <c r="EB47" i="9"/>
  <c r="EO46" i="9"/>
  <c r="FC46" i="9" s="1"/>
  <c r="EM46" i="9"/>
  <c r="FB46" i="9" s="1"/>
  <c r="FD46" i="9" s="1"/>
  <c r="EZ46" i="9"/>
  <c r="EY46" i="9"/>
  <c r="FH44" i="9"/>
  <c r="FJ44" i="9" s="1"/>
  <c r="FI44" i="9"/>
  <c r="FS39" i="9"/>
  <c r="FW39" i="9"/>
  <c r="GA39" i="9"/>
  <c r="FQ39" i="9"/>
  <c r="GD39" i="9" s="1"/>
  <c r="FR39" i="9"/>
  <c r="FM43" i="9"/>
  <c r="FW38" i="9"/>
  <c r="FQ38" i="9"/>
  <c r="GD38" i="9" s="1"/>
  <c r="FR38" i="9"/>
  <c r="GA38" i="9"/>
  <c r="FS38" i="9"/>
  <c r="EW46" i="9"/>
  <c r="EU46" i="9"/>
  <c r="FM42" i="9"/>
  <c r="CX49" i="2" l="1"/>
  <c r="CP49" i="2"/>
  <c r="CL49" i="2"/>
  <c r="CO49" i="2" s="1"/>
  <c r="CY49" i="2" s="1"/>
  <c r="CN49" i="2"/>
  <c r="CK50" i="2"/>
  <c r="CZ48" i="2"/>
  <c r="CQ48" i="2"/>
  <c r="DA48" i="2" s="1"/>
  <c r="CU48" i="1"/>
  <c r="CY48" i="1"/>
  <c r="CR48" i="1"/>
  <c r="CW48" i="1" s="1"/>
  <c r="CP49" i="1"/>
  <c r="CV49" i="1"/>
  <c r="CQ49" i="1"/>
  <c r="CM51" i="1"/>
  <c r="CT50" i="1"/>
  <c r="CX50" i="1" s="1"/>
  <c r="CO50" i="1"/>
  <c r="CN50" i="1"/>
  <c r="EL152" i="10"/>
  <c r="ER151" i="10"/>
  <c r="EV151" i="10" s="1"/>
  <c r="EI151" i="10"/>
  <c r="EN151" i="10" s="1"/>
  <c r="EU48" i="10"/>
  <c r="EW48" i="10" s="1"/>
  <c r="EQ48" i="10"/>
  <c r="ES48" i="10" s="1"/>
  <c r="EH49" i="10"/>
  <c r="EM48" i="10"/>
  <c r="EJ48" i="10"/>
  <c r="EO48" i="10" s="1"/>
  <c r="EC50" i="10"/>
  <c r="ED50" i="10"/>
  <c r="EF50" i="10"/>
  <c r="EB50" i="10"/>
  <c r="EE50" i="10"/>
  <c r="EA51" i="10"/>
  <c r="GM47" i="9"/>
  <c r="GR47" i="9" s="1"/>
  <c r="GF47" i="9"/>
  <c r="GK37" i="9"/>
  <c r="GQ37" i="9" s="1"/>
  <c r="GG37" i="9"/>
  <c r="GS37" i="9"/>
  <c r="FU41" i="9"/>
  <c r="FO41" i="9"/>
  <c r="GB41" i="9" s="1"/>
  <c r="FY41" i="9"/>
  <c r="FT40" i="9"/>
  <c r="GB40" i="9"/>
  <c r="FX40" i="9"/>
  <c r="FP40" i="9"/>
  <c r="FF46" i="9"/>
  <c r="FE46" i="9"/>
  <c r="FG46" i="9" s="1"/>
  <c r="EU47" i="9"/>
  <c r="EW47" i="9"/>
  <c r="EO47" i="9"/>
  <c r="FC47" i="9" s="1"/>
  <c r="EM47" i="9"/>
  <c r="FB47" i="9" s="1"/>
  <c r="FD47" i="9" s="1"/>
  <c r="EQ47" i="9"/>
  <c r="ES47" i="9"/>
  <c r="GE39" i="9"/>
  <c r="GH39" i="9" s="1"/>
  <c r="GJ39" i="9"/>
  <c r="EI48" i="9"/>
  <c r="EH48" i="9"/>
  <c r="EB48" i="9"/>
  <c r="EE48" i="9"/>
  <c r="EA49" i="9"/>
  <c r="EC48" i="9"/>
  <c r="GP48" i="9"/>
  <c r="ED48" i="9"/>
  <c r="EF48" i="9"/>
  <c r="EG48" i="9"/>
  <c r="GJ38" i="9"/>
  <c r="GE38" i="9"/>
  <c r="GH38" i="9" s="1"/>
  <c r="FK44" i="9"/>
  <c r="FL44" i="9"/>
  <c r="EZ47" i="9"/>
  <c r="EY47" i="9"/>
  <c r="FV42" i="9"/>
  <c r="FZ42" i="9"/>
  <c r="FN42" i="9"/>
  <c r="FZ43" i="9"/>
  <c r="FV43" i="9"/>
  <c r="FN43" i="9"/>
  <c r="FH45" i="9"/>
  <c r="FJ45" i="9" s="1"/>
  <c r="FI45" i="9"/>
  <c r="CX50" i="2" l="1"/>
  <c r="CP50" i="2"/>
  <c r="CL50" i="2"/>
  <c r="CO50" i="2" s="1"/>
  <c r="CY50" i="2" s="1"/>
  <c r="CN50" i="2"/>
  <c r="CK51" i="2"/>
  <c r="CZ49" i="2"/>
  <c r="CQ49" i="2"/>
  <c r="DA49" i="2" s="1"/>
  <c r="CU49" i="1"/>
  <c r="CY49" i="1"/>
  <c r="CR49" i="1"/>
  <c r="CW49" i="1" s="1"/>
  <c r="CV50" i="1"/>
  <c r="CQ50" i="1"/>
  <c r="CP50" i="1"/>
  <c r="CM52" i="1"/>
  <c r="CT51" i="1"/>
  <c r="CX51" i="1" s="1"/>
  <c r="CO51" i="1"/>
  <c r="CN51" i="1"/>
  <c r="EL153" i="10"/>
  <c r="ER152" i="10"/>
  <c r="EV152" i="10" s="1"/>
  <c r="EI152" i="10"/>
  <c r="EN152" i="10" s="1"/>
  <c r="EQ49" i="10"/>
  <c r="ES49" i="10" s="1"/>
  <c r="EU49" i="10"/>
  <c r="EW49" i="10" s="1"/>
  <c r="EH50" i="10"/>
  <c r="EM49" i="10"/>
  <c r="EJ49" i="10"/>
  <c r="EO49" i="10" s="1"/>
  <c r="EC51" i="10"/>
  <c r="ED51" i="10"/>
  <c r="EF51" i="10"/>
  <c r="EE51" i="10"/>
  <c r="EB51" i="10"/>
  <c r="EA52" i="10"/>
  <c r="GM48" i="9"/>
  <c r="GR48" i="9" s="1"/>
  <c r="GF48" i="9"/>
  <c r="GK39" i="9"/>
  <c r="GQ39" i="9" s="1"/>
  <c r="GG39" i="9"/>
  <c r="GS39" i="9"/>
  <c r="GK38" i="9"/>
  <c r="GQ38" i="9" s="1"/>
  <c r="GG38" i="9"/>
  <c r="GS38" i="9"/>
  <c r="FT41" i="9"/>
  <c r="FP41" i="9"/>
  <c r="FR41" i="9" s="1"/>
  <c r="FX41" i="9"/>
  <c r="FM44" i="9"/>
  <c r="FN44" i="9" s="1"/>
  <c r="FR40" i="9"/>
  <c r="FQ40" i="9"/>
  <c r="GD40" i="9" s="1"/>
  <c r="FS40" i="9"/>
  <c r="FW40" i="9"/>
  <c r="GA40" i="9"/>
  <c r="ES48" i="9"/>
  <c r="EQ48" i="9"/>
  <c r="EF49" i="9"/>
  <c r="EG49" i="9"/>
  <c r="EH49" i="9"/>
  <c r="EE49" i="9"/>
  <c r="EC49" i="9"/>
  <c r="EA50" i="9"/>
  <c r="EI49" i="9"/>
  <c r="EB49" i="9"/>
  <c r="GP49" i="9"/>
  <c r="ED49" i="9"/>
  <c r="EY48" i="9"/>
  <c r="EZ48" i="9"/>
  <c r="FF47" i="9"/>
  <c r="FE47" i="9"/>
  <c r="FG47" i="9" s="1"/>
  <c r="GC43" i="9"/>
  <c r="FY43" i="9"/>
  <c r="FO43" i="9"/>
  <c r="FU43" i="9"/>
  <c r="FY42" i="9"/>
  <c r="GC42" i="9"/>
  <c r="FU42" i="9"/>
  <c r="FO42" i="9"/>
  <c r="EM48" i="9"/>
  <c r="FB48" i="9" s="1"/>
  <c r="FD48" i="9" s="1"/>
  <c r="EO48" i="9"/>
  <c r="FC48" i="9" s="1"/>
  <c r="EW48" i="9"/>
  <c r="EU48" i="9"/>
  <c r="FI46" i="9"/>
  <c r="FH46" i="9"/>
  <c r="FJ46" i="9" s="1"/>
  <c r="FL45" i="9"/>
  <c r="FK45" i="9"/>
  <c r="CX51" i="2" l="1"/>
  <c r="CP51" i="2"/>
  <c r="CN51" i="2"/>
  <c r="CK52" i="2"/>
  <c r="CL51" i="2"/>
  <c r="CO51" i="2" s="1"/>
  <c r="CY51" i="2" s="1"/>
  <c r="CZ50" i="2"/>
  <c r="CQ50" i="2"/>
  <c r="DA50" i="2" s="1"/>
  <c r="CU50" i="1"/>
  <c r="CY50" i="1"/>
  <c r="CR50" i="1"/>
  <c r="CW50" i="1" s="1"/>
  <c r="CV51" i="1"/>
  <c r="CQ51" i="1"/>
  <c r="CP51" i="1"/>
  <c r="CM53" i="1"/>
  <c r="CT52" i="1"/>
  <c r="CX52" i="1" s="1"/>
  <c r="CO52" i="1"/>
  <c r="CN52" i="1"/>
  <c r="EL154" i="10"/>
  <c r="ER153" i="10"/>
  <c r="EV153" i="10" s="1"/>
  <c r="EI153" i="10"/>
  <c r="EN153" i="10" s="1"/>
  <c r="EU50" i="10"/>
  <c r="EW50" i="10" s="1"/>
  <c r="EQ50" i="10"/>
  <c r="ES50" i="10" s="1"/>
  <c r="EH51" i="10"/>
  <c r="EM50" i="10"/>
  <c r="EJ50" i="10"/>
  <c r="EO50" i="10" s="1"/>
  <c r="EC52" i="10"/>
  <c r="ED52" i="10"/>
  <c r="EF52" i="10"/>
  <c r="EB52" i="10"/>
  <c r="EE52" i="10"/>
  <c r="EA53" i="10"/>
  <c r="GM49" i="9"/>
  <c r="GR49" i="9" s="1"/>
  <c r="GF49" i="9"/>
  <c r="FW41" i="9"/>
  <c r="FS41" i="9"/>
  <c r="GA41" i="9"/>
  <c r="FQ41" i="9"/>
  <c r="GD41" i="9" s="1"/>
  <c r="FV44" i="9"/>
  <c r="FZ44" i="9"/>
  <c r="GE40" i="9"/>
  <c r="GH40" i="9" s="1"/>
  <c r="GJ40" i="9"/>
  <c r="ES49" i="9"/>
  <c r="EQ49" i="9"/>
  <c r="EI50" i="9"/>
  <c r="EG50" i="9"/>
  <c r="EB50" i="9"/>
  <c r="EE50" i="9"/>
  <c r="ED50" i="9"/>
  <c r="EA51" i="9"/>
  <c r="EH50" i="9"/>
  <c r="GP50" i="9"/>
  <c r="EC50" i="9"/>
  <c r="EF50" i="9"/>
  <c r="EY49" i="9"/>
  <c r="EZ49" i="9"/>
  <c r="FT42" i="9"/>
  <c r="FX42" i="9"/>
  <c r="FP42" i="9"/>
  <c r="GB42" i="9"/>
  <c r="FO44" i="9"/>
  <c r="GC44" i="9"/>
  <c r="FY44" i="9"/>
  <c r="FU44" i="9"/>
  <c r="EW49" i="9"/>
  <c r="EU49" i="9"/>
  <c r="FH47" i="9"/>
  <c r="FJ47" i="9" s="1"/>
  <c r="FI47" i="9"/>
  <c r="FX43" i="9"/>
  <c r="FT43" i="9"/>
  <c r="FP43" i="9"/>
  <c r="GB43" i="9"/>
  <c r="FM45" i="9"/>
  <c r="EM49" i="9"/>
  <c r="FB49" i="9" s="1"/>
  <c r="FD49" i="9" s="1"/>
  <c r="EO49" i="9"/>
  <c r="FC49" i="9" s="1"/>
  <c r="FK46" i="9"/>
  <c r="FL46" i="9"/>
  <c r="FF48" i="9"/>
  <c r="FE48" i="9"/>
  <c r="FG48" i="9" s="1"/>
  <c r="CZ51" i="2" l="1"/>
  <c r="CQ51" i="2"/>
  <c r="DA51" i="2" s="1"/>
  <c r="CX52" i="2"/>
  <c r="CP52" i="2"/>
  <c r="CK53" i="2"/>
  <c r="CN52" i="2"/>
  <c r="CL52" i="2"/>
  <c r="CO52" i="2" s="1"/>
  <c r="CY52" i="2" s="1"/>
  <c r="CU51" i="1"/>
  <c r="CY51" i="1"/>
  <c r="CR51" i="1"/>
  <c r="CW51" i="1" s="1"/>
  <c r="CV52" i="1"/>
  <c r="CQ52" i="1"/>
  <c r="CP52" i="1"/>
  <c r="CM54" i="1"/>
  <c r="CT53" i="1"/>
  <c r="CX53" i="1" s="1"/>
  <c r="CO53" i="1"/>
  <c r="CN53" i="1"/>
  <c r="EL155" i="10"/>
  <c r="ER154" i="10"/>
  <c r="EV154" i="10" s="1"/>
  <c r="EI154" i="10"/>
  <c r="EN154" i="10" s="1"/>
  <c r="EM51" i="10"/>
  <c r="EU51" i="10"/>
  <c r="EW51" i="10" s="1"/>
  <c r="EQ51" i="10"/>
  <c r="ES51" i="10" s="1"/>
  <c r="EJ51" i="10"/>
  <c r="EO51" i="10" s="1"/>
  <c r="EH52" i="10"/>
  <c r="ED53" i="10"/>
  <c r="EF53" i="10"/>
  <c r="EC53" i="10"/>
  <c r="EE53" i="10"/>
  <c r="EB53" i="10"/>
  <c r="EA54" i="10"/>
  <c r="GM50" i="9"/>
  <c r="GR50" i="9" s="1"/>
  <c r="GF50" i="9"/>
  <c r="GK40" i="9"/>
  <c r="GQ40" i="9" s="1"/>
  <c r="GG40" i="9"/>
  <c r="GS40" i="9"/>
  <c r="GE41" i="9"/>
  <c r="GH41" i="9" s="1"/>
  <c r="GJ41" i="9"/>
  <c r="FM46" i="9"/>
  <c r="FV46" i="9" s="1"/>
  <c r="FF49" i="9"/>
  <c r="FE49" i="9"/>
  <c r="FG49" i="9" s="1"/>
  <c r="FZ45" i="9"/>
  <c r="FV45" i="9"/>
  <c r="FN45" i="9"/>
  <c r="EU50" i="9"/>
  <c r="EW50" i="9"/>
  <c r="EZ50" i="9"/>
  <c r="EY50" i="9"/>
  <c r="FI48" i="9"/>
  <c r="FH48" i="9"/>
  <c r="FJ48" i="9" s="1"/>
  <c r="GA43" i="9"/>
  <c r="FR43" i="9"/>
  <c r="FW43" i="9"/>
  <c r="FS43" i="9"/>
  <c r="FQ43" i="9"/>
  <c r="GD43" i="9" s="1"/>
  <c r="EM50" i="9"/>
  <c r="FB50" i="9" s="1"/>
  <c r="FD50" i="9" s="1"/>
  <c r="EO50" i="9"/>
  <c r="FC50" i="9" s="1"/>
  <c r="FK47" i="9"/>
  <c r="FL47" i="9"/>
  <c r="FS42" i="9"/>
  <c r="FW42" i="9"/>
  <c r="FQ42" i="9"/>
  <c r="GD42" i="9" s="1"/>
  <c r="FR42" i="9"/>
  <c r="GA42" i="9"/>
  <c r="EA52" i="9"/>
  <c r="ED51" i="9"/>
  <c r="GP51" i="9"/>
  <c r="EC51" i="9"/>
  <c r="EF51" i="9"/>
  <c r="EG51" i="9"/>
  <c r="EH51" i="9"/>
  <c r="EB51" i="9"/>
  <c r="EI51" i="9"/>
  <c r="EE51" i="9"/>
  <c r="FT44" i="9"/>
  <c r="GB44" i="9"/>
  <c r="FX44" i="9"/>
  <c r="FP44" i="9"/>
  <c r="EQ50" i="9"/>
  <c r="ES50" i="9"/>
  <c r="CX53" i="2" l="1"/>
  <c r="CP53" i="2"/>
  <c r="CN53" i="2"/>
  <c r="CK54" i="2"/>
  <c r="CL53" i="2"/>
  <c r="CO53" i="2" s="1"/>
  <c r="CY53" i="2" s="1"/>
  <c r="CZ52" i="2"/>
  <c r="CQ52" i="2"/>
  <c r="DA52" i="2" s="1"/>
  <c r="CU52" i="1"/>
  <c r="CY52" i="1"/>
  <c r="CR52" i="1"/>
  <c r="CW52" i="1" s="1"/>
  <c r="CV53" i="1"/>
  <c r="CQ53" i="1"/>
  <c r="CP53" i="1"/>
  <c r="CM55" i="1"/>
  <c r="CT54" i="1"/>
  <c r="CX54" i="1" s="1"/>
  <c r="CO54" i="1"/>
  <c r="CN54" i="1"/>
  <c r="EL156" i="10"/>
  <c r="ER155" i="10"/>
  <c r="EV155" i="10" s="1"/>
  <c r="EI155" i="10"/>
  <c r="EN155" i="10" s="1"/>
  <c r="EQ52" i="10"/>
  <c r="ES52" i="10" s="1"/>
  <c r="EU52" i="10"/>
  <c r="EW52" i="10" s="1"/>
  <c r="EH53" i="10"/>
  <c r="EM52" i="10"/>
  <c r="EJ52" i="10"/>
  <c r="EO52" i="10" s="1"/>
  <c r="ED54" i="10"/>
  <c r="EC54" i="10"/>
  <c r="EF54" i="10"/>
  <c r="EE54" i="10"/>
  <c r="EB54" i="10"/>
  <c r="EA55" i="10"/>
  <c r="GM51" i="9"/>
  <c r="GF51" i="9"/>
  <c r="GK41" i="9"/>
  <c r="GQ41" i="9" s="1"/>
  <c r="GG41" i="9"/>
  <c r="GS41" i="9"/>
  <c r="GR51" i="9"/>
  <c r="FN46" i="9"/>
  <c r="FZ46" i="9"/>
  <c r="FM47" i="9"/>
  <c r="FZ47" i="9" s="1"/>
  <c r="GE43" i="9"/>
  <c r="GH43" i="9" s="1"/>
  <c r="GJ43" i="9"/>
  <c r="FQ44" i="9"/>
  <c r="GD44" i="9" s="1"/>
  <c r="GA44" i="9"/>
  <c r="FW44" i="9"/>
  <c r="FR44" i="9"/>
  <c r="FS44" i="9"/>
  <c r="GE42" i="9"/>
  <c r="GH42" i="9" s="1"/>
  <c r="GJ42" i="9"/>
  <c r="ES51" i="9"/>
  <c r="EQ51" i="9"/>
  <c r="GC45" i="9"/>
  <c r="FU45" i="9"/>
  <c r="FY45" i="9"/>
  <c r="FO45" i="9"/>
  <c r="EY51" i="9"/>
  <c r="EZ51" i="9"/>
  <c r="EU51" i="9"/>
  <c r="EW51" i="9"/>
  <c r="FL48" i="9"/>
  <c r="FK48" i="9"/>
  <c r="GP52" i="9"/>
  <c r="EC52" i="9"/>
  <c r="EI52" i="9"/>
  <c r="EG52" i="9"/>
  <c r="EF52" i="9"/>
  <c r="EA53" i="9"/>
  <c r="EE52" i="9"/>
  <c r="EH52" i="9"/>
  <c r="ED52" i="9"/>
  <c r="EB52" i="9"/>
  <c r="FI49" i="9"/>
  <c r="FH49" i="9"/>
  <c r="FJ49" i="9" s="1"/>
  <c r="EO51" i="9"/>
  <c r="FC51" i="9" s="1"/>
  <c r="EM51" i="9"/>
  <c r="FB51" i="9" s="1"/>
  <c r="FD51" i="9" s="1"/>
  <c r="FE50" i="9"/>
  <c r="FG50" i="9" s="1"/>
  <c r="FF50" i="9"/>
  <c r="CX54" i="2" l="1"/>
  <c r="CP54" i="2"/>
  <c r="CZ54" i="2" s="1"/>
  <c r="CN54" i="2"/>
  <c r="CL54" i="2"/>
  <c r="CO54" i="2" s="1"/>
  <c r="CK55" i="2"/>
  <c r="CZ53" i="2"/>
  <c r="CQ53" i="2"/>
  <c r="DA53" i="2" s="1"/>
  <c r="CU53" i="1"/>
  <c r="CY53" i="1"/>
  <c r="CR53" i="1"/>
  <c r="CW53" i="1" s="1"/>
  <c r="CV54" i="1"/>
  <c r="CQ54" i="1"/>
  <c r="CP54" i="1"/>
  <c r="CM56" i="1"/>
  <c r="CT55" i="1"/>
  <c r="CX55" i="1" s="1"/>
  <c r="CO55" i="1"/>
  <c r="CN55" i="1"/>
  <c r="EL157" i="10"/>
  <c r="ER156" i="10"/>
  <c r="EV156" i="10" s="1"/>
  <c r="EI156" i="10"/>
  <c r="EN156" i="10" s="1"/>
  <c r="EQ53" i="10"/>
  <c r="ES53" i="10" s="1"/>
  <c r="EU53" i="10"/>
  <c r="EW53" i="10" s="1"/>
  <c r="EM53" i="10"/>
  <c r="EJ53" i="10"/>
  <c r="EO53" i="10" s="1"/>
  <c r="EH54" i="10"/>
  <c r="ED55" i="10"/>
  <c r="EC55" i="10"/>
  <c r="EF55" i="10"/>
  <c r="EB55" i="10"/>
  <c r="EE55" i="10"/>
  <c r="EA56" i="10"/>
  <c r="GM52" i="9"/>
  <c r="GF52" i="9"/>
  <c r="GK43" i="9"/>
  <c r="GQ43" i="9" s="1"/>
  <c r="GG43" i="9"/>
  <c r="GS43" i="9"/>
  <c r="GK42" i="9"/>
  <c r="GQ42" i="9" s="1"/>
  <c r="GG42" i="9"/>
  <c r="GS42" i="9"/>
  <c r="GR52" i="9"/>
  <c r="FV47" i="9"/>
  <c r="FN47" i="9"/>
  <c r="FU47" i="9" s="1"/>
  <c r="FO46" i="9"/>
  <c r="FY46" i="9"/>
  <c r="GC46" i="9"/>
  <c r="FU46" i="9"/>
  <c r="FH50" i="9"/>
  <c r="FJ50" i="9" s="1"/>
  <c r="FI50" i="9"/>
  <c r="EZ52" i="9"/>
  <c r="EY52" i="9"/>
  <c r="FM48" i="9"/>
  <c r="FX45" i="9"/>
  <c r="GB45" i="9"/>
  <c r="FT45" i="9"/>
  <c r="FP45" i="9"/>
  <c r="FF51" i="9"/>
  <c r="FE51" i="9"/>
  <c r="FG51" i="9" s="1"/>
  <c r="EI53" i="9"/>
  <c r="EH53" i="9"/>
  <c r="EG53" i="9"/>
  <c r="EB53" i="9"/>
  <c r="GP53" i="9"/>
  <c r="EE53" i="9"/>
  <c r="EC53" i="9"/>
  <c r="EA54" i="9"/>
  <c r="ED53" i="9"/>
  <c r="EF53" i="9"/>
  <c r="FK49" i="9"/>
  <c r="FL49" i="9"/>
  <c r="GJ44" i="9"/>
  <c r="GE44" i="9"/>
  <c r="GH44" i="9" s="1"/>
  <c r="EM52" i="9"/>
  <c r="FB52" i="9" s="1"/>
  <c r="FD52" i="9" s="1"/>
  <c r="EO52" i="9"/>
  <c r="FC52" i="9" s="1"/>
  <c r="EQ52" i="9"/>
  <c r="ES52" i="9"/>
  <c r="EW52" i="9"/>
  <c r="EU52" i="9"/>
  <c r="CX55" i="2" l="1"/>
  <c r="CP55" i="2"/>
  <c r="CL55" i="2"/>
  <c r="CO55" i="2" s="1"/>
  <c r="CY55" i="2" s="1"/>
  <c r="CN55" i="2"/>
  <c r="CK56" i="2"/>
  <c r="CQ54" i="2"/>
  <c r="DA54" i="2" s="1"/>
  <c r="CY54" i="2"/>
  <c r="CU54" i="1"/>
  <c r="CY54" i="1"/>
  <c r="CP55" i="1"/>
  <c r="CR54" i="1"/>
  <c r="CW54" i="1" s="1"/>
  <c r="CV55" i="1"/>
  <c r="CQ55" i="1"/>
  <c r="CR55" i="1" s="1"/>
  <c r="CW55" i="1" s="1"/>
  <c r="CM57" i="1"/>
  <c r="CT56" i="1"/>
  <c r="CX56" i="1" s="1"/>
  <c r="CO56" i="1"/>
  <c r="CN56" i="1"/>
  <c r="EL158" i="10"/>
  <c r="ER157" i="10"/>
  <c r="EV157" i="10" s="1"/>
  <c r="EI157" i="10"/>
  <c r="EN157" i="10" s="1"/>
  <c r="EU54" i="10"/>
  <c r="EW54" i="10" s="1"/>
  <c r="EQ54" i="10"/>
  <c r="ES54" i="10" s="1"/>
  <c r="EM54" i="10"/>
  <c r="EJ54" i="10"/>
  <c r="EO54" i="10" s="1"/>
  <c r="EH55" i="10"/>
  <c r="ED56" i="10"/>
  <c r="EC56" i="10"/>
  <c r="EF56" i="10"/>
  <c r="EE56" i="10"/>
  <c r="EB56" i="10"/>
  <c r="EA57" i="10"/>
  <c r="GM53" i="9"/>
  <c r="GR53" i="9" s="1"/>
  <c r="GF53" i="9"/>
  <c r="GK44" i="9"/>
  <c r="GQ44" i="9" s="1"/>
  <c r="GG44" i="9"/>
  <c r="GS44" i="9"/>
  <c r="FY47" i="9"/>
  <c r="FO47" i="9"/>
  <c r="FP47" i="9" s="1"/>
  <c r="GC47" i="9"/>
  <c r="FP46" i="9"/>
  <c r="FX46" i="9"/>
  <c r="GB46" i="9"/>
  <c r="FT46" i="9"/>
  <c r="FM49" i="9"/>
  <c r="EM53" i="9"/>
  <c r="FB53" i="9" s="1"/>
  <c r="FD53" i="9" s="1"/>
  <c r="EO53" i="9"/>
  <c r="FC53" i="9" s="1"/>
  <c r="FZ48" i="9"/>
  <c r="FV48" i="9"/>
  <c r="FN48" i="9"/>
  <c r="EW53" i="9"/>
  <c r="EU53" i="9"/>
  <c r="EF54" i="9"/>
  <c r="EI54" i="9"/>
  <c r="EG54" i="9"/>
  <c r="EH54" i="9"/>
  <c r="ED54" i="9"/>
  <c r="GP54" i="9"/>
  <c r="EB54" i="9"/>
  <c r="EC54" i="9"/>
  <c r="EA55" i="9"/>
  <c r="EE54" i="9"/>
  <c r="FH51" i="9"/>
  <c r="FJ51" i="9" s="1"/>
  <c r="FI51" i="9"/>
  <c r="FE52" i="9"/>
  <c r="FG52" i="9" s="1"/>
  <c r="FF52" i="9"/>
  <c r="EQ53" i="9"/>
  <c r="ES53" i="9"/>
  <c r="EZ53" i="9"/>
  <c r="EY53" i="9"/>
  <c r="FQ45" i="9"/>
  <c r="GD45" i="9" s="1"/>
  <c r="FW45" i="9"/>
  <c r="FR45" i="9"/>
  <c r="GA45" i="9"/>
  <c r="FS45" i="9"/>
  <c r="FL50" i="9"/>
  <c r="FK50" i="9"/>
  <c r="CX56" i="2" l="1"/>
  <c r="CP56" i="2"/>
  <c r="CK57" i="2"/>
  <c r="CN56" i="2"/>
  <c r="CL56" i="2"/>
  <c r="CO56" i="2" s="1"/>
  <c r="CY56" i="2" s="1"/>
  <c r="CQ55" i="2"/>
  <c r="DA55" i="2" s="1"/>
  <c r="CZ55" i="2"/>
  <c r="CU55" i="1"/>
  <c r="CY55" i="1"/>
  <c r="CV56" i="1"/>
  <c r="CQ56" i="1"/>
  <c r="CP56" i="1"/>
  <c r="CM58" i="1"/>
  <c r="CT57" i="1"/>
  <c r="CX57" i="1" s="1"/>
  <c r="CO57" i="1"/>
  <c r="CN57" i="1"/>
  <c r="EL159" i="10"/>
  <c r="ER158" i="10"/>
  <c r="EV158" i="10" s="1"/>
  <c r="EI158" i="10"/>
  <c r="EN158" i="10" s="1"/>
  <c r="EU55" i="10"/>
  <c r="EW55" i="10" s="1"/>
  <c r="EQ55" i="10"/>
  <c r="ES55" i="10" s="1"/>
  <c r="EM55" i="10"/>
  <c r="EJ55" i="10"/>
  <c r="EO55" i="10" s="1"/>
  <c r="EH56" i="10"/>
  <c r="EF57" i="10"/>
  <c r="EC57" i="10"/>
  <c r="ED57" i="10"/>
  <c r="EB57" i="10"/>
  <c r="EE57" i="10"/>
  <c r="EA58" i="10"/>
  <c r="GM54" i="9"/>
  <c r="GR54" i="9" s="1"/>
  <c r="GF54" i="9"/>
  <c r="FT47" i="9"/>
  <c r="GB47" i="9"/>
  <c r="FX47" i="9"/>
  <c r="FQ46" i="9"/>
  <c r="GD46" i="9" s="1"/>
  <c r="FR46" i="9"/>
  <c r="FW46" i="9"/>
  <c r="FS46" i="9"/>
  <c r="GA46" i="9"/>
  <c r="FM50" i="9"/>
  <c r="FN50" i="9" s="1"/>
  <c r="EQ54" i="9"/>
  <c r="ES54" i="9"/>
  <c r="GE45" i="9"/>
  <c r="GH45" i="9" s="1"/>
  <c r="GJ45" i="9"/>
  <c r="EO54" i="9"/>
  <c r="FC54" i="9" s="1"/>
  <c r="EM54" i="9"/>
  <c r="FB54" i="9" s="1"/>
  <c r="FD54" i="9" s="1"/>
  <c r="FO48" i="9"/>
  <c r="FU48" i="9"/>
  <c r="FY48" i="9"/>
  <c r="GC48" i="9"/>
  <c r="FH52" i="9"/>
  <c r="FJ52" i="9" s="1"/>
  <c r="FI52" i="9"/>
  <c r="EU54" i="9"/>
  <c r="EW54" i="9"/>
  <c r="FR47" i="9"/>
  <c r="FS47" i="9"/>
  <c r="GA47" i="9"/>
  <c r="FW47" i="9"/>
  <c r="FQ47" i="9"/>
  <c r="FK51" i="9"/>
  <c r="FL51" i="9"/>
  <c r="EZ54" i="9"/>
  <c r="EY54" i="9"/>
  <c r="FE53" i="9"/>
  <c r="FG53" i="9" s="1"/>
  <c r="FF53" i="9"/>
  <c r="EB55" i="9"/>
  <c r="EA56" i="9"/>
  <c r="ED55" i="9"/>
  <c r="GP55" i="9"/>
  <c r="EC55" i="9"/>
  <c r="EI55" i="9"/>
  <c r="EF55" i="9"/>
  <c r="EE55" i="9"/>
  <c r="EH55" i="9"/>
  <c r="EG55" i="9"/>
  <c r="FN49" i="9"/>
  <c r="FV49" i="9"/>
  <c r="FZ49" i="9"/>
  <c r="CX57" i="2" l="1"/>
  <c r="CP57" i="2"/>
  <c r="CL57" i="2"/>
  <c r="CO57" i="2" s="1"/>
  <c r="CY57" i="2" s="1"/>
  <c r="CN57" i="2"/>
  <c r="CK58" i="2"/>
  <c r="CZ56" i="2"/>
  <c r="CQ56" i="2"/>
  <c r="DA56" i="2" s="1"/>
  <c r="CP57" i="1"/>
  <c r="CU56" i="1"/>
  <c r="CY56" i="1"/>
  <c r="CR56" i="1"/>
  <c r="CW56" i="1" s="1"/>
  <c r="CV57" i="1"/>
  <c r="CQ57" i="1"/>
  <c r="CM59" i="1"/>
  <c r="CT58" i="1"/>
  <c r="CX58" i="1" s="1"/>
  <c r="CO58" i="1"/>
  <c r="CN58" i="1"/>
  <c r="EL160" i="10"/>
  <c r="ER159" i="10"/>
  <c r="EV159" i="10" s="1"/>
  <c r="EI159" i="10"/>
  <c r="EN159" i="10" s="1"/>
  <c r="EU56" i="10"/>
  <c r="EW56" i="10" s="1"/>
  <c r="EQ56" i="10"/>
  <c r="ES56" i="10" s="1"/>
  <c r="EM56" i="10"/>
  <c r="EJ56" i="10"/>
  <c r="EO56" i="10" s="1"/>
  <c r="EH57" i="10"/>
  <c r="ED58" i="10"/>
  <c r="EF58" i="10"/>
  <c r="EC58" i="10"/>
  <c r="EB58" i="10"/>
  <c r="EE58" i="10"/>
  <c r="EA59" i="10"/>
  <c r="GM55" i="9"/>
  <c r="GF55" i="9"/>
  <c r="GK45" i="9"/>
  <c r="GQ45" i="9" s="1"/>
  <c r="GG45" i="9"/>
  <c r="GS45" i="9"/>
  <c r="GR55" i="9"/>
  <c r="GD47" i="9"/>
  <c r="GE47" i="9" s="1"/>
  <c r="GH47" i="9" s="1"/>
  <c r="FZ50" i="9"/>
  <c r="FV50" i="9"/>
  <c r="GE46" i="9"/>
  <c r="GH46" i="9" s="1"/>
  <c r="GJ46" i="9"/>
  <c r="FM51" i="9"/>
  <c r="FN51" i="9" s="1"/>
  <c r="FY49" i="9"/>
  <c r="GC49" i="9"/>
  <c r="FU49" i="9"/>
  <c r="FO49" i="9"/>
  <c r="EW55" i="9"/>
  <c r="EU55" i="9"/>
  <c r="FP48" i="9"/>
  <c r="FX48" i="9"/>
  <c r="GB48" i="9"/>
  <c r="FT48" i="9"/>
  <c r="GP56" i="9"/>
  <c r="ED56" i="9"/>
  <c r="EF56" i="9"/>
  <c r="EH56" i="9"/>
  <c r="EA57" i="9"/>
  <c r="EC56" i="9"/>
  <c r="EI56" i="9"/>
  <c r="EG56" i="9"/>
  <c r="EB56" i="9"/>
  <c r="EE56" i="9"/>
  <c r="FF54" i="9"/>
  <c r="EM55" i="9"/>
  <c r="FB55" i="9" s="1"/>
  <c r="FD55" i="9" s="1"/>
  <c r="EO55" i="9"/>
  <c r="FC55" i="9" s="1"/>
  <c r="EY55" i="9"/>
  <c r="EZ55" i="9"/>
  <c r="FH53" i="9"/>
  <c r="FJ53" i="9" s="1"/>
  <c r="FI53" i="9"/>
  <c r="FK52" i="9"/>
  <c r="FL52" i="9"/>
  <c r="EQ55" i="9"/>
  <c r="ES55" i="9"/>
  <c r="FO50" i="9"/>
  <c r="FY50" i="9"/>
  <c r="GC50" i="9"/>
  <c r="FU50" i="9"/>
  <c r="FE54" i="9"/>
  <c r="FG54" i="9" s="1"/>
  <c r="FH54" i="9" s="1"/>
  <c r="FJ54" i="9" s="1"/>
  <c r="CX58" i="2" l="1"/>
  <c r="CP58" i="2"/>
  <c r="CL58" i="2"/>
  <c r="CO58" i="2" s="1"/>
  <c r="CY58" i="2" s="1"/>
  <c r="CN58" i="2"/>
  <c r="CK59" i="2"/>
  <c r="CZ57" i="2"/>
  <c r="CQ57" i="2"/>
  <c r="DA57" i="2" s="1"/>
  <c r="CR57" i="1"/>
  <c r="CW57" i="1" s="1"/>
  <c r="CU57" i="1"/>
  <c r="CY57" i="1"/>
  <c r="CV58" i="1"/>
  <c r="CQ58" i="1"/>
  <c r="CP58" i="1"/>
  <c r="CM60" i="1"/>
  <c r="CT59" i="1"/>
  <c r="CX59" i="1" s="1"/>
  <c r="CO59" i="1"/>
  <c r="CN59" i="1"/>
  <c r="EL161" i="10"/>
  <c r="ER160" i="10"/>
  <c r="EV160" i="10" s="1"/>
  <c r="EI160" i="10"/>
  <c r="EN160" i="10" s="1"/>
  <c r="EU57" i="10"/>
  <c r="EW57" i="10" s="1"/>
  <c r="EQ57" i="10"/>
  <c r="ES57" i="10" s="1"/>
  <c r="EH58" i="10"/>
  <c r="EM57" i="10"/>
  <c r="EJ57" i="10"/>
  <c r="EO57" i="10" s="1"/>
  <c r="ED59" i="10"/>
  <c r="EF59" i="10"/>
  <c r="EC59" i="10"/>
  <c r="EB59" i="10"/>
  <c r="EE59" i="10"/>
  <c r="EA60" i="10"/>
  <c r="GM56" i="9"/>
  <c r="GF56" i="9"/>
  <c r="GK47" i="9"/>
  <c r="GQ47" i="9" s="1"/>
  <c r="GG47" i="9"/>
  <c r="GS47" i="9"/>
  <c r="GK46" i="9"/>
  <c r="GQ46" i="9" s="1"/>
  <c r="GG46" i="9"/>
  <c r="GS46" i="9"/>
  <c r="GR56" i="9"/>
  <c r="GJ47" i="9"/>
  <c r="FV51" i="9"/>
  <c r="FZ51" i="9"/>
  <c r="FK53" i="9"/>
  <c r="FL53" i="9"/>
  <c r="FI54" i="9"/>
  <c r="EG57" i="9"/>
  <c r="EB57" i="9"/>
  <c r="EE57" i="9"/>
  <c r="GP57" i="9"/>
  <c r="ED57" i="9"/>
  <c r="EA58" i="9"/>
  <c r="EC57" i="9"/>
  <c r="EF57" i="9"/>
  <c r="EI57" i="9"/>
  <c r="EH57" i="9"/>
  <c r="FQ48" i="9"/>
  <c r="GD48" i="9" s="1"/>
  <c r="FW48" i="9"/>
  <c r="FR48" i="9"/>
  <c r="GA48" i="9"/>
  <c r="FS48" i="9"/>
  <c r="FP50" i="9"/>
  <c r="FT50" i="9"/>
  <c r="FX50" i="9"/>
  <c r="GB50" i="9"/>
  <c r="EQ56" i="9"/>
  <c r="ES56" i="9"/>
  <c r="EY56" i="9"/>
  <c r="EZ56" i="9"/>
  <c r="EU56" i="9"/>
  <c r="EW56" i="9"/>
  <c r="FT49" i="9"/>
  <c r="FP49" i="9"/>
  <c r="FX49" i="9"/>
  <c r="GB49" i="9"/>
  <c r="FE55" i="9"/>
  <c r="FG55" i="9" s="1"/>
  <c r="FF55" i="9"/>
  <c r="EO56" i="9"/>
  <c r="FC56" i="9" s="1"/>
  <c r="EM56" i="9"/>
  <c r="FB56" i="9" s="1"/>
  <c r="FD56" i="9" s="1"/>
  <c r="FM52" i="9"/>
  <c r="FY51" i="9"/>
  <c r="GC51" i="9"/>
  <c r="FU51" i="9"/>
  <c r="FO51" i="9"/>
  <c r="FL54" i="9"/>
  <c r="FK54" i="9"/>
  <c r="CX59" i="2" l="1"/>
  <c r="CP59" i="2"/>
  <c r="CN59" i="2"/>
  <c r="CK60" i="2"/>
  <c r="CL59" i="2"/>
  <c r="CO59" i="2" s="1"/>
  <c r="CY59" i="2" s="1"/>
  <c r="CZ58" i="2"/>
  <c r="CQ58" i="2"/>
  <c r="DA58" i="2" s="1"/>
  <c r="CU58" i="1"/>
  <c r="CY58" i="1"/>
  <c r="CP59" i="1"/>
  <c r="CR58" i="1"/>
  <c r="CW58" i="1" s="1"/>
  <c r="CV59" i="1"/>
  <c r="CQ59" i="1"/>
  <c r="CM61" i="1"/>
  <c r="CT60" i="1"/>
  <c r="CX60" i="1" s="1"/>
  <c r="CO60" i="1"/>
  <c r="CN60" i="1"/>
  <c r="EL162" i="10"/>
  <c r="ER161" i="10"/>
  <c r="EV161" i="10" s="1"/>
  <c r="EI161" i="10"/>
  <c r="EN161" i="10" s="1"/>
  <c r="EU58" i="10"/>
  <c r="EW58" i="10" s="1"/>
  <c r="EQ58" i="10"/>
  <c r="ES58" i="10" s="1"/>
  <c r="EH59" i="10"/>
  <c r="EM58" i="10"/>
  <c r="EJ58" i="10"/>
  <c r="EO58" i="10" s="1"/>
  <c r="ED60" i="10"/>
  <c r="EC60" i="10"/>
  <c r="EF60" i="10"/>
  <c r="EB60" i="10"/>
  <c r="EE60" i="10"/>
  <c r="EA61" i="10"/>
  <c r="GM57" i="9"/>
  <c r="GR57" i="9" s="1"/>
  <c r="GF57" i="9"/>
  <c r="FM53" i="9"/>
  <c r="FN53" i="9" s="1"/>
  <c r="EU57" i="9"/>
  <c r="EW57" i="9"/>
  <c r="FR49" i="9"/>
  <c r="FW49" i="9"/>
  <c r="FS49" i="9"/>
  <c r="FQ49" i="9"/>
  <c r="GD49" i="9" s="1"/>
  <c r="GA49" i="9"/>
  <c r="GJ48" i="9"/>
  <c r="GE48" i="9"/>
  <c r="GH48" i="9" s="1"/>
  <c r="EZ57" i="9"/>
  <c r="EY57" i="9"/>
  <c r="FV52" i="9"/>
  <c r="FZ52" i="9"/>
  <c r="FN52" i="9"/>
  <c r="EO57" i="9"/>
  <c r="FC57" i="9" s="1"/>
  <c r="EM57" i="9"/>
  <c r="FB57" i="9" s="1"/>
  <c r="FD57" i="9" s="1"/>
  <c r="FF56" i="9"/>
  <c r="FE56" i="9"/>
  <c r="FG56" i="9" s="1"/>
  <c r="FW50" i="9"/>
  <c r="FQ50" i="9"/>
  <c r="GD50" i="9" s="1"/>
  <c r="FR50" i="9"/>
  <c r="FS50" i="9"/>
  <c r="GA50" i="9"/>
  <c r="FM54" i="9"/>
  <c r="ES57" i="9"/>
  <c r="EQ57" i="9"/>
  <c r="FT51" i="9"/>
  <c r="GB51" i="9"/>
  <c r="FX51" i="9"/>
  <c r="FP51" i="9"/>
  <c r="FH55" i="9"/>
  <c r="FJ55" i="9" s="1"/>
  <c r="FI55" i="9"/>
  <c r="GP58" i="9"/>
  <c r="EC58" i="9"/>
  <c r="ED58" i="9"/>
  <c r="EI58" i="9"/>
  <c r="EF58" i="9"/>
  <c r="EH58" i="9"/>
  <c r="EG58" i="9"/>
  <c r="EE58" i="9"/>
  <c r="EA59" i="9"/>
  <c r="EB58" i="9"/>
  <c r="CX60" i="2" l="1"/>
  <c r="CP60" i="2"/>
  <c r="CK61" i="2"/>
  <c r="CL60" i="2"/>
  <c r="CN60" i="2"/>
  <c r="CZ59" i="2"/>
  <c r="CQ59" i="2"/>
  <c r="DA59" i="2" s="1"/>
  <c r="CU59" i="1"/>
  <c r="CY59" i="1"/>
  <c r="CR59" i="1"/>
  <c r="CW59" i="1" s="1"/>
  <c r="CP60" i="1"/>
  <c r="CV60" i="1"/>
  <c r="CQ60" i="1"/>
  <c r="CM62" i="1"/>
  <c r="CT61" i="1"/>
  <c r="CX61" i="1" s="1"/>
  <c r="CO61" i="1"/>
  <c r="CN61" i="1"/>
  <c r="EL163" i="10"/>
  <c r="ER162" i="10"/>
  <c r="EV162" i="10" s="1"/>
  <c r="EI162" i="10"/>
  <c r="EN162" i="10" s="1"/>
  <c r="EU59" i="10"/>
  <c r="EW59" i="10" s="1"/>
  <c r="EQ59" i="10"/>
  <c r="ES59" i="10" s="1"/>
  <c r="EH60" i="10"/>
  <c r="EM59" i="10"/>
  <c r="EJ59" i="10"/>
  <c r="EO59" i="10" s="1"/>
  <c r="ED61" i="10"/>
  <c r="EC61" i="10"/>
  <c r="EF61" i="10"/>
  <c r="EB61" i="10"/>
  <c r="EE61" i="10"/>
  <c r="EA62" i="10"/>
  <c r="GM58" i="9"/>
  <c r="GR58" i="9" s="1"/>
  <c r="GF58" i="9"/>
  <c r="GK48" i="9"/>
  <c r="GQ48" i="9" s="1"/>
  <c r="GG48" i="9"/>
  <c r="GS48" i="9"/>
  <c r="FZ53" i="9"/>
  <c r="FV53" i="9"/>
  <c r="FE57" i="9"/>
  <c r="FG57" i="9" s="1"/>
  <c r="FF57" i="9"/>
  <c r="FY52" i="9"/>
  <c r="GC52" i="9"/>
  <c r="FU52" i="9"/>
  <c r="FO52" i="9"/>
  <c r="GJ49" i="9"/>
  <c r="GE49" i="9"/>
  <c r="GH49" i="9" s="1"/>
  <c r="GJ50" i="9"/>
  <c r="GE50" i="9"/>
  <c r="GH50" i="9" s="1"/>
  <c r="EW58" i="9"/>
  <c r="EU58" i="9"/>
  <c r="GC53" i="9"/>
  <c r="FU53" i="9"/>
  <c r="FY53" i="9"/>
  <c r="FO53" i="9"/>
  <c r="FZ54" i="9"/>
  <c r="FV54" i="9"/>
  <c r="FN54" i="9"/>
  <c r="EQ58" i="9"/>
  <c r="ES58" i="9"/>
  <c r="EI59" i="9"/>
  <c r="EG59" i="9"/>
  <c r="EE59" i="9"/>
  <c r="EH59" i="9"/>
  <c r="EC59" i="9"/>
  <c r="EA60" i="9"/>
  <c r="EB59" i="9"/>
  <c r="GP59" i="9"/>
  <c r="ED59" i="9"/>
  <c r="EF59" i="9"/>
  <c r="EZ58" i="9"/>
  <c r="EY58" i="9"/>
  <c r="FK55" i="9"/>
  <c r="FL55" i="9"/>
  <c r="FH56" i="9"/>
  <c r="FJ56" i="9" s="1"/>
  <c r="FI56" i="9"/>
  <c r="EO58" i="9"/>
  <c r="FC58" i="9" s="1"/>
  <c r="EM58" i="9"/>
  <c r="FB58" i="9" s="1"/>
  <c r="FD58" i="9" s="1"/>
  <c r="FR51" i="9"/>
  <c r="FS51" i="9"/>
  <c r="FW51" i="9"/>
  <c r="FQ51" i="9"/>
  <c r="GD51" i="9" s="1"/>
  <c r="GA51" i="9"/>
  <c r="CO60" i="2" l="1"/>
  <c r="CY60" i="2" s="1"/>
  <c r="CX61" i="2"/>
  <c r="CP61" i="2"/>
  <c r="CN61" i="2"/>
  <c r="CL61" i="2"/>
  <c r="CO61" i="2" s="1"/>
  <c r="CY61" i="2" s="1"/>
  <c r="CK62" i="2"/>
  <c r="CZ60" i="2"/>
  <c r="CQ60" i="2"/>
  <c r="DA60" i="2" s="1"/>
  <c r="CR60" i="1"/>
  <c r="CW60" i="1" s="1"/>
  <c r="CU60" i="1"/>
  <c r="CY60" i="1"/>
  <c r="CV61" i="1"/>
  <c r="CQ61" i="1"/>
  <c r="CP61" i="1"/>
  <c r="CM63" i="1"/>
  <c r="CT62" i="1"/>
  <c r="CX62" i="1" s="1"/>
  <c r="CO62" i="1"/>
  <c r="CN62" i="1"/>
  <c r="EL164" i="10"/>
  <c r="ER163" i="10"/>
  <c r="EV163" i="10" s="1"/>
  <c r="EI163" i="10"/>
  <c r="EN163" i="10" s="1"/>
  <c r="EU60" i="10"/>
  <c r="EW60" i="10" s="1"/>
  <c r="EQ60" i="10"/>
  <c r="ES60" i="10" s="1"/>
  <c r="EH61" i="10"/>
  <c r="EM60" i="10"/>
  <c r="EJ60" i="10"/>
  <c r="EO60" i="10" s="1"/>
  <c r="EF62" i="10"/>
  <c r="ED62" i="10"/>
  <c r="EC62" i="10"/>
  <c r="EB62" i="10"/>
  <c r="EE62" i="10"/>
  <c r="EA63" i="10"/>
  <c r="GM59" i="9"/>
  <c r="GF59" i="9"/>
  <c r="GK50" i="9"/>
  <c r="GQ50" i="9" s="1"/>
  <c r="GG50" i="9"/>
  <c r="GS50" i="9"/>
  <c r="GK49" i="9"/>
  <c r="GQ49" i="9" s="1"/>
  <c r="GG49" i="9"/>
  <c r="GS49" i="9"/>
  <c r="GR59" i="9"/>
  <c r="FM55" i="9"/>
  <c r="FZ55" i="9" s="1"/>
  <c r="FP53" i="9"/>
  <c r="GB53" i="9"/>
  <c r="FX53" i="9"/>
  <c r="FT53" i="9"/>
  <c r="FF58" i="9"/>
  <c r="FE58" i="9"/>
  <c r="FG58" i="9" s="1"/>
  <c r="FP52" i="9"/>
  <c r="FX52" i="9"/>
  <c r="GB52" i="9"/>
  <c r="FT52" i="9"/>
  <c r="EU59" i="9"/>
  <c r="EW59" i="9"/>
  <c r="FK56" i="9"/>
  <c r="FL56" i="9"/>
  <c r="EO59" i="9"/>
  <c r="FC59" i="9" s="1"/>
  <c r="EM59" i="9"/>
  <c r="FB59" i="9" s="1"/>
  <c r="FD59" i="9" s="1"/>
  <c r="EY59" i="9"/>
  <c r="EZ59" i="9"/>
  <c r="GP60" i="9"/>
  <c r="EC60" i="9"/>
  <c r="EF60" i="9"/>
  <c r="EI60" i="9"/>
  <c r="EE60" i="9"/>
  <c r="EA61" i="9"/>
  <c r="EH60" i="9"/>
  <c r="EG60" i="9"/>
  <c r="EB60" i="9"/>
  <c r="ED60" i="9"/>
  <c r="FO54" i="9"/>
  <c r="FU54" i="9"/>
  <c r="GC54" i="9"/>
  <c r="FY54" i="9"/>
  <c r="ES59" i="9"/>
  <c r="EQ59" i="9"/>
  <c r="GJ51" i="9"/>
  <c r="GE51" i="9"/>
  <c r="GH51" i="9" s="1"/>
  <c r="FH57" i="9"/>
  <c r="FJ57" i="9" s="1"/>
  <c r="FI57" i="9"/>
  <c r="CX62" i="2" l="1"/>
  <c r="CP62" i="2"/>
  <c r="CZ62" i="2" s="1"/>
  <c r="CL62" i="2"/>
  <c r="CO62" i="2" s="1"/>
  <c r="CK63" i="2"/>
  <c r="CN62" i="2"/>
  <c r="CZ61" i="2"/>
  <c r="CQ61" i="2"/>
  <c r="DA61" i="2" s="1"/>
  <c r="CU61" i="1"/>
  <c r="CY61" i="1"/>
  <c r="CR61" i="1"/>
  <c r="CW61" i="1" s="1"/>
  <c r="CV62" i="1"/>
  <c r="CQ62" i="1"/>
  <c r="CP62" i="1"/>
  <c r="CM64" i="1"/>
  <c r="CT63" i="1"/>
  <c r="CX63" i="1" s="1"/>
  <c r="CO63" i="1"/>
  <c r="CN63" i="1"/>
  <c r="EL165" i="10"/>
  <c r="ER164" i="10"/>
  <c r="EV164" i="10" s="1"/>
  <c r="EI164" i="10"/>
  <c r="EN164" i="10" s="1"/>
  <c r="EU61" i="10"/>
  <c r="EW61" i="10" s="1"/>
  <c r="EQ61" i="10"/>
  <c r="ES61" i="10" s="1"/>
  <c r="EM61" i="10"/>
  <c r="EJ61" i="10"/>
  <c r="EO61" i="10" s="1"/>
  <c r="EH62" i="10"/>
  <c r="EF63" i="10"/>
  <c r="EC63" i="10"/>
  <c r="ED63" i="10"/>
  <c r="EB63" i="10"/>
  <c r="EE63" i="10"/>
  <c r="EA64" i="10"/>
  <c r="GM60" i="9"/>
  <c r="GR60" i="9" s="1"/>
  <c r="GF60" i="9"/>
  <c r="GK51" i="9"/>
  <c r="GQ51" i="9" s="1"/>
  <c r="GG51" i="9"/>
  <c r="GS51" i="9"/>
  <c r="FN55" i="9"/>
  <c r="FY55" i="9" s="1"/>
  <c r="FV55" i="9"/>
  <c r="FF59" i="9"/>
  <c r="FQ52" i="9"/>
  <c r="GD52" i="9" s="1"/>
  <c r="GA52" i="9"/>
  <c r="FW52" i="9"/>
  <c r="FS52" i="9"/>
  <c r="FR52" i="9"/>
  <c r="EM60" i="9"/>
  <c r="FB60" i="9" s="1"/>
  <c r="FD60" i="9" s="1"/>
  <c r="EO60" i="9"/>
  <c r="FC60" i="9" s="1"/>
  <c r="FM56" i="9"/>
  <c r="FI58" i="9"/>
  <c r="FH58" i="9"/>
  <c r="FJ58" i="9" s="1"/>
  <c r="FX54" i="9"/>
  <c r="FT54" i="9"/>
  <c r="GB54" i="9"/>
  <c r="FP54" i="9"/>
  <c r="EQ60" i="9"/>
  <c r="ES60" i="9"/>
  <c r="FK57" i="9"/>
  <c r="FL57" i="9"/>
  <c r="EU60" i="9"/>
  <c r="EW60" i="9"/>
  <c r="FE59" i="9"/>
  <c r="FG59" i="9" s="1"/>
  <c r="FH59" i="9" s="1"/>
  <c r="FJ59" i="9" s="1"/>
  <c r="ED61" i="9"/>
  <c r="EA62" i="9"/>
  <c r="EB61" i="9"/>
  <c r="GP61" i="9"/>
  <c r="EC61" i="9"/>
  <c r="EF61" i="9"/>
  <c r="EI61" i="9"/>
  <c r="EH61" i="9"/>
  <c r="EG61" i="9"/>
  <c r="EE61" i="9"/>
  <c r="EZ60" i="9"/>
  <c r="EY60" i="9"/>
  <c r="FR53" i="9"/>
  <c r="FS53" i="9"/>
  <c r="FQ53" i="9"/>
  <c r="GD53" i="9" s="1"/>
  <c r="GA53" i="9"/>
  <c r="FW53" i="9"/>
  <c r="CX63" i="2" l="1"/>
  <c r="CP63" i="2"/>
  <c r="CN63" i="2"/>
  <c r="CK64" i="2"/>
  <c r="CL63" i="2"/>
  <c r="CO63" i="2" s="1"/>
  <c r="CY63" i="2" s="1"/>
  <c r="CQ62" i="2"/>
  <c r="DA62" i="2" s="1"/>
  <c r="CY62" i="2"/>
  <c r="CU62" i="1"/>
  <c r="CY62" i="1"/>
  <c r="CR62" i="1"/>
  <c r="CW62" i="1" s="1"/>
  <c r="CV63" i="1"/>
  <c r="CQ63" i="1"/>
  <c r="CP63" i="1"/>
  <c r="CM65" i="1"/>
  <c r="CT64" i="1"/>
  <c r="CX64" i="1" s="1"/>
  <c r="CO64" i="1"/>
  <c r="CN64" i="1"/>
  <c r="EL166" i="10"/>
  <c r="ER165" i="10"/>
  <c r="EV165" i="10" s="1"/>
  <c r="EI165" i="10"/>
  <c r="EN165" i="10" s="1"/>
  <c r="EQ62" i="10"/>
  <c r="ES62" i="10" s="1"/>
  <c r="EU62" i="10"/>
  <c r="EW62" i="10" s="1"/>
  <c r="EH63" i="10"/>
  <c r="EM62" i="10"/>
  <c r="EJ62" i="10"/>
  <c r="EO62" i="10" s="1"/>
  <c r="EF64" i="10"/>
  <c r="EC64" i="10"/>
  <c r="ED64" i="10"/>
  <c r="EB64" i="10"/>
  <c r="EE64" i="10"/>
  <c r="EA65" i="10"/>
  <c r="GM61" i="9"/>
  <c r="GR61" i="9" s="1"/>
  <c r="GF61" i="9"/>
  <c r="FU55" i="9"/>
  <c r="GC55" i="9"/>
  <c r="FO55" i="9"/>
  <c r="FX55" i="9" s="1"/>
  <c r="FI59" i="9"/>
  <c r="FM57" i="9"/>
  <c r="FV57" i="9" s="1"/>
  <c r="ES61" i="9"/>
  <c r="EQ61" i="9"/>
  <c r="FQ54" i="9"/>
  <c r="GD54" i="9" s="1"/>
  <c r="FR54" i="9"/>
  <c r="GA54" i="9"/>
  <c r="FW54" i="9"/>
  <c r="FS54" i="9"/>
  <c r="FE60" i="9"/>
  <c r="FG60" i="9" s="1"/>
  <c r="FF60" i="9"/>
  <c r="EO61" i="9"/>
  <c r="FC61" i="9" s="1"/>
  <c r="EM61" i="9"/>
  <c r="FB61" i="9" s="1"/>
  <c r="FD61" i="9" s="1"/>
  <c r="EZ61" i="9"/>
  <c r="EY61" i="9"/>
  <c r="EH62" i="9"/>
  <c r="ED62" i="9"/>
  <c r="EI62" i="9"/>
  <c r="EB62" i="9"/>
  <c r="GP62" i="9"/>
  <c r="EG62" i="9"/>
  <c r="EA63" i="9"/>
  <c r="EE62" i="9"/>
  <c r="EC62" i="9"/>
  <c r="EF62" i="9"/>
  <c r="EU61" i="9"/>
  <c r="EW61" i="9"/>
  <c r="FL58" i="9"/>
  <c r="FK58" i="9"/>
  <c r="FZ56" i="9"/>
  <c r="FN56" i="9"/>
  <c r="FV56" i="9"/>
  <c r="GE53" i="9"/>
  <c r="GH53" i="9" s="1"/>
  <c r="GJ53" i="9"/>
  <c r="FL59" i="9"/>
  <c r="FK59" i="9"/>
  <c r="GE52" i="9"/>
  <c r="GH52" i="9" s="1"/>
  <c r="GJ52" i="9"/>
  <c r="CX64" i="2" l="1"/>
  <c r="CP64" i="2"/>
  <c r="CN64" i="2"/>
  <c r="CL64" i="2"/>
  <c r="CO64" i="2" s="1"/>
  <c r="CY64" i="2" s="1"/>
  <c r="CK65" i="2"/>
  <c r="CZ63" i="2"/>
  <c r="CQ63" i="2"/>
  <c r="DA63" i="2" s="1"/>
  <c r="CU63" i="1"/>
  <c r="CY63" i="1"/>
  <c r="CR63" i="1"/>
  <c r="CW63" i="1" s="1"/>
  <c r="CP64" i="1"/>
  <c r="CV64" i="1"/>
  <c r="CQ64" i="1"/>
  <c r="CM66" i="1"/>
  <c r="CT65" i="1"/>
  <c r="CX65" i="1" s="1"/>
  <c r="CO65" i="1"/>
  <c r="CN65" i="1"/>
  <c r="EL167" i="10"/>
  <c r="ER166" i="10"/>
  <c r="EV166" i="10" s="1"/>
  <c r="EI166" i="10"/>
  <c r="EN166" i="10" s="1"/>
  <c r="EU63" i="10"/>
  <c r="EW63" i="10" s="1"/>
  <c r="EQ63" i="10"/>
  <c r="ES63" i="10" s="1"/>
  <c r="EH64" i="10"/>
  <c r="EM63" i="10"/>
  <c r="EJ63" i="10"/>
  <c r="EO63" i="10" s="1"/>
  <c r="EF65" i="10"/>
  <c r="ED65" i="10"/>
  <c r="EC65" i="10"/>
  <c r="EB65" i="10"/>
  <c r="EE65" i="10"/>
  <c r="EA66" i="10"/>
  <c r="GM62" i="9"/>
  <c r="GF62" i="9"/>
  <c r="GK52" i="9"/>
  <c r="GQ52" i="9" s="1"/>
  <c r="GG52" i="9"/>
  <c r="GS52" i="9"/>
  <c r="GK53" i="9"/>
  <c r="GQ53" i="9" s="1"/>
  <c r="GG53" i="9"/>
  <c r="GS53" i="9"/>
  <c r="GR62" i="9"/>
  <c r="FP55" i="9"/>
  <c r="FR55" i="9" s="1"/>
  <c r="GB55" i="9"/>
  <c r="FT55" i="9"/>
  <c r="FN57" i="9"/>
  <c r="FZ57" i="9"/>
  <c r="FM58" i="9"/>
  <c r="FZ58" i="9" s="1"/>
  <c r="GP63" i="9"/>
  <c r="ED63" i="9"/>
  <c r="EF63" i="9"/>
  <c r="EI63" i="9"/>
  <c r="EH63" i="9"/>
  <c r="EG63" i="9"/>
  <c r="EA64" i="9"/>
  <c r="EB63" i="9"/>
  <c r="EE63" i="9"/>
  <c r="EC63" i="9"/>
  <c r="FE61" i="9"/>
  <c r="FG61" i="9" s="1"/>
  <c r="FF61" i="9"/>
  <c r="GJ54" i="9"/>
  <c r="GE54" i="9"/>
  <c r="GH54" i="9" s="1"/>
  <c r="FM59" i="9"/>
  <c r="EO62" i="9"/>
  <c r="FC62" i="9" s="1"/>
  <c r="EM62" i="9"/>
  <c r="FB62" i="9" s="1"/>
  <c r="FD62" i="9" s="1"/>
  <c r="FI60" i="9"/>
  <c r="FH60" i="9"/>
  <c r="FJ60" i="9" s="1"/>
  <c r="EU62" i="9"/>
  <c r="EW62" i="9"/>
  <c r="ES62" i="9"/>
  <c r="EQ62" i="9"/>
  <c r="FO56" i="9"/>
  <c r="GC56" i="9"/>
  <c r="FU56" i="9"/>
  <c r="FY56" i="9"/>
  <c r="EY62" i="9"/>
  <c r="EZ62" i="9"/>
  <c r="CX65" i="2" l="1"/>
  <c r="CP65" i="2"/>
  <c r="CL65" i="2"/>
  <c r="CO65" i="2" s="1"/>
  <c r="CY65" i="2" s="1"/>
  <c r="CK66" i="2"/>
  <c r="CN65" i="2"/>
  <c r="CQ64" i="2"/>
  <c r="DA64" i="2" s="1"/>
  <c r="CZ64" i="2"/>
  <c r="CU64" i="1"/>
  <c r="CY64" i="1"/>
  <c r="CR64" i="1"/>
  <c r="CW64" i="1" s="1"/>
  <c r="CV65" i="1"/>
  <c r="CQ65" i="1"/>
  <c r="CP65" i="1"/>
  <c r="CM67" i="1"/>
  <c r="CT66" i="1"/>
  <c r="CX66" i="1" s="1"/>
  <c r="CO66" i="1"/>
  <c r="CN66" i="1"/>
  <c r="EL168" i="10"/>
  <c r="ER167" i="10"/>
  <c r="EV167" i="10" s="1"/>
  <c r="EI167" i="10"/>
  <c r="EN167" i="10" s="1"/>
  <c r="EM64" i="10"/>
  <c r="EU64" i="10"/>
  <c r="EW64" i="10" s="1"/>
  <c r="EQ64" i="10"/>
  <c r="ES64" i="10" s="1"/>
  <c r="EJ64" i="10"/>
  <c r="EO64" i="10" s="1"/>
  <c r="ED66" i="10"/>
  <c r="EC66" i="10"/>
  <c r="EF66" i="10"/>
  <c r="EE66" i="10"/>
  <c r="EB66" i="10"/>
  <c r="EH65" i="10"/>
  <c r="EA67" i="10"/>
  <c r="GM63" i="9"/>
  <c r="GF63" i="9"/>
  <c r="GK54" i="9"/>
  <c r="GQ54" i="9" s="1"/>
  <c r="GG54" i="9"/>
  <c r="GS54" i="9"/>
  <c r="GR63" i="9"/>
  <c r="GA55" i="9"/>
  <c r="FW55" i="9"/>
  <c r="FQ55" i="9"/>
  <c r="GD55" i="9" s="1"/>
  <c r="FS55" i="9"/>
  <c r="FN58" i="9"/>
  <c r="GC58" i="9" s="1"/>
  <c r="FV58" i="9"/>
  <c r="FO57" i="9"/>
  <c r="GC57" i="9"/>
  <c r="FY57" i="9"/>
  <c r="FU57" i="9"/>
  <c r="FE62" i="9"/>
  <c r="FG62" i="9" s="1"/>
  <c r="FH62" i="9" s="1"/>
  <c r="FJ62" i="9" s="1"/>
  <c r="FP56" i="9"/>
  <c r="FX56" i="9"/>
  <c r="FT56" i="9"/>
  <c r="GB56" i="9"/>
  <c r="FV59" i="9"/>
  <c r="FN59" i="9"/>
  <c r="FZ59" i="9"/>
  <c r="EA65" i="9"/>
  <c r="ED64" i="9"/>
  <c r="EI64" i="9"/>
  <c r="GP64" i="9"/>
  <c r="EC64" i="9"/>
  <c r="EH64" i="9"/>
  <c r="EG64" i="9"/>
  <c r="EF64" i="9"/>
  <c r="EE64" i="9"/>
  <c r="EB64" i="9"/>
  <c r="FL60" i="9"/>
  <c r="FK60" i="9"/>
  <c r="FH61" i="9"/>
  <c r="FJ61" i="9" s="1"/>
  <c r="FI61" i="9"/>
  <c r="ES63" i="9"/>
  <c r="EQ63" i="9"/>
  <c r="EW63" i="9"/>
  <c r="EU63" i="9"/>
  <c r="EO63" i="9"/>
  <c r="FC63" i="9" s="1"/>
  <c r="EM63" i="9"/>
  <c r="FB63" i="9" s="1"/>
  <c r="FD63" i="9" s="1"/>
  <c r="FF62" i="9"/>
  <c r="EY63" i="9"/>
  <c r="EZ63" i="9"/>
  <c r="CX66" i="2" l="1"/>
  <c r="CP66" i="2"/>
  <c r="CN66" i="2"/>
  <c r="CL66" i="2"/>
  <c r="CO66" i="2" s="1"/>
  <c r="CY66" i="2" s="1"/>
  <c r="CK67" i="2"/>
  <c r="CZ65" i="2"/>
  <c r="CQ65" i="2"/>
  <c r="DA65" i="2" s="1"/>
  <c r="CU65" i="1"/>
  <c r="CY65" i="1"/>
  <c r="CR65" i="1"/>
  <c r="CW65" i="1" s="1"/>
  <c r="CV66" i="1"/>
  <c r="CQ66" i="1"/>
  <c r="CP66" i="1"/>
  <c r="CM68" i="1"/>
  <c r="CT67" i="1"/>
  <c r="CX67" i="1" s="1"/>
  <c r="CO67" i="1"/>
  <c r="CN67" i="1"/>
  <c r="EL169" i="10"/>
  <c r="ER168" i="10"/>
  <c r="EV168" i="10" s="1"/>
  <c r="EI168" i="10"/>
  <c r="EN168" i="10" s="1"/>
  <c r="EQ65" i="10"/>
  <c r="ES65" i="10" s="1"/>
  <c r="EU65" i="10"/>
  <c r="EW65" i="10" s="1"/>
  <c r="EM65" i="10"/>
  <c r="EJ65" i="10"/>
  <c r="EO65" i="10" s="1"/>
  <c r="EC67" i="10"/>
  <c r="ED67" i="10"/>
  <c r="EF67" i="10"/>
  <c r="EB67" i="10"/>
  <c r="EE67" i="10"/>
  <c r="EH66" i="10"/>
  <c r="EA68" i="10"/>
  <c r="GM64" i="9"/>
  <c r="GR64" i="9" s="1"/>
  <c r="GF64" i="9"/>
  <c r="GJ55" i="9"/>
  <c r="GE55" i="9"/>
  <c r="GH55" i="9" s="1"/>
  <c r="FU58" i="9"/>
  <c r="FO58" i="9"/>
  <c r="FP58" i="9" s="1"/>
  <c r="FY58" i="9"/>
  <c r="FI62" i="9"/>
  <c r="FX57" i="9"/>
  <c r="GB57" i="9"/>
  <c r="FT57" i="9"/>
  <c r="FP57" i="9"/>
  <c r="EY64" i="9"/>
  <c r="EZ64" i="9"/>
  <c r="EH65" i="9"/>
  <c r="EG65" i="9"/>
  <c r="EI65" i="9"/>
  <c r="EE65" i="9"/>
  <c r="ED65" i="9"/>
  <c r="EA66" i="9"/>
  <c r="EC65" i="9"/>
  <c r="GP65" i="9"/>
  <c r="EB65" i="9"/>
  <c r="EF65" i="9"/>
  <c r="FY59" i="9"/>
  <c r="GC59" i="9"/>
  <c r="FO59" i="9"/>
  <c r="FU59" i="9"/>
  <c r="ES64" i="9"/>
  <c r="EQ64" i="9"/>
  <c r="FK62" i="9"/>
  <c r="FL62" i="9"/>
  <c r="FL61" i="9"/>
  <c r="FK61" i="9"/>
  <c r="FF63" i="9"/>
  <c r="FE63" i="9"/>
  <c r="FG63" i="9" s="1"/>
  <c r="FM60" i="9"/>
  <c r="EM64" i="9"/>
  <c r="FB64" i="9" s="1"/>
  <c r="FD64" i="9" s="1"/>
  <c r="EO64" i="9"/>
  <c r="FC64" i="9" s="1"/>
  <c r="EU64" i="9"/>
  <c r="EW64" i="9"/>
  <c r="FS56" i="9"/>
  <c r="FW56" i="9"/>
  <c r="GA56" i="9"/>
  <c r="FR56" i="9"/>
  <c r="FQ56" i="9"/>
  <c r="GD56" i="9" s="1"/>
  <c r="CX67" i="2" l="1"/>
  <c r="CP67" i="2"/>
  <c r="CN67" i="2"/>
  <c r="CL67" i="2"/>
  <c r="CO67" i="2" s="1"/>
  <c r="CY67" i="2" s="1"/>
  <c r="CK68" i="2"/>
  <c r="CZ66" i="2"/>
  <c r="CQ66" i="2"/>
  <c r="DA66" i="2" s="1"/>
  <c r="CU66" i="1"/>
  <c r="CY66" i="1"/>
  <c r="CR66" i="1"/>
  <c r="CW66" i="1" s="1"/>
  <c r="CV67" i="1"/>
  <c r="CQ67" i="1"/>
  <c r="CP67" i="1"/>
  <c r="CM69" i="1"/>
  <c r="CT68" i="1"/>
  <c r="CX68" i="1" s="1"/>
  <c r="CO68" i="1"/>
  <c r="CN68" i="1"/>
  <c r="EL170" i="10"/>
  <c r="ER169" i="10"/>
  <c r="EV169" i="10" s="1"/>
  <c r="EI169" i="10"/>
  <c r="EN169" i="10" s="1"/>
  <c r="EQ66" i="10"/>
  <c r="ES66" i="10" s="1"/>
  <c r="EU66" i="10"/>
  <c r="EW66" i="10" s="1"/>
  <c r="EM66" i="10"/>
  <c r="EJ66" i="10"/>
  <c r="EO66" i="10" s="1"/>
  <c r="ED68" i="10"/>
  <c r="EF68" i="10"/>
  <c r="EC68" i="10"/>
  <c r="EE68" i="10"/>
  <c r="EB68" i="10"/>
  <c r="EH67" i="10"/>
  <c r="EA69" i="10"/>
  <c r="GM65" i="9"/>
  <c r="GR65" i="9" s="1"/>
  <c r="GF65" i="9"/>
  <c r="GK55" i="9"/>
  <c r="GQ55" i="9" s="1"/>
  <c r="GG55" i="9"/>
  <c r="GS55" i="9"/>
  <c r="FT58" i="9"/>
  <c r="FX58" i="9"/>
  <c r="GB58" i="9"/>
  <c r="FM62" i="9"/>
  <c r="FV62" i="9" s="1"/>
  <c r="FQ57" i="9"/>
  <c r="GD57" i="9" s="1"/>
  <c r="FS57" i="9"/>
  <c r="GA57" i="9"/>
  <c r="FW57" i="9"/>
  <c r="FR57" i="9"/>
  <c r="EO65" i="9"/>
  <c r="FC65" i="9" s="1"/>
  <c r="EM65" i="9"/>
  <c r="FB65" i="9" s="1"/>
  <c r="FD65" i="9" s="1"/>
  <c r="GJ56" i="9"/>
  <c r="GE56" i="9"/>
  <c r="GH56" i="9" s="1"/>
  <c r="FF64" i="9"/>
  <c r="FE64" i="9"/>
  <c r="FG64" i="9" s="1"/>
  <c r="FV60" i="9"/>
  <c r="FN60" i="9"/>
  <c r="FZ60" i="9"/>
  <c r="EQ65" i="9"/>
  <c r="ES65" i="9"/>
  <c r="FI63" i="9"/>
  <c r="FH63" i="9"/>
  <c r="FJ63" i="9" s="1"/>
  <c r="EI66" i="9"/>
  <c r="EG66" i="9"/>
  <c r="EH66" i="9"/>
  <c r="EB66" i="9"/>
  <c r="ED66" i="9"/>
  <c r="EA67" i="9"/>
  <c r="EE66" i="9"/>
  <c r="GP66" i="9"/>
  <c r="EC66" i="9"/>
  <c r="EF66" i="9"/>
  <c r="FT59" i="9"/>
  <c r="FP59" i="9"/>
  <c r="GB59" i="9"/>
  <c r="FX59" i="9"/>
  <c r="EW65" i="9"/>
  <c r="EU65" i="9"/>
  <c r="FW58" i="9"/>
  <c r="FQ58" i="9"/>
  <c r="FR58" i="9"/>
  <c r="FS58" i="9"/>
  <c r="GA58" i="9"/>
  <c r="EY65" i="9"/>
  <c r="EZ65" i="9"/>
  <c r="FM61" i="9"/>
  <c r="CX68" i="2" l="1"/>
  <c r="CP68" i="2"/>
  <c r="CK69" i="2"/>
  <c r="CN68" i="2"/>
  <c r="CL68" i="2"/>
  <c r="CO68" i="2" s="1"/>
  <c r="CY68" i="2" s="1"/>
  <c r="CZ67" i="2"/>
  <c r="CQ67" i="2"/>
  <c r="DA67" i="2" s="1"/>
  <c r="CU67" i="1"/>
  <c r="CY67" i="1"/>
  <c r="CR67" i="1"/>
  <c r="CW67" i="1" s="1"/>
  <c r="CV68" i="1"/>
  <c r="CQ68" i="1"/>
  <c r="CP68" i="1"/>
  <c r="CM70" i="1"/>
  <c r="CT69" i="1"/>
  <c r="CX69" i="1" s="1"/>
  <c r="CO69" i="1"/>
  <c r="CN69" i="1"/>
  <c r="EL171" i="10"/>
  <c r="ER170" i="10"/>
  <c r="EV170" i="10" s="1"/>
  <c r="EI170" i="10"/>
  <c r="EN170" i="10" s="1"/>
  <c r="EU67" i="10"/>
  <c r="EW67" i="10" s="1"/>
  <c r="EQ67" i="10"/>
  <c r="ES67" i="10" s="1"/>
  <c r="EM67" i="10"/>
  <c r="EJ67" i="10"/>
  <c r="EO67" i="10" s="1"/>
  <c r="ED69" i="10"/>
  <c r="EC69" i="10"/>
  <c r="EF69" i="10"/>
  <c r="EB69" i="10"/>
  <c r="EE69" i="10"/>
  <c r="EH68" i="10"/>
  <c r="EA70" i="10"/>
  <c r="GM66" i="9"/>
  <c r="GF66" i="9"/>
  <c r="GK56" i="9"/>
  <c r="GQ56" i="9" s="1"/>
  <c r="GG56" i="9"/>
  <c r="GS56" i="9"/>
  <c r="GR66" i="9"/>
  <c r="GD58" i="9"/>
  <c r="GE58" i="9" s="1"/>
  <c r="GH58" i="9" s="1"/>
  <c r="FZ62" i="9"/>
  <c r="FN62" i="9"/>
  <c r="GC62" i="9" s="1"/>
  <c r="GE57" i="9"/>
  <c r="GH57" i="9" s="1"/>
  <c r="GJ57" i="9"/>
  <c r="ES66" i="9"/>
  <c r="EQ66" i="9"/>
  <c r="EZ66" i="9"/>
  <c r="EY66" i="9"/>
  <c r="FK63" i="9"/>
  <c r="FL63" i="9"/>
  <c r="EG67" i="9"/>
  <c r="EI67" i="9"/>
  <c r="EC67" i="9"/>
  <c r="EH67" i="9"/>
  <c r="EE67" i="9"/>
  <c r="EA68" i="9"/>
  <c r="EB67" i="9"/>
  <c r="GP67" i="9"/>
  <c r="ED67" i="9"/>
  <c r="EF67" i="9"/>
  <c r="FZ61" i="9"/>
  <c r="FN61" i="9"/>
  <c r="FV61" i="9"/>
  <c r="EU66" i="9"/>
  <c r="EW66" i="9"/>
  <c r="FF65" i="9"/>
  <c r="FE65" i="9"/>
  <c r="FG65" i="9" s="1"/>
  <c r="FQ59" i="9"/>
  <c r="GD59" i="9" s="1"/>
  <c r="FS59" i="9"/>
  <c r="FR59" i="9"/>
  <c r="FW59" i="9"/>
  <c r="GA59" i="9"/>
  <c r="EO66" i="9"/>
  <c r="FC66" i="9" s="1"/>
  <c r="EM66" i="9"/>
  <c r="FB66" i="9" s="1"/>
  <c r="FD66" i="9" s="1"/>
  <c r="FU60" i="9"/>
  <c r="GC60" i="9"/>
  <c r="FO60" i="9"/>
  <c r="FY60" i="9"/>
  <c r="FI64" i="9"/>
  <c r="FH64" i="9"/>
  <c r="FJ64" i="9" s="1"/>
  <c r="CX69" i="2" l="1"/>
  <c r="CP69" i="2"/>
  <c r="CL69" i="2"/>
  <c r="CO69" i="2" s="1"/>
  <c r="CY69" i="2" s="1"/>
  <c r="CK70" i="2"/>
  <c r="CN69" i="2"/>
  <c r="CZ68" i="2"/>
  <c r="CQ68" i="2"/>
  <c r="DA68" i="2" s="1"/>
  <c r="CU68" i="1"/>
  <c r="CY68" i="1"/>
  <c r="CR68" i="1"/>
  <c r="CW68" i="1" s="1"/>
  <c r="CV69" i="1"/>
  <c r="CQ69" i="1"/>
  <c r="CP69" i="1"/>
  <c r="CM71" i="1"/>
  <c r="CT70" i="1"/>
  <c r="CX70" i="1" s="1"/>
  <c r="CO70" i="1"/>
  <c r="CN70" i="1"/>
  <c r="EL172" i="10"/>
  <c r="ER171" i="10"/>
  <c r="EV171" i="10" s="1"/>
  <c r="EI171" i="10"/>
  <c r="EN171" i="10" s="1"/>
  <c r="EQ68" i="10"/>
  <c r="ES68" i="10" s="1"/>
  <c r="EU68" i="10"/>
  <c r="EW68" i="10" s="1"/>
  <c r="EM68" i="10"/>
  <c r="EJ68" i="10"/>
  <c r="EO68" i="10" s="1"/>
  <c r="EH69" i="10"/>
  <c r="EC70" i="10"/>
  <c r="EF70" i="10"/>
  <c r="ED70" i="10"/>
  <c r="EB70" i="10"/>
  <c r="EE70" i="10"/>
  <c r="EA71" i="10"/>
  <c r="GM67" i="9"/>
  <c r="GF67" i="9"/>
  <c r="GK58" i="9"/>
  <c r="GQ58" i="9" s="1"/>
  <c r="GG58" i="9"/>
  <c r="GS58" i="9"/>
  <c r="GK57" i="9"/>
  <c r="GQ57" i="9" s="1"/>
  <c r="GG57" i="9"/>
  <c r="GS57" i="9"/>
  <c r="GR67" i="9"/>
  <c r="GJ58" i="9"/>
  <c r="FO62" i="9"/>
  <c r="FX62" i="9" s="1"/>
  <c r="FY62" i="9"/>
  <c r="FU62" i="9"/>
  <c r="FM63" i="9"/>
  <c r="FN63" i="9" s="1"/>
  <c r="GE59" i="9"/>
  <c r="GH59" i="9" s="1"/>
  <c r="GJ59" i="9"/>
  <c r="FH65" i="9"/>
  <c r="FJ65" i="9" s="1"/>
  <c r="FI65" i="9"/>
  <c r="EU67" i="9"/>
  <c r="EW67" i="9"/>
  <c r="FE66" i="9"/>
  <c r="FG66" i="9" s="1"/>
  <c r="FF66" i="9"/>
  <c r="EO67" i="9"/>
  <c r="FC67" i="9" s="1"/>
  <c r="EM67" i="9"/>
  <c r="FB67" i="9" s="1"/>
  <c r="FD67" i="9" s="1"/>
  <c r="GP68" i="9"/>
  <c r="EC68" i="9"/>
  <c r="EF68" i="9"/>
  <c r="EG68" i="9"/>
  <c r="EI68" i="9"/>
  <c r="EA69" i="9"/>
  <c r="ED68" i="9"/>
  <c r="EH68" i="9"/>
  <c r="EB68" i="9"/>
  <c r="EE68" i="9"/>
  <c r="FK64" i="9"/>
  <c r="FL64" i="9"/>
  <c r="EY67" i="9"/>
  <c r="EZ67" i="9"/>
  <c r="FY61" i="9"/>
  <c r="FO61" i="9"/>
  <c r="GC61" i="9"/>
  <c r="FU61" i="9"/>
  <c r="FP60" i="9"/>
  <c r="GB60" i="9"/>
  <c r="FT60" i="9"/>
  <c r="FX60" i="9"/>
  <c r="EQ67" i="9"/>
  <c r="ES67" i="9"/>
  <c r="CX70" i="2" l="1"/>
  <c r="CP70" i="2"/>
  <c r="CZ70" i="2" s="1"/>
  <c r="CL70" i="2"/>
  <c r="CO70" i="2" s="1"/>
  <c r="CN70" i="2"/>
  <c r="CK71" i="2"/>
  <c r="CZ69" i="2"/>
  <c r="CQ69" i="2"/>
  <c r="DA69" i="2" s="1"/>
  <c r="CU69" i="1"/>
  <c r="CY69" i="1"/>
  <c r="CP70" i="1"/>
  <c r="CR69" i="1"/>
  <c r="CW69" i="1" s="1"/>
  <c r="CV70" i="1"/>
  <c r="CQ70" i="1"/>
  <c r="CM72" i="1"/>
  <c r="CT71" i="1"/>
  <c r="CX71" i="1" s="1"/>
  <c r="CO71" i="1"/>
  <c r="CN71" i="1"/>
  <c r="EL173" i="10"/>
  <c r="ER172" i="10"/>
  <c r="EV172" i="10" s="1"/>
  <c r="EI172" i="10"/>
  <c r="EN172" i="10" s="1"/>
  <c r="EU69" i="10"/>
  <c r="EW69" i="10" s="1"/>
  <c r="EQ69" i="10"/>
  <c r="ES69" i="10" s="1"/>
  <c r="EH70" i="10"/>
  <c r="EM69" i="10"/>
  <c r="EJ69" i="10"/>
  <c r="EO69" i="10" s="1"/>
  <c r="EF71" i="10"/>
  <c r="ED71" i="10"/>
  <c r="EC71" i="10"/>
  <c r="EB71" i="10"/>
  <c r="EE71" i="10"/>
  <c r="EA72" i="10"/>
  <c r="GM68" i="9"/>
  <c r="GR68" i="9" s="1"/>
  <c r="GF68" i="9"/>
  <c r="GK59" i="9"/>
  <c r="GQ59" i="9" s="1"/>
  <c r="GG59" i="9"/>
  <c r="GS59" i="9"/>
  <c r="GB62" i="9"/>
  <c r="FT62" i="9"/>
  <c r="FP62" i="9"/>
  <c r="FS62" i="9" s="1"/>
  <c r="FZ63" i="9"/>
  <c r="FV63" i="9"/>
  <c r="EY68" i="9"/>
  <c r="EZ68" i="9"/>
  <c r="ES68" i="9"/>
  <c r="EQ68" i="9"/>
  <c r="FI66" i="9"/>
  <c r="FH66" i="9"/>
  <c r="FJ66" i="9" s="1"/>
  <c r="EM68" i="9"/>
  <c r="FB68" i="9" s="1"/>
  <c r="FD68" i="9" s="1"/>
  <c r="EO68" i="9"/>
  <c r="FC68" i="9" s="1"/>
  <c r="FE67" i="9"/>
  <c r="FG67" i="9" s="1"/>
  <c r="FF67" i="9"/>
  <c r="FS60" i="9"/>
  <c r="FR60" i="9"/>
  <c r="FW60" i="9"/>
  <c r="GA60" i="9"/>
  <c r="FQ60" i="9"/>
  <c r="GD60" i="9" s="1"/>
  <c r="EW68" i="9"/>
  <c r="EU68" i="9"/>
  <c r="EB69" i="9"/>
  <c r="EA70" i="9"/>
  <c r="GP69" i="9"/>
  <c r="EC69" i="9"/>
  <c r="EE69" i="9"/>
  <c r="ED69" i="9"/>
  <c r="EF69" i="9"/>
  <c r="EG69" i="9"/>
  <c r="EH69" i="9"/>
  <c r="EI69" i="9"/>
  <c r="FL65" i="9"/>
  <c r="FK65" i="9"/>
  <c r="FX61" i="9"/>
  <c r="GB61" i="9"/>
  <c r="FP61" i="9"/>
  <c r="FT61" i="9"/>
  <c r="FM64" i="9"/>
  <c r="FO63" i="9"/>
  <c r="FY63" i="9"/>
  <c r="FU63" i="9"/>
  <c r="GC63" i="9"/>
  <c r="CX71" i="2" l="1"/>
  <c r="CP71" i="2"/>
  <c r="CL71" i="2"/>
  <c r="CO71" i="2" s="1"/>
  <c r="CY71" i="2" s="1"/>
  <c r="CN71" i="2"/>
  <c r="CK72" i="2"/>
  <c r="CQ70" i="2"/>
  <c r="DA70" i="2" s="1"/>
  <c r="CY70" i="2"/>
  <c r="CU70" i="1"/>
  <c r="CY70" i="1"/>
  <c r="CR70" i="1"/>
  <c r="CW70" i="1" s="1"/>
  <c r="CV71" i="1"/>
  <c r="CQ71" i="1"/>
  <c r="CP71" i="1"/>
  <c r="CM73" i="1"/>
  <c r="CT72" i="1"/>
  <c r="CX72" i="1" s="1"/>
  <c r="CO72" i="1"/>
  <c r="CN72" i="1"/>
  <c r="EL174" i="10"/>
  <c r="ER173" i="10"/>
  <c r="EV173" i="10" s="1"/>
  <c r="EI173" i="10"/>
  <c r="EN173" i="10" s="1"/>
  <c r="EU70" i="10"/>
  <c r="EW70" i="10" s="1"/>
  <c r="EQ70" i="10"/>
  <c r="ES70" i="10" s="1"/>
  <c r="EH71" i="10"/>
  <c r="EM70" i="10"/>
  <c r="EJ70" i="10"/>
  <c r="EO70" i="10" s="1"/>
  <c r="EC72" i="10"/>
  <c r="ED72" i="10"/>
  <c r="EF72" i="10"/>
  <c r="EE72" i="10"/>
  <c r="EB72" i="10"/>
  <c r="EA73" i="10"/>
  <c r="GM69" i="9"/>
  <c r="GR69" i="9" s="1"/>
  <c r="GF69" i="9"/>
  <c r="FQ62" i="9"/>
  <c r="GD62" i="9" s="1"/>
  <c r="GE62" i="9" s="1"/>
  <c r="GH62" i="9" s="1"/>
  <c r="FW62" i="9"/>
  <c r="FR62" i="9"/>
  <c r="GA62" i="9"/>
  <c r="FZ64" i="9"/>
  <c r="FV64" i="9"/>
  <c r="FN64" i="9"/>
  <c r="EM69" i="9"/>
  <c r="FB69" i="9" s="1"/>
  <c r="FD69" i="9" s="1"/>
  <c r="EO69" i="9"/>
  <c r="FC69" i="9" s="1"/>
  <c r="FF68" i="9"/>
  <c r="FE68" i="9"/>
  <c r="FG68" i="9" s="1"/>
  <c r="GB63" i="9"/>
  <c r="FT63" i="9"/>
  <c r="FP63" i="9"/>
  <c r="FX63" i="9"/>
  <c r="FI67" i="9"/>
  <c r="FH67" i="9"/>
  <c r="FJ67" i="9" s="1"/>
  <c r="FL66" i="9"/>
  <c r="FK66" i="9"/>
  <c r="FW61" i="9"/>
  <c r="FQ61" i="9"/>
  <c r="GD61" i="9" s="1"/>
  <c r="FR61" i="9"/>
  <c r="GA61" i="9"/>
  <c r="FS61" i="9"/>
  <c r="EU69" i="9"/>
  <c r="EW69" i="9"/>
  <c r="GE60" i="9"/>
  <c r="GH60" i="9" s="1"/>
  <c r="GJ60" i="9"/>
  <c r="EY69" i="9"/>
  <c r="EZ69" i="9"/>
  <c r="EB70" i="9"/>
  <c r="EE70" i="9"/>
  <c r="ED70" i="9"/>
  <c r="EF70" i="9"/>
  <c r="EA71" i="9"/>
  <c r="EC70" i="9"/>
  <c r="GP70" i="9"/>
  <c r="EI70" i="9"/>
  <c r="EG70" i="9"/>
  <c r="EH70" i="9"/>
  <c r="ES69" i="9"/>
  <c r="EQ69" i="9"/>
  <c r="FM65" i="9"/>
  <c r="CX72" i="2" l="1"/>
  <c r="CP72" i="2"/>
  <c r="CK73" i="2"/>
  <c r="CN72" i="2"/>
  <c r="CL72" i="2"/>
  <c r="CO72" i="2" s="1"/>
  <c r="CY72" i="2" s="1"/>
  <c r="CQ71" i="2"/>
  <c r="DA71" i="2" s="1"/>
  <c r="CZ71" i="2"/>
  <c r="CU71" i="1"/>
  <c r="CY71" i="1"/>
  <c r="CR71" i="1"/>
  <c r="CW71" i="1" s="1"/>
  <c r="CV72" i="1"/>
  <c r="CQ72" i="1"/>
  <c r="CP72" i="1"/>
  <c r="CM74" i="1"/>
  <c r="CT73" i="1"/>
  <c r="CX73" i="1" s="1"/>
  <c r="CO73" i="1"/>
  <c r="CN73" i="1"/>
  <c r="EL175" i="10"/>
  <c r="ER174" i="10"/>
  <c r="EV174" i="10" s="1"/>
  <c r="EI174" i="10"/>
  <c r="EN174" i="10" s="1"/>
  <c r="EU71" i="10"/>
  <c r="EW71" i="10" s="1"/>
  <c r="EQ71" i="10"/>
  <c r="ES71" i="10" s="1"/>
  <c r="EM71" i="10"/>
  <c r="EJ71" i="10"/>
  <c r="EO71" i="10" s="1"/>
  <c r="EH72" i="10"/>
  <c r="ED73" i="10"/>
  <c r="EF73" i="10"/>
  <c r="EC73" i="10"/>
  <c r="EB73" i="10"/>
  <c r="EE73" i="10"/>
  <c r="EA74" i="10"/>
  <c r="GM70" i="9"/>
  <c r="GF70" i="9"/>
  <c r="GK62" i="9"/>
  <c r="GQ62" i="9" s="1"/>
  <c r="GG62" i="9"/>
  <c r="GS62" i="9"/>
  <c r="GK60" i="9"/>
  <c r="GQ60" i="9" s="1"/>
  <c r="GG60" i="9"/>
  <c r="GS60" i="9"/>
  <c r="GR70" i="9"/>
  <c r="GJ62" i="9"/>
  <c r="EZ70" i="9"/>
  <c r="EY70" i="9"/>
  <c r="FM66" i="9"/>
  <c r="FI68" i="9"/>
  <c r="FH68" i="9"/>
  <c r="FJ68" i="9" s="1"/>
  <c r="EO70" i="9"/>
  <c r="FC70" i="9" s="1"/>
  <c r="EM70" i="9"/>
  <c r="FB70" i="9" s="1"/>
  <c r="FD70" i="9" s="1"/>
  <c r="FK67" i="9"/>
  <c r="FL67" i="9"/>
  <c r="EU70" i="9"/>
  <c r="EW70" i="9"/>
  <c r="FF69" i="9"/>
  <c r="FE69" i="9"/>
  <c r="FG69" i="9" s="1"/>
  <c r="GC64" i="9"/>
  <c r="FY64" i="9"/>
  <c r="FO64" i="9"/>
  <c r="FU64" i="9"/>
  <c r="EQ70" i="9"/>
  <c r="ES70" i="9"/>
  <c r="GA63" i="9"/>
  <c r="FQ63" i="9"/>
  <c r="GD63" i="9" s="1"/>
  <c r="FS63" i="9"/>
  <c r="FR63" i="9"/>
  <c r="FW63" i="9"/>
  <c r="FV65" i="9"/>
  <c r="FZ65" i="9"/>
  <c r="FN65" i="9"/>
  <c r="EG71" i="9"/>
  <c r="EF71" i="9"/>
  <c r="EH71" i="9"/>
  <c r="EE71" i="9"/>
  <c r="GP71" i="9"/>
  <c r="EC71" i="9"/>
  <c r="EI71" i="9"/>
  <c r="EB71" i="9"/>
  <c r="EA72" i="9"/>
  <c r="ED71" i="9"/>
  <c r="GE61" i="9"/>
  <c r="GH61" i="9" s="1"/>
  <c r="GJ61" i="9"/>
  <c r="CX73" i="2" l="1"/>
  <c r="CP73" i="2"/>
  <c r="CL73" i="2"/>
  <c r="CO73" i="2" s="1"/>
  <c r="CY73" i="2" s="1"/>
  <c r="CN73" i="2"/>
  <c r="CK74" i="2"/>
  <c r="CZ72" i="2"/>
  <c r="CQ72" i="2"/>
  <c r="DA72" i="2" s="1"/>
  <c r="CU72" i="1"/>
  <c r="CY72" i="1"/>
  <c r="CR72" i="1"/>
  <c r="CW72" i="1" s="1"/>
  <c r="CV73" i="1"/>
  <c r="CQ73" i="1"/>
  <c r="CP73" i="1"/>
  <c r="CM75" i="1"/>
  <c r="CT74" i="1"/>
  <c r="CX74" i="1" s="1"/>
  <c r="CO74" i="1"/>
  <c r="CN74" i="1"/>
  <c r="EL176" i="10"/>
  <c r="ER175" i="10"/>
  <c r="EV175" i="10" s="1"/>
  <c r="EI175" i="10"/>
  <c r="EN175" i="10" s="1"/>
  <c r="EU72" i="10"/>
  <c r="EW72" i="10" s="1"/>
  <c r="EQ72" i="10"/>
  <c r="ES72" i="10" s="1"/>
  <c r="EM72" i="10"/>
  <c r="EJ72" i="10"/>
  <c r="EO72" i="10" s="1"/>
  <c r="EH73" i="10"/>
  <c r="ED74" i="10"/>
  <c r="EC74" i="10"/>
  <c r="EF74" i="10"/>
  <c r="EB74" i="10"/>
  <c r="EE74" i="10"/>
  <c r="EA75" i="10"/>
  <c r="GM71" i="9"/>
  <c r="GF71" i="9"/>
  <c r="GK61" i="9"/>
  <c r="GQ61" i="9" s="1"/>
  <c r="GG61" i="9"/>
  <c r="GS61" i="9"/>
  <c r="GR71" i="9"/>
  <c r="FE70" i="9"/>
  <c r="FG70" i="9" s="1"/>
  <c r="FF70" i="9"/>
  <c r="EY71" i="9"/>
  <c r="EZ71" i="9"/>
  <c r="EU71" i="9"/>
  <c r="EW71" i="9"/>
  <c r="GE63" i="9"/>
  <c r="GH63" i="9" s="1"/>
  <c r="GJ63" i="9"/>
  <c r="FI69" i="9"/>
  <c r="FH69" i="9"/>
  <c r="FJ69" i="9" s="1"/>
  <c r="FK68" i="9"/>
  <c r="FL68" i="9"/>
  <c r="EF72" i="9"/>
  <c r="EG72" i="9"/>
  <c r="EI72" i="9"/>
  <c r="EH72" i="9"/>
  <c r="ED72" i="9"/>
  <c r="EB72" i="9"/>
  <c r="EA73" i="9"/>
  <c r="GP72" i="9"/>
  <c r="EC72" i="9"/>
  <c r="EE72" i="9"/>
  <c r="FT64" i="9"/>
  <c r="FP64" i="9"/>
  <c r="GB64" i="9"/>
  <c r="FX64" i="9"/>
  <c r="EM71" i="9"/>
  <c r="FB71" i="9" s="1"/>
  <c r="FD71" i="9" s="1"/>
  <c r="EO71" i="9"/>
  <c r="FC71" i="9" s="1"/>
  <c r="FO65" i="9"/>
  <c r="GC65" i="9"/>
  <c r="FU65" i="9"/>
  <c r="FY65" i="9"/>
  <c r="FN66" i="9"/>
  <c r="FV66" i="9"/>
  <c r="FZ66" i="9"/>
  <c r="EQ71" i="9"/>
  <c r="ES71" i="9"/>
  <c r="FM67" i="9"/>
  <c r="CX74" i="2" l="1"/>
  <c r="CP74" i="2"/>
  <c r="CN74" i="2"/>
  <c r="CL74" i="2"/>
  <c r="CO74" i="2" s="1"/>
  <c r="CY74" i="2" s="1"/>
  <c r="CK75" i="2"/>
  <c r="CZ73" i="2"/>
  <c r="CQ73" i="2"/>
  <c r="DA73" i="2" s="1"/>
  <c r="CU73" i="1"/>
  <c r="CY73" i="1"/>
  <c r="CR73" i="1"/>
  <c r="CW73" i="1" s="1"/>
  <c r="CV74" i="1"/>
  <c r="CQ74" i="1"/>
  <c r="CP74" i="1"/>
  <c r="CM76" i="1"/>
  <c r="CT75" i="1"/>
  <c r="CX75" i="1" s="1"/>
  <c r="CO75" i="1"/>
  <c r="CN75" i="1"/>
  <c r="EL177" i="10"/>
  <c r="ER176" i="10"/>
  <c r="EV176" i="10" s="1"/>
  <c r="EI176" i="10"/>
  <c r="EN176" i="10" s="1"/>
  <c r="EU73" i="10"/>
  <c r="EW73" i="10" s="1"/>
  <c r="EQ73" i="10"/>
  <c r="ES73" i="10" s="1"/>
  <c r="EM73" i="10"/>
  <c r="EJ73" i="10"/>
  <c r="EO73" i="10" s="1"/>
  <c r="EC75" i="10"/>
  <c r="ED75" i="10"/>
  <c r="EF75" i="10"/>
  <c r="EB75" i="10"/>
  <c r="EE75" i="10"/>
  <c r="EH74" i="10"/>
  <c r="EA76" i="10"/>
  <c r="GM72" i="9"/>
  <c r="GR72" i="9" s="1"/>
  <c r="GF72" i="9"/>
  <c r="GK63" i="9"/>
  <c r="GQ63" i="9" s="1"/>
  <c r="GG63" i="9"/>
  <c r="GS63" i="9"/>
  <c r="FZ67" i="9"/>
  <c r="FV67" i="9"/>
  <c r="FN67" i="9"/>
  <c r="EZ72" i="9"/>
  <c r="EY72" i="9"/>
  <c r="FS64" i="9"/>
  <c r="FR64" i="9"/>
  <c r="GA64" i="9"/>
  <c r="FW64" i="9"/>
  <c r="FQ64" i="9"/>
  <c r="GD64" i="9" s="1"/>
  <c r="FP65" i="9"/>
  <c r="GB65" i="9"/>
  <c r="FX65" i="9"/>
  <c r="FT65" i="9"/>
  <c r="ES72" i="9"/>
  <c r="EQ72" i="9"/>
  <c r="FM68" i="9"/>
  <c r="FF71" i="9"/>
  <c r="FE71" i="9"/>
  <c r="FG71" i="9" s="1"/>
  <c r="GP73" i="9"/>
  <c r="ED73" i="9"/>
  <c r="EF73" i="9"/>
  <c r="EI73" i="9"/>
  <c r="EH73" i="9"/>
  <c r="EE73" i="9"/>
  <c r="EG73" i="9"/>
  <c r="EC73" i="9"/>
  <c r="EB73" i="9"/>
  <c r="EA74" i="9"/>
  <c r="EO72" i="9"/>
  <c r="FC72" i="9" s="1"/>
  <c r="EM72" i="9"/>
  <c r="FB72" i="9" s="1"/>
  <c r="FD72" i="9" s="1"/>
  <c r="FK69" i="9"/>
  <c r="FL69" i="9"/>
  <c r="GC66" i="9"/>
  <c r="FO66" i="9"/>
  <c r="FY66" i="9"/>
  <c r="FU66" i="9"/>
  <c r="EW72" i="9"/>
  <c r="EU72" i="9"/>
  <c r="FH70" i="9"/>
  <c r="FJ70" i="9" s="1"/>
  <c r="FI70" i="9"/>
  <c r="CX75" i="2" l="1"/>
  <c r="CP75" i="2"/>
  <c r="CN75" i="2"/>
  <c r="CK76" i="2"/>
  <c r="CL75" i="2"/>
  <c r="CO75" i="2" s="1"/>
  <c r="CY75" i="2" s="1"/>
  <c r="CZ74" i="2"/>
  <c r="CQ74" i="2"/>
  <c r="DA74" i="2" s="1"/>
  <c r="CU74" i="1"/>
  <c r="CY74" i="1"/>
  <c r="CR74" i="1"/>
  <c r="CW74" i="1" s="1"/>
  <c r="CV75" i="1"/>
  <c r="CQ75" i="1"/>
  <c r="CP75" i="1"/>
  <c r="CM77" i="1"/>
  <c r="CT76" i="1"/>
  <c r="CX76" i="1" s="1"/>
  <c r="CO76" i="1"/>
  <c r="CN76" i="1"/>
  <c r="EL178" i="10"/>
  <c r="ER177" i="10"/>
  <c r="EV177" i="10" s="1"/>
  <c r="EI177" i="10"/>
  <c r="EN177" i="10" s="1"/>
  <c r="EU74" i="10"/>
  <c r="EW74" i="10" s="1"/>
  <c r="EQ74" i="10"/>
  <c r="ES74" i="10" s="1"/>
  <c r="EM74" i="10"/>
  <c r="EJ74" i="10"/>
  <c r="EO74" i="10" s="1"/>
  <c r="EH75" i="10"/>
  <c r="EF76" i="10"/>
  <c r="ED76" i="10"/>
  <c r="EC76" i="10"/>
  <c r="EE76" i="10"/>
  <c r="EB76" i="10"/>
  <c r="EA77" i="10"/>
  <c r="GM73" i="9"/>
  <c r="GR73" i="9" s="1"/>
  <c r="GF73" i="9"/>
  <c r="FE72" i="9"/>
  <c r="FG72" i="9" s="1"/>
  <c r="FF72" i="9"/>
  <c r="EH74" i="9"/>
  <c r="EE74" i="9"/>
  <c r="EI74" i="9"/>
  <c r="ED74" i="9"/>
  <c r="EG74" i="9"/>
  <c r="EA75" i="9"/>
  <c r="EB74" i="9"/>
  <c r="GP74" i="9"/>
  <c r="EC74" i="9"/>
  <c r="EF74" i="9"/>
  <c r="EU73" i="9"/>
  <c r="EW73" i="9"/>
  <c r="EO73" i="9"/>
  <c r="FC73" i="9" s="1"/>
  <c r="EM73" i="9"/>
  <c r="FB73" i="9" s="1"/>
  <c r="FD73" i="9" s="1"/>
  <c r="GB66" i="9"/>
  <c r="FX66" i="9"/>
  <c r="FP66" i="9"/>
  <c r="FT66" i="9"/>
  <c r="FI71" i="9"/>
  <c r="FH71" i="9"/>
  <c r="FJ71" i="9" s="1"/>
  <c r="FQ65" i="9"/>
  <c r="GD65" i="9" s="1"/>
  <c r="GA65" i="9"/>
  <c r="FR65" i="9"/>
  <c r="FS65" i="9"/>
  <c r="FW65" i="9"/>
  <c r="GC67" i="9"/>
  <c r="FY67" i="9"/>
  <c r="FO67" i="9"/>
  <c r="FU67" i="9"/>
  <c r="FL70" i="9"/>
  <c r="FK70" i="9"/>
  <c r="GE64" i="9"/>
  <c r="GH64" i="9" s="1"/>
  <c r="GJ64" i="9"/>
  <c r="ES73" i="9"/>
  <c r="EQ73" i="9"/>
  <c r="FM69" i="9"/>
  <c r="EY73" i="9"/>
  <c r="EZ73" i="9"/>
  <c r="FZ68" i="9"/>
  <c r="FN68" i="9"/>
  <c r="FV68" i="9"/>
  <c r="CX76" i="2" l="1"/>
  <c r="CP76" i="2"/>
  <c r="CK77" i="2"/>
  <c r="CL76" i="2"/>
  <c r="CO76" i="2" s="1"/>
  <c r="CY76" i="2" s="1"/>
  <c r="CN76" i="2"/>
  <c r="CZ75" i="2"/>
  <c r="CQ75" i="2"/>
  <c r="DA75" i="2" s="1"/>
  <c r="CU75" i="1"/>
  <c r="CY75" i="1"/>
  <c r="CR75" i="1"/>
  <c r="CW75" i="1" s="1"/>
  <c r="CV76" i="1"/>
  <c r="CQ76" i="1"/>
  <c r="CP76" i="1"/>
  <c r="CM78" i="1"/>
  <c r="CT77" i="1"/>
  <c r="CX77" i="1" s="1"/>
  <c r="CO77" i="1"/>
  <c r="CN77" i="1"/>
  <c r="EL179" i="10"/>
  <c r="ER178" i="10"/>
  <c r="EV178" i="10" s="1"/>
  <c r="EI178" i="10"/>
  <c r="EN178" i="10" s="1"/>
  <c r="EQ75" i="10"/>
  <c r="ES75" i="10" s="1"/>
  <c r="EU75" i="10"/>
  <c r="EW75" i="10" s="1"/>
  <c r="EH76" i="10"/>
  <c r="EM75" i="10"/>
  <c r="EJ75" i="10"/>
  <c r="EO75" i="10" s="1"/>
  <c r="ED77" i="10"/>
  <c r="EF77" i="10"/>
  <c r="EC77" i="10"/>
  <c r="EB77" i="10"/>
  <c r="EE77" i="10"/>
  <c r="EA78" i="10"/>
  <c r="GM74" i="9"/>
  <c r="GR74" i="9" s="1"/>
  <c r="GF74" i="9"/>
  <c r="GK64" i="9"/>
  <c r="GQ64" i="9" s="1"/>
  <c r="GG64" i="9"/>
  <c r="GS64" i="9"/>
  <c r="FM70" i="9"/>
  <c r="FV70" i="9" s="1"/>
  <c r="FF73" i="9"/>
  <c r="FE73" i="9"/>
  <c r="FG73" i="9" s="1"/>
  <c r="EH75" i="9"/>
  <c r="EB75" i="9"/>
  <c r="EE75" i="9"/>
  <c r="EF75" i="9"/>
  <c r="EA76" i="9"/>
  <c r="EC75" i="9"/>
  <c r="GP75" i="9"/>
  <c r="ED75" i="9"/>
  <c r="EG75" i="9"/>
  <c r="EI75" i="9"/>
  <c r="GE65" i="9"/>
  <c r="GH65" i="9" s="1"/>
  <c r="GJ65" i="9"/>
  <c r="FK71" i="9"/>
  <c r="FL71" i="9"/>
  <c r="EU74" i="9"/>
  <c r="EW74" i="9"/>
  <c r="FN69" i="9"/>
  <c r="FZ69" i="9"/>
  <c r="FV69" i="9"/>
  <c r="FX67" i="9"/>
  <c r="FP67" i="9"/>
  <c r="GB67" i="9"/>
  <c r="FT67" i="9"/>
  <c r="EY74" i="9"/>
  <c r="EZ74" i="9"/>
  <c r="FQ66" i="9"/>
  <c r="GD66" i="9" s="1"/>
  <c r="FR66" i="9"/>
  <c r="FS66" i="9"/>
  <c r="FW66" i="9"/>
  <c r="GA66" i="9"/>
  <c r="ES74" i="9"/>
  <c r="EQ74" i="9"/>
  <c r="FO68" i="9"/>
  <c r="FY68" i="9"/>
  <c r="FU68" i="9"/>
  <c r="GC68" i="9"/>
  <c r="EO74" i="9"/>
  <c r="FC74" i="9" s="1"/>
  <c r="EM74" i="9"/>
  <c r="FB74" i="9" s="1"/>
  <c r="FD74" i="9" s="1"/>
  <c r="FH72" i="9"/>
  <c r="FJ72" i="9" s="1"/>
  <c r="FI72" i="9"/>
  <c r="CX77" i="2" l="1"/>
  <c r="CP77" i="2"/>
  <c r="CL77" i="2"/>
  <c r="CO77" i="2" s="1"/>
  <c r="CY77" i="2" s="1"/>
  <c r="CN77" i="2"/>
  <c r="CK78" i="2"/>
  <c r="CZ76" i="2"/>
  <c r="CQ76" i="2"/>
  <c r="DA76" i="2" s="1"/>
  <c r="CU76" i="1"/>
  <c r="CY76" i="1"/>
  <c r="CR76" i="1"/>
  <c r="CW76" i="1" s="1"/>
  <c r="CV77" i="1"/>
  <c r="CQ77" i="1"/>
  <c r="CP77" i="1"/>
  <c r="CM79" i="1"/>
  <c r="CT78" i="1"/>
  <c r="CX78" i="1" s="1"/>
  <c r="CO78" i="1"/>
  <c r="CN78" i="1"/>
  <c r="EL180" i="10"/>
  <c r="ER179" i="10"/>
  <c r="EV179" i="10" s="1"/>
  <c r="EI179" i="10"/>
  <c r="EN179" i="10" s="1"/>
  <c r="EU76" i="10"/>
  <c r="EW76" i="10" s="1"/>
  <c r="EQ76" i="10"/>
  <c r="ES76" i="10" s="1"/>
  <c r="EM76" i="10"/>
  <c r="EJ76" i="10"/>
  <c r="EO76" i="10" s="1"/>
  <c r="EC78" i="10"/>
  <c r="ED78" i="10"/>
  <c r="EF78" i="10"/>
  <c r="EE78" i="10"/>
  <c r="EB78" i="10"/>
  <c r="EH77" i="10"/>
  <c r="EA79" i="10"/>
  <c r="GM75" i="9"/>
  <c r="GR75" i="9" s="1"/>
  <c r="GF75" i="9"/>
  <c r="GK65" i="9"/>
  <c r="GQ65" i="9" s="1"/>
  <c r="GG65" i="9"/>
  <c r="GS65" i="9"/>
  <c r="FN70" i="9"/>
  <c r="GC70" i="9" s="1"/>
  <c r="FZ70" i="9"/>
  <c r="FW67" i="9"/>
  <c r="GA67" i="9"/>
  <c r="FS67" i="9"/>
  <c r="FR67" i="9"/>
  <c r="FQ67" i="9"/>
  <c r="GD67" i="9" s="1"/>
  <c r="ES75" i="9"/>
  <c r="EQ75" i="9"/>
  <c r="EH76" i="9"/>
  <c r="ED76" i="9"/>
  <c r="EB76" i="9"/>
  <c r="EF76" i="9"/>
  <c r="EA77" i="9"/>
  <c r="EC76" i="9"/>
  <c r="GP76" i="9"/>
  <c r="EE76" i="9"/>
  <c r="EG76" i="9"/>
  <c r="EI76" i="9"/>
  <c r="GJ66" i="9"/>
  <c r="GE66" i="9"/>
  <c r="GH66" i="9" s="1"/>
  <c r="GB68" i="9"/>
  <c r="FP68" i="9"/>
  <c r="FT68" i="9"/>
  <c r="FX68" i="9"/>
  <c r="EZ75" i="9"/>
  <c r="EY75" i="9"/>
  <c r="FU69" i="9"/>
  <c r="GC69" i="9"/>
  <c r="FY69" i="9"/>
  <c r="FO69" i="9"/>
  <c r="EO75" i="9"/>
  <c r="FC75" i="9" s="1"/>
  <c r="EM75" i="9"/>
  <c r="FB75" i="9" s="1"/>
  <c r="FD75" i="9" s="1"/>
  <c r="FL72" i="9"/>
  <c r="FK72" i="9"/>
  <c r="FE74" i="9"/>
  <c r="FG74" i="9" s="1"/>
  <c r="FF74" i="9"/>
  <c r="EW75" i="9"/>
  <c r="EU75" i="9"/>
  <c r="FH73" i="9"/>
  <c r="FJ73" i="9" s="1"/>
  <c r="FI73" i="9"/>
  <c r="FM71" i="9"/>
  <c r="CX78" i="2" l="1"/>
  <c r="CP78" i="2"/>
  <c r="CZ78" i="2" s="1"/>
  <c r="CL78" i="2"/>
  <c r="CO78" i="2" s="1"/>
  <c r="CN78" i="2"/>
  <c r="CK79" i="2"/>
  <c r="CZ77" i="2"/>
  <c r="CQ77" i="2"/>
  <c r="DA77" i="2" s="1"/>
  <c r="CU77" i="1"/>
  <c r="CY77" i="1"/>
  <c r="CR77" i="1"/>
  <c r="CW77" i="1" s="1"/>
  <c r="CP78" i="1"/>
  <c r="CV78" i="1"/>
  <c r="CQ78" i="1"/>
  <c r="CM80" i="1"/>
  <c r="CT79" i="1"/>
  <c r="CX79" i="1" s="1"/>
  <c r="CO79" i="1"/>
  <c r="CN79" i="1"/>
  <c r="EL181" i="10"/>
  <c r="ER180" i="10"/>
  <c r="EV180" i="10" s="1"/>
  <c r="EI180" i="10"/>
  <c r="EN180" i="10" s="1"/>
  <c r="EU77" i="10"/>
  <c r="EW77" i="10" s="1"/>
  <c r="EQ77" i="10"/>
  <c r="ES77" i="10" s="1"/>
  <c r="EM77" i="10"/>
  <c r="EJ77" i="10"/>
  <c r="EO77" i="10" s="1"/>
  <c r="EH78" i="10"/>
  <c r="EC79" i="10"/>
  <c r="EF79" i="10"/>
  <c r="ED79" i="10"/>
  <c r="EE79" i="10"/>
  <c r="EB79" i="10"/>
  <c r="EA80" i="10"/>
  <c r="GM76" i="9"/>
  <c r="GF76" i="9"/>
  <c r="GK66" i="9"/>
  <c r="GQ66" i="9" s="1"/>
  <c r="GG66" i="9"/>
  <c r="GS66" i="9"/>
  <c r="GR76" i="9"/>
  <c r="FE75" i="9"/>
  <c r="FG75" i="9" s="1"/>
  <c r="FH75" i="9" s="1"/>
  <c r="FJ75" i="9" s="1"/>
  <c r="FU70" i="9"/>
  <c r="FO70" i="9"/>
  <c r="FT70" i="9" s="1"/>
  <c r="FY70" i="9"/>
  <c r="FM72" i="9"/>
  <c r="FN72" i="9" s="1"/>
  <c r="GB69" i="9"/>
  <c r="FT69" i="9"/>
  <c r="FX69" i="9"/>
  <c r="FP69" i="9"/>
  <c r="EZ76" i="9"/>
  <c r="EY76" i="9"/>
  <c r="FF75" i="9"/>
  <c r="ES76" i="9"/>
  <c r="EQ76" i="9"/>
  <c r="EB77" i="9"/>
  <c r="EE77" i="9"/>
  <c r="EA78" i="9"/>
  <c r="ED77" i="9"/>
  <c r="GP77" i="9"/>
  <c r="EC77" i="9"/>
  <c r="EI77" i="9"/>
  <c r="EH77" i="9"/>
  <c r="EF77" i="9"/>
  <c r="EG77" i="9"/>
  <c r="FV71" i="9"/>
  <c r="FN71" i="9"/>
  <c r="FZ71" i="9"/>
  <c r="FK73" i="9"/>
  <c r="FL73" i="9"/>
  <c r="GE67" i="9"/>
  <c r="GH67" i="9" s="1"/>
  <c r="GJ67" i="9"/>
  <c r="FH74" i="9"/>
  <c r="FJ74" i="9" s="1"/>
  <c r="FI74" i="9"/>
  <c r="GA68" i="9"/>
  <c r="FW68" i="9"/>
  <c r="FQ68" i="9"/>
  <c r="GD68" i="9" s="1"/>
  <c r="FR68" i="9"/>
  <c r="FS68" i="9"/>
  <c r="EM76" i="9"/>
  <c r="FB76" i="9" s="1"/>
  <c r="FD76" i="9" s="1"/>
  <c r="EO76" i="9"/>
  <c r="FC76" i="9" s="1"/>
  <c r="EU76" i="9"/>
  <c r="EW76" i="9"/>
  <c r="CX79" i="2" l="1"/>
  <c r="CP79" i="2"/>
  <c r="CK80" i="2"/>
  <c r="CN79" i="2"/>
  <c r="CL79" i="2"/>
  <c r="CO79" i="2" s="1"/>
  <c r="CY79" i="2" s="1"/>
  <c r="CQ78" i="2"/>
  <c r="DA78" i="2" s="1"/>
  <c r="CY78" i="2"/>
  <c r="CR78" i="1"/>
  <c r="CW78" i="1" s="1"/>
  <c r="CU78" i="1"/>
  <c r="CY78" i="1"/>
  <c r="CV79" i="1"/>
  <c r="CQ79" i="1"/>
  <c r="CP79" i="1"/>
  <c r="CM81" i="1"/>
  <c r="CT80" i="1"/>
  <c r="CX80" i="1" s="1"/>
  <c r="CO80" i="1"/>
  <c r="CN80" i="1"/>
  <c r="EL182" i="10"/>
  <c r="ER181" i="10"/>
  <c r="EV181" i="10" s="1"/>
  <c r="EI181" i="10"/>
  <c r="EN181" i="10" s="1"/>
  <c r="EQ78" i="10"/>
  <c r="ES78" i="10" s="1"/>
  <c r="EU78" i="10"/>
  <c r="EW78" i="10" s="1"/>
  <c r="EH79" i="10"/>
  <c r="EM78" i="10"/>
  <c r="EJ78" i="10"/>
  <c r="EO78" i="10" s="1"/>
  <c r="EF80" i="10"/>
  <c r="ED80" i="10"/>
  <c r="EC80" i="10"/>
  <c r="EE80" i="10"/>
  <c r="EB80" i="10"/>
  <c r="EA81" i="10"/>
  <c r="GM77" i="9"/>
  <c r="GR77" i="9" s="1"/>
  <c r="GF77" i="9"/>
  <c r="GK67" i="9"/>
  <c r="GQ67" i="9" s="1"/>
  <c r="GG67" i="9"/>
  <c r="GS67" i="9"/>
  <c r="FI75" i="9"/>
  <c r="FZ72" i="9"/>
  <c r="GB70" i="9"/>
  <c r="FV72" i="9"/>
  <c r="FX70" i="9"/>
  <c r="FP70" i="9"/>
  <c r="GA70" i="9" s="1"/>
  <c r="FY71" i="9"/>
  <c r="FU71" i="9"/>
  <c r="GC71" i="9"/>
  <c r="FO71" i="9"/>
  <c r="EW77" i="9"/>
  <c r="EU77" i="9"/>
  <c r="EF78" i="9"/>
  <c r="EH78" i="9"/>
  <c r="EC78" i="9"/>
  <c r="EA79" i="9"/>
  <c r="EG78" i="9"/>
  <c r="EI78" i="9"/>
  <c r="EE78" i="9"/>
  <c r="ED78" i="9"/>
  <c r="EB78" i="9"/>
  <c r="GP78" i="9"/>
  <c r="GA69" i="9"/>
  <c r="FQ69" i="9"/>
  <c r="GD69" i="9" s="1"/>
  <c r="FR69" i="9"/>
  <c r="FS69" i="9"/>
  <c r="FW69" i="9"/>
  <c r="FK74" i="9"/>
  <c r="FL74" i="9"/>
  <c r="EY77" i="9"/>
  <c r="EZ77" i="9"/>
  <c r="EM77" i="9"/>
  <c r="FB77" i="9" s="1"/>
  <c r="FD77" i="9" s="1"/>
  <c r="EO77" i="9"/>
  <c r="FC77" i="9" s="1"/>
  <c r="FE76" i="9"/>
  <c r="FG76" i="9" s="1"/>
  <c r="FF76" i="9"/>
  <c r="GE68" i="9"/>
  <c r="GH68" i="9" s="1"/>
  <c r="GJ68" i="9"/>
  <c r="FY72" i="9"/>
  <c r="GC72" i="9"/>
  <c r="FU72" i="9"/>
  <c r="FO72" i="9"/>
  <c r="FM73" i="9"/>
  <c r="FK75" i="9"/>
  <c r="FL75" i="9"/>
  <c r="ES77" i="9"/>
  <c r="EQ77" i="9"/>
  <c r="CX80" i="2" l="1"/>
  <c r="CP80" i="2"/>
  <c r="CN80" i="2"/>
  <c r="CL80" i="2"/>
  <c r="CO80" i="2" s="1"/>
  <c r="CY80" i="2" s="1"/>
  <c r="CK81" i="2"/>
  <c r="CZ79" i="2"/>
  <c r="CQ79" i="2"/>
  <c r="DA79" i="2" s="1"/>
  <c r="CU79" i="1"/>
  <c r="CY79" i="1"/>
  <c r="CR79" i="1"/>
  <c r="CW79" i="1" s="1"/>
  <c r="CV80" i="1"/>
  <c r="CQ80" i="1"/>
  <c r="CP80" i="1"/>
  <c r="CM82" i="1"/>
  <c r="CT81" i="1"/>
  <c r="CX81" i="1" s="1"/>
  <c r="CO81" i="1"/>
  <c r="CN81" i="1"/>
  <c r="EL183" i="10"/>
  <c r="ER182" i="10"/>
  <c r="EV182" i="10" s="1"/>
  <c r="EI182" i="10"/>
  <c r="EN182" i="10" s="1"/>
  <c r="EM79" i="10"/>
  <c r="EU79" i="10"/>
  <c r="EW79" i="10" s="1"/>
  <c r="EQ79" i="10"/>
  <c r="ES79" i="10" s="1"/>
  <c r="EJ79" i="10"/>
  <c r="EO79" i="10" s="1"/>
  <c r="EH80" i="10"/>
  <c r="EF81" i="10"/>
  <c r="ED81" i="10"/>
  <c r="EC81" i="10"/>
  <c r="EE81" i="10"/>
  <c r="EB81" i="10"/>
  <c r="EA82" i="10"/>
  <c r="GM78" i="9"/>
  <c r="GR78" i="9" s="1"/>
  <c r="GF78" i="9"/>
  <c r="GK68" i="9"/>
  <c r="GQ68" i="9" s="1"/>
  <c r="GG68" i="9"/>
  <c r="GS68" i="9"/>
  <c r="FR70" i="9"/>
  <c r="FQ70" i="9"/>
  <c r="GD70" i="9" s="1"/>
  <c r="FS70" i="9"/>
  <c r="FW70" i="9"/>
  <c r="FM75" i="9"/>
  <c r="FZ75" i="9" s="1"/>
  <c r="FM74" i="9"/>
  <c r="EM78" i="9"/>
  <c r="FB78" i="9" s="1"/>
  <c r="FD78" i="9" s="1"/>
  <c r="EO78" i="9"/>
  <c r="FC78" i="9" s="1"/>
  <c r="EW78" i="9"/>
  <c r="EU78" i="9"/>
  <c r="EZ78" i="9"/>
  <c r="EY78" i="9"/>
  <c r="FZ73" i="9"/>
  <c r="FN73" i="9"/>
  <c r="FV73" i="9"/>
  <c r="FH76" i="9"/>
  <c r="FJ76" i="9" s="1"/>
  <c r="FI76" i="9"/>
  <c r="FP71" i="9"/>
  <c r="GB71" i="9"/>
  <c r="FT71" i="9"/>
  <c r="FX71" i="9"/>
  <c r="GB72" i="9"/>
  <c r="FX72" i="9"/>
  <c r="FP72" i="9"/>
  <c r="FT72" i="9"/>
  <c r="FF77" i="9"/>
  <c r="FE77" i="9"/>
  <c r="FG77" i="9" s="1"/>
  <c r="GJ69" i="9"/>
  <c r="GE69" i="9"/>
  <c r="GH69" i="9" s="1"/>
  <c r="EA80" i="9"/>
  <c r="ED79" i="9"/>
  <c r="EI79" i="9"/>
  <c r="EB79" i="9"/>
  <c r="GP79" i="9"/>
  <c r="EC79" i="9"/>
  <c r="EE79" i="9"/>
  <c r="EF79" i="9"/>
  <c r="EH79" i="9"/>
  <c r="EG79" i="9"/>
  <c r="ES78" i="9"/>
  <c r="EQ78" i="9"/>
  <c r="CX81" i="2" l="1"/>
  <c r="CP81" i="2"/>
  <c r="CL81" i="2"/>
  <c r="CO81" i="2" s="1"/>
  <c r="CY81" i="2" s="1"/>
  <c r="CN81" i="2"/>
  <c r="CK82" i="2"/>
  <c r="CQ80" i="2"/>
  <c r="DA80" i="2" s="1"/>
  <c r="CZ80" i="2"/>
  <c r="CU80" i="1"/>
  <c r="CY80" i="1"/>
  <c r="CR80" i="1"/>
  <c r="CW80" i="1" s="1"/>
  <c r="CV81" i="1"/>
  <c r="CQ81" i="1"/>
  <c r="CP81" i="1"/>
  <c r="CM83" i="1"/>
  <c r="CT82" i="1"/>
  <c r="CX82" i="1" s="1"/>
  <c r="CO82" i="1"/>
  <c r="CN82" i="1"/>
  <c r="EL184" i="10"/>
  <c r="ER183" i="10"/>
  <c r="EV183" i="10" s="1"/>
  <c r="EI183" i="10"/>
  <c r="EN183" i="10" s="1"/>
  <c r="EU80" i="10"/>
  <c r="EW80" i="10" s="1"/>
  <c r="EQ80" i="10"/>
  <c r="ES80" i="10" s="1"/>
  <c r="EH81" i="10"/>
  <c r="EM80" i="10"/>
  <c r="EJ80" i="10"/>
  <c r="EO80" i="10" s="1"/>
  <c r="EC82" i="10"/>
  <c r="ED82" i="10"/>
  <c r="EF82" i="10"/>
  <c r="EE82" i="10"/>
  <c r="EB82" i="10"/>
  <c r="EA83" i="10"/>
  <c r="GM79" i="9"/>
  <c r="GF79" i="9"/>
  <c r="GK69" i="9"/>
  <c r="GQ69" i="9" s="1"/>
  <c r="GG69" i="9"/>
  <c r="GS69" i="9"/>
  <c r="GR79" i="9"/>
  <c r="FE78" i="9"/>
  <c r="FG78" i="9" s="1"/>
  <c r="FH78" i="9" s="1"/>
  <c r="FJ78" i="9" s="1"/>
  <c r="FK78" i="9" s="1"/>
  <c r="FV75" i="9"/>
  <c r="GJ70" i="9"/>
  <c r="GE70" i="9"/>
  <c r="GH70" i="9" s="1"/>
  <c r="FN75" i="9"/>
  <c r="GC75" i="9" s="1"/>
  <c r="FI77" i="9"/>
  <c r="FH77" i="9"/>
  <c r="FJ77" i="9" s="1"/>
  <c r="FW71" i="9"/>
  <c r="FQ71" i="9"/>
  <c r="GD71" i="9" s="1"/>
  <c r="FS71" i="9"/>
  <c r="GA71" i="9"/>
  <c r="FR71" i="9"/>
  <c r="EO79" i="9"/>
  <c r="FC79" i="9" s="1"/>
  <c r="EM79" i="9"/>
  <c r="FB79" i="9" s="1"/>
  <c r="FD79" i="9" s="1"/>
  <c r="FQ72" i="9"/>
  <c r="GD72" i="9" s="1"/>
  <c r="GA72" i="9"/>
  <c r="FR72" i="9"/>
  <c r="FS72" i="9"/>
  <c r="FW72" i="9"/>
  <c r="FK76" i="9"/>
  <c r="FL76" i="9"/>
  <c r="ES79" i="9"/>
  <c r="EQ79" i="9"/>
  <c r="EU79" i="9"/>
  <c r="EW79" i="9"/>
  <c r="EG80" i="9"/>
  <c r="EH80" i="9"/>
  <c r="EE80" i="9"/>
  <c r="EA81" i="9"/>
  <c r="EB80" i="9"/>
  <c r="GP80" i="9"/>
  <c r="EC80" i="9"/>
  <c r="EI80" i="9"/>
  <c r="EF80" i="9"/>
  <c r="ED80" i="9"/>
  <c r="GC73" i="9"/>
  <c r="FU73" i="9"/>
  <c r="FO73" i="9"/>
  <c r="FY73" i="9"/>
  <c r="FF78" i="9"/>
  <c r="EZ79" i="9"/>
  <c r="EY79" i="9"/>
  <c r="FN74" i="9"/>
  <c r="FV74" i="9"/>
  <c r="FZ74" i="9"/>
  <c r="CX82" i="2" l="1"/>
  <c r="CP82" i="2"/>
  <c r="CL82" i="2"/>
  <c r="CO82" i="2" s="1"/>
  <c r="CY82" i="2" s="1"/>
  <c r="CK83" i="2"/>
  <c r="CN82" i="2"/>
  <c r="CZ81" i="2"/>
  <c r="CQ81" i="2"/>
  <c r="DA81" i="2" s="1"/>
  <c r="CU81" i="1"/>
  <c r="CY81" i="1"/>
  <c r="CR81" i="1"/>
  <c r="CW81" i="1" s="1"/>
  <c r="CV82" i="1"/>
  <c r="CQ82" i="1"/>
  <c r="CP82" i="1"/>
  <c r="CM84" i="1"/>
  <c r="CT83" i="1"/>
  <c r="CX83" i="1" s="1"/>
  <c r="CO83" i="1"/>
  <c r="CN83" i="1"/>
  <c r="EL185" i="10"/>
  <c r="ER184" i="10"/>
  <c r="EV184" i="10" s="1"/>
  <c r="EI184" i="10"/>
  <c r="EN184" i="10" s="1"/>
  <c r="EU81" i="10"/>
  <c r="EW81" i="10" s="1"/>
  <c r="EQ81" i="10"/>
  <c r="ES81" i="10" s="1"/>
  <c r="EH82" i="10"/>
  <c r="EM81" i="10"/>
  <c r="EJ81" i="10"/>
  <c r="EO81" i="10" s="1"/>
  <c r="EF83" i="10"/>
  <c r="ED83" i="10"/>
  <c r="EC83" i="10"/>
  <c r="EE83" i="10"/>
  <c r="EB83" i="10"/>
  <c r="EA84" i="10"/>
  <c r="GM80" i="9"/>
  <c r="GR80" i="9" s="1"/>
  <c r="GF80" i="9"/>
  <c r="GK70" i="9"/>
  <c r="GQ70" i="9" s="1"/>
  <c r="GG70" i="9"/>
  <c r="GS70" i="9"/>
  <c r="FI78" i="9"/>
  <c r="FL78" i="9"/>
  <c r="FM78" i="9" s="1"/>
  <c r="FU75" i="9"/>
  <c r="FY75" i="9"/>
  <c r="FO75" i="9"/>
  <c r="FM76" i="9"/>
  <c r="FZ76" i="9" s="1"/>
  <c r="FO74" i="9"/>
  <c r="FY74" i="9"/>
  <c r="GC74" i="9"/>
  <c r="FU74" i="9"/>
  <c r="EW80" i="9"/>
  <c r="EU80" i="9"/>
  <c r="EY80" i="9"/>
  <c r="EZ80" i="9"/>
  <c r="ES80" i="9"/>
  <c r="EQ80" i="9"/>
  <c r="GJ71" i="9"/>
  <c r="GE71" i="9"/>
  <c r="GH71" i="9" s="1"/>
  <c r="FP73" i="9"/>
  <c r="FX73" i="9"/>
  <c r="GB73" i="9"/>
  <c r="FT73" i="9"/>
  <c r="EO80" i="9"/>
  <c r="FC80" i="9" s="1"/>
  <c r="EM80" i="9"/>
  <c r="FB80" i="9" s="1"/>
  <c r="FD80" i="9" s="1"/>
  <c r="GE72" i="9"/>
  <c r="GH72" i="9" s="1"/>
  <c r="GJ72" i="9"/>
  <c r="FL77" i="9"/>
  <c r="FK77" i="9"/>
  <c r="EG81" i="9"/>
  <c r="EI81" i="9"/>
  <c r="EE81" i="9"/>
  <c r="EH81" i="9"/>
  <c r="EB81" i="9"/>
  <c r="EA82" i="9"/>
  <c r="EC81" i="9"/>
  <c r="GP81" i="9"/>
  <c r="ED81" i="9"/>
  <c r="EF81" i="9"/>
  <c r="FF79" i="9"/>
  <c r="FE79" i="9"/>
  <c r="FG79" i="9" s="1"/>
  <c r="CX83" i="2" l="1"/>
  <c r="CP83" i="2"/>
  <c r="CN83" i="2"/>
  <c r="CL83" i="2"/>
  <c r="CO83" i="2" s="1"/>
  <c r="CY83" i="2" s="1"/>
  <c r="CK84" i="2"/>
  <c r="CZ82" i="2"/>
  <c r="CQ82" i="2"/>
  <c r="DA82" i="2" s="1"/>
  <c r="CU82" i="1"/>
  <c r="CY82" i="1"/>
  <c r="CR82" i="1"/>
  <c r="CW82" i="1" s="1"/>
  <c r="CV83" i="1"/>
  <c r="CQ83" i="1"/>
  <c r="CP83" i="1"/>
  <c r="CM85" i="1"/>
  <c r="CT84" i="1"/>
  <c r="CX84" i="1" s="1"/>
  <c r="CO84" i="1"/>
  <c r="CN84" i="1"/>
  <c r="EL186" i="10"/>
  <c r="ER185" i="10"/>
  <c r="EV185" i="10" s="1"/>
  <c r="EI185" i="10"/>
  <c r="EN185" i="10" s="1"/>
  <c r="EU82" i="10"/>
  <c r="EW82" i="10" s="1"/>
  <c r="EQ82" i="10"/>
  <c r="ES82" i="10" s="1"/>
  <c r="EM82" i="10"/>
  <c r="EJ82" i="10"/>
  <c r="EO82" i="10" s="1"/>
  <c r="EH83" i="10"/>
  <c r="EC84" i="10"/>
  <c r="ED84" i="10"/>
  <c r="EF84" i="10"/>
  <c r="EE84" i="10"/>
  <c r="EB84" i="10"/>
  <c r="EA85" i="10"/>
  <c r="GM81" i="9"/>
  <c r="GF81" i="9"/>
  <c r="GK72" i="9"/>
  <c r="GQ72" i="9" s="1"/>
  <c r="GG72" i="9"/>
  <c r="GS72" i="9"/>
  <c r="GK71" i="9"/>
  <c r="GQ71" i="9" s="1"/>
  <c r="GG71" i="9"/>
  <c r="GS71" i="9"/>
  <c r="GR81" i="9"/>
  <c r="FV78" i="9"/>
  <c r="FZ78" i="9"/>
  <c r="FN78" i="9"/>
  <c r="FO78" i="9" s="1"/>
  <c r="FX78" i="9" s="1"/>
  <c r="FN76" i="9"/>
  <c r="FY76" i="9" s="1"/>
  <c r="FV76" i="9"/>
  <c r="FP75" i="9"/>
  <c r="FT75" i="9"/>
  <c r="GB75" i="9"/>
  <c r="FX75" i="9"/>
  <c r="FM77" i="9"/>
  <c r="FN77" i="9" s="1"/>
  <c r="FO77" i="9" s="1"/>
  <c r="FS73" i="9"/>
  <c r="GA73" i="9"/>
  <c r="FR73" i="9"/>
  <c r="FW73" i="9"/>
  <c r="FQ73" i="9"/>
  <c r="GD73" i="9" s="1"/>
  <c r="EC82" i="9"/>
  <c r="EA83" i="9"/>
  <c r="EB82" i="9"/>
  <c r="GP82" i="9"/>
  <c r="ED82" i="9"/>
  <c r="EF82" i="9"/>
  <c r="EH82" i="9"/>
  <c r="EG82" i="9"/>
  <c r="EI82" i="9"/>
  <c r="EE82" i="9"/>
  <c r="EO81" i="9"/>
  <c r="FC81" i="9" s="1"/>
  <c r="EM81" i="9"/>
  <c r="FB81" i="9" s="1"/>
  <c r="FD81" i="9" s="1"/>
  <c r="FI79" i="9"/>
  <c r="FH79" i="9"/>
  <c r="FJ79" i="9" s="1"/>
  <c r="FE80" i="9"/>
  <c r="FG80" i="9" s="1"/>
  <c r="FH80" i="9" s="1"/>
  <c r="FJ80" i="9" s="1"/>
  <c r="FF80" i="9"/>
  <c r="EQ81" i="9"/>
  <c r="ES81" i="9"/>
  <c r="EY81" i="9"/>
  <c r="EZ81" i="9"/>
  <c r="GB74" i="9"/>
  <c r="FP74" i="9"/>
  <c r="FX74" i="9"/>
  <c r="FT74" i="9"/>
  <c r="EU81" i="9"/>
  <c r="EW81" i="9"/>
  <c r="CX84" i="2" l="1"/>
  <c r="CP84" i="2"/>
  <c r="CK85" i="2"/>
  <c r="CN84" i="2"/>
  <c r="CL84" i="2"/>
  <c r="CO84" i="2" s="1"/>
  <c r="CY84" i="2" s="1"/>
  <c r="CZ83" i="2"/>
  <c r="CQ83" i="2"/>
  <c r="DA83" i="2" s="1"/>
  <c r="CU83" i="1"/>
  <c r="CY83" i="1"/>
  <c r="CR83" i="1"/>
  <c r="CW83" i="1" s="1"/>
  <c r="CV84" i="1"/>
  <c r="CQ84" i="1"/>
  <c r="CP84" i="1"/>
  <c r="CM86" i="1"/>
  <c r="CT85" i="1"/>
  <c r="CX85" i="1" s="1"/>
  <c r="CO85" i="1"/>
  <c r="CN85" i="1"/>
  <c r="EL187" i="10"/>
  <c r="ER186" i="10"/>
  <c r="EV186" i="10" s="1"/>
  <c r="EI186" i="10"/>
  <c r="EN186" i="10" s="1"/>
  <c r="EQ83" i="10"/>
  <c r="ES83" i="10" s="1"/>
  <c r="EU83" i="10"/>
  <c r="EW83" i="10" s="1"/>
  <c r="EH84" i="10"/>
  <c r="EM83" i="10"/>
  <c r="EJ83" i="10"/>
  <c r="EO83" i="10" s="1"/>
  <c r="EF85" i="10"/>
  <c r="ED85" i="10"/>
  <c r="EC85" i="10"/>
  <c r="EB85" i="10"/>
  <c r="EE85" i="10"/>
  <c r="EA86" i="10"/>
  <c r="GM82" i="9"/>
  <c r="GR82" i="9" s="1"/>
  <c r="GF82" i="9"/>
  <c r="FT78" i="9"/>
  <c r="GB78" i="9"/>
  <c r="FU78" i="9"/>
  <c r="FP78" i="9"/>
  <c r="FQ78" i="9" s="1"/>
  <c r="FY78" i="9"/>
  <c r="GC78" i="9"/>
  <c r="GC76" i="9"/>
  <c r="FU76" i="9"/>
  <c r="FO76" i="9"/>
  <c r="FX76" i="9" s="1"/>
  <c r="FQ75" i="9"/>
  <c r="GD75" i="9" s="1"/>
  <c r="FS75" i="9"/>
  <c r="GA75" i="9"/>
  <c r="FW75" i="9"/>
  <c r="FR75" i="9"/>
  <c r="GC77" i="9"/>
  <c r="FY77" i="9"/>
  <c r="FU77" i="9"/>
  <c r="FZ77" i="9"/>
  <c r="FV77" i="9"/>
  <c r="EY82" i="9"/>
  <c r="EZ82" i="9"/>
  <c r="EA84" i="9"/>
  <c r="EE83" i="9"/>
  <c r="GP83" i="9"/>
  <c r="EC83" i="9"/>
  <c r="EG83" i="9"/>
  <c r="EI83" i="9"/>
  <c r="EB83" i="9"/>
  <c r="EF83" i="9"/>
  <c r="EH83" i="9"/>
  <c r="ED83" i="9"/>
  <c r="EQ82" i="9"/>
  <c r="ES82" i="9"/>
  <c r="FI80" i="9"/>
  <c r="FK80" i="9"/>
  <c r="FL80" i="9"/>
  <c r="GJ73" i="9"/>
  <c r="GE73" i="9"/>
  <c r="GH73" i="9" s="1"/>
  <c r="FW74" i="9"/>
  <c r="FQ74" i="9"/>
  <c r="GD74" i="9" s="1"/>
  <c r="FS74" i="9"/>
  <c r="FR74" i="9"/>
  <c r="GA74" i="9"/>
  <c r="FK79" i="9"/>
  <c r="FL79" i="9"/>
  <c r="EW82" i="9"/>
  <c r="EU82" i="9"/>
  <c r="FF81" i="9"/>
  <c r="FE81" i="9"/>
  <c r="FG81" i="9" s="1"/>
  <c r="FH81" i="9" s="1"/>
  <c r="FJ81" i="9" s="1"/>
  <c r="EM82" i="9"/>
  <c r="FB82" i="9" s="1"/>
  <c r="FD82" i="9" s="1"/>
  <c r="EO82" i="9"/>
  <c r="FC82" i="9" s="1"/>
  <c r="GB77" i="9"/>
  <c r="FX77" i="9"/>
  <c r="FP77" i="9"/>
  <c r="FT77" i="9"/>
  <c r="CX85" i="2" l="1"/>
  <c r="CP85" i="2"/>
  <c r="CK86" i="2"/>
  <c r="CN85" i="2"/>
  <c r="CL85" i="2"/>
  <c r="CO85" i="2" s="1"/>
  <c r="CY85" i="2" s="1"/>
  <c r="CZ84" i="2"/>
  <c r="CQ84" i="2"/>
  <c r="DA84" i="2" s="1"/>
  <c r="CU84" i="1"/>
  <c r="CY84" i="1"/>
  <c r="CP85" i="1"/>
  <c r="CR84" i="1"/>
  <c r="CW84" i="1" s="1"/>
  <c r="CV85" i="1"/>
  <c r="CQ85" i="1"/>
  <c r="CR85" i="1" s="1"/>
  <c r="CW85" i="1" s="1"/>
  <c r="CM87" i="1"/>
  <c r="CT86" i="1"/>
  <c r="CX86" i="1" s="1"/>
  <c r="CO86" i="1"/>
  <c r="CN86" i="1"/>
  <c r="EL188" i="10"/>
  <c r="ER187" i="10"/>
  <c r="EV187" i="10" s="1"/>
  <c r="EI187" i="10"/>
  <c r="EN187" i="10" s="1"/>
  <c r="EM84" i="10"/>
  <c r="EU84" i="10"/>
  <c r="EW84" i="10" s="1"/>
  <c r="EQ84" i="10"/>
  <c r="ES84" i="10" s="1"/>
  <c r="EJ84" i="10"/>
  <c r="EO84" i="10" s="1"/>
  <c r="EH85" i="10"/>
  <c r="EF86" i="10"/>
  <c r="ED86" i="10"/>
  <c r="EC86" i="10"/>
  <c r="EE86" i="10"/>
  <c r="EB86" i="10"/>
  <c r="EA87" i="10"/>
  <c r="GM83" i="9"/>
  <c r="GR83" i="9" s="1"/>
  <c r="GF83" i="9"/>
  <c r="GK73" i="9"/>
  <c r="GQ73" i="9" s="1"/>
  <c r="GG73" i="9"/>
  <c r="GS73" i="9"/>
  <c r="GB76" i="9"/>
  <c r="FP76" i="9"/>
  <c r="FQ76" i="9" s="1"/>
  <c r="GA78" i="9"/>
  <c r="FS78" i="9"/>
  <c r="FW78" i="9"/>
  <c r="FR78" i="9"/>
  <c r="GD78" i="9"/>
  <c r="GJ78" i="9" s="1"/>
  <c r="FT76" i="9"/>
  <c r="GJ75" i="9"/>
  <c r="GE75" i="9"/>
  <c r="GH75" i="9" s="1"/>
  <c r="FM79" i="9"/>
  <c r="FZ79" i="9" s="1"/>
  <c r="FF82" i="9"/>
  <c r="ES83" i="9"/>
  <c r="EQ83" i="9"/>
  <c r="GJ74" i="9"/>
  <c r="GE74" i="9"/>
  <c r="GH74" i="9" s="1"/>
  <c r="FE82" i="9"/>
  <c r="FG82" i="9" s="1"/>
  <c r="EW83" i="9"/>
  <c r="EU83" i="9"/>
  <c r="EZ83" i="9"/>
  <c r="EY83" i="9"/>
  <c r="EH84" i="9"/>
  <c r="EE84" i="9"/>
  <c r="EB84" i="9"/>
  <c r="EA85" i="9"/>
  <c r="EC84" i="9"/>
  <c r="GP84" i="9"/>
  <c r="EG84" i="9"/>
  <c r="ED84" i="9"/>
  <c r="EF84" i="9"/>
  <c r="EI84" i="9"/>
  <c r="FK81" i="9"/>
  <c r="FL81" i="9"/>
  <c r="FI81" i="9"/>
  <c r="FM80" i="9"/>
  <c r="EM83" i="9"/>
  <c r="FB83" i="9" s="1"/>
  <c r="FD83" i="9" s="1"/>
  <c r="EO83" i="9"/>
  <c r="FC83" i="9" s="1"/>
  <c r="FS77" i="9"/>
  <c r="GA77" i="9"/>
  <c r="FW77" i="9"/>
  <c r="FR77" i="9"/>
  <c r="FQ77" i="9"/>
  <c r="GD77" i="9" s="1"/>
  <c r="CX86" i="2" l="1"/>
  <c r="CP86" i="2"/>
  <c r="CZ86" i="2" s="1"/>
  <c r="CN86" i="2"/>
  <c r="CL86" i="2"/>
  <c r="CO86" i="2" s="1"/>
  <c r="CK87" i="2"/>
  <c r="CZ85" i="2"/>
  <c r="CQ85" i="2"/>
  <c r="DA85" i="2" s="1"/>
  <c r="CU85" i="1"/>
  <c r="CY85" i="1"/>
  <c r="CV86" i="1"/>
  <c r="CQ86" i="1"/>
  <c r="CP86" i="1"/>
  <c r="CM88" i="1"/>
  <c r="CT87" i="1"/>
  <c r="CX87" i="1" s="1"/>
  <c r="CO87" i="1"/>
  <c r="CN87" i="1"/>
  <c r="EL189" i="10"/>
  <c r="ER188" i="10"/>
  <c r="EV188" i="10" s="1"/>
  <c r="EI188" i="10"/>
  <c r="EN188" i="10" s="1"/>
  <c r="EQ85" i="10"/>
  <c r="ES85" i="10" s="1"/>
  <c r="EU85" i="10"/>
  <c r="EW85" i="10" s="1"/>
  <c r="EH86" i="10"/>
  <c r="EM85" i="10"/>
  <c r="EJ85" i="10"/>
  <c r="EO85" i="10" s="1"/>
  <c r="ED87" i="10"/>
  <c r="EF87" i="10"/>
  <c r="EC87" i="10"/>
  <c r="EE87" i="10"/>
  <c r="EB87" i="10"/>
  <c r="EA88" i="10"/>
  <c r="GM84" i="9"/>
  <c r="GF84" i="9"/>
  <c r="GK74" i="9"/>
  <c r="GQ74" i="9" s="1"/>
  <c r="GG74" i="9"/>
  <c r="GS74" i="9"/>
  <c r="GK75" i="9"/>
  <c r="GQ75" i="9" s="1"/>
  <c r="GG75" i="9"/>
  <c r="GS75" i="9"/>
  <c r="GR84" i="9"/>
  <c r="GA76" i="9"/>
  <c r="FS76" i="9"/>
  <c r="FW76" i="9"/>
  <c r="FR76" i="9"/>
  <c r="GE78" i="9"/>
  <c r="GH78" i="9" s="1"/>
  <c r="GD76" i="9"/>
  <c r="GJ76" i="9" s="1"/>
  <c r="FV79" i="9"/>
  <c r="FN79" i="9"/>
  <c r="FO79" i="9" s="1"/>
  <c r="FF83" i="9"/>
  <c r="FE83" i="9"/>
  <c r="FG83" i="9" s="1"/>
  <c r="EZ84" i="9"/>
  <c r="EY84" i="9"/>
  <c r="FZ80" i="9"/>
  <c r="FV80" i="9"/>
  <c r="FN80" i="9"/>
  <c r="EU84" i="9"/>
  <c r="EW84" i="9"/>
  <c r="EQ84" i="9"/>
  <c r="ES84" i="9"/>
  <c r="FM81" i="9"/>
  <c r="GP85" i="9"/>
  <c r="EC85" i="9"/>
  <c r="EF85" i="9"/>
  <c r="EG85" i="9"/>
  <c r="EA86" i="9"/>
  <c r="EI85" i="9"/>
  <c r="EH85" i="9"/>
  <c r="EB85" i="9"/>
  <c r="ED85" i="9"/>
  <c r="EE85" i="9"/>
  <c r="FH82" i="9"/>
  <c r="FJ82" i="9" s="1"/>
  <c r="FI82" i="9"/>
  <c r="EM84" i="9"/>
  <c r="FB84" i="9" s="1"/>
  <c r="FD84" i="9" s="1"/>
  <c r="EO84" i="9"/>
  <c r="FC84" i="9" s="1"/>
  <c r="GJ77" i="9"/>
  <c r="GE77" i="9"/>
  <c r="GH77" i="9" s="1"/>
  <c r="CX87" i="2" l="1"/>
  <c r="CP87" i="2"/>
  <c r="CL87" i="2"/>
  <c r="CO87" i="2" s="1"/>
  <c r="CY87" i="2" s="1"/>
  <c r="CK88" i="2"/>
  <c r="CN87" i="2"/>
  <c r="CQ86" i="2"/>
  <c r="DA86" i="2" s="1"/>
  <c r="CY86" i="2"/>
  <c r="CU86" i="1"/>
  <c r="CY86" i="1"/>
  <c r="CR86" i="1"/>
  <c r="CW86" i="1" s="1"/>
  <c r="CP87" i="1"/>
  <c r="CV87" i="1"/>
  <c r="CQ87" i="1"/>
  <c r="CM89" i="1"/>
  <c r="CT88" i="1"/>
  <c r="CX88" i="1" s="1"/>
  <c r="CO88" i="1"/>
  <c r="CN88" i="1"/>
  <c r="EL190" i="10"/>
  <c r="ER189" i="10"/>
  <c r="EV189" i="10" s="1"/>
  <c r="EI189" i="10"/>
  <c r="EN189" i="10" s="1"/>
  <c r="EU86" i="10"/>
  <c r="EW86" i="10" s="1"/>
  <c r="EQ86" i="10"/>
  <c r="ES86" i="10" s="1"/>
  <c r="EH87" i="10"/>
  <c r="EM86" i="10"/>
  <c r="EJ86" i="10"/>
  <c r="EO86" i="10" s="1"/>
  <c r="EC88" i="10"/>
  <c r="EF88" i="10"/>
  <c r="ED88" i="10"/>
  <c r="EE88" i="10"/>
  <c r="EB88" i="10"/>
  <c r="EA89" i="10"/>
  <c r="GM85" i="9"/>
  <c r="GR85" i="9" s="1"/>
  <c r="GF85" i="9"/>
  <c r="GK78" i="9"/>
  <c r="GQ78" i="9" s="1"/>
  <c r="GG78" i="9"/>
  <c r="GS78" i="9"/>
  <c r="GK77" i="9"/>
  <c r="GQ77" i="9" s="1"/>
  <c r="GG77" i="9"/>
  <c r="GS77" i="9"/>
  <c r="GE76" i="9"/>
  <c r="GH76" i="9" s="1"/>
  <c r="GC79" i="9"/>
  <c r="FY79" i="9"/>
  <c r="FU79" i="9"/>
  <c r="FF84" i="9"/>
  <c r="FE84" i="9"/>
  <c r="FG84" i="9" s="1"/>
  <c r="GP86" i="9"/>
  <c r="ED86" i="9"/>
  <c r="EI86" i="9"/>
  <c r="EF86" i="9"/>
  <c r="EH86" i="9"/>
  <c r="EA87" i="9"/>
  <c r="EE86" i="9"/>
  <c r="EC86" i="9"/>
  <c r="EG86" i="9"/>
  <c r="EB86" i="9"/>
  <c r="FY80" i="9"/>
  <c r="GC80" i="9"/>
  <c r="FO80" i="9"/>
  <c r="FU80" i="9"/>
  <c r="GB79" i="9"/>
  <c r="FT79" i="9"/>
  <c r="FP79" i="9"/>
  <c r="FX79" i="9"/>
  <c r="FK82" i="9"/>
  <c r="FL82" i="9"/>
  <c r="EW85" i="9"/>
  <c r="EU85" i="9"/>
  <c r="ES85" i="9"/>
  <c r="EQ85" i="9"/>
  <c r="EO85" i="9"/>
  <c r="FC85" i="9" s="1"/>
  <c r="EM85" i="9"/>
  <c r="FB85" i="9" s="1"/>
  <c r="FD85" i="9" s="1"/>
  <c r="FZ81" i="9"/>
  <c r="FV81" i="9"/>
  <c r="FN81" i="9"/>
  <c r="FH83" i="9"/>
  <c r="FJ83" i="9" s="1"/>
  <c r="FI83" i="9"/>
  <c r="EZ85" i="9"/>
  <c r="EY85" i="9"/>
  <c r="CX88" i="2" l="1"/>
  <c r="CP88" i="2"/>
  <c r="CK89" i="2"/>
  <c r="CN88" i="2"/>
  <c r="CL88" i="2"/>
  <c r="CO88" i="2" s="1"/>
  <c r="CY88" i="2" s="1"/>
  <c r="CQ87" i="2"/>
  <c r="DA87" i="2" s="1"/>
  <c r="CZ87" i="2"/>
  <c r="CU87" i="1"/>
  <c r="CY87" i="1"/>
  <c r="CR87" i="1"/>
  <c r="CW87" i="1" s="1"/>
  <c r="CP88" i="1"/>
  <c r="CV88" i="1"/>
  <c r="CQ88" i="1"/>
  <c r="CM90" i="1"/>
  <c r="CT89" i="1"/>
  <c r="CX89" i="1" s="1"/>
  <c r="CO89" i="1"/>
  <c r="CN89" i="1"/>
  <c r="EL191" i="10"/>
  <c r="ER190" i="10"/>
  <c r="EV190" i="10" s="1"/>
  <c r="EI190" i="10"/>
  <c r="EN190" i="10" s="1"/>
  <c r="EU87" i="10"/>
  <c r="EW87" i="10" s="1"/>
  <c r="EQ87" i="10"/>
  <c r="ES87" i="10" s="1"/>
  <c r="EM87" i="10"/>
  <c r="EJ87" i="10"/>
  <c r="EO87" i="10" s="1"/>
  <c r="EC89" i="10"/>
  <c r="ED89" i="10"/>
  <c r="EF89" i="10"/>
  <c r="EB89" i="10"/>
  <c r="EE89" i="10"/>
  <c r="EH88" i="10"/>
  <c r="EA90" i="10"/>
  <c r="GM86" i="9"/>
  <c r="GF86" i="9"/>
  <c r="GK76" i="9"/>
  <c r="GQ76" i="9" s="1"/>
  <c r="GG76" i="9"/>
  <c r="GS76" i="9"/>
  <c r="GR86" i="9"/>
  <c r="FM82" i="9"/>
  <c r="FK83" i="9"/>
  <c r="FL83" i="9"/>
  <c r="EM86" i="9"/>
  <c r="FB86" i="9" s="1"/>
  <c r="FD86" i="9" s="1"/>
  <c r="EO86" i="9"/>
  <c r="FC86" i="9" s="1"/>
  <c r="EW86" i="9"/>
  <c r="EU86" i="9"/>
  <c r="EC87" i="9"/>
  <c r="EA88" i="9"/>
  <c r="ED87" i="9"/>
  <c r="EB87" i="9"/>
  <c r="GP87" i="9"/>
  <c r="EF87" i="9"/>
  <c r="EI87" i="9"/>
  <c r="EG87" i="9"/>
  <c r="EE87" i="9"/>
  <c r="EH87" i="9"/>
  <c r="FS79" i="9"/>
  <c r="GA79" i="9"/>
  <c r="FW79" i="9"/>
  <c r="FQ79" i="9"/>
  <c r="GD79" i="9" s="1"/>
  <c r="FR79" i="9"/>
  <c r="FX80" i="9"/>
  <c r="FT80" i="9"/>
  <c r="GB80" i="9"/>
  <c r="FP80" i="9"/>
  <c r="ES86" i="9"/>
  <c r="EQ86" i="9"/>
  <c r="FH84" i="9"/>
  <c r="FJ84" i="9" s="1"/>
  <c r="FI84" i="9"/>
  <c r="FU81" i="9"/>
  <c r="GC81" i="9"/>
  <c r="FO81" i="9"/>
  <c r="FY81" i="9"/>
  <c r="FF85" i="9"/>
  <c r="FE85" i="9"/>
  <c r="FG85" i="9" s="1"/>
  <c r="EY86" i="9"/>
  <c r="EZ86" i="9"/>
  <c r="CX89" i="2" l="1"/>
  <c r="CP89" i="2"/>
  <c r="CL89" i="2"/>
  <c r="CK90" i="2"/>
  <c r="CN89" i="2"/>
  <c r="CZ88" i="2"/>
  <c r="CQ88" i="2"/>
  <c r="DA88" i="2" s="1"/>
  <c r="CR88" i="1"/>
  <c r="CW88" i="1" s="1"/>
  <c r="CU88" i="1"/>
  <c r="CY88" i="1"/>
  <c r="CV89" i="1"/>
  <c r="CQ89" i="1"/>
  <c r="CP89" i="1"/>
  <c r="CM91" i="1"/>
  <c r="CT90" i="1"/>
  <c r="CX90" i="1" s="1"/>
  <c r="CO90" i="1"/>
  <c r="CN90" i="1"/>
  <c r="EL192" i="10"/>
  <c r="ER191" i="10"/>
  <c r="EV191" i="10" s="1"/>
  <c r="EI191" i="10"/>
  <c r="EN191" i="10" s="1"/>
  <c r="EQ88" i="10"/>
  <c r="ES88" i="10" s="1"/>
  <c r="EU88" i="10"/>
  <c r="EW88" i="10" s="1"/>
  <c r="EH89" i="10"/>
  <c r="EM88" i="10"/>
  <c r="EJ88" i="10"/>
  <c r="EO88" i="10" s="1"/>
  <c r="EF90" i="10"/>
  <c r="EC90" i="10"/>
  <c r="ED90" i="10"/>
  <c r="EE90" i="10"/>
  <c r="EB90" i="10"/>
  <c r="EA91" i="10"/>
  <c r="GM87" i="9"/>
  <c r="GR87" i="9" s="1"/>
  <c r="GF87" i="9"/>
  <c r="FM83" i="9"/>
  <c r="FV83" i="9" s="1"/>
  <c r="EZ87" i="9"/>
  <c r="EY87" i="9"/>
  <c r="EQ87" i="9"/>
  <c r="ES87" i="9"/>
  <c r="FL84" i="9"/>
  <c r="FK84" i="9"/>
  <c r="GJ79" i="9"/>
  <c r="GE79" i="9"/>
  <c r="GH79" i="9" s="1"/>
  <c r="FH85" i="9"/>
  <c r="FJ85" i="9" s="1"/>
  <c r="FI85" i="9"/>
  <c r="FE86" i="9"/>
  <c r="FG86" i="9" s="1"/>
  <c r="FF86" i="9"/>
  <c r="EM87" i="9"/>
  <c r="FB87" i="9" s="1"/>
  <c r="FD87" i="9" s="1"/>
  <c r="EO87" i="9"/>
  <c r="FC87" i="9" s="1"/>
  <c r="FS80" i="9"/>
  <c r="FW80" i="9"/>
  <c r="FR80" i="9"/>
  <c r="FQ80" i="9"/>
  <c r="GD80" i="9" s="1"/>
  <c r="GA80" i="9"/>
  <c r="EW87" i="9"/>
  <c r="EU87" i="9"/>
  <c r="FX81" i="9"/>
  <c r="GB81" i="9"/>
  <c r="FP81" i="9"/>
  <c r="FT81" i="9"/>
  <c r="EF88" i="9"/>
  <c r="EI88" i="9"/>
  <c r="EH88" i="9"/>
  <c r="EG88" i="9"/>
  <c r="EB88" i="9"/>
  <c r="GP88" i="9"/>
  <c r="EC88" i="9"/>
  <c r="EA89" i="9"/>
  <c r="ED88" i="9"/>
  <c r="EE88" i="9"/>
  <c r="FZ82" i="9"/>
  <c r="FV82" i="9"/>
  <c r="FN82" i="9"/>
  <c r="CX90" i="2" l="1"/>
  <c r="CP90" i="2"/>
  <c r="CL90" i="2"/>
  <c r="CO90" i="2" s="1"/>
  <c r="CY90" i="2" s="1"/>
  <c r="CN90" i="2"/>
  <c r="CK91" i="2"/>
  <c r="CO89" i="2"/>
  <c r="CY89" i="2" s="1"/>
  <c r="CZ89" i="2"/>
  <c r="CU89" i="1"/>
  <c r="CY89" i="1"/>
  <c r="CP90" i="1"/>
  <c r="CR89" i="1"/>
  <c r="CW89" i="1" s="1"/>
  <c r="CV90" i="1"/>
  <c r="CQ90" i="1"/>
  <c r="CM92" i="1"/>
  <c r="CT91" i="1"/>
  <c r="CX91" i="1" s="1"/>
  <c r="CO91" i="1"/>
  <c r="CN91" i="1"/>
  <c r="EL193" i="10"/>
  <c r="ER192" i="10"/>
  <c r="EV192" i="10" s="1"/>
  <c r="EI192" i="10"/>
  <c r="EN192" i="10" s="1"/>
  <c r="EU89" i="10"/>
  <c r="EW89" i="10" s="1"/>
  <c r="EQ89" i="10"/>
  <c r="ES89" i="10" s="1"/>
  <c r="EH90" i="10"/>
  <c r="EM89" i="10"/>
  <c r="EJ89" i="10"/>
  <c r="EO89" i="10" s="1"/>
  <c r="EC91" i="10"/>
  <c r="ED91" i="10"/>
  <c r="EF91" i="10"/>
  <c r="EE91" i="10"/>
  <c r="EB91" i="10"/>
  <c r="EA92" i="10"/>
  <c r="GM88" i="9"/>
  <c r="GR88" i="9" s="1"/>
  <c r="GF88" i="9"/>
  <c r="GK79" i="9"/>
  <c r="GQ79" i="9" s="1"/>
  <c r="GG79" i="9"/>
  <c r="GS79" i="9"/>
  <c r="FZ83" i="9"/>
  <c r="FN83" i="9"/>
  <c r="FY83" i="9" s="1"/>
  <c r="EZ88" i="9"/>
  <c r="EY88" i="9"/>
  <c r="FE87" i="9"/>
  <c r="FG87" i="9" s="1"/>
  <c r="FF87" i="9"/>
  <c r="FM84" i="9"/>
  <c r="EW88" i="9"/>
  <c r="EU88" i="9"/>
  <c r="GJ80" i="9"/>
  <c r="GE80" i="9"/>
  <c r="GH80" i="9" s="1"/>
  <c r="EE89" i="9"/>
  <c r="EA90" i="9"/>
  <c r="ED89" i="9"/>
  <c r="EC89" i="9"/>
  <c r="GP89" i="9"/>
  <c r="EI89" i="9"/>
  <c r="EF89" i="9"/>
  <c r="EB89" i="9"/>
  <c r="EH89" i="9"/>
  <c r="EG89" i="9"/>
  <c r="FI86" i="9"/>
  <c r="FH86" i="9"/>
  <c r="FJ86" i="9" s="1"/>
  <c r="FO82" i="9"/>
  <c r="GC82" i="9"/>
  <c r="FU82" i="9"/>
  <c r="FY82" i="9"/>
  <c r="ES88" i="9"/>
  <c r="EQ88" i="9"/>
  <c r="FW81" i="9"/>
  <c r="FQ81" i="9"/>
  <c r="GD81" i="9" s="1"/>
  <c r="FS81" i="9"/>
  <c r="GA81" i="9"/>
  <c r="FR81" i="9"/>
  <c r="EM88" i="9"/>
  <c r="FB88" i="9" s="1"/>
  <c r="FD88" i="9" s="1"/>
  <c r="EO88" i="9"/>
  <c r="FC88" i="9" s="1"/>
  <c r="FL85" i="9"/>
  <c r="FK85" i="9"/>
  <c r="CQ89" i="2" l="1"/>
  <c r="DA89" i="2" s="1"/>
  <c r="CX91" i="2"/>
  <c r="CP91" i="2"/>
  <c r="CN91" i="2"/>
  <c r="CK92" i="2"/>
  <c r="CL91" i="2"/>
  <c r="CO91" i="2" s="1"/>
  <c r="CY91" i="2" s="1"/>
  <c r="CZ90" i="2"/>
  <c r="CQ90" i="2"/>
  <c r="DA90" i="2" s="1"/>
  <c r="CU90" i="1"/>
  <c r="CY90" i="1"/>
  <c r="CR90" i="1"/>
  <c r="CW90" i="1" s="1"/>
  <c r="CP91" i="1"/>
  <c r="CV91" i="1"/>
  <c r="CQ91" i="1"/>
  <c r="CM93" i="1"/>
  <c r="CT92" i="1"/>
  <c r="CX92" i="1" s="1"/>
  <c r="CO92" i="1"/>
  <c r="CN92" i="1"/>
  <c r="EL194" i="10"/>
  <c r="ER193" i="10"/>
  <c r="EV193" i="10" s="1"/>
  <c r="EI193" i="10"/>
  <c r="EN193" i="10" s="1"/>
  <c r="EU90" i="10"/>
  <c r="EW90" i="10" s="1"/>
  <c r="EQ90" i="10"/>
  <c r="ES90" i="10" s="1"/>
  <c r="EM90" i="10"/>
  <c r="EJ90" i="10"/>
  <c r="EO90" i="10" s="1"/>
  <c r="EH91" i="10"/>
  <c r="EC92" i="10"/>
  <c r="ED92" i="10"/>
  <c r="EF92" i="10"/>
  <c r="EB92" i="10"/>
  <c r="EE92" i="10"/>
  <c r="EA93" i="10"/>
  <c r="GM89" i="9"/>
  <c r="GR89" i="9" s="1"/>
  <c r="GF89" i="9"/>
  <c r="GK80" i="9"/>
  <c r="GQ80" i="9" s="1"/>
  <c r="GG80" i="9"/>
  <c r="GS80" i="9"/>
  <c r="FU83" i="9"/>
  <c r="GC83" i="9"/>
  <c r="FO83" i="9"/>
  <c r="FX83" i="9" s="1"/>
  <c r="EW89" i="9"/>
  <c r="EU89" i="9"/>
  <c r="FM85" i="9"/>
  <c r="EA91" i="9"/>
  <c r="EE90" i="9"/>
  <c r="GP90" i="9"/>
  <c r="EC90" i="9"/>
  <c r="EG90" i="9"/>
  <c r="EF90" i="9"/>
  <c r="EB90" i="9"/>
  <c r="EH90" i="9"/>
  <c r="ED90" i="9"/>
  <c r="EI90" i="9"/>
  <c r="EY89" i="9"/>
  <c r="EZ89" i="9"/>
  <c r="FE88" i="9"/>
  <c r="FG88" i="9" s="1"/>
  <c r="FF88" i="9"/>
  <c r="EO89" i="9"/>
  <c r="FC89" i="9" s="1"/>
  <c r="EM89" i="9"/>
  <c r="FB89" i="9" s="1"/>
  <c r="FD89" i="9" s="1"/>
  <c r="FV84" i="9"/>
  <c r="FN84" i="9"/>
  <c r="FZ84" i="9"/>
  <c r="FH87" i="9"/>
  <c r="FJ87" i="9" s="1"/>
  <c r="FI87" i="9"/>
  <c r="FX82" i="9"/>
  <c r="GB82" i="9"/>
  <c r="FP82" i="9"/>
  <c r="FT82" i="9"/>
  <c r="GE81" i="9"/>
  <c r="GH81" i="9" s="1"/>
  <c r="GJ81" i="9"/>
  <c r="FK86" i="9"/>
  <c r="FL86" i="9"/>
  <c r="EQ89" i="9"/>
  <c r="ES89" i="9"/>
  <c r="CQ91" i="2" l="1"/>
  <c r="DA91" i="2" s="1"/>
  <c r="CZ91" i="2"/>
  <c r="CX92" i="2"/>
  <c r="CP92" i="2"/>
  <c r="CN92" i="2"/>
  <c r="CL92" i="2"/>
  <c r="CO92" i="2" s="1"/>
  <c r="CY92" i="2" s="1"/>
  <c r="CK93" i="2"/>
  <c r="CR91" i="1"/>
  <c r="CW91" i="1" s="1"/>
  <c r="CU91" i="1"/>
  <c r="CY91" i="1"/>
  <c r="CV92" i="1"/>
  <c r="CQ92" i="1"/>
  <c r="CP92" i="1"/>
  <c r="CM94" i="1"/>
  <c r="CT93" i="1"/>
  <c r="CX93" i="1" s="1"/>
  <c r="CO93" i="1"/>
  <c r="CN93" i="1"/>
  <c r="EL195" i="10"/>
  <c r="ER194" i="10"/>
  <c r="EV194" i="10" s="1"/>
  <c r="EI194" i="10"/>
  <c r="EN194" i="10" s="1"/>
  <c r="EQ91" i="10"/>
  <c r="ES91" i="10" s="1"/>
  <c r="EU91" i="10"/>
  <c r="EW91" i="10" s="1"/>
  <c r="EM91" i="10"/>
  <c r="EJ91" i="10"/>
  <c r="EO91" i="10" s="1"/>
  <c r="EH92" i="10"/>
  <c r="ED93" i="10"/>
  <c r="EC93" i="10"/>
  <c r="EF93" i="10"/>
  <c r="EE93" i="10"/>
  <c r="EB93" i="10"/>
  <c r="EA94" i="10"/>
  <c r="GM90" i="9"/>
  <c r="GF90" i="9"/>
  <c r="GK81" i="9"/>
  <c r="GQ81" i="9" s="1"/>
  <c r="GG81" i="9"/>
  <c r="GS81" i="9"/>
  <c r="GR90" i="9"/>
  <c r="GB83" i="9"/>
  <c r="FP83" i="9"/>
  <c r="FQ83" i="9" s="1"/>
  <c r="FT83" i="9"/>
  <c r="FH88" i="9"/>
  <c r="FJ88" i="9" s="1"/>
  <c r="FI88" i="9"/>
  <c r="FW82" i="9"/>
  <c r="GA82" i="9"/>
  <c r="FR82" i="9"/>
  <c r="FS82" i="9"/>
  <c r="FQ82" i="9"/>
  <c r="GD82" i="9" s="1"/>
  <c r="ES90" i="9"/>
  <c r="EQ90" i="9"/>
  <c r="FY84" i="9"/>
  <c r="FO84" i="9"/>
  <c r="GC84" i="9"/>
  <c r="FU84" i="9"/>
  <c r="EY90" i="9"/>
  <c r="EZ90" i="9"/>
  <c r="FM86" i="9"/>
  <c r="EU90" i="9"/>
  <c r="EW90" i="9"/>
  <c r="EF91" i="9"/>
  <c r="EH91" i="9"/>
  <c r="EI91" i="9"/>
  <c r="EA92" i="9"/>
  <c r="GP91" i="9"/>
  <c r="EG91" i="9"/>
  <c r="EB91" i="9"/>
  <c r="ED91" i="9"/>
  <c r="EE91" i="9"/>
  <c r="EC91" i="9"/>
  <c r="FL87" i="9"/>
  <c r="FK87" i="9"/>
  <c r="FF89" i="9"/>
  <c r="FE89" i="9"/>
  <c r="FG89" i="9" s="1"/>
  <c r="FV85" i="9"/>
  <c r="FZ85" i="9"/>
  <c r="FN85" i="9"/>
  <c r="EO90" i="9"/>
  <c r="FC90" i="9" s="1"/>
  <c r="EM90" i="9"/>
  <c r="FB90" i="9" s="1"/>
  <c r="FD90" i="9" s="1"/>
  <c r="CX93" i="2" l="1"/>
  <c r="CP93" i="2"/>
  <c r="CN93" i="2"/>
  <c r="CK94" i="2"/>
  <c r="CL93" i="2"/>
  <c r="CO93" i="2" s="1"/>
  <c r="CY93" i="2" s="1"/>
  <c r="CZ92" i="2"/>
  <c r="CQ92" i="2"/>
  <c r="DA92" i="2" s="1"/>
  <c r="CU92" i="1"/>
  <c r="CY92" i="1"/>
  <c r="CR92" i="1"/>
  <c r="CW92" i="1" s="1"/>
  <c r="CV93" i="1"/>
  <c r="CQ93" i="1"/>
  <c r="CP93" i="1"/>
  <c r="CM95" i="1"/>
  <c r="CT94" i="1"/>
  <c r="CX94" i="1" s="1"/>
  <c r="CO94" i="1"/>
  <c r="CN94" i="1"/>
  <c r="EL196" i="10"/>
  <c r="ER195" i="10"/>
  <c r="EV195" i="10" s="1"/>
  <c r="EI195" i="10"/>
  <c r="EN195" i="10" s="1"/>
  <c r="EU92" i="10"/>
  <c r="EW92" i="10" s="1"/>
  <c r="EQ92" i="10"/>
  <c r="ES92" i="10" s="1"/>
  <c r="EH93" i="10"/>
  <c r="EM92" i="10"/>
  <c r="EJ92" i="10"/>
  <c r="EO92" i="10" s="1"/>
  <c r="EC94" i="10"/>
  <c r="ED94" i="10"/>
  <c r="EF94" i="10"/>
  <c r="EE94" i="10"/>
  <c r="EB94" i="10"/>
  <c r="EA95" i="10"/>
  <c r="GM91" i="9"/>
  <c r="GR91" i="9" s="1"/>
  <c r="GF91" i="9"/>
  <c r="GD83" i="9"/>
  <c r="GE83" i="9" s="1"/>
  <c r="GH83" i="9" s="1"/>
  <c r="GA83" i="9"/>
  <c r="FS83" i="9"/>
  <c r="FR83" i="9"/>
  <c r="FW83" i="9"/>
  <c r="FM87" i="9"/>
  <c r="FN87" i="9" s="1"/>
  <c r="EY91" i="9"/>
  <c r="EZ91" i="9"/>
  <c r="EU91" i="9"/>
  <c r="EW91" i="9"/>
  <c r="GE82" i="9"/>
  <c r="GH82" i="9" s="1"/>
  <c r="GJ82" i="9"/>
  <c r="GC85" i="9"/>
  <c r="FO85" i="9"/>
  <c r="FU85" i="9"/>
  <c r="FY85" i="9"/>
  <c r="EO91" i="9"/>
  <c r="FC91" i="9" s="1"/>
  <c r="EM91" i="9"/>
  <c r="FB91" i="9" s="1"/>
  <c r="FD91" i="9" s="1"/>
  <c r="FE90" i="9"/>
  <c r="FG90" i="9" s="1"/>
  <c r="FP84" i="9"/>
  <c r="GB84" i="9"/>
  <c r="FX84" i="9"/>
  <c r="FT84" i="9"/>
  <c r="FH89" i="9"/>
  <c r="FJ89" i="9" s="1"/>
  <c r="FI89" i="9"/>
  <c r="FV86" i="9"/>
  <c r="FZ86" i="9"/>
  <c r="FN86" i="9"/>
  <c r="EB92" i="9"/>
  <c r="EE92" i="9"/>
  <c r="ED92" i="9"/>
  <c r="EA93" i="9"/>
  <c r="GP92" i="9"/>
  <c r="EC92" i="9"/>
  <c r="EG92" i="9"/>
  <c r="EF92" i="9"/>
  <c r="EI92" i="9"/>
  <c r="EH92" i="9"/>
  <c r="FF90" i="9"/>
  <c r="ES91" i="9"/>
  <c r="EQ91" i="9"/>
  <c r="FL88" i="9"/>
  <c r="FK88" i="9"/>
  <c r="CX94" i="2" l="1"/>
  <c r="CP94" i="2"/>
  <c r="CZ94" i="2" s="1"/>
  <c r="CN94" i="2"/>
  <c r="CK95" i="2"/>
  <c r="CL94" i="2"/>
  <c r="CO94" i="2" s="1"/>
  <c r="CZ93" i="2"/>
  <c r="CQ93" i="2"/>
  <c r="DA93" i="2" s="1"/>
  <c r="CU93" i="1"/>
  <c r="CY93" i="1"/>
  <c r="CR93" i="1"/>
  <c r="CW93" i="1" s="1"/>
  <c r="CP94" i="1"/>
  <c r="CV94" i="1"/>
  <c r="CQ94" i="1"/>
  <c r="CM96" i="1"/>
  <c r="CT95" i="1"/>
  <c r="CX95" i="1" s="1"/>
  <c r="CO95" i="1"/>
  <c r="CN95" i="1"/>
  <c r="EL197" i="10"/>
  <c r="ER196" i="10"/>
  <c r="EV196" i="10" s="1"/>
  <c r="EI196" i="10"/>
  <c r="EN196" i="10" s="1"/>
  <c r="EM93" i="10"/>
  <c r="EU93" i="10"/>
  <c r="EW93" i="10" s="1"/>
  <c r="EQ93" i="10"/>
  <c r="ES93" i="10" s="1"/>
  <c r="EJ93" i="10"/>
  <c r="EO93" i="10" s="1"/>
  <c r="EH94" i="10"/>
  <c r="EC95" i="10"/>
  <c r="EF95" i="10"/>
  <c r="ED95" i="10"/>
  <c r="EB95" i="10"/>
  <c r="EE95" i="10"/>
  <c r="EA96" i="10"/>
  <c r="GM92" i="9"/>
  <c r="GF92" i="9"/>
  <c r="GK82" i="9"/>
  <c r="GQ82" i="9" s="1"/>
  <c r="GG82" i="9"/>
  <c r="GS82" i="9"/>
  <c r="GK83" i="9"/>
  <c r="GQ83" i="9" s="1"/>
  <c r="GG83" i="9"/>
  <c r="GS83" i="9"/>
  <c r="GR92" i="9"/>
  <c r="GJ83" i="9"/>
  <c r="FZ87" i="9"/>
  <c r="FV87" i="9"/>
  <c r="FX85" i="9"/>
  <c r="GB85" i="9"/>
  <c r="FP85" i="9"/>
  <c r="FT85" i="9"/>
  <c r="FU87" i="9"/>
  <c r="FY87" i="9"/>
  <c r="GC87" i="9"/>
  <c r="FO87" i="9"/>
  <c r="EQ92" i="9"/>
  <c r="ES92" i="9"/>
  <c r="FU86" i="9"/>
  <c r="FY86" i="9"/>
  <c r="GC86" i="9"/>
  <c r="FO86" i="9"/>
  <c r="FQ84" i="9"/>
  <c r="GD84" i="9" s="1"/>
  <c r="GA84" i="9"/>
  <c r="FR84" i="9"/>
  <c r="FS84" i="9"/>
  <c r="FW84" i="9"/>
  <c r="FH90" i="9"/>
  <c r="FJ90" i="9" s="1"/>
  <c r="FI90" i="9"/>
  <c r="EI93" i="9"/>
  <c r="EH93" i="9"/>
  <c r="ED93" i="9"/>
  <c r="EG93" i="9"/>
  <c r="EF93" i="9"/>
  <c r="EB93" i="9"/>
  <c r="EE93" i="9"/>
  <c r="EA94" i="9"/>
  <c r="EC93" i="9"/>
  <c r="GP93" i="9"/>
  <c r="FE91" i="9"/>
  <c r="FG91" i="9" s="1"/>
  <c r="FF91" i="9"/>
  <c r="EU92" i="9"/>
  <c r="EW92" i="9"/>
  <c r="EY92" i="9"/>
  <c r="EZ92" i="9"/>
  <c r="FK89" i="9"/>
  <c r="FL89" i="9"/>
  <c r="FM88" i="9"/>
  <c r="EM92" i="9"/>
  <c r="FB92" i="9" s="1"/>
  <c r="FD92" i="9" s="1"/>
  <c r="EO92" i="9"/>
  <c r="FC92" i="9" s="1"/>
  <c r="CQ94" i="2" l="1"/>
  <c r="DA94" i="2" s="1"/>
  <c r="CY94" i="2"/>
  <c r="CX95" i="2"/>
  <c r="CP95" i="2"/>
  <c r="CK96" i="2"/>
  <c r="CL95" i="2"/>
  <c r="CO95" i="2" s="1"/>
  <c r="CY95" i="2" s="1"/>
  <c r="CN95" i="2"/>
  <c r="CR94" i="1"/>
  <c r="CW94" i="1" s="1"/>
  <c r="CU94" i="1"/>
  <c r="CY94" i="1"/>
  <c r="CP95" i="1"/>
  <c r="CV95" i="1"/>
  <c r="CQ95" i="1"/>
  <c r="CM97" i="1"/>
  <c r="CT96" i="1"/>
  <c r="CX96" i="1" s="1"/>
  <c r="CO96" i="1"/>
  <c r="CN96" i="1"/>
  <c r="EL198" i="10"/>
  <c r="ER197" i="10"/>
  <c r="EV197" i="10" s="1"/>
  <c r="EI197" i="10"/>
  <c r="EN197" i="10" s="1"/>
  <c r="EQ94" i="10"/>
  <c r="ES94" i="10" s="1"/>
  <c r="EU94" i="10"/>
  <c r="EW94" i="10" s="1"/>
  <c r="EH95" i="10"/>
  <c r="EM94" i="10"/>
  <c r="EJ94" i="10"/>
  <c r="EO94" i="10" s="1"/>
  <c r="EF96" i="10"/>
  <c r="EC96" i="10"/>
  <c r="ED96" i="10"/>
  <c r="EB96" i="10"/>
  <c r="EE96" i="10"/>
  <c r="EA97" i="10"/>
  <c r="GM93" i="9"/>
  <c r="GR93" i="9" s="1"/>
  <c r="GF93" i="9"/>
  <c r="GB87" i="9"/>
  <c r="FP87" i="9"/>
  <c r="FX87" i="9"/>
  <c r="FT87" i="9"/>
  <c r="FM89" i="9"/>
  <c r="GJ84" i="9"/>
  <c r="GE84" i="9"/>
  <c r="GH84" i="9" s="1"/>
  <c r="EW93" i="9"/>
  <c r="EU93" i="9"/>
  <c r="EQ93" i="9"/>
  <c r="ES93" i="9"/>
  <c r="FT86" i="9"/>
  <c r="GB86" i="9"/>
  <c r="FX86" i="9"/>
  <c r="FP86" i="9"/>
  <c r="EA95" i="9"/>
  <c r="ED94" i="9"/>
  <c r="GP94" i="9"/>
  <c r="EC94" i="9"/>
  <c r="EF94" i="9"/>
  <c r="EI94" i="9"/>
  <c r="EH94" i="9"/>
  <c r="EG94" i="9"/>
  <c r="EB94" i="9"/>
  <c r="EE94" i="9"/>
  <c r="EY93" i="9"/>
  <c r="EZ93" i="9"/>
  <c r="FL90" i="9"/>
  <c r="FK90" i="9"/>
  <c r="FH91" i="9"/>
  <c r="FJ91" i="9" s="1"/>
  <c r="FI91" i="9"/>
  <c r="EM93" i="9"/>
  <c r="FB93" i="9" s="1"/>
  <c r="FD93" i="9" s="1"/>
  <c r="EO93" i="9"/>
  <c r="FC93" i="9" s="1"/>
  <c r="FQ85" i="9"/>
  <c r="GD85" i="9" s="1"/>
  <c r="FW85" i="9"/>
  <c r="GA85" i="9"/>
  <c r="FR85" i="9"/>
  <c r="FS85" i="9"/>
  <c r="FN88" i="9"/>
  <c r="FZ88" i="9"/>
  <c r="FV88" i="9"/>
  <c r="FF92" i="9"/>
  <c r="FE92" i="9"/>
  <c r="FG92" i="9" s="1"/>
  <c r="CX96" i="2" l="1"/>
  <c r="CP96" i="2"/>
  <c r="CL96" i="2"/>
  <c r="CO96" i="2" s="1"/>
  <c r="CY96" i="2" s="1"/>
  <c r="CN96" i="2"/>
  <c r="CK97" i="2"/>
  <c r="CZ95" i="2"/>
  <c r="CQ95" i="2"/>
  <c r="DA95" i="2" s="1"/>
  <c r="CU95" i="1"/>
  <c r="CY95" i="1"/>
  <c r="CR95" i="1"/>
  <c r="CW95" i="1" s="1"/>
  <c r="CP96" i="1"/>
  <c r="CV96" i="1"/>
  <c r="CQ96" i="1"/>
  <c r="CM98" i="1"/>
  <c r="CT97" i="1"/>
  <c r="CX97" i="1" s="1"/>
  <c r="CO97" i="1"/>
  <c r="CN97" i="1"/>
  <c r="EL199" i="10"/>
  <c r="ER198" i="10"/>
  <c r="EV198" i="10" s="1"/>
  <c r="EI198" i="10"/>
  <c r="EN198" i="10" s="1"/>
  <c r="EM95" i="10"/>
  <c r="EU95" i="10"/>
  <c r="EW95" i="10" s="1"/>
  <c r="EQ95" i="10"/>
  <c r="ES95" i="10" s="1"/>
  <c r="EJ95" i="10"/>
  <c r="EO95" i="10" s="1"/>
  <c r="EH96" i="10"/>
  <c r="EC97" i="10"/>
  <c r="EF97" i="10"/>
  <c r="ED97" i="10"/>
  <c r="EE97" i="10"/>
  <c r="EB97" i="10"/>
  <c r="EA98" i="10"/>
  <c r="GM94" i="9"/>
  <c r="GR94" i="9" s="1"/>
  <c r="GF94" i="9"/>
  <c r="GK84" i="9"/>
  <c r="GQ84" i="9" s="1"/>
  <c r="GG84" i="9"/>
  <c r="GS84" i="9"/>
  <c r="FF93" i="9"/>
  <c r="FM90" i="9"/>
  <c r="FZ90" i="9" s="1"/>
  <c r="FO88" i="9"/>
  <c r="GC88" i="9"/>
  <c r="FU88" i="9"/>
  <c r="FY88" i="9"/>
  <c r="FR86" i="9"/>
  <c r="FS86" i="9"/>
  <c r="FW86" i="9"/>
  <c r="FQ86" i="9"/>
  <c r="GD86" i="9" s="1"/>
  <c r="GA86" i="9"/>
  <c r="EM94" i="9"/>
  <c r="FB94" i="9" s="1"/>
  <c r="FD94" i="9" s="1"/>
  <c r="EO94" i="9"/>
  <c r="FC94" i="9" s="1"/>
  <c r="FL91" i="9"/>
  <c r="FK91" i="9"/>
  <c r="EH95" i="9"/>
  <c r="EI95" i="9"/>
  <c r="EG95" i="9"/>
  <c r="EB95" i="9"/>
  <c r="EE95" i="9"/>
  <c r="EA96" i="9"/>
  <c r="ED95" i="9"/>
  <c r="GP95" i="9"/>
  <c r="EC95" i="9"/>
  <c r="EF95" i="9"/>
  <c r="FV89" i="9"/>
  <c r="FZ89" i="9"/>
  <c r="FN89" i="9"/>
  <c r="FH92" i="9"/>
  <c r="FJ92" i="9" s="1"/>
  <c r="FI92" i="9"/>
  <c r="ES94" i="9"/>
  <c r="EQ94" i="9"/>
  <c r="GE85" i="9"/>
  <c r="GH85" i="9" s="1"/>
  <c r="GJ85" i="9"/>
  <c r="FE93" i="9"/>
  <c r="FG93" i="9" s="1"/>
  <c r="FH93" i="9" s="1"/>
  <c r="FJ93" i="9" s="1"/>
  <c r="FQ87" i="9"/>
  <c r="GD87" i="9" s="1"/>
  <c r="FW87" i="9"/>
  <c r="FR87" i="9"/>
  <c r="FS87" i="9"/>
  <c r="GA87" i="9"/>
  <c r="EY94" i="9"/>
  <c r="EZ94" i="9"/>
  <c r="EU94" i="9"/>
  <c r="EW94" i="9"/>
  <c r="CX97" i="2" l="1"/>
  <c r="CP97" i="2"/>
  <c r="CL97" i="2"/>
  <c r="CO97" i="2" s="1"/>
  <c r="CY97" i="2" s="1"/>
  <c r="CN97" i="2"/>
  <c r="CK98" i="2"/>
  <c r="CZ96" i="2"/>
  <c r="CQ96" i="2"/>
  <c r="DA96" i="2" s="1"/>
  <c r="CU96" i="1"/>
  <c r="CY96" i="1"/>
  <c r="CP97" i="1"/>
  <c r="CR96" i="1"/>
  <c r="CW96" i="1" s="1"/>
  <c r="CV97" i="1"/>
  <c r="CQ97" i="1"/>
  <c r="CM99" i="1"/>
  <c r="CT98" i="1"/>
  <c r="CX98" i="1" s="1"/>
  <c r="CO98" i="1"/>
  <c r="CN98" i="1"/>
  <c r="EL200" i="10"/>
  <c r="ER199" i="10"/>
  <c r="EV199" i="10" s="1"/>
  <c r="EI199" i="10"/>
  <c r="EN199" i="10" s="1"/>
  <c r="EU96" i="10"/>
  <c r="EW96" i="10" s="1"/>
  <c r="EQ96" i="10"/>
  <c r="ES96" i="10" s="1"/>
  <c r="EH97" i="10"/>
  <c r="EM96" i="10"/>
  <c r="EJ96" i="10"/>
  <c r="EO96" i="10" s="1"/>
  <c r="ED98" i="10"/>
  <c r="EF98" i="10"/>
  <c r="EC98" i="10"/>
  <c r="EB98" i="10"/>
  <c r="EE98" i="10"/>
  <c r="EA99" i="10"/>
  <c r="GM95" i="9"/>
  <c r="GF95" i="9"/>
  <c r="GK85" i="9"/>
  <c r="GQ85" i="9" s="1"/>
  <c r="GG85" i="9"/>
  <c r="GS85" i="9"/>
  <c r="GR95" i="9"/>
  <c r="FV90" i="9"/>
  <c r="FN90" i="9"/>
  <c r="GC90" i="9" s="1"/>
  <c r="FM91" i="9"/>
  <c r="FN91" i="9" s="1"/>
  <c r="GJ86" i="9"/>
  <c r="GE86" i="9"/>
  <c r="GH86" i="9" s="1"/>
  <c r="FL92" i="9"/>
  <c r="FK92" i="9"/>
  <c r="EQ95" i="9"/>
  <c r="ES95" i="9"/>
  <c r="GE87" i="9"/>
  <c r="GH87" i="9" s="1"/>
  <c r="GJ87" i="9"/>
  <c r="FI93" i="9"/>
  <c r="FL93" i="9"/>
  <c r="FK93" i="9"/>
  <c r="EW95" i="9"/>
  <c r="EU95" i="9"/>
  <c r="EI96" i="9"/>
  <c r="EC96" i="9"/>
  <c r="EB96" i="9"/>
  <c r="EA97" i="9"/>
  <c r="ED96" i="9"/>
  <c r="GP96" i="9"/>
  <c r="EE96" i="9"/>
  <c r="EG96" i="9"/>
  <c r="EH96" i="9"/>
  <c r="EF96" i="9"/>
  <c r="FO89" i="9"/>
  <c r="FY89" i="9"/>
  <c r="FU89" i="9"/>
  <c r="GC89" i="9"/>
  <c r="EY95" i="9"/>
  <c r="EZ95" i="9"/>
  <c r="EO95" i="9"/>
  <c r="FC95" i="9" s="1"/>
  <c r="EM95" i="9"/>
  <c r="FB95" i="9" s="1"/>
  <c r="FD95" i="9" s="1"/>
  <c r="FF94" i="9"/>
  <c r="FE94" i="9"/>
  <c r="FG94" i="9" s="1"/>
  <c r="FH94" i="9" s="1"/>
  <c r="FJ94" i="9" s="1"/>
  <c r="GB88" i="9"/>
  <c r="FT88" i="9"/>
  <c r="FX88" i="9"/>
  <c r="FP88" i="9"/>
  <c r="CX98" i="2" l="1"/>
  <c r="CP98" i="2"/>
  <c r="CN98" i="2"/>
  <c r="CL98" i="2"/>
  <c r="CO98" i="2" s="1"/>
  <c r="CY98" i="2" s="1"/>
  <c r="CK99" i="2"/>
  <c r="CZ97" i="2"/>
  <c r="CQ97" i="2"/>
  <c r="DA97" i="2" s="1"/>
  <c r="CU97" i="1"/>
  <c r="CY97" i="1"/>
  <c r="CR97" i="1"/>
  <c r="CW97" i="1" s="1"/>
  <c r="CV98" i="1"/>
  <c r="CQ98" i="1"/>
  <c r="CP98" i="1"/>
  <c r="CM100" i="1"/>
  <c r="CT99" i="1"/>
  <c r="CX99" i="1" s="1"/>
  <c r="CO99" i="1"/>
  <c r="CN99" i="1"/>
  <c r="EL201" i="10"/>
  <c r="ER200" i="10"/>
  <c r="EV200" i="10" s="1"/>
  <c r="EI200" i="10"/>
  <c r="EN200" i="10" s="1"/>
  <c r="EU97" i="10"/>
  <c r="EW97" i="10" s="1"/>
  <c r="EQ97" i="10"/>
  <c r="ES97" i="10" s="1"/>
  <c r="EM97" i="10"/>
  <c r="EJ97" i="10"/>
  <c r="EO97" i="10" s="1"/>
  <c r="ED99" i="10"/>
  <c r="EF99" i="10"/>
  <c r="EC99" i="10"/>
  <c r="EE99" i="10"/>
  <c r="EB99" i="10"/>
  <c r="EH98" i="10"/>
  <c r="EA100" i="10"/>
  <c r="GM96" i="9"/>
  <c r="GF96" i="9"/>
  <c r="GK86" i="9"/>
  <c r="GQ86" i="9" s="1"/>
  <c r="GG86" i="9"/>
  <c r="GS86" i="9"/>
  <c r="GK87" i="9"/>
  <c r="GQ87" i="9" s="1"/>
  <c r="GG87" i="9"/>
  <c r="GS87" i="9"/>
  <c r="GR96" i="9"/>
  <c r="FZ91" i="9"/>
  <c r="FU90" i="9"/>
  <c r="FO90" i="9"/>
  <c r="FX90" i="9" s="1"/>
  <c r="FV91" i="9"/>
  <c r="FY90" i="9"/>
  <c r="FM93" i="9"/>
  <c r="FN93" i="9" s="1"/>
  <c r="EZ96" i="9"/>
  <c r="EY96" i="9"/>
  <c r="FI94" i="9"/>
  <c r="FP89" i="9"/>
  <c r="GB89" i="9"/>
  <c r="FT89" i="9"/>
  <c r="FX89" i="9"/>
  <c r="FL94" i="9"/>
  <c r="FK94" i="9"/>
  <c r="FF95" i="9"/>
  <c r="FE95" i="9"/>
  <c r="FG95" i="9" s="1"/>
  <c r="EW96" i="9"/>
  <c r="EU96" i="9"/>
  <c r="FU91" i="9"/>
  <c r="GC91" i="9"/>
  <c r="FO91" i="9"/>
  <c r="FY91" i="9"/>
  <c r="EO96" i="9"/>
  <c r="FC96" i="9" s="1"/>
  <c r="EM96" i="9"/>
  <c r="FB96" i="9" s="1"/>
  <c r="FD96" i="9" s="1"/>
  <c r="GP97" i="9"/>
  <c r="EC97" i="9"/>
  <c r="EF97" i="9"/>
  <c r="EH97" i="9"/>
  <c r="ED97" i="9"/>
  <c r="EI97" i="9"/>
  <c r="EG97" i="9"/>
  <c r="EB97" i="9"/>
  <c r="EE97" i="9"/>
  <c r="EA98" i="9"/>
  <c r="EQ96" i="9"/>
  <c r="ES96" i="9"/>
  <c r="FM92" i="9"/>
  <c r="FS88" i="9"/>
  <c r="FW88" i="9"/>
  <c r="GA88" i="9"/>
  <c r="FQ88" i="9"/>
  <c r="GD88" i="9" s="1"/>
  <c r="FR88" i="9"/>
  <c r="CX99" i="2" l="1"/>
  <c r="CP99" i="2"/>
  <c r="CL99" i="2"/>
  <c r="CO99" i="2" s="1"/>
  <c r="CY99" i="2" s="1"/>
  <c r="CN99" i="2"/>
  <c r="CK100" i="2"/>
  <c r="CZ98" i="2"/>
  <c r="CQ98" i="2"/>
  <c r="DA98" i="2" s="1"/>
  <c r="CU98" i="1"/>
  <c r="CY98" i="1"/>
  <c r="CR98" i="1"/>
  <c r="CW98" i="1" s="1"/>
  <c r="CP99" i="1"/>
  <c r="CV99" i="1"/>
  <c r="CQ99" i="1"/>
  <c r="CM101" i="1"/>
  <c r="CT100" i="1"/>
  <c r="CX100" i="1" s="1"/>
  <c r="CO100" i="1"/>
  <c r="CN100" i="1"/>
  <c r="EL202" i="10"/>
  <c r="ER201" i="10"/>
  <c r="EV201" i="10" s="1"/>
  <c r="EI201" i="10"/>
  <c r="EN201" i="10" s="1"/>
  <c r="EU98" i="10"/>
  <c r="EW98" i="10" s="1"/>
  <c r="EQ98" i="10"/>
  <c r="ES98" i="10" s="1"/>
  <c r="EM98" i="10"/>
  <c r="EJ98" i="10"/>
  <c r="EO98" i="10" s="1"/>
  <c r="EH99" i="10"/>
  <c r="ED100" i="10"/>
  <c r="EF100" i="10"/>
  <c r="EC100" i="10"/>
  <c r="EE100" i="10"/>
  <c r="EB100" i="10"/>
  <c r="EA101" i="10"/>
  <c r="GM97" i="9"/>
  <c r="GR97" i="9" s="1"/>
  <c r="GF97" i="9"/>
  <c r="FT90" i="9"/>
  <c r="GB90" i="9"/>
  <c r="FP90" i="9"/>
  <c r="GA90" i="9" s="1"/>
  <c r="FV93" i="9"/>
  <c r="FZ93" i="9"/>
  <c r="GC93" i="9"/>
  <c r="FO93" i="9"/>
  <c r="FY93" i="9"/>
  <c r="FU93" i="9"/>
  <c r="FH95" i="9"/>
  <c r="FJ95" i="9" s="1"/>
  <c r="FI95" i="9"/>
  <c r="FV92" i="9"/>
  <c r="FZ92" i="9"/>
  <c r="FN92" i="9"/>
  <c r="GB91" i="9"/>
  <c r="FP91" i="9"/>
  <c r="FT91" i="9"/>
  <c r="FX91" i="9"/>
  <c r="FQ89" i="9"/>
  <c r="GD89" i="9" s="1"/>
  <c r="FR89" i="9"/>
  <c r="FW89" i="9"/>
  <c r="GA89" i="9"/>
  <c r="FS89" i="9"/>
  <c r="FM94" i="9"/>
  <c r="EF98" i="9"/>
  <c r="EG98" i="9"/>
  <c r="EH98" i="9"/>
  <c r="EI98" i="9"/>
  <c r="EE98" i="9"/>
  <c r="ED98" i="9"/>
  <c r="EA99" i="9"/>
  <c r="EC98" i="9"/>
  <c r="GP98" i="9"/>
  <c r="EB98" i="9"/>
  <c r="EQ97" i="9"/>
  <c r="ES97" i="9"/>
  <c r="EU97" i="9"/>
  <c r="EW97" i="9"/>
  <c r="GJ88" i="9"/>
  <c r="GE88" i="9"/>
  <c r="GH88" i="9" s="1"/>
  <c r="EZ97" i="9"/>
  <c r="EY97" i="9"/>
  <c r="EO97" i="9"/>
  <c r="FC97" i="9" s="1"/>
  <c r="EM97" i="9"/>
  <c r="FB97" i="9" s="1"/>
  <c r="FD97" i="9" s="1"/>
  <c r="FE96" i="9"/>
  <c r="FG96" i="9" s="1"/>
  <c r="FF96" i="9"/>
  <c r="CX100" i="2" l="1"/>
  <c r="CP100" i="2"/>
  <c r="CK101" i="2"/>
  <c r="CN100" i="2"/>
  <c r="CL100" i="2"/>
  <c r="CO100" i="2" s="1"/>
  <c r="CY100" i="2" s="1"/>
  <c r="CZ99" i="2"/>
  <c r="CQ99" i="2"/>
  <c r="DA99" i="2" s="1"/>
  <c r="CU99" i="1"/>
  <c r="CY99" i="1"/>
  <c r="CR99" i="1"/>
  <c r="CW99" i="1" s="1"/>
  <c r="CV100" i="1"/>
  <c r="CQ100" i="1"/>
  <c r="CP100" i="1"/>
  <c r="CM102" i="1"/>
  <c r="CT101" i="1"/>
  <c r="CX101" i="1" s="1"/>
  <c r="CO101" i="1"/>
  <c r="CN101" i="1"/>
  <c r="EL203" i="10"/>
  <c r="ER202" i="10"/>
  <c r="EV202" i="10" s="1"/>
  <c r="EI202" i="10"/>
  <c r="EN202" i="10" s="1"/>
  <c r="EU99" i="10"/>
  <c r="EW99" i="10" s="1"/>
  <c r="EQ99" i="10"/>
  <c r="ES99" i="10" s="1"/>
  <c r="EM99" i="10"/>
  <c r="EJ99" i="10"/>
  <c r="EO99" i="10" s="1"/>
  <c r="EH100" i="10"/>
  <c r="EC101" i="10"/>
  <c r="ED101" i="10"/>
  <c r="EF101" i="10"/>
  <c r="EE101" i="10"/>
  <c r="EB101" i="10"/>
  <c r="EA102" i="10"/>
  <c r="GM98" i="9"/>
  <c r="GF98" i="9"/>
  <c r="GK88" i="9"/>
  <c r="GQ88" i="9" s="1"/>
  <c r="GG88" i="9"/>
  <c r="GS88" i="9"/>
  <c r="GR98" i="9"/>
  <c r="FW90" i="9"/>
  <c r="FS90" i="9"/>
  <c r="FQ90" i="9"/>
  <c r="GD90" i="9" s="1"/>
  <c r="GJ90" i="9" s="1"/>
  <c r="FR90" i="9"/>
  <c r="FT93" i="9"/>
  <c r="GB93" i="9"/>
  <c r="FX93" i="9"/>
  <c r="FP93" i="9"/>
  <c r="FE97" i="9"/>
  <c r="FG97" i="9" s="1"/>
  <c r="GA91" i="9"/>
  <c r="FS91" i="9"/>
  <c r="FQ91" i="9"/>
  <c r="GD91" i="9" s="1"/>
  <c r="FR91" i="9"/>
  <c r="FW91" i="9"/>
  <c r="EM98" i="9"/>
  <c r="FB98" i="9" s="1"/>
  <c r="FD98" i="9" s="1"/>
  <c r="EO98" i="9"/>
  <c r="FC98" i="9" s="1"/>
  <c r="FU92" i="9"/>
  <c r="FY92" i="9"/>
  <c r="FO92" i="9"/>
  <c r="GC92" i="9"/>
  <c r="ES98" i="9"/>
  <c r="EQ98" i="9"/>
  <c r="FV94" i="9"/>
  <c r="FZ94" i="9"/>
  <c r="FN94" i="9"/>
  <c r="FF97" i="9"/>
  <c r="EI99" i="9"/>
  <c r="EG99" i="9"/>
  <c r="EH99" i="9"/>
  <c r="EE99" i="9"/>
  <c r="EA100" i="9"/>
  <c r="ED99" i="9"/>
  <c r="EB99" i="9"/>
  <c r="EF99" i="9"/>
  <c r="GP99" i="9"/>
  <c r="EC99" i="9"/>
  <c r="EU98" i="9"/>
  <c r="EW98" i="9"/>
  <c r="GJ89" i="9"/>
  <c r="GE89" i="9"/>
  <c r="GH89" i="9" s="1"/>
  <c r="FI96" i="9"/>
  <c r="FH96" i="9"/>
  <c r="FJ96" i="9" s="1"/>
  <c r="EY98" i="9"/>
  <c r="EZ98" i="9"/>
  <c r="FL95" i="9"/>
  <c r="FK95" i="9"/>
  <c r="CX101" i="2" l="1"/>
  <c r="CP101" i="2"/>
  <c r="CN101" i="2"/>
  <c r="CL101" i="2"/>
  <c r="CO101" i="2" s="1"/>
  <c r="CY101" i="2" s="1"/>
  <c r="CK102" i="2"/>
  <c r="CQ100" i="2"/>
  <c r="DA100" i="2" s="1"/>
  <c r="CZ100" i="2"/>
  <c r="CU100" i="1"/>
  <c r="CY100" i="1"/>
  <c r="CR100" i="1"/>
  <c r="CW100" i="1" s="1"/>
  <c r="CV101" i="1"/>
  <c r="CQ101" i="1"/>
  <c r="CP101" i="1"/>
  <c r="CM103" i="1"/>
  <c r="CT102" i="1"/>
  <c r="CX102" i="1" s="1"/>
  <c r="CO102" i="1"/>
  <c r="CN102" i="1"/>
  <c r="EL204" i="10"/>
  <c r="ER203" i="10"/>
  <c r="EV203" i="10" s="1"/>
  <c r="EI203" i="10"/>
  <c r="EN203" i="10" s="1"/>
  <c r="EU100" i="10"/>
  <c r="EW100" i="10" s="1"/>
  <c r="EQ100" i="10"/>
  <c r="ES100" i="10" s="1"/>
  <c r="EM100" i="10"/>
  <c r="EJ100" i="10"/>
  <c r="EO100" i="10" s="1"/>
  <c r="ED102" i="10"/>
  <c r="EC102" i="10"/>
  <c r="EF102" i="10"/>
  <c r="EB102" i="10"/>
  <c r="EE102" i="10"/>
  <c r="EH101" i="10"/>
  <c r="EA103" i="10"/>
  <c r="GM99" i="9"/>
  <c r="GR99" i="9" s="1"/>
  <c r="GF99" i="9"/>
  <c r="GK89" i="9"/>
  <c r="GQ89" i="9" s="1"/>
  <c r="GG89" i="9"/>
  <c r="GS89" i="9"/>
  <c r="GE90" i="9"/>
  <c r="GH90" i="9" s="1"/>
  <c r="GA93" i="9"/>
  <c r="FS93" i="9"/>
  <c r="FR93" i="9"/>
  <c r="FW93" i="9"/>
  <c r="FQ93" i="9"/>
  <c r="GD93" i="9" s="1"/>
  <c r="FM95" i="9"/>
  <c r="EQ99" i="9"/>
  <c r="ES99" i="9"/>
  <c r="FP92" i="9"/>
  <c r="GB92" i="9"/>
  <c r="FX92" i="9"/>
  <c r="FT92" i="9"/>
  <c r="FK96" i="9"/>
  <c r="FL96" i="9"/>
  <c r="GE91" i="9"/>
  <c r="GH91" i="9" s="1"/>
  <c r="GJ91" i="9"/>
  <c r="EO99" i="9"/>
  <c r="FC99" i="9" s="1"/>
  <c r="EM99" i="9"/>
  <c r="FB99" i="9" s="1"/>
  <c r="FD99" i="9" s="1"/>
  <c r="FU94" i="9"/>
  <c r="FO94" i="9"/>
  <c r="FY94" i="9"/>
  <c r="GC94" i="9"/>
  <c r="EY99" i="9"/>
  <c r="EZ99" i="9"/>
  <c r="EW99" i="9"/>
  <c r="EU99" i="9"/>
  <c r="GP100" i="9"/>
  <c r="EC100" i="9"/>
  <c r="ED100" i="9"/>
  <c r="EI100" i="9"/>
  <c r="EF100" i="9"/>
  <c r="EH100" i="9"/>
  <c r="EG100" i="9"/>
  <c r="EE100" i="9"/>
  <c r="EA101" i="9"/>
  <c r="EB100" i="9"/>
  <c r="FF98" i="9"/>
  <c r="FE98" i="9"/>
  <c r="FG98" i="9" s="1"/>
  <c r="FH97" i="9"/>
  <c r="FJ97" i="9" s="1"/>
  <c r="FI97" i="9"/>
  <c r="CX102" i="2" l="1"/>
  <c r="CP102" i="2"/>
  <c r="CZ102" i="2" s="1"/>
  <c r="CL102" i="2"/>
  <c r="CO102" i="2" s="1"/>
  <c r="CN102" i="2"/>
  <c r="CK103" i="2"/>
  <c r="CZ101" i="2"/>
  <c r="CQ101" i="2"/>
  <c r="DA101" i="2" s="1"/>
  <c r="CU101" i="1"/>
  <c r="CY101" i="1"/>
  <c r="CP102" i="1"/>
  <c r="CR101" i="1"/>
  <c r="CW101" i="1" s="1"/>
  <c r="CV102" i="1"/>
  <c r="CQ102" i="1"/>
  <c r="CR102" i="1" s="1"/>
  <c r="CW102" i="1" s="1"/>
  <c r="CM104" i="1"/>
  <c r="CT103" i="1"/>
  <c r="CX103" i="1" s="1"/>
  <c r="CO103" i="1"/>
  <c r="CN103" i="1"/>
  <c r="EL205" i="10"/>
  <c r="ER204" i="10"/>
  <c r="EV204" i="10" s="1"/>
  <c r="EI204" i="10"/>
  <c r="EN204" i="10" s="1"/>
  <c r="EQ101" i="10"/>
  <c r="ES101" i="10" s="1"/>
  <c r="EU101" i="10"/>
  <c r="EW101" i="10" s="1"/>
  <c r="EM101" i="10"/>
  <c r="EJ101" i="10"/>
  <c r="EO101" i="10" s="1"/>
  <c r="EH102" i="10"/>
  <c r="ED103" i="10"/>
  <c r="EC103" i="10"/>
  <c r="EF103" i="10"/>
  <c r="EE103" i="10"/>
  <c r="EB103" i="10"/>
  <c r="EA104" i="10"/>
  <c r="GM100" i="9"/>
  <c r="GF100" i="9"/>
  <c r="GK90" i="9"/>
  <c r="GQ90" i="9" s="1"/>
  <c r="GG90" i="9"/>
  <c r="GS90" i="9"/>
  <c r="GK91" i="9"/>
  <c r="GQ91" i="9" s="1"/>
  <c r="GG91" i="9"/>
  <c r="GS91" i="9"/>
  <c r="GR100" i="9"/>
  <c r="GE93" i="9"/>
  <c r="GH93" i="9" s="1"/>
  <c r="GJ93" i="9"/>
  <c r="EO100" i="9"/>
  <c r="FC100" i="9" s="1"/>
  <c r="EM100" i="9"/>
  <c r="FB100" i="9" s="1"/>
  <c r="FD100" i="9" s="1"/>
  <c r="EQ100" i="9"/>
  <c r="ES100" i="9"/>
  <c r="FT94" i="9"/>
  <c r="GB94" i="9"/>
  <c r="FX94" i="9"/>
  <c r="FP94" i="9"/>
  <c r="EI101" i="9"/>
  <c r="EA102" i="9"/>
  <c r="EH101" i="9"/>
  <c r="EB101" i="9"/>
  <c r="ED101" i="9"/>
  <c r="GP101" i="9"/>
  <c r="EE101" i="9"/>
  <c r="EC101" i="9"/>
  <c r="EF101" i="9"/>
  <c r="EG101" i="9"/>
  <c r="FF99" i="9"/>
  <c r="FE99" i="9"/>
  <c r="FG99" i="9" s="1"/>
  <c r="EU100" i="9"/>
  <c r="EW100" i="9"/>
  <c r="FS92" i="9"/>
  <c r="FQ92" i="9"/>
  <c r="GD92" i="9" s="1"/>
  <c r="GA92" i="9"/>
  <c r="FW92" i="9"/>
  <c r="FR92" i="9"/>
  <c r="EY100" i="9"/>
  <c r="EZ100" i="9"/>
  <c r="FK97" i="9"/>
  <c r="FL97" i="9"/>
  <c r="FH98" i="9"/>
  <c r="FJ98" i="9" s="1"/>
  <c r="FI98" i="9"/>
  <c r="FM96" i="9"/>
  <c r="FZ95" i="9"/>
  <c r="FN95" i="9"/>
  <c r="FV95" i="9"/>
  <c r="CX103" i="2" l="1"/>
  <c r="CP103" i="2"/>
  <c r="CN103" i="2"/>
  <c r="CL103" i="2"/>
  <c r="CO103" i="2" s="1"/>
  <c r="CY103" i="2" s="1"/>
  <c r="CK104" i="2"/>
  <c r="CQ102" i="2"/>
  <c r="DA102" i="2" s="1"/>
  <c r="CY102" i="2"/>
  <c r="CU102" i="1"/>
  <c r="CY102" i="1"/>
  <c r="CV103" i="1"/>
  <c r="CQ103" i="1"/>
  <c r="CP103" i="1"/>
  <c r="CM105" i="1"/>
  <c r="CT104" i="1"/>
  <c r="CX104" i="1" s="1"/>
  <c r="CO104" i="1"/>
  <c r="CN104" i="1"/>
  <c r="EL206" i="10"/>
  <c r="ER205" i="10"/>
  <c r="EV205" i="10" s="1"/>
  <c r="EI205" i="10"/>
  <c r="EN205" i="10" s="1"/>
  <c r="EU102" i="10"/>
  <c r="EW102" i="10" s="1"/>
  <c r="EQ102" i="10"/>
  <c r="ES102" i="10" s="1"/>
  <c r="EH103" i="10"/>
  <c r="EM102" i="10"/>
  <c r="EJ102" i="10"/>
  <c r="EO102" i="10" s="1"/>
  <c r="EC104" i="10"/>
  <c r="ED104" i="10"/>
  <c r="EF104" i="10"/>
  <c r="EB104" i="10"/>
  <c r="EE104" i="10"/>
  <c r="EA105" i="10"/>
  <c r="GM101" i="9"/>
  <c r="GR101" i="9" s="1"/>
  <c r="GF101" i="9"/>
  <c r="GK93" i="9"/>
  <c r="GQ93" i="9" s="1"/>
  <c r="GG93" i="9"/>
  <c r="GS93" i="9"/>
  <c r="FM97" i="9"/>
  <c r="FV97" i="9" s="1"/>
  <c r="FW94" i="9"/>
  <c r="GA94" i="9"/>
  <c r="FS94" i="9"/>
  <c r="FR94" i="9"/>
  <c r="FQ94" i="9"/>
  <c r="GD94" i="9" s="1"/>
  <c r="EZ101" i="9"/>
  <c r="EY101" i="9"/>
  <c r="FK98" i="9"/>
  <c r="FL98" i="9"/>
  <c r="ES101" i="9"/>
  <c r="EQ101" i="9"/>
  <c r="GE92" i="9"/>
  <c r="GH92" i="9" s="1"/>
  <c r="GJ92" i="9"/>
  <c r="EW101" i="9"/>
  <c r="EU101" i="9"/>
  <c r="FU95" i="9"/>
  <c r="GC95" i="9"/>
  <c r="FY95" i="9"/>
  <c r="FO95" i="9"/>
  <c r="FH99" i="9"/>
  <c r="FJ99" i="9" s="1"/>
  <c r="FI99" i="9"/>
  <c r="EO101" i="9"/>
  <c r="FC101" i="9" s="1"/>
  <c r="EM101" i="9"/>
  <c r="FB101" i="9" s="1"/>
  <c r="FD101" i="9" s="1"/>
  <c r="FV96" i="9"/>
  <c r="FZ96" i="9"/>
  <c r="FN96" i="9"/>
  <c r="EA103" i="9"/>
  <c r="ED102" i="9"/>
  <c r="GP102" i="9"/>
  <c r="EC102" i="9"/>
  <c r="EF102" i="9"/>
  <c r="EE102" i="9"/>
  <c r="EH102" i="9"/>
  <c r="EI102" i="9"/>
  <c r="EG102" i="9"/>
  <c r="EB102" i="9"/>
  <c r="FE100" i="9"/>
  <c r="FG100" i="9" s="1"/>
  <c r="FF100" i="9"/>
  <c r="CX104" i="2" l="1"/>
  <c r="CP104" i="2"/>
  <c r="CK105" i="2"/>
  <c r="CN104" i="2"/>
  <c r="CL104" i="2"/>
  <c r="CO104" i="2" s="1"/>
  <c r="CY104" i="2" s="1"/>
  <c r="CZ103" i="2"/>
  <c r="CQ103" i="2"/>
  <c r="DA103" i="2" s="1"/>
  <c r="CU103" i="1"/>
  <c r="CY103" i="1"/>
  <c r="CR103" i="1"/>
  <c r="CW103" i="1" s="1"/>
  <c r="CV104" i="1"/>
  <c r="CQ104" i="1"/>
  <c r="CP104" i="1"/>
  <c r="CM106" i="1"/>
  <c r="CT105" i="1"/>
  <c r="CX105" i="1" s="1"/>
  <c r="CO105" i="1"/>
  <c r="CN105" i="1"/>
  <c r="EL207" i="10"/>
  <c r="ER206" i="10"/>
  <c r="EV206" i="10" s="1"/>
  <c r="EI206" i="10"/>
  <c r="EN206" i="10" s="1"/>
  <c r="EM103" i="10"/>
  <c r="EU103" i="10"/>
  <c r="EW103" i="10" s="1"/>
  <c r="EQ103" i="10"/>
  <c r="ES103" i="10" s="1"/>
  <c r="EJ103" i="10"/>
  <c r="EO103" i="10" s="1"/>
  <c r="EC105" i="10"/>
  <c r="EF105" i="10"/>
  <c r="ED105" i="10"/>
  <c r="EE105" i="10"/>
  <c r="EB105" i="10"/>
  <c r="EH104" i="10"/>
  <c r="EA106" i="10"/>
  <c r="GM102" i="9"/>
  <c r="GR102" i="9" s="1"/>
  <c r="GF102" i="9"/>
  <c r="GK92" i="9"/>
  <c r="GQ92" i="9" s="1"/>
  <c r="GG92" i="9"/>
  <c r="GS92" i="9"/>
  <c r="FZ97" i="9"/>
  <c r="FN97" i="9"/>
  <c r="FY97" i="9" s="1"/>
  <c r="FM98" i="9"/>
  <c r="FV98" i="9" s="1"/>
  <c r="FT95" i="9"/>
  <c r="FP95" i="9"/>
  <c r="GB95" i="9"/>
  <c r="FX95" i="9"/>
  <c r="FK99" i="9"/>
  <c r="FL99" i="9"/>
  <c r="EB103" i="9"/>
  <c r="GP103" i="9"/>
  <c r="EE103" i="9"/>
  <c r="EA104" i="9"/>
  <c r="ED103" i="9"/>
  <c r="EC103" i="9"/>
  <c r="EG103" i="9"/>
  <c r="EF103" i="9"/>
  <c r="EI103" i="9"/>
  <c r="EH103" i="9"/>
  <c r="FU96" i="9"/>
  <c r="FY96" i="9"/>
  <c r="GC96" i="9"/>
  <c r="FO96" i="9"/>
  <c r="GJ94" i="9"/>
  <c r="GE94" i="9"/>
  <c r="GH94" i="9" s="1"/>
  <c r="FI100" i="9"/>
  <c r="FH100" i="9"/>
  <c r="FJ100" i="9" s="1"/>
  <c r="EM102" i="9"/>
  <c r="FB102" i="9" s="1"/>
  <c r="FD102" i="9" s="1"/>
  <c r="EO102" i="9"/>
  <c r="FC102" i="9" s="1"/>
  <c r="EW102" i="9"/>
  <c r="EU102" i="9"/>
  <c r="EZ102" i="9"/>
  <c r="EY102" i="9"/>
  <c r="FE101" i="9"/>
  <c r="FG101" i="9" s="1"/>
  <c r="FH101" i="9" s="1"/>
  <c r="FJ101" i="9" s="1"/>
  <c r="FF101" i="9"/>
  <c r="ES102" i="9"/>
  <c r="EQ102" i="9"/>
  <c r="CX105" i="2" l="1"/>
  <c r="CP105" i="2"/>
  <c r="CN105" i="2"/>
  <c r="CK106" i="2"/>
  <c r="CL105" i="2"/>
  <c r="CO105" i="2" s="1"/>
  <c r="CY105" i="2" s="1"/>
  <c r="CZ104" i="2"/>
  <c r="CQ104" i="2"/>
  <c r="DA104" i="2" s="1"/>
  <c r="CU104" i="1"/>
  <c r="CY104" i="1"/>
  <c r="CR104" i="1"/>
  <c r="CW104" i="1" s="1"/>
  <c r="CV105" i="1"/>
  <c r="CQ105" i="1"/>
  <c r="CP105" i="1"/>
  <c r="CM107" i="1"/>
  <c r="CT106" i="1"/>
  <c r="CX106" i="1" s="1"/>
  <c r="CO106" i="1"/>
  <c r="CN106" i="1"/>
  <c r="EL208" i="10"/>
  <c r="ER207" i="10"/>
  <c r="EV207" i="10" s="1"/>
  <c r="EI207" i="10"/>
  <c r="EN207" i="10" s="1"/>
  <c r="EQ104" i="10"/>
  <c r="ES104" i="10" s="1"/>
  <c r="EU104" i="10"/>
  <c r="EW104" i="10" s="1"/>
  <c r="EM104" i="10"/>
  <c r="EJ104" i="10"/>
  <c r="EO104" i="10" s="1"/>
  <c r="EH105" i="10"/>
  <c r="EC106" i="10"/>
  <c r="EF106" i="10"/>
  <c r="ED106" i="10"/>
  <c r="EB106" i="10"/>
  <c r="EE106" i="10"/>
  <c r="EA107" i="10"/>
  <c r="GM103" i="9"/>
  <c r="GR103" i="9" s="1"/>
  <c r="GF103" i="9"/>
  <c r="GK94" i="9"/>
  <c r="GQ94" i="9" s="1"/>
  <c r="GG94" i="9"/>
  <c r="GS94" i="9"/>
  <c r="GC97" i="9"/>
  <c r="FO97" i="9"/>
  <c r="FX97" i="9" s="1"/>
  <c r="FU97" i="9"/>
  <c r="FZ98" i="9"/>
  <c r="FN98" i="9"/>
  <c r="FL100" i="9"/>
  <c r="FK100" i="9"/>
  <c r="EO103" i="9"/>
  <c r="FC103" i="9" s="1"/>
  <c r="EM103" i="9"/>
  <c r="FB103" i="9" s="1"/>
  <c r="FD103" i="9" s="1"/>
  <c r="FM99" i="9"/>
  <c r="GB96" i="9"/>
  <c r="FP96" i="9"/>
  <c r="FT96" i="9"/>
  <c r="FX96" i="9"/>
  <c r="ES103" i="9"/>
  <c r="EQ103" i="9"/>
  <c r="EW103" i="9"/>
  <c r="EU103" i="9"/>
  <c r="FL101" i="9"/>
  <c r="FK101" i="9"/>
  <c r="GP104" i="9"/>
  <c r="EC104" i="9"/>
  <c r="EG104" i="9"/>
  <c r="EF104" i="9"/>
  <c r="EB104" i="9"/>
  <c r="EH104" i="9"/>
  <c r="EE104" i="9"/>
  <c r="EI104" i="9"/>
  <c r="ED104" i="9"/>
  <c r="EA105" i="9"/>
  <c r="FR95" i="9"/>
  <c r="FQ95" i="9"/>
  <c r="GD95" i="9" s="1"/>
  <c r="FS95" i="9"/>
  <c r="GA95" i="9"/>
  <c r="FW95" i="9"/>
  <c r="FI101" i="9"/>
  <c r="FE102" i="9"/>
  <c r="FG102" i="9" s="1"/>
  <c r="FF102" i="9"/>
  <c r="EY103" i="9"/>
  <c r="EZ103" i="9"/>
  <c r="CX106" i="2" l="1"/>
  <c r="CP106" i="2"/>
  <c r="CN106" i="2"/>
  <c r="CL106" i="2"/>
  <c r="CO106" i="2" s="1"/>
  <c r="CY106" i="2" s="1"/>
  <c r="CK107" i="2"/>
  <c r="CQ105" i="2"/>
  <c r="DA105" i="2" s="1"/>
  <c r="CZ105" i="2"/>
  <c r="CU105" i="1"/>
  <c r="CY105" i="1"/>
  <c r="CR105" i="1"/>
  <c r="CW105" i="1" s="1"/>
  <c r="CV106" i="1"/>
  <c r="CQ106" i="1"/>
  <c r="CP106" i="1"/>
  <c r="CM108" i="1"/>
  <c r="CT107" i="1"/>
  <c r="CX107" i="1" s="1"/>
  <c r="CO107" i="1"/>
  <c r="CN107" i="1"/>
  <c r="EL209" i="10"/>
  <c r="ER208" i="10"/>
  <c r="EV208" i="10" s="1"/>
  <c r="EI208" i="10"/>
  <c r="EN208" i="10" s="1"/>
  <c r="EU105" i="10"/>
  <c r="EW105" i="10" s="1"/>
  <c r="EQ105" i="10"/>
  <c r="ES105" i="10" s="1"/>
  <c r="EH106" i="10"/>
  <c r="EM105" i="10"/>
  <c r="EJ105" i="10"/>
  <c r="EO105" i="10" s="1"/>
  <c r="EF107" i="10"/>
  <c r="EC107" i="10"/>
  <c r="ED107" i="10"/>
  <c r="EE107" i="10"/>
  <c r="EB107" i="10"/>
  <c r="EA108" i="10"/>
  <c r="GM104" i="9"/>
  <c r="GR104" i="9" s="1"/>
  <c r="GF104" i="9"/>
  <c r="FT97" i="9"/>
  <c r="FP97" i="9"/>
  <c r="FR97" i="9" s="1"/>
  <c r="GB97" i="9"/>
  <c r="FO98" i="9"/>
  <c r="FU98" i="9"/>
  <c r="FY98" i="9"/>
  <c r="GC98" i="9"/>
  <c r="FM100" i="9"/>
  <c r="GE95" i="9"/>
  <c r="GH95" i="9" s="1"/>
  <c r="GJ95" i="9"/>
  <c r="FS96" i="9"/>
  <c r="GA96" i="9"/>
  <c r="FW96" i="9"/>
  <c r="FR96" i="9"/>
  <c r="FQ96" i="9"/>
  <c r="GD96" i="9" s="1"/>
  <c r="EM104" i="9"/>
  <c r="FB104" i="9" s="1"/>
  <c r="FD104" i="9" s="1"/>
  <c r="EO104" i="9"/>
  <c r="FC104" i="9" s="1"/>
  <c r="EB105" i="9"/>
  <c r="ED105" i="9"/>
  <c r="GP105" i="9"/>
  <c r="EC105" i="9"/>
  <c r="EA106" i="9"/>
  <c r="EE105" i="9"/>
  <c r="EF105" i="9"/>
  <c r="EH105" i="9"/>
  <c r="EI105" i="9"/>
  <c r="EG105" i="9"/>
  <c r="EQ104" i="9"/>
  <c r="ES104" i="9"/>
  <c r="FZ99" i="9"/>
  <c r="FN99" i="9"/>
  <c r="FV99" i="9"/>
  <c r="FI102" i="9"/>
  <c r="FH102" i="9"/>
  <c r="FJ102" i="9" s="1"/>
  <c r="EW104" i="9"/>
  <c r="EU104" i="9"/>
  <c r="FE103" i="9"/>
  <c r="FG103" i="9" s="1"/>
  <c r="FF103" i="9"/>
  <c r="EY104" i="9"/>
  <c r="EZ104" i="9"/>
  <c r="FM101" i="9"/>
  <c r="CX107" i="2" l="1"/>
  <c r="CP107" i="2"/>
  <c r="CN107" i="2"/>
  <c r="CK108" i="2"/>
  <c r="CL107" i="2"/>
  <c r="CO107" i="2" s="1"/>
  <c r="CY107" i="2" s="1"/>
  <c r="CZ106" i="2"/>
  <c r="CQ106" i="2"/>
  <c r="DA106" i="2" s="1"/>
  <c r="CU106" i="1"/>
  <c r="CY106" i="1"/>
  <c r="CR106" i="1"/>
  <c r="CW106" i="1" s="1"/>
  <c r="CP107" i="1"/>
  <c r="CV107" i="1"/>
  <c r="CQ107" i="1"/>
  <c r="CM109" i="1"/>
  <c r="CT108" i="1"/>
  <c r="CX108" i="1" s="1"/>
  <c r="CO108" i="1"/>
  <c r="CN108" i="1"/>
  <c r="EL210" i="10"/>
  <c r="ER209" i="10"/>
  <c r="EV209" i="10" s="1"/>
  <c r="EI209" i="10"/>
  <c r="EN209" i="10" s="1"/>
  <c r="EM106" i="10"/>
  <c r="EU106" i="10"/>
  <c r="EW106" i="10" s="1"/>
  <c r="EQ106" i="10"/>
  <c r="ES106" i="10" s="1"/>
  <c r="EJ106" i="10"/>
  <c r="EO106" i="10" s="1"/>
  <c r="EH107" i="10"/>
  <c r="EF108" i="10"/>
  <c r="EC108" i="10"/>
  <c r="ED108" i="10"/>
  <c r="EE108" i="10"/>
  <c r="EB108" i="10"/>
  <c r="EA109" i="10"/>
  <c r="GM105" i="9"/>
  <c r="GF105" i="9"/>
  <c r="GK95" i="9"/>
  <c r="GQ95" i="9" s="1"/>
  <c r="GG95" i="9"/>
  <c r="GS95" i="9"/>
  <c r="GR105" i="9"/>
  <c r="GA97" i="9"/>
  <c r="FS97" i="9"/>
  <c r="FW97" i="9"/>
  <c r="FQ97" i="9"/>
  <c r="GD97" i="9" s="1"/>
  <c r="GJ97" i="9" s="1"/>
  <c r="FP98" i="9"/>
  <c r="FX98" i="9"/>
  <c r="GB98" i="9"/>
  <c r="FT98" i="9"/>
  <c r="FV100" i="9"/>
  <c r="FZ100" i="9"/>
  <c r="FN100" i="9"/>
  <c r="FL102" i="9"/>
  <c r="FK102" i="9"/>
  <c r="EO105" i="9"/>
  <c r="FC105" i="9" s="1"/>
  <c r="EM105" i="9"/>
  <c r="FB105" i="9" s="1"/>
  <c r="FD105" i="9" s="1"/>
  <c r="GJ96" i="9"/>
  <c r="GE96" i="9"/>
  <c r="GH96" i="9" s="1"/>
  <c r="FE104" i="9"/>
  <c r="FG104" i="9" s="1"/>
  <c r="FF104" i="9"/>
  <c r="EW105" i="9"/>
  <c r="EU105" i="9"/>
  <c r="GC99" i="9"/>
  <c r="FU99" i="9"/>
  <c r="FY99" i="9"/>
  <c r="FO99" i="9"/>
  <c r="EY105" i="9"/>
  <c r="EZ105" i="9"/>
  <c r="FV101" i="9"/>
  <c r="FN101" i="9"/>
  <c r="FZ101" i="9"/>
  <c r="EH106" i="9"/>
  <c r="EF106" i="9"/>
  <c r="EI106" i="9"/>
  <c r="EG106" i="9"/>
  <c r="EB106" i="9"/>
  <c r="GP106" i="9"/>
  <c r="EC106" i="9"/>
  <c r="EE106" i="9"/>
  <c r="EA107" i="9"/>
  <c r="ED106" i="9"/>
  <c r="FH103" i="9"/>
  <c r="FJ103" i="9" s="1"/>
  <c r="FI103" i="9"/>
  <c r="EQ105" i="9"/>
  <c r="ES105" i="9"/>
  <c r="CZ107" i="2" l="1"/>
  <c r="CQ107" i="2"/>
  <c r="DA107" i="2" s="1"/>
  <c r="CX108" i="2"/>
  <c r="CP108" i="2"/>
  <c r="CK109" i="2"/>
  <c r="CL108" i="2"/>
  <c r="CN108" i="2"/>
  <c r="CR107" i="1"/>
  <c r="CW107" i="1" s="1"/>
  <c r="CU107" i="1"/>
  <c r="CY107" i="1"/>
  <c r="CV108" i="1"/>
  <c r="CQ108" i="1"/>
  <c r="CP108" i="1"/>
  <c r="CM110" i="1"/>
  <c r="CT109" i="1"/>
  <c r="CX109" i="1" s="1"/>
  <c r="CO109" i="1"/>
  <c r="CN109" i="1"/>
  <c r="EL211" i="10"/>
  <c r="ER210" i="10"/>
  <c r="EV210" i="10" s="1"/>
  <c r="EI210" i="10"/>
  <c r="EN210" i="10" s="1"/>
  <c r="EQ107" i="10"/>
  <c r="ES107" i="10" s="1"/>
  <c r="EU107" i="10"/>
  <c r="EW107" i="10" s="1"/>
  <c r="EM107" i="10"/>
  <c r="EJ107" i="10"/>
  <c r="EO107" i="10" s="1"/>
  <c r="EH108" i="10"/>
  <c r="EC109" i="10"/>
  <c r="ED109" i="10"/>
  <c r="EF109" i="10"/>
  <c r="EE109" i="10"/>
  <c r="EB109" i="10"/>
  <c r="EA110" i="10"/>
  <c r="GM106" i="9"/>
  <c r="GR106" i="9" s="1"/>
  <c r="GF106" i="9"/>
  <c r="GK96" i="9"/>
  <c r="GQ96" i="9" s="1"/>
  <c r="GG96" i="9"/>
  <c r="GS96" i="9"/>
  <c r="GE97" i="9"/>
  <c r="GH97" i="9" s="1"/>
  <c r="FR98" i="9"/>
  <c r="FQ98" i="9"/>
  <c r="GD98" i="9" s="1"/>
  <c r="FS98" i="9"/>
  <c r="FW98" i="9"/>
  <c r="GA98" i="9"/>
  <c r="FO100" i="9"/>
  <c r="FY100" i="9"/>
  <c r="GC100" i="9"/>
  <c r="FU100" i="9"/>
  <c r="FH104" i="9"/>
  <c r="FJ104" i="9" s="1"/>
  <c r="FI104" i="9"/>
  <c r="FX99" i="9"/>
  <c r="GB99" i="9"/>
  <c r="FT99" i="9"/>
  <c r="FP99" i="9"/>
  <c r="FK103" i="9"/>
  <c r="FL103" i="9"/>
  <c r="EU106" i="9"/>
  <c r="EW106" i="9"/>
  <c r="EA108" i="9"/>
  <c r="EE107" i="9"/>
  <c r="GP107" i="9"/>
  <c r="EC107" i="9"/>
  <c r="EF107" i="9"/>
  <c r="ED107" i="9"/>
  <c r="EH107" i="9"/>
  <c r="EB107" i="9"/>
  <c r="EI107" i="9"/>
  <c r="EG107" i="9"/>
  <c r="FE105" i="9"/>
  <c r="FG105" i="9" s="1"/>
  <c r="FF105" i="9"/>
  <c r="EZ106" i="9"/>
  <c r="EY106" i="9"/>
  <c r="ES106" i="9"/>
  <c r="EQ106" i="9"/>
  <c r="FU101" i="9"/>
  <c r="GC101" i="9"/>
  <c r="FY101" i="9"/>
  <c r="FO101" i="9"/>
  <c r="EO106" i="9"/>
  <c r="FC106" i="9" s="1"/>
  <c r="EM106" i="9"/>
  <c r="FB106" i="9" s="1"/>
  <c r="FD106" i="9" s="1"/>
  <c r="FM102" i="9"/>
  <c r="CO108" i="2" l="1"/>
  <c r="CY108" i="2" s="1"/>
  <c r="CX109" i="2"/>
  <c r="CP109" i="2"/>
  <c r="CN109" i="2"/>
  <c r="CK110" i="2"/>
  <c r="CL109" i="2"/>
  <c r="CO109" i="2" s="1"/>
  <c r="CY109" i="2" s="1"/>
  <c r="CZ108" i="2"/>
  <c r="CU108" i="1"/>
  <c r="CY108" i="1"/>
  <c r="CR108" i="1"/>
  <c r="CW108" i="1" s="1"/>
  <c r="CV109" i="1"/>
  <c r="CQ109" i="1"/>
  <c r="CP109" i="1"/>
  <c r="CM111" i="1"/>
  <c r="CT110" i="1"/>
  <c r="CX110" i="1" s="1"/>
  <c r="CO110" i="1"/>
  <c r="CN110" i="1"/>
  <c r="EL212" i="10"/>
  <c r="ER211" i="10"/>
  <c r="EV211" i="10" s="1"/>
  <c r="EI211" i="10"/>
  <c r="EN211" i="10" s="1"/>
  <c r="EU108" i="10"/>
  <c r="EW108" i="10" s="1"/>
  <c r="EQ108" i="10"/>
  <c r="ES108" i="10" s="1"/>
  <c r="EH109" i="10"/>
  <c r="EM108" i="10"/>
  <c r="EJ108" i="10"/>
  <c r="EO108" i="10" s="1"/>
  <c r="EF110" i="10"/>
  <c r="EC110" i="10"/>
  <c r="ED110" i="10"/>
  <c r="EE110" i="10"/>
  <c r="EB110" i="10"/>
  <c r="EA111" i="10"/>
  <c r="GM107" i="9"/>
  <c r="GR107" i="9" s="1"/>
  <c r="GF107" i="9"/>
  <c r="GK97" i="9"/>
  <c r="GQ97" i="9" s="1"/>
  <c r="GG97" i="9"/>
  <c r="GS97" i="9"/>
  <c r="GJ98" i="9"/>
  <c r="GE98" i="9"/>
  <c r="GH98" i="9" s="1"/>
  <c r="FM103" i="9"/>
  <c r="FZ103" i="9" s="1"/>
  <c r="GB100" i="9"/>
  <c r="FP100" i="9"/>
  <c r="FT100" i="9"/>
  <c r="FX100" i="9"/>
  <c r="EW107" i="9"/>
  <c r="EU107" i="9"/>
  <c r="FF106" i="9"/>
  <c r="FE106" i="9"/>
  <c r="FG106" i="9" s="1"/>
  <c r="EQ107" i="9"/>
  <c r="ES107" i="9"/>
  <c r="FW99" i="9"/>
  <c r="GA99" i="9"/>
  <c r="FQ99" i="9"/>
  <c r="GD99" i="9" s="1"/>
  <c r="FR99" i="9"/>
  <c r="FS99" i="9"/>
  <c r="FX101" i="9"/>
  <c r="FP101" i="9"/>
  <c r="GB101" i="9"/>
  <c r="FT101" i="9"/>
  <c r="FH105" i="9"/>
  <c r="FJ105" i="9" s="1"/>
  <c r="FI105" i="9"/>
  <c r="EY107" i="9"/>
  <c r="EZ107" i="9"/>
  <c r="EF108" i="9"/>
  <c r="EG108" i="9"/>
  <c r="GP108" i="9"/>
  <c r="EH108" i="9"/>
  <c r="EB108" i="9"/>
  <c r="ED108" i="9"/>
  <c r="EE108" i="9"/>
  <c r="EA109" i="9"/>
  <c r="EC108" i="9"/>
  <c r="EI108" i="9"/>
  <c r="EO107" i="9"/>
  <c r="FC107" i="9" s="1"/>
  <c r="EM107" i="9"/>
  <c r="FB107" i="9" s="1"/>
  <c r="FD107" i="9" s="1"/>
  <c r="FN102" i="9"/>
  <c r="FZ102" i="9"/>
  <c r="FV102" i="9"/>
  <c r="FK104" i="9"/>
  <c r="FL104" i="9"/>
  <c r="CX110" i="2" l="1"/>
  <c r="CP110" i="2"/>
  <c r="CZ110" i="2" s="1"/>
  <c r="CL110" i="2"/>
  <c r="CO110" i="2" s="1"/>
  <c r="CN110" i="2"/>
  <c r="CK111" i="2"/>
  <c r="CQ108" i="2"/>
  <c r="DA108" i="2" s="1"/>
  <c r="CZ109" i="2"/>
  <c r="CQ109" i="2"/>
  <c r="DA109" i="2" s="1"/>
  <c r="CU109" i="1"/>
  <c r="CY109" i="1"/>
  <c r="CR109" i="1"/>
  <c r="CW109" i="1" s="1"/>
  <c r="CP110" i="1"/>
  <c r="CV110" i="1"/>
  <c r="CQ110" i="1"/>
  <c r="CM112" i="1"/>
  <c r="CT111" i="1"/>
  <c r="CX111" i="1" s="1"/>
  <c r="CO111" i="1"/>
  <c r="CN111" i="1"/>
  <c r="EL213" i="10"/>
  <c r="ER212" i="10"/>
  <c r="EV212" i="10" s="1"/>
  <c r="EI212" i="10"/>
  <c r="EN212" i="10" s="1"/>
  <c r="EM109" i="10"/>
  <c r="EU109" i="10"/>
  <c r="EW109" i="10" s="1"/>
  <c r="EQ109" i="10"/>
  <c r="ES109" i="10" s="1"/>
  <c r="EJ109" i="10"/>
  <c r="EO109" i="10" s="1"/>
  <c r="EH110" i="10"/>
  <c r="EC111" i="10"/>
  <c r="ED111" i="10"/>
  <c r="EF111" i="10"/>
  <c r="EE111" i="10"/>
  <c r="EB111" i="10"/>
  <c r="EA112" i="10"/>
  <c r="GM108" i="9"/>
  <c r="GR108" i="9" s="1"/>
  <c r="GF108" i="9"/>
  <c r="GK98" i="9"/>
  <c r="GQ98" i="9" s="1"/>
  <c r="GG98" i="9"/>
  <c r="GS98" i="9"/>
  <c r="FN103" i="9"/>
  <c r="FY103" i="9" s="1"/>
  <c r="FV103" i="9"/>
  <c r="FQ100" i="9"/>
  <c r="GD100" i="9" s="1"/>
  <c r="FR100" i="9"/>
  <c r="GA100" i="9"/>
  <c r="FS100" i="9"/>
  <c r="FW100" i="9"/>
  <c r="FM104" i="9"/>
  <c r="EQ108" i="9"/>
  <c r="ES108" i="9"/>
  <c r="FI106" i="9"/>
  <c r="FH106" i="9"/>
  <c r="FJ106" i="9" s="1"/>
  <c r="EZ108" i="9"/>
  <c r="EY108" i="9"/>
  <c r="GJ99" i="9"/>
  <c r="GE99" i="9"/>
  <c r="GH99" i="9" s="1"/>
  <c r="FR101" i="9"/>
  <c r="FQ101" i="9"/>
  <c r="GD101" i="9" s="1"/>
  <c r="GA101" i="9"/>
  <c r="FS101" i="9"/>
  <c r="FW101" i="9"/>
  <c r="EF109" i="9"/>
  <c r="EC109" i="9"/>
  <c r="EI109" i="9"/>
  <c r="EH109" i="9"/>
  <c r="EG109" i="9"/>
  <c r="EB109" i="9"/>
  <c r="EE109" i="9"/>
  <c r="EA110" i="9"/>
  <c r="ED109" i="9"/>
  <c r="GP109" i="9"/>
  <c r="EW108" i="9"/>
  <c r="EU108" i="9"/>
  <c r="FU102" i="9"/>
  <c r="GC102" i="9"/>
  <c r="FY102" i="9"/>
  <c r="FO102" i="9"/>
  <c r="EO108" i="9"/>
  <c r="FC108" i="9" s="1"/>
  <c r="EM108" i="9"/>
  <c r="FB108" i="9" s="1"/>
  <c r="FD108" i="9" s="1"/>
  <c r="FL105" i="9"/>
  <c r="FK105" i="9"/>
  <c r="FF107" i="9"/>
  <c r="FE107" i="9"/>
  <c r="FG107" i="9" s="1"/>
  <c r="CX111" i="2" l="1"/>
  <c r="CP111" i="2"/>
  <c r="CK112" i="2"/>
  <c r="CN111" i="2"/>
  <c r="CL111" i="2"/>
  <c r="CO111" i="2" s="1"/>
  <c r="CY111" i="2" s="1"/>
  <c r="CQ110" i="2"/>
  <c r="DA110" i="2" s="1"/>
  <c r="CY110" i="2"/>
  <c r="CR110" i="1"/>
  <c r="CW110" i="1" s="1"/>
  <c r="CU110" i="1"/>
  <c r="CY110" i="1"/>
  <c r="CV111" i="1"/>
  <c r="CQ111" i="1"/>
  <c r="CP111" i="1"/>
  <c r="CM113" i="1"/>
  <c r="CT112" i="1"/>
  <c r="CX112" i="1" s="1"/>
  <c r="CO112" i="1"/>
  <c r="CN112" i="1"/>
  <c r="EL214" i="10"/>
  <c r="ER213" i="10"/>
  <c r="EV213" i="10" s="1"/>
  <c r="EI213" i="10"/>
  <c r="EN213" i="10" s="1"/>
  <c r="EQ110" i="10"/>
  <c r="ES110" i="10" s="1"/>
  <c r="EU110" i="10"/>
  <c r="EW110" i="10" s="1"/>
  <c r="EM110" i="10"/>
  <c r="EJ110" i="10"/>
  <c r="EO110" i="10" s="1"/>
  <c r="EH111" i="10"/>
  <c r="ED112" i="10"/>
  <c r="EC112" i="10"/>
  <c r="EF112" i="10"/>
  <c r="EB112" i="10"/>
  <c r="EE112" i="10"/>
  <c r="EA113" i="10"/>
  <c r="GM109" i="9"/>
  <c r="GF109" i="9"/>
  <c r="GK99" i="9"/>
  <c r="GQ99" i="9" s="1"/>
  <c r="GG99" i="9"/>
  <c r="GS99" i="9"/>
  <c r="GR109" i="9"/>
  <c r="FU103" i="9"/>
  <c r="FO103" i="9"/>
  <c r="FX103" i="9" s="1"/>
  <c r="GC103" i="9"/>
  <c r="GJ100" i="9"/>
  <c r="GE100" i="9"/>
  <c r="GH100" i="9" s="1"/>
  <c r="GJ101" i="9"/>
  <c r="GE101" i="9"/>
  <c r="GH101" i="9" s="1"/>
  <c r="FI107" i="9"/>
  <c r="FH107" i="9"/>
  <c r="FJ107" i="9" s="1"/>
  <c r="FM105" i="9"/>
  <c r="FL106" i="9"/>
  <c r="FK106" i="9"/>
  <c r="FF108" i="9"/>
  <c r="FE108" i="9"/>
  <c r="FG108" i="9" s="1"/>
  <c r="ES109" i="9"/>
  <c r="EQ109" i="9"/>
  <c r="EM109" i="9"/>
  <c r="FB109" i="9" s="1"/>
  <c r="FD109" i="9" s="1"/>
  <c r="EO109" i="9"/>
  <c r="FC109" i="9" s="1"/>
  <c r="EE110" i="9"/>
  <c r="EA111" i="9"/>
  <c r="EC110" i="9"/>
  <c r="EB110" i="9"/>
  <c r="EH110" i="9"/>
  <c r="EI110" i="9"/>
  <c r="ED110" i="9"/>
  <c r="GP110" i="9"/>
  <c r="EF110" i="9"/>
  <c r="EG110" i="9"/>
  <c r="EW109" i="9"/>
  <c r="EU109" i="9"/>
  <c r="FP102" i="9"/>
  <c r="GB102" i="9"/>
  <c r="FT102" i="9"/>
  <c r="FX102" i="9"/>
  <c r="EY109" i="9"/>
  <c r="EZ109" i="9"/>
  <c r="FV104" i="9"/>
  <c r="FN104" i="9"/>
  <c r="FZ104" i="9"/>
  <c r="CX112" i="2" l="1"/>
  <c r="CP112" i="2"/>
  <c r="CK113" i="2"/>
  <c r="CN112" i="2"/>
  <c r="CL112" i="2"/>
  <c r="CO112" i="2" s="1"/>
  <c r="CY112" i="2" s="1"/>
  <c r="CZ111" i="2"/>
  <c r="CQ111" i="2"/>
  <c r="DA111" i="2" s="1"/>
  <c r="CU111" i="1"/>
  <c r="CY111" i="1"/>
  <c r="CP112" i="1"/>
  <c r="CR111" i="1"/>
  <c r="CW111" i="1" s="1"/>
  <c r="CV112" i="1"/>
  <c r="CQ112" i="1"/>
  <c r="CM114" i="1"/>
  <c r="CT113" i="1"/>
  <c r="CX113" i="1" s="1"/>
  <c r="CO113" i="1"/>
  <c r="CN113" i="1"/>
  <c r="EL215" i="10"/>
  <c r="ER214" i="10"/>
  <c r="EV214" i="10" s="1"/>
  <c r="EI214" i="10"/>
  <c r="EN214" i="10" s="1"/>
  <c r="EU111" i="10"/>
  <c r="EW111" i="10" s="1"/>
  <c r="EQ111" i="10"/>
  <c r="ES111" i="10" s="1"/>
  <c r="EM111" i="10"/>
  <c r="EJ111" i="10"/>
  <c r="EO111" i="10" s="1"/>
  <c r="EH112" i="10"/>
  <c r="EF113" i="10"/>
  <c r="EC113" i="10"/>
  <c r="ED113" i="10"/>
  <c r="EE113" i="10"/>
  <c r="EB113" i="10"/>
  <c r="EA114" i="10"/>
  <c r="GM110" i="9"/>
  <c r="GR110" i="9" s="1"/>
  <c r="GF110" i="9"/>
  <c r="GK101" i="9"/>
  <c r="GQ101" i="9" s="1"/>
  <c r="GG101" i="9"/>
  <c r="GS101" i="9"/>
  <c r="GK100" i="9"/>
  <c r="GQ100" i="9" s="1"/>
  <c r="GG100" i="9"/>
  <c r="GS100" i="9"/>
  <c r="FT103" i="9"/>
  <c r="GB103" i="9"/>
  <c r="FP103" i="9"/>
  <c r="FS103" i="9" s="1"/>
  <c r="FM106" i="9"/>
  <c r="FV106" i="9" s="1"/>
  <c r="FF109" i="9"/>
  <c r="EW110" i="9"/>
  <c r="EU110" i="9"/>
  <c r="FO104" i="9"/>
  <c r="FY104" i="9"/>
  <c r="GC104" i="9"/>
  <c r="FU104" i="9"/>
  <c r="EO110" i="9"/>
  <c r="FC110" i="9" s="1"/>
  <c r="EM110" i="9"/>
  <c r="FB110" i="9" s="1"/>
  <c r="FD110" i="9" s="1"/>
  <c r="FV105" i="9"/>
  <c r="FN105" i="9"/>
  <c r="FZ105" i="9"/>
  <c r="FK107" i="9"/>
  <c r="FL107" i="9"/>
  <c r="GP111" i="9"/>
  <c r="EC111" i="9"/>
  <c r="EF111" i="9"/>
  <c r="EB111" i="9"/>
  <c r="EE111" i="9"/>
  <c r="EG111" i="9"/>
  <c r="ED111" i="9"/>
  <c r="EI111" i="9"/>
  <c r="EH111" i="9"/>
  <c r="EA112" i="9"/>
  <c r="FE109" i="9"/>
  <c r="FG109" i="9" s="1"/>
  <c r="EY110" i="9"/>
  <c r="EZ110" i="9"/>
  <c r="GA102" i="9"/>
  <c r="FW102" i="9"/>
  <c r="FQ102" i="9"/>
  <c r="GD102" i="9" s="1"/>
  <c r="FR102" i="9"/>
  <c r="FS102" i="9"/>
  <c r="EQ110" i="9"/>
  <c r="ES110" i="9"/>
  <c r="FI108" i="9"/>
  <c r="FH108" i="9"/>
  <c r="FJ108" i="9" s="1"/>
  <c r="CX113" i="2" l="1"/>
  <c r="CP113" i="2"/>
  <c r="CL113" i="2"/>
  <c r="CO113" i="2" s="1"/>
  <c r="CY113" i="2" s="1"/>
  <c r="CN113" i="2"/>
  <c r="CK114" i="2"/>
  <c r="CZ112" i="2"/>
  <c r="CQ112" i="2"/>
  <c r="DA112" i="2" s="1"/>
  <c r="CU112" i="1"/>
  <c r="CY112" i="1"/>
  <c r="CR112" i="1"/>
  <c r="CW112" i="1" s="1"/>
  <c r="CV113" i="1"/>
  <c r="CQ113" i="1"/>
  <c r="CP113" i="1"/>
  <c r="CM115" i="1"/>
  <c r="CT114" i="1"/>
  <c r="CX114" i="1" s="1"/>
  <c r="CO114" i="1"/>
  <c r="CN114" i="1"/>
  <c r="EL216" i="10"/>
  <c r="ER215" i="10"/>
  <c r="EV215" i="10" s="1"/>
  <c r="EI215" i="10"/>
  <c r="EN215" i="10" s="1"/>
  <c r="EU112" i="10"/>
  <c r="EW112" i="10" s="1"/>
  <c r="EQ112" i="10"/>
  <c r="ES112" i="10" s="1"/>
  <c r="EM112" i="10"/>
  <c r="EJ112" i="10"/>
  <c r="EO112" i="10" s="1"/>
  <c r="EC114" i="10"/>
  <c r="EF114" i="10"/>
  <c r="ED114" i="10"/>
  <c r="EE114" i="10"/>
  <c r="EB114" i="10"/>
  <c r="EH113" i="10"/>
  <c r="EA115" i="10"/>
  <c r="GM111" i="9"/>
  <c r="GR111" i="9" s="1"/>
  <c r="GF111" i="9"/>
  <c r="GA103" i="9"/>
  <c r="FR103" i="9"/>
  <c r="FQ103" i="9"/>
  <c r="GD103" i="9" s="1"/>
  <c r="GJ103" i="9" s="1"/>
  <c r="FN106" i="9"/>
  <c r="FU106" i="9" s="1"/>
  <c r="FZ106" i="9"/>
  <c r="FW103" i="9"/>
  <c r="FM107" i="9"/>
  <c r="FZ107" i="9" s="1"/>
  <c r="GP112" i="9"/>
  <c r="ED112" i="9"/>
  <c r="EF112" i="9"/>
  <c r="EI112" i="9"/>
  <c r="EB112" i="9"/>
  <c r="EC112" i="9"/>
  <c r="EG112" i="9"/>
  <c r="EA113" i="9"/>
  <c r="EH112" i="9"/>
  <c r="EE112" i="9"/>
  <c r="ES111" i="9"/>
  <c r="EQ111" i="9"/>
  <c r="FI109" i="9"/>
  <c r="FH109" i="9"/>
  <c r="FJ109" i="9" s="1"/>
  <c r="GE102" i="9"/>
  <c r="GH102" i="9" s="1"/>
  <c r="GJ102" i="9"/>
  <c r="EW111" i="9"/>
  <c r="EU111" i="9"/>
  <c r="FE110" i="9"/>
  <c r="FG110" i="9" s="1"/>
  <c r="FF110" i="9"/>
  <c r="FL108" i="9"/>
  <c r="FK108" i="9"/>
  <c r="FT104" i="9"/>
  <c r="GB104" i="9"/>
  <c r="FP104" i="9"/>
  <c r="FX104" i="9"/>
  <c r="EZ111" i="9"/>
  <c r="EY111" i="9"/>
  <c r="FO105" i="9"/>
  <c r="FU105" i="9"/>
  <c r="GC105" i="9"/>
  <c r="FY105" i="9"/>
  <c r="EM111" i="9"/>
  <c r="FB111" i="9" s="1"/>
  <c r="FD111" i="9" s="1"/>
  <c r="EO111" i="9"/>
  <c r="FC111" i="9" s="1"/>
  <c r="CX114" i="2" l="1"/>
  <c r="CP114" i="2"/>
  <c r="CL114" i="2"/>
  <c r="CO114" i="2" s="1"/>
  <c r="CY114" i="2" s="1"/>
  <c r="CN114" i="2"/>
  <c r="CK115" i="2"/>
  <c r="CZ113" i="2"/>
  <c r="CQ113" i="2"/>
  <c r="DA113" i="2" s="1"/>
  <c r="CU113" i="1"/>
  <c r="CY113" i="1"/>
  <c r="CP114" i="1"/>
  <c r="CR113" i="1"/>
  <c r="CW113" i="1" s="1"/>
  <c r="CV114" i="1"/>
  <c r="CQ114" i="1"/>
  <c r="CM116" i="1"/>
  <c r="CT115" i="1"/>
  <c r="CX115" i="1" s="1"/>
  <c r="CO115" i="1"/>
  <c r="CN115" i="1"/>
  <c r="EL217" i="10"/>
  <c r="ER216" i="10"/>
  <c r="EV216" i="10" s="1"/>
  <c r="EI216" i="10"/>
  <c r="EN216" i="10" s="1"/>
  <c r="EU113" i="10"/>
  <c r="EW113" i="10" s="1"/>
  <c r="EQ113" i="10"/>
  <c r="ES113" i="10" s="1"/>
  <c r="EM113" i="10"/>
  <c r="EJ113" i="10"/>
  <c r="EO113" i="10" s="1"/>
  <c r="EH114" i="10"/>
  <c r="EC115" i="10"/>
  <c r="EF115" i="10"/>
  <c r="ED115" i="10"/>
  <c r="EB115" i="10"/>
  <c r="EE115" i="10"/>
  <c r="EA116" i="10"/>
  <c r="GM112" i="9"/>
  <c r="GR112" i="9" s="1"/>
  <c r="GF112" i="9"/>
  <c r="GK102" i="9"/>
  <c r="GQ102" i="9" s="1"/>
  <c r="GG102" i="9"/>
  <c r="GS102" i="9"/>
  <c r="FY106" i="9"/>
  <c r="GE103" i="9"/>
  <c r="GH103" i="9" s="1"/>
  <c r="FO106" i="9"/>
  <c r="FX106" i="9" s="1"/>
  <c r="GC106" i="9"/>
  <c r="FN107" i="9"/>
  <c r="FO107" i="9" s="1"/>
  <c r="FV107" i="9"/>
  <c r="FM108" i="9"/>
  <c r="FV108" i="9" s="1"/>
  <c r="EA114" i="9"/>
  <c r="EB113" i="9"/>
  <c r="EF113" i="9"/>
  <c r="GP113" i="9"/>
  <c r="ED113" i="9"/>
  <c r="EI113" i="9"/>
  <c r="EH113" i="9"/>
  <c r="EG113" i="9"/>
  <c r="EC113" i="9"/>
  <c r="EE113" i="9"/>
  <c r="FH110" i="9"/>
  <c r="FJ110" i="9" s="1"/>
  <c r="FI110" i="9"/>
  <c r="FL109" i="9"/>
  <c r="FK109" i="9"/>
  <c r="EQ112" i="9"/>
  <c r="ES112" i="9"/>
  <c r="FX105" i="9"/>
  <c r="FT105" i="9"/>
  <c r="GB105" i="9"/>
  <c r="FP105" i="9"/>
  <c r="EO112" i="9"/>
  <c r="FC112" i="9" s="1"/>
  <c r="EM112" i="9"/>
  <c r="FB112" i="9" s="1"/>
  <c r="FD112" i="9" s="1"/>
  <c r="FF111" i="9"/>
  <c r="FE111" i="9"/>
  <c r="FG111" i="9" s="1"/>
  <c r="FQ104" i="9"/>
  <c r="GD104" i="9" s="1"/>
  <c r="FS104" i="9"/>
  <c r="FR104" i="9"/>
  <c r="GA104" i="9"/>
  <c r="FW104" i="9"/>
  <c r="EZ112" i="9"/>
  <c r="EY112" i="9"/>
  <c r="EW112" i="9"/>
  <c r="EU112" i="9"/>
  <c r="CX115" i="2" l="1"/>
  <c r="CP115" i="2"/>
  <c r="CN115" i="2"/>
  <c r="CL115" i="2"/>
  <c r="CO115" i="2" s="1"/>
  <c r="CY115" i="2" s="1"/>
  <c r="CK116" i="2"/>
  <c r="CZ114" i="2"/>
  <c r="CQ114" i="2"/>
  <c r="DA114" i="2" s="1"/>
  <c r="CU114" i="1"/>
  <c r="CY114" i="1"/>
  <c r="CR114" i="1"/>
  <c r="CW114" i="1" s="1"/>
  <c r="CV115" i="1"/>
  <c r="CQ115" i="1"/>
  <c r="CP115" i="1"/>
  <c r="CM117" i="1"/>
  <c r="CT116" i="1"/>
  <c r="CX116" i="1" s="1"/>
  <c r="CO116" i="1"/>
  <c r="CN116" i="1"/>
  <c r="EL218" i="10"/>
  <c r="ER217" i="10"/>
  <c r="EV217" i="10" s="1"/>
  <c r="EI217" i="10"/>
  <c r="EN217" i="10" s="1"/>
  <c r="EU114" i="10"/>
  <c r="EW114" i="10" s="1"/>
  <c r="EQ114" i="10"/>
  <c r="ES114" i="10" s="1"/>
  <c r="EM114" i="10"/>
  <c r="EJ114" i="10"/>
  <c r="EO114" i="10" s="1"/>
  <c r="EH115" i="10"/>
  <c r="EC116" i="10"/>
  <c r="EF116" i="10"/>
  <c r="ED116" i="10"/>
  <c r="EE116" i="10"/>
  <c r="EB116" i="10"/>
  <c r="EA117" i="10"/>
  <c r="GM113" i="9"/>
  <c r="GF113" i="9"/>
  <c r="GK103" i="9"/>
  <c r="GQ103" i="9" s="1"/>
  <c r="GG103" i="9"/>
  <c r="GS103" i="9"/>
  <c r="GR113" i="9"/>
  <c r="FP106" i="9"/>
  <c r="FW106" i="9" s="1"/>
  <c r="FT106" i="9"/>
  <c r="GB106" i="9"/>
  <c r="FY107" i="9"/>
  <c r="GC107" i="9"/>
  <c r="FU107" i="9"/>
  <c r="FM109" i="9"/>
  <c r="FN109" i="9" s="1"/>
  <c r="FF112" i="9"/>
  <c r="FZ108" i="9"/>
  <c r="FN108" i="9"/>
  <c r="FO108" i="9" s="1"/>
  <c r="EZ113" i="9"/>
  <c r="EY113" i="9"/>
  <c r="EO113" i="9"/>
  <c r="FC113" i="9" s="1"/>
  <c r="EM113" i="9"/>
  <c r="FB113" i="9" s="1"/>
  <c r="FD113" i="9" s="1"/>
  <c r="FR105" i="9"/>
  <c r="GA105" i="9"/>
  <c r="FQ105" i="9"/>
  <c r="GD105" i="9" s="1"/>
  <c r="FW105" i="9"/>
  <c r="FS105" i="9"/>
  <c r="FP107" i="9"/>
  <c r="FT107" i="9"/>
  <c r="GB107" i="9"/>
  <c r="FX107" i="9"/>
  <c r="EQ113" i="9"/>
  <c r="ES113" i="9"/>
  <c r="EH114" i="9"/>
  <c r="EE114" i="9"/>
  <c r="GP114" i="9"/>
  <c r="EG114" i="9"/>
  <c r="EB114" i="9"/>
  <c r="EA115" i="9"/>
  <c r="EC114" i="9"/>
  <c r="ED114" i="9"/>
  <c r="EF114" i="9"/>
  <c r="EI114" i="9"/>
  <c r="GJ104" i="9"/>
  <c r="GE104" i="9"/>
  <c r="GH104" i="9" s="1"/>
  <c r="FI111" i="9"/>
  <c r="FH111" i="9"/>
  <c r="FJ111" i="9" s="1"/>
  <c r="FK110" i="9"/>
  <c r="FL110" i="9"/>
  <c r="FE112" i="9"/>
  <c r="FG112" i="9" s="1"/>
  <c r="EW113" i="9"/>
  <c r="EU113" i="9"/>
  <c r="CX116" i="2" l="1"/>
  <c r="CP116" i="2"/>
  <c r="CK117" i="2"/>
  <c r="CN116" i="2"/>
  <c r="CL116" i="2"/>
  <c r="CO116" i="2" s="1"/>
  <c r="CY116" i="2" s="1"/>
  <c r="CZ115" i="2"/>
  <c r="CQ115" i="2"/>
  <c r="DA115" i="2" s="1"/>
  <c r="CU115" i="1"/>
  <c r="CY115" i="1"/>
  <c r="CP116" i="1"/>
  <c r="CR115" i="1"/>
  <c r="CW115" i="1" s="1"/>
  <c r="CV116" i="1"/>
  <c r="CQ116" i="1"/>
  <c r="CR116" i="1" s="1"/>
  <c r="CW116" i="1" s="1"/>
  <c r="CM118" i="1"/>
  <c r="CT117" i="1"/>
  <c r="CX117" i="1" s="1"/>
  <c r="CO117" i="1"/>
  <c r="CN117" i="1"/>
  <c r="EL219" i="10"/>
  <c r="ER218" i="10"/>
  <c r="EV218" i="10" s="1"/>
  <c r="EI218" i="10"/>
  <c r="EN218" i="10" s="1"/>
  <c r="EU115" i="10"/>
  <c r="EW115" i="10" s="1"/>
  <c r="EQ115" i="10"/>
  <c r="ES115" i="10" s="1"/>
  <c r="EM115" i="10"/>
  <c r="EJ115" i="10"/>
  <c r="EO115" i="10" s="1"/>
  <c r="EH116" i="10"/>
  <c r="EC117" i="10"/>
  <c r="ED117" i="10"/>
  <c r="EF117" i="10"/>
  <c r="EB117" i="10"/>
  <c r="EE117" i="10"/>
  <c r="EA118" i="10"/>
  <c r="GM114" i="9"/>
  <c r="GR114" i="9" s="1"/>
  <c r="GF114" i="9"/>
  <c r="GK104" i="9"/>
  <c r="GQ104" i="9" s="1"/>
  <c r="GG104" i="9"/>
  <c r="GS104" i="9"/>
  <c r="FR106" i="9"/>
  <c r="FS106" i="9"/>
  <c r="GA106" i="9"/>
  <c r="FQ106" i="9"/>
  <c r="GD106" i="9" s="1"/>
  <c r="GJ106" i="9" s="1"/>
  <c r="FV109" i="9"/>
  <c r="FZ109" i="9"/>
  <c r="GC108" i="9"/>
  <c r="FM110" i="9"/>
  <c r="FN110" i="9" s="1"/>
  <c r="FO110" i="9" s="1"/>
  <c r="FU108" i="9"/>
  <c r="FY108" i="9"/>
  <c r="ES114" i="9"/>
  <c r="EQ114" i="9"/>
  <c r="FK111" i="9"/>
  <c r="FL111" i="9"/>
  <c r="EE115" i="9"/>
  <c r="EB115" i="9"/>
  <c r="EH115" i="9"/>
  <c r="EA116" i="9"/>
  <c r="EC115" i="9"/>
  <c r="EF115" i="9"/>
  <c r="GP115" i="9"/>
  <c r="ED115" i="9"/>
  <c r="EI115" i="9"/>
  <c r="EG115" i="9"/>
  <c r="EU114" i="9"/>
  <c r="EW114" i="9"/>
  <c r="EM114" i="9"/>
  <c r="FB114" i="9" s="1"/>
  <c r="FD114" i="9" s="1"/>
  <c r="EO114" i="9"/>
  <c r="FC114" i="9" s="1"/>
  <c r="FF113" i="9"/>
  <c r="FE113" i="9"/>
  <c r="FG113" i="9" s="1"/>
  <c r="FI112" i="9"/>
  <c r="FH112" i="9"/>
  <c r="FJ112" i="9" s="1"/>
  <c r="GJ105" i="9"/>
  <c r="GE105" i="9"/>
  <c r="GH105" i="9" s="1"/>
  <c r="FO109" i="9"/>
  <c r="FY109" i="9"/>
  <c r="GC109" i="9"/>
  <c r="FU109" i="9"/>
  <c r="FW107" i="9"/>
  <c r="FR107" i="9"/>
  <c r="FS107" i="9"/>
  <c r="FQ107" i="9"/>
  <c r="GD107" i="9" s="1"/>
  <c r="GA107" i="9"/>
  <c r="GB108" i="9"/>
  <c r="FP108" i="9"/>
  <c r="FX108" i="9"/>
  <c r="FT108" i="9"/>
  <c r="EZ114" i="9"/>
  <c r="EY114" i="9"/>
  <c r="CX117" i="2" l="1"/>
  <c r="CP117" i="2"/>
  <c r="CN117" i="2"/>
  <c r="CL117" i="2"/>
  <c r="CO117" i="2" s="1"/>
  <c r="CY117" i="2" s="1"/>
  <c r="CK118" i="2"/>
  <c r="CZ116" i="2"/>
  <c r="CQ116" i="2"/>
  <c r="DA116" i="2" s="1"/>
  <c r="CU116" i="1"/>
  <c r="CY116" i="1"/>
  <c r="CV117" i="1"/>
  <c r="CQ117" i="1"/>
  <c r="CP117" i="1"/>
  <c r="CM119" i="1"/>
  <c r="CT118" i="1"/>
  <c r="CX118" i="1" s="1"/>
  <c r="CO118" i="1"/>
  <c r="CN118" i="1"/>
  <c r="EL220" i="10"/>
  <c r="ER219" i="10"/>
  <c r="EV219" i="10" s="1"/>
  <c r="EI219" i="10"/>
  <c r="EN219" i="10" s="1"/>
  <c r="EU116" i="10"/>
  <c r="EW116" i="10" s="1"/>
  <c r="EQ116" i="10"/>
  <c r="ES116" i="10" s="1"/>
  <c r="EM116" i="10"/>
  <c r="EJ116" i="10"/>
  <c r="EO116" i="10" s="1"/>
  <c r="EH117" i="10"/>
  <c r="ED118" i="10"/>
  <c r="EC118" i="10"/>
  <c r="EF118" i="10"/>
  <c r="EB118" i="10"/>
  <c r="EE118" i="10"/>
  <c r="EA119" i="10"/>
  <c r="GM115" i="9"/>
  <c r="GR115" i="9" s="1"/>
  <c r="GF115" i="9"/>
  <c r="GK105" i="9"/>
  <c r="GQ105" i="9" s="1"/>
  <c r="GG105" i="9"/>
  <c r="GS105" i="9"/>
  <c r="GE106" i="9"/>
  <c r="GH106" i="9" s="1"/>
  <c r="GC110" i="9"/>
  <c r="FU110" i="9"/>
  <c r="FY110" i="9"/>
  <c r="FZ110" i="9"/>
  <c r="FV110" i="9"/>
  <c r="FH113" i="9"/>
  <c r="FJ113" i="9" s="1"/>
  <c r="FI113" i="9"/>
  <c r="EW115" i="9"/>
  <c r="EU115" i="9"/>
  <c r="FM111" i="9"/>
  <c r="GJ107" i="9"/>
  <c r="GE107" i="9"/>
  <c r="GH107" i="9" s="1"/>
  <c r="FK112" i="9"/>
  <c r="FL112" i="9"/>
  <c r="FT109" i="9"/>
  <c r="GB109" i="9"/>
  <c r="FP109" i="9"/>
  <c r="FX109" i="9"/>
  <c r="GA108" i="9"/>
  <c r="FR108" i="9"/>
  <c r="FS108" i="9"/>
  <c r="FW108" i="9"/>
  <c r="FQ108" i="9"/>
  <c r="GD108" i="9" s="1"/>
  <c r="EY115" i="9"/>
  <c r="EZ115" i="9"/>
  <c r="FF114" i="9"/>
  <c r="FE114" i="9"/>
  <c r="FG114" i="9" s="1"/>
  <c r="FH114" i="9" s="1"/>
  <c r="FJ114" i="9" s="1"/>
  <c r="ES115" i="9"/>
  <c r="EQ115" i="9"/>
  <c r="EO115" i="9"/>
  <c r="FC115" i="9" s="1"/>
  <c r="EM115" i="9"/>
  <c r="FB115" i="9" s="1"/>
  <c r="FD115" i="9" s="1"/>
  <c r="EG116" i="9"/>
  <c r="EI116" i="9"/>
  <c r="EB116" i="9"/>
  <c r="ED116" i="9"/>
  <c r="EF116" i="9"/>
  <c r="EH116" i="9"/>
  <c r="GP116" i="9"/>
  <c r="EE116" i="9"/>
  <c r="EC116" i="9"/>
  <c r="EA117" i="9"/>
  <c r="GB110" i="9"/>
  <c r="FX110" i="9"/>
  <c r="FT110" i="9"/>
  <c r="FP110" i="9"/>
  <c r="CX118" i="2" l="1"/>
  <c r="CP118" i="2"/>
  <c r="CZ118" i="2" s="1"/>
  <c r="CN118" i="2"/>
  <c r="CL118" i="2"/>
  <c r="CO118" i="2" s="1"/>
  <c r="CK119" i="2"/>
  <c r="CQ117" i="2"/>
  <c r="DA117" i="2" s="1"/>
  <c r="CZ117" i="2"/>
  <c r="CU117" i="1"/>
  <c r="CY117" i="1"/>
  <c r="CR117" i="1"/>
  <c r="CW117" i="1" s="1"/>
  <c r="CP118" i="1"/>
  <c r="CV118" i="1"/>
  <c r="CQ118" i="1"/>
  <c r="CM120" i="1"/>
  <c r="CT119" i="1"/>
  <c r="CX119" i="1" s="1"/>
  <c r="CO119" i="1"/>
  <c r="CN119" i="1"/>
  <c r="EL221" i="10"/>
  <c r="ER220" i="10"/>
  <c r="EV220" i="10" s="1"/>
  <c r="EI220" i="10"/>
  <c r="EN220" i="10" s="1"/>
  <c r="EQ117" i="10"/>
  <c r="ES117" i="10" s="1"/>
  <c r="EU117" i="10"/>
  <c r="EW117" i="10" s="1"/>
  <c r="EM117" i="10"/>
  <c r="EJ117" i="10"/>
  <c r="EO117" i="10" s="1"/>
  <c r="ED119" i="10"/>
  <c r="EC119" i="10"/>
  <c r="EF119" i="10"/>
  <c r="EE119" i="10"/>
  <c r="EB119" i="10"/>
  <c r="EH118" i="10"/>
  <c r="EA120" i="10"/>
  <c r="GM116" i="9"/>
  <c r="GF116" i="9"/>
  <c r="GK106" i="9"/>
  <c r="GQ106" i="9" s="1"/>
  <c r="GG106" i="9"/>
  <c r="GS106" i="9"/>
  <c r="GK107" i="9"/>
  <c r="GQ107" i="9" s="1"/>
  <c r="GG107" i="9"/>
  <c r="GS107" i="9"/>
  <c r="GR116" i="9"/>
  <c r="FI114" i="9"/>
  <c r="EW116" i="9"/>
  <c r="EU116" i="9"/>
  <c r="FK114" i="9"/>
  <c r="FL114" i="9"/>
  <c r="EO116" i="9"/>
  <c r="FC116" i="9" s="1"/>
  <c r="EM116" i="9"/>
  <c r="FB116" i="9" s="1"/>
  <c r="FD116" i="9" s="1"/>
  <c r="FV111" i="9"/>
  <c r="FN111" i="9"/>
  <c r="FZ111" i="9"/>
  <c r="EI117" i="9"/>
  <c r="EE117" i="9"/>
  <c r="EF117" i="9"/>
  <c r="GP117" i="9"/>
  <c r="EB117" i="9"/>
  <c r="ED117" i="9"/>
  <c r="EH117" i="9"/>
  <c r="EA118" i="9"/>
  <c r="EC117" i="9"/>
  <c r="EG117" i="9"/>
  <c r="FS109" i="9"/>
  <c r="FR109" i="9"/>
  <c r="FQ109" i="9"/>
  <c r="GD109" i="9" s="1"/>
  <c r="GA109" i="9"/>
  <c r="FW109" i="9"/>
  <c r="EQ116" i="9"/>
  <c r="ES116" i="9"/>
  <c r="GE108" i="9"/>
  <c r="GH108" i="9" s="1"/>
  <c r="GJ108" i="9"/>
  <c r="EY116" i="9"/>
  <c r="EZ116" i="9"/>
  <c r="FF115" i="9"/>
  <c r="FE115" i="9"/>
  <c r="FG115" i="9" s="1"/>
  <c r="FM112" i="9"/>
  <c r="FL113" i="9"/>
  <c r="FK113" i="9"/>
  <c r="FQ110" i="9"/>
  <c r="GD110" i="9" s="1"/>
  <c r="FW110" i="9"/>
  <c r="FR110" i="9"/>
  <c r="FS110" i="9"/>
  <c r="GA110" i="9"/>
  <c r="CX119" i="2" l="1"/>
  <c r="CP119" i="2"/>
  <c r="CL119" i="2"/>
  <c r="CO119" i="2" s="1"/>
  <c r="CY119" i="2" s="1"/>
  <c r="CN119" i="2"/>
  <c r="CK120" i="2"/>
  <c r="CQ118" i="2"/>
  <c r="DA118" i="2" s="1"/>
  <c r="CY118" i="2"/>
  <c r="CR118" i="1"/>
  <c r="CW118" i="1" s="1"/>
  <c r="CU118" i="1"/>
  <c r="CY118" i="1"/>
  <c r="CV119" i="1"/>
  <c r="CQ119" i="1"/>
  <c r="CP119" i="1"/>
  <c r="CM121" i="1"/>
  <c r="CT120" i="1"/>
  <c r="CX120" i="1" s="1"/>
  <c r="CO120" i="1"/>
  <c r="CN120" i="1"/>
  <c r="EL222" i="10"/>
  <c r="ER221" i="10"/>
  <c r="EV221" i="10" s="1"/>
  <c r="EI221" i="10"/>
  <c r="EN221" i="10" s="1"/>
  <c r="EU118" i="10"/>
  <c r="EW118" i="10" s="1"/>
  <c r="EQ118" i="10"/>
  <c r="ES118" i="10" s="1"/>
  <c r="EM118" i="10"/>
  <c r="EJ118" i="10"/>
  <c r="EO118" i="10" s="1"/>
  <c r="EH119" i="10"/>
  <c r="EF120" i="10"/>
  <c r="EC120" i="10"/>
  <c r="ED120" i="10"/>
  <c r="EB120" i="10"/>
  <c r="EE120" i="10"/>
  <c r="EA121" i="10"/>
  <c r="GM117" i="9"/>
  <c r="GR117" i="9" s="1"/>
  <c r="GF117" i="9"/>
  <c r="GK108" i="9"/>
  <c r="GQ108" i="9" s="1"/>
  <c r="GG108" i="9"/>
  <c r="GS108" i="9"/>
  <c r="FM114" i="9"/>
  <c r="FV114" i="9" s="1"/>
  <c r="FH115" i="9"/>
  <c r="FJ115" i="9" s="1"/>
  <c r="FI115" i="9"/>
  <c r="EU117" i="9"/>
  <c r="EW117" i="9"/>
  <c r="GJ109" i="9"/>
  <c r="GE109" i="9"/>
  <c r="GH109" i="9" s="1"/>
  <c r="EO117" i="9"/>
  <c r="FC117" i="9" s="1"/>
  <c r="EM117" i="9"/>
  <c r="FB117" i="9" s="1"/>
  <c r="FD117" i="9" s="1"/>
  <c r="FF116" i="9"/>
  <c r="FE116" i="9"/>
  <c r="FG116" i="9" s="1"/>
  <c r="FU111" i="9"/>
  <c r="FY111" i="9"/>
  <c r="GC111" i="9"/>
  <c r="FO111" i="9"/>
  <c r="EZ117" i="9"/>
  <c r="EY117" i="9"/>
  <c r="FM113" i="9"/>
  <c r="EQ117" i="9"/>
  <c r="ES117" i="9"/>
  <c r="FN112" i="9"/>
  <c r="FZ112" i="9"/>
  <c r="FV112" i="9"/>
  <c r="ED118" i="9"/>
  <c r="EE118" i="9"/>
  <c r="EC118" i="9"/>
  <c r="EH118" i="9"/>
  <c r="EB118" i="9"/>
  <c r="GP118" i="9"/>
  <c r="EA119" i="9"/>
  <c r="EF118" i="9"/>
  <c r="EI118" i="9"/>
  <c r="EG118" i="9"/>
  <c r="GE110" i="9"/>
  <c r="GH110" i="9" s="1"/>
  <c r="GJ110" i="9"/>
  <c r="CX120" i="2" l="1"/>
  <c r="CP120" i="2"/>
  <c r="CK121" i="2"/>
  <c r="CN120" i="2"/>
  <c r="CL120" i="2"/>
  <c r="CO120" i="2" s="1"/>
  <c r="CY120" i="2" s="1"/>
  <c r="CQ119" i="2"/>
  <c r="DA119" i="2" s="1"/>
  <c r="CZ119" i="2"/>
  <c r="CU119" i="1"/>
  <c r="CY119" i="1"/>
  <c r="CP120" i="1"/>
  <c r="CR119" i="1"/>
  <c r="CW119" i="1" s="1"/>
  <c r="CV120" i="1"/>
  <c r="CQ120" i="1"/>
  <c r="CM122" i="1"/>
  <c r="CT121" i="1"/>
  <c r="CX121" i="1" s="1"/>
  <c r="CO121" i="1"/>
  <c r="CN121" i="1"/>
  <c r="EL223" i="10"/>
  <c r="ER222" i="10"/>
  <c r="EV222" i="10" s="1"/>
  <c r="EI222" i="10"/>
  <c r="EN222" i="10" s="1"/>
  <c r="EU119" i="10"/>
  <c r="EW119" i="10" s="1"/>
  <c r="EQ119" i="10"/>
  <c r="ES119" i="10" s="1"/>
  <c r="EH120" i="10"/>
  <c r="EM119" i="10"/>
  <c r="EJ119" i="10"/>
  <c r="EO119" i="10" s="1"/>
  <c r="EC121" i="10"/>
  <c r="EF121" i="10"/>
  <c r="ED121" i="10"/>
  <c r="EE121" i="10"/>
  <c r="EB121" i="10"/>
  <c r="EA122" i="10"/>
  <c r="GM118" i="9"/>
  <c r="GR118" i="9" s="1"/>
  <c r="GF118" i="9"/>
  <c r="GK109" i="9"/>
  <c r="GQ109" i="9" s="1"/>
  <c r="GG109" i="9"/>
  <c r="GS109" i="9"/>
  <c r="GK110" i="9"/>
  <c r="GQ110" i="9" s="1"/>
  <c r="GG110" i="9"/>
  <c r="GS110" i="9"/>
  <c r="FN114" i="9"/>
  <c r="FY114" i="9" s="1"/>
  <c r="FZ114" i="9"/>
  <c r="GP119" i="9"/>
  <c r="EC119" i="9"/>
  <c r="EF119" i="9"/>
  <c r="EI119" i="9"/>
  <c r="EG119" i="9"/>
  <c r="EA120" i="9"/>
  <c r="ED119" i="9"/>
  <c r="EH119" i="9"/>
  <c r="EB119" i="9"/>
  <c r="EE119" i="9"/>
  <c r="GB111" i="9"/>
  <c r="FX111" i="9"/>
  <c r="FP111" i="9"/>
  <c r="FT111" i="9"/>
  <c r="FU112" i="9"/>
  <c r="GC112" i="9"/>
  <c r="FO112" i="9"/>
  <c r="FY112" i="9"/>
  <c r="EW118" i="9"/>
  <c r="EU118" i="9"/>
  <c r="EO118" i="9"/>
  <c r="FC118" i="9" s="1"/>
  <c r="EM118" i="9"/>
  <c r="FB118" i="9" s="1"/>
  <c r="FD118" i="9" s="1"/>
  <c r="FE117" i="9"/>
  <c r="FG117" i="9" s="1"/>
  <c r="FF117" i="9"/>
  <c r="ES118" i="9"/>
  <c r="EQ118" i="9"/>
  <c r="FI116" i="9"/>
  <c r="FH116" i="9"/>
  <c r="FJ116" i="9" s="1"/>
  <c r="EZ118" i="9"/>
  <c r="EY118" i="9"/>
  <c r="FZ113" i="9"/>
  <c r="FN113" i="9"/>
  <c r="FV113" i="9"/>
  <c r="FK115" i="9"/>
  <c r="FL115" i="9"/>
  <c r="CX121" i="2" l="1"/>
  <c r="CP121" i="2"/>
  <c r="CL121" i="2"/>
  <c r="CO121" i="2" s="1"/>
  <c r="CY121" i="2" s="1"/>
  <c r="CN121" i="2"/>
  <c r="CK122" i="2"/>
  <c r="CZ120" i="2"/>
  <c r="CQ120" i="2"/>
  <c r="DA120" i="2" s="1"/>
  <c r="CU120" i="1"/>
  <c r="CY120" i="1"/>
  <c r="CR120" i="1"/>
  <c r="CW120" i="1" s="1"/>
  <c r="CV121" i="1"/>
  <c r="CQ121" i="1"/>
  <c r="CP121" i="1"/>
  <c r="CM123" i="1"/>
  <c r="CT122" i="1"/>
  <c r="CX122" i="1" s="1"/>
  <c r="CO122" i="1"/>
  <c r="CN122" i="1"/>
  <c r="EL224" i="10"/>
  <c r="ER223" i="10"/>
  <c r="EV223" i="10" s="1"/>
  <c r="EI223" i="10"/>
  <c r="EN223" i="10" s="1"/>
  <c r="EM120" i="10"/>
  <c r="EQ120" i="10"/>
  <c r="ES120" i="10" s="1"/>
  <c r="EU120" i="10"/>
  <c r="EW120" i="10" s="1"/>
  <c r="EJ120" i="10"/>
  <c r="EO120" i="10" s="1"/>
  <c r="EC122" i="10"/>
  <c r="EF122" i="10"/>
  <c r="ED122" i="10"/>
  <c r="EB122" i="10"/>
  <c r="EE122" i="10"/>
  <c r="EH121" i="10"/>
  <c r="EA123" i="10"/>
  <c r="GM119" i="9"/>
  <c r="GR119" i="9" s="1"/>
  <c r="GF119" i="9"/>
  <c r="FO114" i="9"/>
  <c r="FX114" i="9" s="1"/>
  <c r="FU114" i="9"/>
  <c r="GC114" i="9"/>
  <c r="FM115" i="9"/>
  <c r="FZ115" i="9" s="1"/>
  <c r="FF118" i="9"/>
  <c r="FE118" i="9"/>
  <c r="FG118" i="9" s="1"/>
  <c r="FH118" i="9" s="1"/>
  <c r="FJ118" i="9" s="1"/>
  <c r="EF120" i="9"/>
  <c r="EI120" i="9"/>
  <c r="EG120" i="9"/>
  <c r="GP120" i="9"/>
  <c r="EA121" i="9"/>
  <c r="EH120" i="9"/>
  <c r="EE120" i="9"/>
  <c r="ED120" i="9"/>
  <c r="EB120" i="9"/>
  <c r="EC120" i="9"/>
  <c r="FW111" i="9"/>
  <c r="FR111" i="9"/>
  <c r="FS111" i="9"/>
  <c r="FQ111" i="9"/>
  <c r="GD111" i="9" s="1"/>
  <c r="GA111" i="9"/>
  <c r="FY113" i="9"/>
  <c r="FU113" i="9"/>
  <c r="FO113" i="9"/>
  <c r="GC113" i="9"/>
  <c r="EW119" i="9"/>
  <c r="EU119" i="9"/>
  <c r="FK116" i="9"/>
  <c r="FL116" i="9"/>
  <c r="FI117" i="9"/>
  <c r="FH117" i="9"/>
  <c r="FJ117" i="9" s="1"/>
  <c r="EY119" i="9"/>
  <c r="EZ119" i="9"/>
  <c r="EQ119" i="9"/>
  <c r="ES119" i="9"/>
  <c r="FT112" i="9"/>
  <c r="FP112" i="9"/>
  <c r="FX112" i="9"/>
  <c r="GB112" i="9"/>
  <c r="EM119" i="9"/>
  <c r="FB119" i="9" s="1"/>
  <c r="FD119" i="9" s="1"/>
  <c r="EO119" i="9"/>
  <c r="FC119" i="9" s="1"/>
  <c r="CX122" i="2" l="1"/>
  <c r="CP122" i="2"/>
  <c r="CL122" i="2"/>
  <c r="CO122" i="2" s="1"/>
  <c r="CY122" i="2" s="1"/>
  <c r="CK123" i="2"/>
  <c r="CN122" i="2"/>
  <c r="CZ121" i="2"/>
  <c r="CQ121" i="2"/>
  <c r="DA121" i="2" s="1"/>
  <c r="CU121" i="1"/>
  <c r="CY121" i="1"/>
  <c r="CR121" i="1"/>
  <c r="CW121" i="1" s="1"/>
  <c r="CV122" i="1"/>
  <c r="CQ122" i="1"/>
  <c r="CP122" i="1"/>
  <c r="CM124" i="1"/>
  <c r="CT123" i="1"/>
  <c r="CX123" i="1" s="1"/>
  <c r="CO123" i="1"/>
  <c r="CN123" i="1"/>
  <c r="EL225" i="10"/>
  <c r="ER224" i="10"/>
  <c r="EV224" i="10" s="1"/>
  <c r="EI224" i="10"/>
  <c r="EN224" i="10" s="1"/>
  <c r="EU121" i="10"/>
  <c r="EW121" i="10" s="1"/>
  <c r="EQ121" i="10"/>
  <c r="ES121" i="10" s="1"/>
  <c r="EH122" i="10"/>
  <c r="EM121" i="10"/>
  <c r="EJ121" i="10"/>
  <c r="EO121" i="10" s="1"/>
  <c r="EC123" i="10"/>
  <c r="ED123" i="10"/>
  <c r="EF123" i="10"/>
  <c r="EB123" i="10"/>
  <c r="EE123" i="10"/>
  <c r="EA124" i="10"/>
  <c r="GM120" i="9"/>
  <c r="GR120" i="9" s="1"/>
  <c r="GF120" i="9"/>
  <c r="GB114" i="9"/>
  <c r="FT114" i="9"/>
  <c r="FP114" i="9"/>
  <c r="GA114" i="9" s="1"/>
  <c r="FN115" i="9"/>
  <c r="FO115" i="9" s="1"/>
  <c r="FV115" i="9"/>
  <c r="FI118" i="9"/>
  <c r="FF119" i="9"/>
  <c r="FE119" i="9"/>
  <c r="FG119" i="9" s="1"/>
  <c r="GA112" i="9"/>
  <c r="FW112" i="9"/>
  <c r="FQ112" i="9"/>
  <c r="GD112" i="9" s="1"/>
  <c r="FS112" i="9"/>
  <c r="FR112" i="9"/>
  <c r="FP113" i="9"/>
  <c r="FX113" i="9"/>
  <c r="GB113" i="9"/>
  <c r="FT113" i="9"/>
  <c r="ES120" i="9"/>
  <c r="EQ120" i="9"/>
  <c r="FK117" i="9"/>
  <c r="FL117" i="9"/>
  <c r="EM120" i="9"/>
  <c r="FB120" i="9" s="1"/>
  <c r="FD120" i="9" s="1"/>
  <c r="EO120" i="9"/>
  <c r="FC120" i="9" s="1"/>
  <c r="GJ111" i="9"/>
  <c r="GE111" i="9"/>
  <c r="GH111" i="9" s="1"/>
  <c r="EH121" i="9"/>
  <c r="EA122" i="9"/>
  <c r="EB121" i="9"/>
  <c r="EE121" i="9"/>
  <c r="EI121" i="9"/>
  <c r="EG121" i="9"/>
  <c r="ED121" i="9"/>
  <c r="GP121" i="9"/>
  <c r="EC121" i="9"/>
  <c r="EF121" i="9"/>
  <c r="EW120" i="9"/>
  <c r="EU120" i="9"/>
  <c r="FL118" i="9"/>
  <c r="FK118" i="9"/>
  <c r="FM116" i="9"/>
  <c r="EZ120" i="9"/>
  <c r="EY120" i="9"/>
  <c r="CX123" i="2" l="1"/>
  <c r="CP123" i="2"/>
  <c r="CN123" i="2"/>
  <c r="CK124" i="2"/>
  <c r="CL123" i="2"/>
  <c r="CO123" i="2" s="1"/>
  <c r="CY123" i="2" s="1"/>
  <c r="CZ122" i="2"/>
  <c r="CQ122" i="2"/>
  <c r="DA122" i="2" s="1"/>
  <c r="CU122" i="1"/>
  <c r="CY122" i="1"/>
  <c r="CP123" i="1"/>
  <c r="CR122" i="1"/>
  <c r="CW122" i="1" s="1"/>
  <c r="CV123" i="1"/>
  <c r="CQ123" i="1"/>
  <c r="CM125" i="1"/>
  <c r="CT124" i="1"/>
  <c r="CX124" i="1" s="1"/>
  <c r="CO124" i="1"/>
  <c r="CN124" i="1"/>
  <c r="EL226" i="10"/>
  <c r="ER225" i="10"/>
  <c r="EV225" i="10" s="1"/>
  <c r="EI225" i="10"/>
  <c r="EN225" i="10" s="1"/>
  <c r="EU122" i="10"/>
  <c r="EW122" i="10" s="1"/>
  <c r="EQ122" i="10"/>
  <c r="ES122" i="10" s="1"/>
  <c r="EH123" i="10"/>
  <c r="EM122" i="10"/>
  <c r="EJ122" i="10"/>
  <c r="EO122" i="10" s="1"/>
  <c r="EC124" i="10"/>
  <c r="EF124" i="10"/>
  <c r="ED124" i="10"/>
  <c r="EB124" i="10"/>
  <c r="EE124" i="10"/>
  <c r="EA125" i="10"/>
  <c r="GM121" i="9"/>
  <c r="GR121" i="9" s="1"/>
  <c r="GF121" i="9"/>
  <c r="GK111" i="9"/>
  <c r="GQ111" i="9" s="1"/>
  <c r="GG111" i="9"/>
  <c r="GS111" i="9"/>
  <c r="GC115" i="9"/>
  <c r="FY115" i="9"/>
  <c r="FU115" i="9"/>
  <c r="FQ114" i="9"/>
  <c r="GD114" i="9" s="1"/>
  <c r="GJ114" i="9" s="1"/>
  <c r="FS114" i="9"/>
  <c r="FR114" i="9"/>
  <c r="FW114" i="9"/>
  <c r="FM117" i="9"/>
  <c r="FZ117" i="9" s="1"/>
  <c r="FM118" i="9"/>
  <c r="FZ118" i="9" s="1"/>
  <c r="FR113" i="9"/>
  <c r="FQ113" i="9"/>
  <c r="GD113" i="9" s="1"/>
  <c r="GA113" i="9"/>
  <c r="FW113" i="9"/>
  <c r="FS113" i="9"/>
  <c r="FV116" i="9"/>
  <c r="FZ116" i="9"/>
  <c r="FN116" i="9"/>
  <c r="GB115" i="9"/>
  <c r="FP115" i="9"/>
  <c r="FX115" i="9"/>
  <c r="FT115" i="9"/>
  <c r="EO121" i="9"/>
  <c r="FC121" i="9" s="1"/>
  <c r="EM121" i="9"/>
  <c r="FB121" i="9" s="1"/>
  <c r="FD121" i="9" s="1"/>
  <c r="EI122" i="9"/>
  <c r="EH122" i="9"/>
  <c r="GP122" i="9"/>
  <c r="ED122" i="9"/>
  <c r="EG122" i="9"/>
  <c r="EE122" i="9"/>
  <c r="EF122" i="9"/>
  <c r="EB122" i="9"/>
  <c r="EA123" i="9"/>
  <c r="EC122" i="9"/>
  <c r="GE112" i="9"/>
  <c r="GH112" i="9" s="1"/>
  <c r="GJ112" i="9"/>
  <c r="FF120" i="9"/>
  <c r="FE120" i="9"/>
  <c r="FG120" i="9" s="1"/>
  <c r="ES121" i="9"/>
  <c r="EQ121" i="9"/>
  <c r="EW121" i="9"/>
  <c r="EU121" i="9"/>
  <c r="FI119" i="9"/>
  <c r="FH119" i="9"/>
  <c r="FJ119" i="9" s="1"/>
  <c r="EZ121" i="9"/>
  <c r="EY121" i="9"/>
  <c r="CX124" i="2" l="1"/>
  <c r="CP124" i="2"/>
  <c r="CK125" i="2"/>
  <c r="CL124" i="2"/>
  <c r="CO124" i="2" s="1"/>
  <c r="CY124" i="2" s="1"/>
  <c r="CN124" i="2"/>
  <c r="CZ123" i="2"/>
  <c r="CQ123" i="2"/>
  <c r="DA123" i="2" s="1"/>
  <c r="CR123" i="1"/>
  <c r="CW123" i="1" s="1"/>
  <c r="CU123" i="1"/>
  <c r="CY123" i="1"/>
  <c r="CV124" i="1"/>
  <c r="CQ124" i="1"/>
  <c r="CP124" i="1"/>
  <c r="CM126" i="1"/>
  <c r="CT125" i="1"/>
  <c r="CX125" i="1" s="1"/>
  <c r="CO125" i="1"/>
  <c r="CN125" i="1"/>
  <c r="EL227" i="10"/>
  <c r="ER226" i="10"/>
  <c r="EV226" i="10" s="1"/>
  <c r="EI226" i="10"/>
  <c r="EN226" i="10" s="1"/>
  <c r="EQ123" i="10"/>
  <c r="ES123" i="10" s="1"/>
  <c r="EU123" i="10"/>
  <c r="EW123" i="10" s="1"/>
  <c r="EM123" i="10"/>
  <c r="EJ123" i="10"/>
  <c r="EO123" i="10" s="1"/>
  <c r="EC125" i="10"/>
  <c r="ED125" i="10"/>
  <c r="EF125" i="10"/>
  <c r="EE125" i="10"/>
  <c r="EB125" i="10"/>
  <c r="EH124" i="10"/>
  <c r="EA126" i="10"/>
  <c r="GM122" i="9"/>
  <c r="GF122" i="9"/>
  <c r="GK112" i="9"/>
  <c r="GQ112" i="9" s="1"/>
  <c r="GG112" i="9"/>
  <c r="GS112" i="9"/>
  <c r="GR122" i="9"/>
  <c r="FN118" i="9"/>
  <c r="FU118" i="9" s="1"/>
  <c r="FV118" i="9"/>
  <c r="GE114" i="9"/>
  <c r="GH114" i="9" s="1"/>
  <c r="FN117" i="9"/>
  <c r="FY117" i="9" s="1"/>
  <c r="FV117" i="9"/>
  <c r="FF121" i="9"/>
  <c r="FE121" i="9"/>
  <c r="FG121" i="9" s="1"/>
  <c r="FI120" i="9"/>
  <c r="FH120" i="9"/>
  <c r="FJ120" i="9" s="1"/>
  <c r="EW122" i="9"/>
  <c r="EU122" i="9"/>
  <c r="FL119" i="9"/>
  <c r="FK119" i="9"/>
  <c r="EY122" i="9"/>
  <c r="EZ122" i="9"/>
  <c r="ES122" i="9"/>
  <c r="EQ122" i="9"/>
  <c r="FY116" i="9"/>
  <c r="GC116" i="9"/>
  <c r="FU116" i="9"/>
  <c r="FO116" i="9"/>
  <c r="EA124" i="9"/>
  <c r="EC123" i="9"/>
  <c r="EI123" i="9"/>
  <c r="EG123" i="9"/>
  <c r="EE123" i="9"/>
  <c r="GP123" i="9"/>
  <c r="ED123" i="9"/>
  <c r="EF123" i="9"/>
  <c r="EH123" i="9"/>
  <c r="EB123" i="9"/>
  <c r="GA115" i="9"/>
  <c r="FW115" i="9"/>
  <c r="FR115" i="9"/>
  <c r="FS115" i="9"/>
  <c r="FQ115" i="9"/>
  <c r="GD115" i="9" s="1"/>
  <c r="GE113" i="9"/>
  <c r="GH113" i="9" s="1"/>
  <c r="GJ113" i="9"/>
  <c r="EO122" i="9"/>
  <c r="FC122" i="9" s="1"/>
  <c r="EM122" i="9"/>
  <c r="FB122" i="9" s="1"/>
  <c r="FD122" i="9" s="1"/>
  <c r="CX125" i="2" l="1"/>
  <c r="CP125" i="2"/>
  <c r="CN125" i="2"/>
  <c r="CL125" i="2"/>
  <c r="CO125" i="2" s="1"/>
  <c r="CY125" i="2" s="1"/>
  <c r="CK126" i="2"/>
  <c r="CZ124" i="2"/>
  <c r="CQ124" i="2"/>
  <c r="DA124" i="2" s="1"/>
  <c r="CU124" i="1"/>
  <c r="CY124" i="1"/>
  <c r="CR124" i="1"/>
  <c r="CW124" i="1" s="1"/>
  <c r="CV125" i="1"/>
  <c r="CQ125" i="1"/>
  <c r="CP125" i="1"/>
  <c r="CM127" i="1"/>
  <c r="CT126" i="1"/>
  <c r="CX126" i="1" s="1"/>
  <c r="CO126" i="1"/>
  <c r="CN126" i="1"/>
  <c r="EL228" i="10"/>
  <c r="ER227" i="10"/>
  <c r="EV227" i="10" s="1"/>
  <c r="EI227" i="10"/>
  <c r="EN227" i="10" s="1"/>
  <c r="EU124" i="10"/>
  <c r="EW124" i="10" s="1"/>
  <c r="EQ124" i="10"/>
  <c r="ES124" i="10" s="1"/>
  <c r="EM124" i="10"/>
  <c r="EJ124" i="10"/>
  <c r="EO124" i="10" s="1"/>
  <c r="EH125" i="10"/>
  <c r="EF126" i="10"/>
  <c r="EC126" i="10"/>
  <c r="ED126" i="10"/>
  <c r="EE126" i="10"/>
  <c r="EB126" i="10"/>
  <c r="EA127" i="10"/>
  <c r="GM123" i="9"/>
  <c r="GF123" i="9"/>
  <c r="GK113" i="9"/>
  <c r="GQ113" i="9" s="1"/>
  <c r="GG113" i="9"/>
  <c r="GS113" i="9"/>
  <c r="GK114" i="9"/>
  <c r="GQ114" i="9" s="1"/>
  <c r="GG114" i="9"/>
  <c r="GS114" i="9"/>
  <c r="GR123" i="9"/>
  <c r="FY118" i="9"/>
  <c r="GC118" i="9"/>
  <c r="FO118" i="9"/>
  <c r="FX118" i="9" s="1"/>
  <c r="FO117" i="9"/>
  <c r="FT117" i="9" s="1"/>
  <c r="GC117" i="9"/>
  <c r="FU117" i="9"/>
  <c r="FH121" i="9"/>
  <c r="FJ121" i="9" s="1"/>
  <c r="FI121" i="9"/>
  <c r="EZ123" i="9"/>
  <c r="EY123" i="9"/>
  <c r="FK120" i="9"/>
  <c r="FL120" i="9"/>
  <c r="FX116" i="9"/>
  <c r="FP116" i="9"/>
  <c r="GB116" i="9"/>
  <c r="FT116" i="9"/>
  <c r="FE122" i="9"/>
  <c r="FG122" i="9" s="1"/>
  <c r="FH122" i="9" s="1"/>
  <c r="FJ122" i="9" s="1"/>
  <c r="FF122" i="9"/>
  <c r="FM119" i="9"/>
  <c r="EW123" i="9"/>
  <c r="EU123" i="9"/>
  <c r="ES123" i="9"/>
  <c r="EQ123" i="9"/>
  <c r="GE115" i="9"/>
  <c r="GH115" i="9" s="1"/>
  <c r="GJ115" i="9"/>
  <c r="EO123" i="9"/>
  <c r="FC123" i="9" s="1"/>
  <c r="EM123" i="9"/>
  <c r="FB123" i="9" s="1"/>
  <c r="FD123" i="9" s="1"/>
  <c r="EI124" i="9"/>
  <c r="EE124" i="9"/>
  <c r="EB124" i="9"/>
  <c r="EA125" i="9"/>
  <c r="ED124" i="9"/>
  <c r="GP124" i="9"/>
  <c r="EC124" i="9"/>
  <c r="EG124" i="9"/>
  <c r="EF124" i="9"/>
  <c r="EH124" i="9"/>
  <c r="CX126" i="2" l="1"/>
  <c r="CP126" i="2"/>
  <c r="CZ126" i="2" s="1"/>
  <c r="CL126" i="2"/>
  <c r="CN126" i="2"/>
  <c r="CK127" i="2"/>
  <c r="CZ125" i="2"/>
  <c r="CQ125" i="2"/>
  <c r="DA125" i="2" s="1"/>
  <c r="CU125" i="1"/>
  <c r="CY125" i="1"/>
  <c r="CR125" i="1"/>
  <c r="CW125" i="1" s="1"/>
  <c r="CV126" i="1"/>
  <c r="CQ126" i="1"/>
  <c r="CP126" i="1"/>
  <c r="CM128" i="1"/>
  <c r="CT127" i="1"/>
  <c r="CX127" i="1" s="1"/>
  <c r="CO127" i="1"/>
  <c r="CN127" i="1"/>
  <c r="EL229" i="10"/>
  <c r="ER228" i="10"/>
  <c r="EV228" i="10" s="1"/>
  <c r="EI228" i="10"/>
  <c r="EN228" i="10" s="1"/>
  <c r="EU125" i="10"/>
  <c r="EW125" i="10" s="1"/>
  <c r="EQ125" i="10"/>
  <c r="ES125" i="10" s="1"/>
  <c r="EH126" i="10"/>
  <c r="EM125" i="10"/>
  <c r="EJ125" i="10"/>
  <c r="EO125" i="10" s="1"/>
  <c r="EC127" i="10"/>
  <c r="ED127" i="10"/>
  <c r="EF127" i="10"/>
  <c r="EE127" i="10"/>
  <c r="EB127" i="10"/>
  <c r="EA128" i="10"/>
  <c r="GM124" i="9"/>
  <c r="GF124" i="9"/>
  <c r="GK115" i="9"/>
  <c r="GQ115" i="9" s="1"/>
  <c r="GG115" i="9"/>
  <c r="GS115" i="9"/>
  <c r="GR124" i="9"/>
  <c r="FP117" i="9"/>
  <c r="FW117" i="9" s="1"/>
  <c r="FP118" i="9"/>
  <c r="FW118" i="9" s="1"/>
  <c r="GB117" i="9"/>
  <c r="FX117" i="9"/>
  <c r="GB118" i="9"/>
  <c r="FT118" i="9"/>
  <c r="FI122" i="9"/>
  <c r="EW124" i="9"/>
  <c r="EU124" i="9"/>
  <c r="FK121" i="9"/>
  <c r="FL121" i="9"/>
  <c r="FL122" i="9"/>
  <c r="FK122" i="9"/>
  <c r="EM124" i="9"/>
  <c r="FB124" i="9" s="1"/>
  <c r="FD124" i="9" s="1"/>
  <c r="EO124" i="9"/>
  <c r="FC124" i="9" s="1"/>
  <c r="FQ116" i="9"/>
  <c r="GD116" i="9" s="1"/>
  <c r="FS116" i="9"/>
  <c r="GA116" i="9"/>
  <c r="FR116" i="9"/>
  <c r="FW116" i="9"/>
  <c r="EI125" i="9"/>
  <c r="EB125" i="9"/>
  <c r="EA126" i="9"/>
  <c r="EH125" i="9"/>
  <c r="ED125" i="9"/>
  <c r="EE125" i="9"/>
  <c r="GP125" i="9"/>
  <c r="EC125" i="9"/>
  <c r="EF125" i="9"/>
  <c r="EG125" i="9"/>
  <c r="EZ124" i="9"/>
  <c r="EY124" i="9"/>
  <c r="ES124" i="9"/>
  <c r="EQ124" i="9"/>
  <c r="FM120" i="9"/>
  <c r="FF123" i="9"/>
  <c r="FE123" i="9"/>
  <c r="FG123" i="9" s="1"/>
  <c r="FH123" i="9" s="1"/>
  <c r="FJ123" i="9" s="1"/>
  <c r="FV119" i="9"/>
  <c r="FN119" i="9"/>
  <c r="FZ119" i="9"/>
  <c r="CX127" i="2" l="1"/>
  <c r="CP127" i="2"/>
  <c r="CK128" i="2"/>
  <c r="CL127" i="2"/>
  <c r="CO127" i="2" s="1"/>
  <c r="CY127" i="2" s="1"/>
  <c r="CN127" i="2"/>
  <c r="CO126" i="2"/>
  <c r="CU126" i="1"/>
  <c r="CY126" i="1"/>
  <c r="CR126" i="1"/>
  <c r="CW126" i="1" s="1"/>
  <c r="CV127" i="1"/>
  <c r="CQ127" i="1"/>
  <c r="CP127" i="1"/>
  <c r="CM129" i="1"/>
  <c r="CT128" i="1"/>
  <c r="CX128" i="1" s="1"/>
  <c r="CO128" i="1"/>
  <c r="CN128" i="1"/>
  <c r="EL230" i="10"/>
  <c r="ER229" i="10"/>
  <c r="EV229" i="10" s="1"/>
  <c r="EI229" i="10"/>
  <c r="EN229" i="10" s="1"/>
  <c r="EU126" i="10"/>
  <c r="EW126" i="10" s="1"/>
  <c r="EQ126" i="10"/>
  <c r="ES126" i="10" s="1"/>
  <c r="EM126" i="10"/>
  <c r="EJ126" i="10"/>
  <c r="EO126" i="10" s="1"/>
  <c r="EF128" i="10"/>
  <c r="EC128" i="10"/>
  <c r="ED128" i="10"/>
  <c r="EE128" i="10"/>
  <c r="EB128" i="10"/>
  <c r="EH127" i="10"/>
  <c r="EA129" i="10"/>
  <c r="GM125" i="9"/>
  <c r="GR125" i="9" s="1"/>
  <c r="GF125" i="9"/>
  <c r="FS118" i="9"/>
  <c r="GA117" i="9"/>
  <c r="FR118" i="9"/>
  <c r="GA118" i="9"/>
  <c r="FS117" i="9"/>
  <c r="FR117" i="9"/>
  <c r="FQ117" i="9"/>
  <c r="GD117" i="9" s="1"/>
  <c r="GE117" i="9" s="1"/>
  <c r="GH117" i="9" s="1"/>
  <c r="FQ118" i="9"/>
  <c r="GD118" i="9" s="1"/>
  <c r="FM122" i="9"/>
  <c r="FV122" i="9" s="1"/>
  <c r="FM121" i="9"/>
  <c r="FI123" i="9"/>
  <c r="EZ125" i="9"/>
  <c r="EY125" i="9"/>
  <c r="GJ116" i="9"/>
  <c r="GE116" i="9"/>
  <c r="GH116" i="9" s="1"/>
  <c r="FY119" i="9"/>
  <c r="FO119" i="9"/>
  <c r="FU119" i="9"/>
  <c r="GC119" i="9"/>
  <c r="EI126" i="9"/>
  <c r="EH126" i="9"/>
  <c r="EG126" i="9"/>
  <c r="EB126" i="9"/>
  <c r="EC126" i="9"/>
  <c r="EA127" i="9"/>
  <c r="GP126" i="9"/>
  <c r="ED126" i="9"/>
  <c r="EE126" i="9"/>
  <c r="EF126" i="9"/>
  <c r="EO125" i="9"/>
  <c r="FC125" i="9" s="1"/>
  <c r="EM125" i="9"/>
  <c r="FB125" i="9" s="1"/>
  <c r="FD125" i="9" s="1"/>
  <c r="FF124" i="9"/>
  <c r="FE124" i="9"/>
  <c r="FG124" i="9" s="1"/>
  <c r="FL123" i="9"/>
  <c r="FK123" i="9"/>
  <c r="EQ125" i="9"/>
  <c r="ES125" i="9"/>
  <c r="EW125" i="9"/>
  <c r="EU125" i="9"/>
  <c r="FV120" i="9"/>
  <c r="FZ120" i="9"/>
  <c r="FN120" i="9"/>
  <c r="CQ126" i="2" l="1"/>
  <c r="DA126" i="2" s="1"/>
  <c r="CY126" i="2"/>
  <c r="CX128" i="2"/>
  <c r="CP128" i="2"/>
  <c r="CN128" i="2"/>
  <c r="CL128" i="2"/>
  <c r="CO128" i="2" s="1"/>
  <c r="CY128" i="2" s="1"/>
  <c r="CK129" i="2"/>
  <c r="CQ127" i="2"/>
  <c r="DA127" i="2" s="1"/>
  <c r="CZ127" i="2"/>
  <c r="CU127" i="1"/>
  <c r="CY127" i="1"/>
  <c r="CR127" i="1"/>
  <c r="CW127" i="1" s="1"/>
  <c r="CP128" i="1"/>
  <c r="CV128" i="1"/>
  <c r="CQ128" i="1"/>
  <c r="CM130" i="1"/>
  <c r="CT129" i="1"/>
  <c r="CX129" i="1" s="1"/>
  <c r="CO129" i="1"/>
  <c r="CN129" i="1"/>
  <c r="EL231" i="10"/>
  <c r="ER230" i="10"/>
  <c r="EV230" i="10" s="1"/>
  <c r="EI230" i="10"/>
  <c r="EN230" i="10" s="1"/>
  <c r="EQ127" i="10"/>
  <c r="ES127" i="10" s="1"/>
  <c r="EU127" i="10"/>
  <c r="EW127" i="10" s="1"/>
  <c r="EM127" i="10"/>
  <c r="EJ127" i="10"/>
  <c r="EO127" i="10" s="1"/>
  <c r="EH128" i="10"/>
  <c r="EF129" i="10"/>
  <c r="EC129" i="10"/>
  <c r="ED129" i="10"/>
  <c r="EB129" i="10"/>
  <c r="EE129" i="10"/>
  <c r="EA130" i="10"/>
  <c r="GM126" i="9"/>
  <c r="GF126" i="9"/>
  <c r="GK117" i="9"/>
  <c r="GQ117" i="9" s="1"/>
  <c r="GG117" i="9"/>
  <c r="GS117" i="9"/>
  <c r="GK116" i="9"/>
  <c r="GQ116" i="9" s="1"/>
  <c r="GG116" i="9"/>
  <c r="GS116" i="9"/>
  <c r="GR126" i="9"/>
  <c r="GJ117" i="9"/>
  <c r="FN122" i="9"/>
  <c r="FU122" i="9" s="1"/>
  <c r="GJ118" i="9"/>
  <c r="GE118" i="9"/>
  <c r="GH118" i="9" s="1"/>
  <c r="FZ122" i="9"/>
  <c r="FZ121" i="9"/>
  <c r="FN121" i="9"/>
  <c r="FV121" i="9"/>
  <c r="FM123" i="9"/>
  <c r="FZ123" i="9" s="1"/>
  <c r="EH127" i="9"/>
  <c r="EG127" i="9"/>
  <c r="ED127" i="9"/>
  <c r="GP127" i="9"/>
  <c r="EI127" i="9"/>
  <c r="EA128" i="9"/>
  <c r="EB127" i="9"/>
  <c r="EF127" i="9"/>
  <c r="EE127" i="9"/>
  <c r="EC127" i="9"/>
  <c r="FX119" i="9"/>
  <c r="FP119" i="9"/>
  <c r="GB119" i="9"/>
  <c r="FT119" i="9"/>
  <c r="EU126" i="9"/>
  <c r="EW126" i="9"/>
  <c r="EQ126" i="9"/>
  <c r="ES126" i="9"/>
  <c r="FF125" i="9"/>
  <c r="FE125" i="9"/>
  <c r="FG125" i="9" s="1"/>
  <c r="EO126" i="9"/>
  <c r="FC126" i="9" s="1"/>
  <c r="EM126" i="9"/>
  <c r="FB126" i="9" s="1"/>
  <c r="FD126" i="9" s="1"/>
  <c r="FU120" i="9"/>
  <c r="FY120" i="9"/>
  <c r="GC120" i="9"/>
  <c r="FO120" i="9"/>
  <c r="FH124" i="9"/>
  <c r="FJ124" i="9" s="1"/>
  <c r="FI124" i="9"/>
  <c r="EY126" i="9"/>
  <c r="EZ126" i="9"/>
  <c r="CX129" i="2" l="1"/>
  <c r="CP129" i="2"/>
  <c r="CN129" i="2"/>
  <c r="CL129" i="2"/>
  <c r="CO129" i="2" s="1"/>
  <c r="CY129" i="2" s="1"/>
  <c r="CK130" i="2"/>
  <c r="CZ128" i="2"/>
  <c r="CQ128" i="2"/>
  <c r="DA128" i="2" s="1"/>
  <c r="CU128" i="1"/>
  <c r="CY128" i="1"/>
  <c r="CR128" i="1"/>
  <c r="CW128" i="1" s="1"/>
  <c r="CV129" i="1"/>
  <c r="CQ129" i="1"/>
  <c r="CP129" i="1"/>
  <c r="CM131" i="1"/>
  <c r="CT130" i="1"/>
  <c r="CX130" i="1" s="1"/>
  <c r="CO130" i="1"/>
  <c r="CN130" i="1"/>
  <c r="EL232" i="10"/>
  <c r="ER231" i="10"/>
  <c r="EV231" i="10" s="1"/>
  <c r="EI231" i="10"/>
  <c r="EN231" i="10" s="1"/>
  <c r="EU128" i="10"/>
  <c r="EW128" i="10" s="1"/>
  <c r="EQ128" i="10"/>
  <c r="ES128" i="10" s="1"/>
  <c r="EM128" i="10"/>
  <c r="EJ128" i="10"/>
  <c r="EO128" i="10" s="1"/>
  <c r="EH129" i="10"/>
  <c r="ED130" i="10"/>
  <c r="EC130" i="10"/>
  <c r="EF130" i="10"/>
  <c r="EE130" i="10"/>
  <c r="EB130" i="10"/>
  <c r="EA131" i="10"/>
  <c r="GM127" i="9"/>
  <c r="GF127" i="9"/>
  <c r="GK118" i="9"/>
  <c r="GQ118" i="9" s="1"/>
  <c r="GG118" i="9"/>
  <c r="GS118" i="9"/>
  <c r="GR127" i="9"/>
  <c r="FO122" i="9"/>
  <c r="GB122" i="9" s="1"/>
  <c r="GC122" i="9"/>
  <c r="FY122" i="9"/>
  <c r="FV123" i="9"/>
  <c r="FN123" i="9"/>
  <c r="FY123" i="9" s="1"/>
  <c r="FU121" i="9"/>
  <c r="GC121" i="9"/>
  <c r="FY121" i="9"/>
  <c r="FO121" i="9"/>
  <c r="EO127" i="9"/>
  <c r="FC127" i="9" s="1"/>
  <c r="EM127" i="9"/>
  <c r="FB127" i="9" s="1"/>
  <c r="FD127" i="9" s="1"/>
  <c r="EH128" i="9"/>
  <c r="EF128" i="9"/>
  <c r="EI128" i="9"/>
  <c r="EE128" i="9"/>
  <c r="EB128" i="9"/>
  <c r="EC128" i="9"/>
  <c r="EA129" i="9"/>
  <c r="EG128" i="9"/>
  <c r="GP128" i="9"/>
  <c r="ED128" i="9"/>
  <c r="GA119" i="9"/>
  <c r="FR119" i="9"/>
  <c r="FS119" i="9"/>
  <c r="FQ119" i="9"/>
  <c r="GD119" i="9" s="1"/>
  <c r="FW119" i="9"/>
  <c r="FI125" i="9"/>
  <c r="FH125" i="9"/>
  <c r="FJ125" i="9" s="1"/>
  <c r="FL124" i="9"/>
  <c r="FK124" i="9"/>
  <c r="EU127" i="9"/>
  <c r="EW127" i="9"/>
  <c r="FT120" i="9"/>
  <c r="FX120" i="9"/>
  <c r="FP120" i="9"/>
  <c r="GB120" i="9"/>
  <c r="EQ127" i="9"/>
  <c r="ES127" i="9"/>
  <c r="FF126" i="9"/>
  <c r="FE126" i="9"/>
  <c r="FG126" i="9" s="1"/>
  <c r="EZ127" i="9"/>
  <c r="EY127" i="9"/>
  <c r="CX130" i="2" l="1"/>
  <c r="CP130" i="2"/>
  <c r="CK131" i="2"/>
  <c r="CN130" i="2"/>
  <c r="CL130" i="2"/>
  <c r="CO130" i="2" s="1"/>
  <c r="CY130" i="2" s="1"/>
  <c r="CZ129" i="2"/>
  <c r="CQ129" i="2"/>
  <c r="DA129" i="2" s="1"/>
  <c r="CU129" i="1"/>
  <c r="CY129" i="1"/>
  <c r="CR129" i="1"/>
  <c r="CW129" i="1" s="1"/>
  <c r="CV130" i="1"/>
  <c r="CQ130" i="1"/>
  <c r="CP130" i="1"/>
  <c r="CM132" i="1"/>
  <c r="CT131" i="1"/>
  <c r="CX131" i="1" s="1"/>
  <c r="CO131" i="1"/>
  <c r="CN131" i="1"/>
  <c r="EL233" i="10"/>
  <c r="ER232" i="10"/>
  <c r="EV232" i="10" s="1"/>
  <c r="EI232" i="10"/>
  <c r="EN232" i="10" s="1"/>
  <c r="EU129" i="10"/>
  <c r="EW129" i="10" s="1"/>
  <c r="EQ129" i="10"/>
  <c r="ES129" i="10" s="1"/>
  <c r="EM129" i="10"/>
  <c r="EJ129" i="10"/>
  <c r="EO129" i="10" s="1"/>
  <c r="EH130" i="10"/>
  <c r="EC131" i="10"/>
  <c r="EF131" i="10"/>
  <c r="ED131" i="10"/>
  <c r="EE131" i="10"/>
  <c r="EB131" i="10"/>
  <c r="EA132" i="10"/>
  <c r="GM128" i="9"/>
  <c r="GR128" i="9" s="1"/>
  <c r="GF128" i="9"/>
  <c r="FP122" i="9"/>
  <c r="FW122" i="9" s="1"/>
  <c r="FT122" i="9"/>
  <c r="FX122" i="9"/>
  <c r="GC123" i="9"/>
  <c r="FO123" i="9"/>
  <c r="FP123" i="9" s="1"/>
  <c r="FU123" i="9"/>
  <c r="FT121" i="9"/>
  <c r="FX121" i="9"/>
  <c r="GB121" i="9"/>
  <c r="FP121" i="9"/>
  <c r="FM124" i="9"/>
  <c r="EW128" i="9"/>
  <c r="EU128" i="9"/>
  <c r="FH126" i="9"/>
  <c r="FJ126" i="9" s="1"/>
  <c r="FI126" i="9"/>
  <c r="FL125" i="9"/>
  <c r="FK125" i="9"/>
  <c r="FW120" i="9"/>
  <c r="FR120" i="9"/>
  <c r="FS120" i="9"/>
  <c r="GA120" i="9"/>
  <c r="FQ120" i="9"/>
  <c r="GD120" i="9" s="1"/>
  <c r="EY128" i="9"/>
  <c r="EZ128" i="9"/>
  <c r="EE129" i="9"/>
  <c r="EA130" i="9"/>
  <c r="ED129" i="9"/>
  <c r="GP129" i="9"/>
  <c r="EF129" i="9"/>
  <c r="EI129" i="9"/>
  <c r="EG129" i="9"/>
  <c r="EB129" i="9"/>
  <c r="EC129" i="9"/>
  <c r="EH129" i="9"/>
  <c r="GJ119" i="9"/>
  <c r="GE119" i="9"/>
  <c r="GH119" i="9" s="1"/>
  <c r="ES128" i="9"/>
  <c r="EQ128" i="9"/>
  <c r="FF127" i="9"/>
  <c r="FE127" i="9"/>
  <c r="FG127" i="9" s="1"/>
  <c r="FH127" i="9" s="1"/>
  <c r="FJ127" i="9" s="1"/>
  <c r="EM128" i="9"/>
  <c r="FB128" i="9" s="1"/>
  <c r="FD128" i="9" s="1"/>
  <c r="EO128" i="9"/>
  <c r="FC128" i="9" s="1"/>
  <c r="CX131" i="2" l="1"/>
  <c r="CP131" i="2"/>
  <c r="CN131" i="2"/>
  <c r="CL131" i="2"/>
  <c r="CK132" i="2"/>
  <c r="CZ130" i="2"/>
  <c r="CQ130" i="2"/>
  <c r="DA130" i="2" s="1"/>
  <c r="CU130" i="1"/>
  <c r="CY130" i="1"/>
  <c r="CR130" i="1"/>
  <c r="CW130" i="1" s="1"/>
  <c r="CV131" i="1"/>
  <c r="CQ131" i="1"/>
  <c r="CP131" i="1"/>
  <c r="CM133" i="1"/>
  <c r="CT132" i="1"/>
  <c r="CX132" i="1" s="1"/>
  <c r="CO132" i="1"/>
  <c r="CN132" i="1"/>
  <c r="EL234" i="10"/>
  <c r="ER233" i="10"/>
  <c r="EV233" i="10" s="1"/>
  <c r="EI233" i="10"/>
  <c r="EN233" i="10" s="1"/>
  <c r="EQ130" i="10"/>
  <c r="ES130" i="10" s="1"/>
  <c r="EU130" i="10"/>
  <c r="EW130" i="10" s="1"/>
  <c r="EH131" i="10"/>
  <c r="EM130" i="10"/>
  <c r="EJ130" i="10"/>
  <c r="EO130" i="10" s="1"/>
  <c r="EF132" i="10"/>
  <c r="ED132" i="10"/>
  <c r="EC132" i="10"/>
  <c r="EB132" i="10"/>
  <c r="EE132" i="10"/>
  <c r="EA133" i="10"/>
  <c r="GM129" i="9"/>
  <c r="GF129" i="9"/>
  <c r="GK119" i="9"/>
  <c r="GQ119" i="9" s="1"/>
  <c r="GG119" i="9"/>
  <c r="GS119" i="9"/>
  <c r="GR129" i="9"/>
  <c r="GA122" i="9"/>
  <c r="FR122" i="9"/>
  <c r="FQ122" i="9"/>
  <c r="GD122" i="9" s="1"/>
  <c r="FS122" i="9"/>
  <c r="FX123" i="9"/>
  <c r="FT123" i="9"/>
  <c r="GB123" i="9"/>
  <c r="FR121" i="9"/>
  <c r="FS121" i="9"/>
  <c r="FW121" i="9"/>
  <c r="GA121" i="9"/>
  <c r="FQ121" i="9"/>
  <c r="GD121" i="9" s="1"/>
  <c r="GA123" i="9"/>
  <c r="FW123" i="9"/>
  <c r="FQ123" i="9"/>
  <c r="FR123" i="9"/>
  <c r="FS123" i="9"/>
  <c r="FM125" i="9"/>
  <c r="EW129" i="9"/>
  <c r="EU129" i="9"/>
  <c r="EG130" i="9"/>
  <c r="EH130" i="9"/>
  <c r="EB130" i="9"/>
  <c r="EE130" i="9"/>
  <c r="EA131" i="9"/>
  <c r="EC130" i="9"/>
  <c r="ED130" i="9"/>
  <c r="EF130" i="9"/>
  <c r="GP130" i="9"/>
  <c r="EI130" i="9"/>
  <c r="FK126" i="9"/>
  <c r="FL126" i="9"/>
  <c r="GJ120" i="9"/>
  <c r="GE120" i="9"/>
  <c r="GH120" i="9" s="1"/>
  <c r="ES129" i="9"/>
  <c r="EQ129" i="9"/>
  <c r="EZ129" i="9"/>
  <c r="EY129" i="9"/>
  <c r="EO129" i="9"/>
  <c r="FC129" i="9" s="1"/>
  <c r="EM129" i="9"/>
  <c r="FB129" i="9" s="1"/>
  <c r="FD129" i="9" s="1"/>
  <c r="FE128" i="9"/>
  <c r="FG128" i="9" s="1"/>
  <c r="FF128" i="9"/>
  <c r="FL127" i="9"/>
  <c r="FK127" i="9"/>
  <c r="FI127" i="9"/>
  <c r="FZ124" i="9"/>
  <c r="FN124" i="9"/>
  <c r="FV124" i="9"/>
  <c r="CX132" i="2" l="1"/>
  <c r="CP132" i="2"/>
  <c r="CL132" i="2"/>
  <c r="CO132" i="2" s="1"/>
  <c r="CY132" i="2" s="1"/>
  <c r="CN132" i="2"/>
  <c r="CK133" i="2"/>
  <c r="CO131" i="2"/>
  <c r="CY131" i="2" s="1"/>
  <c r="CZ131" i="2"/>
  <c r="CU131" i="1"/>
  <c r="CY131" i="1"/>
  <c r="CR131" i="1"/>
  <c r="CW131" i="1" s="1"/>
  <c r="CV132" i="1"/>
  <c r="CQ132" i="1"/>
  <c r="CP132" i="1"/>
  <c r="CM134" i="1"/>
  <c r="CT133" i="1"/>
  <c r="CX133" i="1" s="1"/>
  <c r="CO133" i="1"/>
  <c r="CN133" i="1"/>
  <c r="EL235" i="10"/>
  <c r="ER234" i="10"/>
  <c r="EV234" i="10" s="1"/>
  <c r="EI234" i="10"/>
  <c r="EN234" i="10" s="1"/>
  <c r="EU131" i="10"/>
  <c r="EW131" i="10" s="1"/>
  <c r="EQ131" i="10"/>
  <c r="ES131" i="10" s="1"/>
  <c r="EM131" i="10"/>
  <c r="EJ131" i="10"/>
  <c r="EO131" i="10" s="1"/>
  <c r="EF133" i="10"/>
  <c r="EC133" i="10"/>
  <c r="ED133" i="10"/>
  <c r="EE133" i="10"/>
  <c r="EB133" i="10"/>
  <c r="EH132" i="10"/>
  <c r="EA134" i="10"/>
  <c r="GM130" i="9"/>
  <c r="GF130" i="9"/>
  <c r="GK120" i="9"/>
  <c r="GQ120" i="9" s="1"/>
  <c r="GG120" i="9"/>
  <c r="GS120" i="9"/>
  <c r="GR130" i="9"/>
  <c r="GJ122" i="9"/>
  <c r="GE122" i="9"/>
  <c r="GH122" i="9" s="1"/>
  <c r="GD123" i="9"/>
  <c r="GJ123" i="9" s="1"/>
  <c r="FM126" i="9"/>
  <c r="FN126" i="9" s="1"/>
  <c r="FO126" i="9" s="1"/>
  <c r="GJ121" i="9"/>
  <c r="GE121" i="9"/>
  <c r="GH121" i="9" s="1"/>
  <c r="FH128" i="9"/>
  <c r="FJ128" i="9" s="1"/>
  <c r="FI128" i="9"/>
  <c r="EZ130" i="9"/>
  <c r="EY130" i="9"/>
  <c r="FV125" i="9"/>
  <c r="FZ125" i="9"/>
  <c r="FN125" i="9"/>
  <c r="EM130" i="9"/>
  <c r="FB130" i="9" s="1"/>
  <c r="FD130" i="9" s="1"/>
  <c r="EO130" i="9"/>
  <c r="FC130" i="9" s="1"/>
  <c r="FE129" i="9"/>
  <c r="FG129" i="9" s="1"/>
  <c r="FF129" i="9"/>
  <c r="EQ130" i="9"/>
  <c r="ES130" i="9"/>
  <c r="EG131" i="9"/>
  <c r="GP131" i="9"/>
  <c r="EB131" i="9"/>
  <c r="EC131" i="9"/>
  <c r="EI131" i="9"/>
  <c r="ED131" i="9"/>
  <c r="EA132" i="9"/>
  <c r="EE131" i="9"/>
  <c r="EF131" i="9"/>
  <c r="EH131" i="9"/>
  <c r="FY124" i="9"/>
  <c r="GC124" i="9"/>
  <c r="FO124" i="9"/>
  <c r="FU124" i="9"/>
  <c r="FM127" i="9"/>
  <c r="EW130" i="9"/>
  <c r="EU130" i="9"/>
  <c r="CX133" i="2" l="1"/>
  <c r="CP133" i="2"/>
  <c r="CK134" i="2"/>
  <c r="CN133" i="2"/>
  <c r="CL133" i="2"/>
  <c r="CO133" i="2" s="1"/>
  <c r="CY133" i="2" s="1"/>
  <c r="CZ132" i="2"/>
  <c r="CQ132" i="2"/>
  <c r="DA132" i="2" s="1"/>
  <c r="CQ131" i="2"/>
  <c r="DA131" i="2" s="1"/>
  <c r="CU132" i="1"/>
  <c r="CY132" i="1"/>
  <c r="CR132" i="1"/>
  <c r="CW132" i="1" s="1"/>
  <c r="CV133" i="1"/>
  <c r="CQ133" i="1"/>
  <c r="CP133" i="1"/>
  <c r="CM135" i="1"/>
  <c r="CT134" i="1"/>
  <c r="CX134" i="1" s="1"/>
  <c r="CO134" i="1"/>
  <c r="CN134" i="1"/>
  <c r="EL236" i="10"/>
  <c r="ER235" i="10"/>
  <c r="EV235" i="10" s="1"/>
  <c r="EI235" i="10"/>
  <c r="EN235" i="10" s="1"/>
  <c r="EU132" i="10"/>
  <c r="EW132" i="10" s="1"/>
  <c r="EQ132" i="10"/>
  <c r="ES132" i="10" s="1"/>
  <c r="EH133" i="10"/>
  <c r="EM132" i="10"/>
  <c r="EJ132" i="10"/>
  <c r="EO132" i="10" s="1"/>
  <c r="EC134" i="10"/>
  <c r="EF134" i="10"/>
  <c r="ED134" i="10"/>
  <c r="EB134" i="10"/>
  <c r="EE134" i="10"/>
  <c r="EA135" i="10"/>
  <c r="GM131" i="9"/>
  <c r="GR131" i="9" s="1"/>
  <c r="GF131" i="9"/>
  <c r="GK121" i="9"/>
  <c r="GQ121" i="9" s="1"/>
  <c r="GG121" i="9"/>
  <c r="GS121" i="9"/>
  <c r="GK122" i="9"/>
  <c r="GQ122" i="9" s="1"/>
  <c r="GG122" i="9"/>
  <c r="GS122" i="9"/>
  <c r="FV126" i="9"/>
  <c r="GE123" i="9"/>
  <c r="GH123" i="9" s="1"/>
  <c r="FU126" i="9"/>
  <c r="FY126" i="9"/>
  <c r="GC126" i="9"/>
  <c r="FZ126" i="9"/>
  <c r="FN127" i="9"/>
  <c r="FV127" i="9"/>
  <c r="FZ127" i="9"/>
  <c r="EZ131" i="9"/>
  <c r="EY131" i="9"/>
  <c r="FY125" i="9"/>
  <c r="GC125" i="9"/>
  <c r="FU125" i="9"/>
  <c r="FO125" i="9"/>
  <c r="EH132" i="9"/>
  <c r="EG132" i="9"/>
  <c r="EF132" i="9"/>
  <c r="ED132" i="9"/>
  <c r="EE132" i="9"/>
  <c r="EB132" i="9"/>
  <c r="EA133" i="9"/>
  <c r="EC132" i="9"/>
  <c r="EI132" i="9"/>
  <c r="GP132" i="9"/>
  <c r="EU131" i="9"/>
  <c r="EW131" i="9"/>
  <c r="FP124" i="9"/>
  <c r="FX124" i="9"/>
  <c r="GB124" i="9"/>
  <c r="FT124" i="9"/>
  <c r="FE130" i="9"/>
  <c r="FG130" i="9" s="1"/>
  <c r="FF130" i="9"/>
  <c r="ES131" i="9"/>
  <c r="EQ131" i="9"/>
  <c r="EO131" i="9"/>
  <c r="FC131" i="9" s="1"/>
  <c r="EM131" i="9"/>
  <c r="FB131" i="9" s="1"/>
  <c r="FD131" i="9" s="1"/>
  <c r="FI129" i="9"/>
  <c r="FH129" i="9"/>
  <c r="FJ129" i="9" s="1"/>
  <c r="FK128" i="9"/>
  <c r="FL128" i="9"/>
  <c r="FP126" i="9"/>
  <c r="GB126" i="9"/>
  <c r="FT126" i="9"/>
  <c r="FX126" i="9"/>
  <c r="CX134" i="2" l="1"/>
  <c r="CP134" i="2"/>
  <c r="CZ134" i="2" s="1"/>
  <c r="CK135" i="2"/>
  <c r="CL134" i="2"/>
  <c r="CO134" i="2" s="1"/>
  <c r="CN134" i="2"/>
  <c r="CQ133" i="2"/>
  <c r="DA133" i="2" s="1"/>
  <c r="CZ133" i="2"/>
  <c r="CU133" i="1"/>
  <c r="CY133" i="1"/>
  <c r="CR133" i="1"/>
  <c r="CW133" i="1" s="1"/>
  <c r="CV134" i="1"/>
  <c r="CQ134" i="1"/>
  <c r="CP134" i="1"/>
  <c r="CM136" i="1"/>
  <c r="CT135" i="1"/>
  <c r="CX135" i="1" s="1"/>
  <c r="CO135" i="1"/>
  <c r="CN135" i="1"/>
  <c r="EL237" i="10"/>
  <c r="ER236" i="10"/>
  <c r="EV236" i="10" s="1"/>
  <c r="EI236" i="10"/>
  <c r="EN236" i="10" s="1"/>
  <c r="EM133" i="10"/>
  <c r="EQ133" i="10"/>
  <c r="ES133" i="10" s="1"/>
  <c r="EU133" i="10"/>
  <c r="EW133" i="10" s="1"/>
  <c r="EJ133" i="10"/>
  <c r="EO133" i="10" s="1"/>
  <c r="ED135" i="10"/>
  <c r="EC135" i="10"/>
  <c r="EF135" i="10"/>
  <c r="EE135" i="10"/>
  <c r="EB135" i="10"/>
  <c r="EH134" i="10"/>
  <c r="EA136" i="10"/>
  <c r="GM132" i="9"/>
  <c r="GR132" i="9" s="1"/>
  <c r="GF132" i="9"/>
  <c r="GK123" i="9"/>
  <c r="GQ123" i="9" s="1"/>
  <c r="GG123" i="9"/>
  <c r="GS123" i="9"/>
  <c r="FF131" i="9"/>
  <c r="EM132" i="9"/>
  <c r="FB132" i="9" s="1"/>
  <c r="FD132" i="9" s="1"/>
  <c r="EO132" i="9"/>
  <c r="FC132" i="9" s="1"/>
  <c r="FW124" i="9"/>
  <c r="GA124" i="9"/>
  <c r="FQ124" i="9"/>
  <c r="GD124" i="9" s="1"/>
  <c r="FS124" i="9"/>
  <c r="FR124" i="9"/>
  <c r="EY132" i="9"/>
  <c r="EZ132" i="9"/>
  <c r="FE131" i="9"/>
  <c r="FG131" i="9" s="1"/>
  <c r="EW132" i="9"/>
  <c r="EU132" i="9"/>
  <c r="FM128" i="9"/>
  <c r="FH130" i="9"/>
  <c r="FJ130" i="9" s="1"/>
  <c r="FI130" i="9"/>
  <c r="EB133" i="9"/>
  <c r="EA134" i="9"/>
  <c r="EC133" i="9"/>
  <c r="GP133" i="9"/>
  <c r="ED133" i="9"/>
  <c r="EI133" i="9"/>
  <c r="EF133" i="9"/>
  <c r="EH133" i="9"/>
  <c r="EG133" i="9"/>
  <c r="EE133" i="9"/>
  <c r="FK129" i="9"/>
  <c r="FL129" i="9"/>
  <c r="EQ132" i="9"/>
  <c r="ES132" i="9"/>
  <c r="FP125" i="9"/>
  <c r="FT125" i="9"/>
  <c r="FX125" i="9"/>
  <c r="GB125" i="9"/>
  <c r="FY127" i="9"/>
  <c r="GC127" i="9"/>
  <c r="FU127" i="9"/>
  <c r="FO127" i="9"/>
  <c r="FS126" i="9"/>
  <c r="FW126" i="9"/>
  <c r="GA126" i="9"/>
  <c r="FQ126" i="9"/>
  <c r="GD126" i="9" s="1"/>
  <c r="FR126" i="9"/>
  <c r="CQ134" i="2" l="1"/>
  <c r="DA134" i="2" s="1"/>
  <c r="CY134" i="2"/>
  <c r="CX135" i="2"/>
  <c r="CP135" i="2"/>
  <c r="CK136" i="2"/>
  <c r="CL135" i="2"/>
  <c r="CO135" i="2" s="1"/>
  <c r="CY135" i="2" s="1"/>
  <c r="CN135" i="2"/>
  <c r="CU134" i="1"/>
  <c r="CY134" i="1"/>
  <c r="CR134" i="1"/>
  <c r="CW134" i="1" s="1"/>
  <c r="CV135" i="1"/>
  <c r="CQ135" i="1"/>
  <c r="CP135" i="1"/>
  <c r="CM137" i="1"/>
  <c r="CT136" i="1"/>
  <c r="CX136" i="1" s="1"/>
  <c r="CO136" i="1"/>
  <c r="CN136" i="1"/>
  <c r="EL238" i="10"/>
  <c r="ER237" i="10"/>
  <c r="EV237" i="10" s="1"/>
  <c r="EI237" i="10"/>
  <c r="EN237" i="10" s="1"/>
  <c r="EU134" i="10"/>
  <c r="EW134" i="10" s="1"/>
  <c r="EQ134" i="10"/>
  <c r="ES134" i="10" s="1"/>
  <c r="EM134" i="10"/>
  <c r="EJ134" i="10"/>
  <c r="EO134" i="10" s="1"/>
  <c r="EF136" i="10"/>
  <c r="EC136" i="10"/>
  <c r="ED136" i="10"/>
  <c r="EE136" i="10"/>
  <c r="EB136" i="10"/>
  <c r="EH135" i="10"/>
  <c r="EA137" i="10"/>
  <c r="GM133" i="9"/>
  <c r="GR133" i="9" s="1"/>
  <c r="GF133" i="9"/>
  <c r="FW125" i="9"/>
  <c r="FR125" i="9"/>
  <c r="FQ125" i="9"/>
  <c r="GD125" i="9" s="1"/>
  <c r="GA125" i="9"/>
  <c r="FS125" i="9"/>
  <c r="FK130" i="9"/>
  <c r="FL130" i="9"/>
  <c r="FP127" i="9"/>
  <c r="FX127" i="9"/>
  <c r="FT127" i="9"/>
  <c r="GB127" i="9"/>
  <c r="FN128" i="9"/>
  <c r="FZ128" i="9"/>
  <c r="FV128" i="9"/>
  <c r="GJ124" i="9"/>
  <c r="GE124" i="9"/>
  <c r="GH124" i="9" s="1"/>
  <c r="EO133" i="9"/>
  <c r="FC133" i="9" s="1"/>
  <c r="EM133" i="9"/>
  <c r="FB133" i="9" s="1"/>
  <c r="FD133" i="9" s="1"/>
  <c r="FM129" i="9"/>
  <c r="EW133" i="9"/>
  <c r="EU133" i="9"/>
  <c r="ES133" i="9"/>
  <c r="EQ133" i="9"/>
  <c r="FI131" i="9"/>
  <c r="FH131" i="9"/>
  <c r="FJ131" i="9" s="1"/>
  <c r="EZ133" i="9"/>
  <c r="EY133" i="9"/>
  <c r="EE134" i="9"/>
  <c r="EA135" i="9"/>
  <c r="EC134" i="9"/>
  <c r="GP134" i="9"/>
  <c r="ED134" i="9"/>
  <c r="EG134" i="9"/>
  <c r="EF134" i="9"/>
  <c r="EI134" i="9"/>
  <c r="EH134" i="9"/>
  <c r="EB134" i="9"/>
  <c r="FF132" i="9"/>
  <c r="FE132" i="9"/>
  <c r="FG132" i="9" s="1"/>
  <c r="GE126" i="9"/>
  <c r="GH126" i="9" s="1"/>
  <c r="GJ126" i="9"/>
  <c r="CX136" i="2" l="1"/>
  <c r="CP136" i="2"/>
  <c r="CK137" i="2"/>
  <c r="CN136" i="2"/>
  <c r="CL136" i="2"/>
  <c r="CZ135" i="2"/>
  <c r="CQ135" i="2"/>
  <c r="DA135" i="2" s="1"/>
  <c r="CU135" i="1"/>
  <c r="CY135" i="1"/>
  <c r="CR135" i="1"/>
  <c r="CW135" i="1" s="1"/>
  <c r="CV136" i="1"/>
  <c r="CQ136" i="1"/>
  <c r="CP136" i="1"/>
  <c r="CM138" i="1"/>
  <c r="CT137" i="1"/>
  <c r="CX137" i="1" s="1"/>
  <c r="CO137" i="1"/>
  <c r="CN137" i="1"/>
  <c r="EL239" i="10"/>
  <c r="ER238" i="10"/>
  <c r="EV238" i="10" s="1"/>
  <c r="EI238" i="10"/>
  <c r="EN238" i="10" s="1"/>
  <c r="EU135" i="10"/>
  <c r="EW135" i="10" s="1"/>
  <c r="EQ135" i="10"/>
  <c r="ES135" i="10" s="1"/>
  <c r="EM135" i="10"/>
  <c r="EJ135" i="10"/>
  <c r="EO135" i="10" s="1"/>
  <c r="EH136" i="10"/>
  <c r="EC137" i="10"/>
  <c r="EF137" i="10"/>
  <c r="ED137" i="10"/>
  <c r="EE137" i="10"/>
  <c r="EB137" i="10"/>
  <c r="EA138" i="10"/>
  <c r="GM134" i="9"/>
  <c r="GF134" i="9"/>
  <c r="GK124" i="9"/>
  <c r="GQ124" i="9" s="1"/>
  <c r="GG124" i="9"/>
  <c r="GS124" i="9"/>
  <c r="GK126" i="9"/>
  <c r="GQ126" i="9" s="1"/>
  <c r="GG126" i="9"/>
  <c r="GS126" i="9"/>
  <c r="GR134" i="9"/>
  <c r="FM130" i="9"/>
  <c r="FV130" i="9" s="1"/>
  <c r="EW134" i="9"/>
  <c r="EU134" i="9"/>
  <c r="EA136" i="9"/>
  <c r="EC135" i="9"/>
  <c r="GP135" i="9"/>
  <c r="ED135" i="9"/>
  <c r="EG135" i="9"/>
  <c r="EF135" i="9"/>
  <c r="EH135" i="9"/>
  <c r="EI135" i="9"/>
  <c r="EB135" i="9"/>
  <c r="EE135" i="9"/>
  <c r="GA127" i="9"/>
  <c r="FQ127" i="9"/>
  <c r="GD127" i="9" s="1"/>
  <c r="FW127" i="9"/>
  <c r="FS127" i="9"/>
  <c r="FR127" i="9"/>
  <c r="EY134" i="9"/>
  <c r="EZ134" i="9"/>
  <c r="FU128" i="9"/>
  <c r="FY128" i="9"/>
  <c r="FO128" i="9"/>
  <c r="GC128" i="9"/>
  <c r="EQ134" i="9"/>
  <c r="ES134" i="9"/>
  <c r="FZ129" i="9"/>
  <c r="FV129" i="9"/>
  <c r="FN129" i="9"/>
  <c r="GE125" i="9"/>
  <c r="GH125" i="9" s="1"/>
  <c r="GJ125" i="9"/>
  <c r="FH132" i="9"/>
  <c r="FJ132" i="9" s="1"/>
  <c r="FI132" i="9"/>
  <c r="FF133" i="9"/>
  <c r="FE133" i="9"/>
  <c r="FG133" i="9" s="1"/>
  <c r="FH133" i="9" s="1"/>
  <c r="FJ133" i="9" s="1"/>
  <c r="EO134" i="9"/>
  <c r="FC134" i="9" s="1"/>
  <c r="EM134" i="9"/>
  <c r="FB134" i="9" s="1"/>
  <c r="FD134" i="9" s="1"/>
  <c r="FK131" i="9"/>
  <c r="FL131" i="9"/>
  <c r="CO136" i="2" l="1"/>
  <c r="CY136" i="2" s="1"/>
  <c r="CX137" i="2"/>
  <c r="CP137" i="2"/>
  <c r="CL137" i="2"/>
  <c r="CO137" i="2" s="1"/>
  <c r="CY137" i="2" s="1"/>
  <c r="CN137" i="2"/>
  <c r="CK138" i="2"/>
  <c r="CZ136" i="2"/>
  <c r="CU136" i="1"/>
  <c r="CY136" i="1"/>
  <c r="CR136" i="1"/>
  <c r="CW136" i="1" s="1"/>
  <c r="CV137" i="1"/>
  <c r="CQ137" i="1"/>
  <c r="CP137" i="1"/>
  <c r="CM139" i="1"/>
  <c r="CT138" i="1"/>
  <c r="CX138" i="1" s="1"/>
  <c r="CO138" i="1"/>
  <c r="CN138" i="1"/>
  <c r="EL240" i="10"/>
  <c r="ER239" i="10"/>
  <c r="EV239" i="10" s="1"/>
  <c r="EI239" i="10"/>
  <c r="EN239" i="10" s="1"/>
  <c r="EQ136" i="10"/>
  <c r="ES136" i="10" s="1"/>
  <c r="EU136" i="10"/>
  <c r="EW136" i="10" s="1"/>
  <c r="EH137" i="10"/>
  <c r="EM136" i="10"/>
  <c r="EJ136" i="10"/>
  <c r="EO136" i="10" s="1"/>
  <c r="EC138" i="10"/>
  <c r="EF138" i="10"/>
  <c r="ED138" i="10"/>
  <c r="EE138" i="10"/>
  <c r="EB138" i="10"/>
  <c r="EA139" i="10"/>
  <c r="GM135" i="9"/>
  <c r="GR135" i="9" s="1"/>
  <c r="GF135" i="9"/>
  <c r="GK125" i="9"/>
  <c r="GQ125" i="9" s="1"/>
  <c r="GG125" i="9"/>
  <c r="GS125" i="9"/>
  <c r="FN130" i="9"/>
  <c r="GC130" i="9" s="1"/>
  <c r="FZ130" i="9"/>
  <c r="FM131" i="9"/>
  <c r="FZ131" i="9" s="1"/>
  <c r="FI133" i="9"/>
  <c r="GB128" i="9"/>
  <c r="FP128" i="9"/>
  <c r="FX128" i="9"/>
  <c r="FT128" i="9"/>
  <c r="GJ127" i="9"/>
  <c r="GE127" i="9"/>
  <c r="GH127" i="9" s="1"/>
  <c r="EU135" i="9"/>
  <c r="EW135" i="9"/>
  <c r="FE134" i="9"/>
  <c r="FG134" i="9" s="1"/>
  <c r="FF134" i="9"/>
  <c r="FO129" i="9"/>
  <c r="GC129" i="9"/>
  <c r="FY129" i="9"/>
  <c r="FU129" i="9"/>
  <c r="EY135" i="9"/>
  <c r="EZ135" i="9"/>
  <c r="ES135" i="9"/>
  <c r="EQ135" i="9"/>
  <c r="FK132" i="9"/>
  <c r="FL132" i="9"/>
  <c r="FK133" i="9"/>
  <c r="FL133" i="9"/>
  <c r="EM135" i="9"/>
  <c r="FB135" i="9" s="1"/>
  <c r="FD135" i="9" s="1"/>
  <c r="EO135" i="9"/>
  <c r="FC135" i="9" s="1"/>
  <c r="EG136" i="9"/>
  <c r="EE136" i="9"/>
  <c r="EH136" i="9"/>
  <c r="EC136" i="9"/>
  <c r="GP136" i="9"/>
  <c r="EF136" i="9"/>
  <c r="EI136" i="9"/>
  <c r="EB136" i="9"/>
  <c r="EA137" i="9"/>
  <c r="ED136" i="9"/>
  <c r="CQ136" i="2" l="1"/>
  <c r="DA136" i="2" s="1"/>
  <c r="CX138" i="2"/>
  <c r="CP138" i="2"/>
  <c r="CK139" i="2"/>
  <c r="CN138" i="2"/>
  <c r="CL138" i="2"/>
  <c r="CO138" i="2" s="1"/>
  <c r="CY138" i="2" s="1"/>
  <c r="CZ137" i="2"/>
  <c r="CQ137" i="2"/>
  <c r="DA137" i="2" s="1"/>
  <c r="CU137" i="1"/>
  <c r="CY137" i="1"/>
  <c r="CR137" i="1"/>
  <c r="CW137" i="1" s="1"/>
  <c r="CP138" i="1"/>
  <c r="CV138" i="1"/>
  <c r="CQ138" i="1"/>
  <c r="CM140" i="1"/>
  <c r="CT139" i="1"/>
  <c r="CX139" i="1" s="1"/>
  <c r="CO139" i="1"/>
  <c r="CN139" i="1"/>
  <c r="EL241" i="10"/>
  <c r="ER240" i="10"/>
  <c r="EV240" i="10" s="1"/>
  <c r="EI240" i="10"/>
  <c r="EN240" i="10" s="1"/>
  <c r="EU137" i="10"/>
  <c r="EW137" i="10" s="1"/>
  <c r="EQ137" i="10"/>
  <c r="ES137" i="10" s="1"/>
  <c r="EH138" i="10"/>
  <c r="EM137" i="10"/>
  <c r="EJ137" i="10"/>
  <c r="EO137" i="10" s="1"/>
  <c r="ED139" i="10"/>
  <c r="EF139" i="10"/>
  <c r="EC139" i="10"/>
  <c r="EB139" i="10"/>
  <c r="EE139" i="10"/>
  <c r="EA140" i="10"/>
  <c r="GM136" i="9"/>
  <c r="GF136" i="9"/>
  <c r="GK127" i="9"/>
  <c r="GQ127" i="9" s="1"/>
  <c r="GG127" i="9"/>
  <c r="GS127" i="9"/>
  <c r="GR136" i="9"/>
  <c r="FY130" i="9"/>
  <c r="FO130" i="9"/>
  <c r="FT130" i="9" s="1"/>
  <c r="FU130" i="9"/>
  <c r="FN131" i="9"/>
  <c r="FO131" i="9" s="1"/>
  <c r="FV131" i="9"/>
  <c r="FM132" i="9"/>
  <c r="FZ132" i="9" s="1"/>
  <c r="FM133" i="9"/>
  <c r="FV133" i="9" s="1"/>
  <c r="EO136" i="9"/>
  <c r="FC136" i="9" s="1"/>
  <c r="EM136" i="9"/>
  <c r="FB136" i="9" s="1"/>
  <c r="FD136" i="9" s="1"/>
  <c r="ES136" i="9"/>
  <c r="EQ136" i="9"/>
  <c r="FE135" i="9"/>
  <c r="FG135" i="9" s="1"/>
  <c r="FF135" i="9"/>
  <c r="FX129" i="9"/>
  <c r="FP129" i="9"/>
  <c r="GB129" i="9"/>
  <c r="FT129" i="9"/>
  <c r="EU136" i="9"/>
  <c r="EW136" i="9"/>
  <c r="EZ136" i="9"/>
  <c r="EY136" i="9"/>
  <c r="FW128" i="9"/>
  <c r="FS128" i="9"/>
  <c r="FQ128" i="9"/>
  <c r="GD128" i="9" s="1"/>
  <c r="FR128" i="9"/>
  <c r="GA128" i="9"/>
  <c r="EG137" i="9"/>
  <c r="EB137" i="9"/>
  <c r="EH137" i="9"/>
  <c r="ED137" i="9"/>
  <c r="EC137" i="9"/>
  <c r="EF137" i="9"/>
  <c r="EI137" i="9"/>
  <c r="EE137" i="9"/>
  <c r="EA138" i="9"/>
  <c r="GP137" i="9"/>
  <c r="FH134" i="9"/>
  <c r="FJ134" i="9" s="1"/>
  <c r="FI134" i="9"/>
  <c r="CX139" i="2" l="1"/>
  <c r="CP139" i="2"/>
  <c r="CK140" i="2"/>
  <c r="CN139" i="2"/>
  <c r="CL139" i="2"/>
  <c r="CO139" i="2" s="1"/>
  <c r="CY139" i="2" s="1"/>
  <c r="CZ138" i="2"/>
  <c r="CQ138" i="2"/>
  <c r="DA138" i="2" s="1"/>
  <c r="CU138" i="1"/>
  <c r="CY138" i="1"/>
  <c r="CR138" i="1"/>
  <c r="CW138" i="1" s="1"/>
  <c r="CV139" i="1"/>
  <c r="CQ139" i="1"/>
  <c r="CP139" i="1"/>
  <c r="CM141" i="1"/>
  <c r="CT140" i="1"/>
  <c r="CX140" i="1" s="1"/>
  <c r="CO140" i="1"/>
  <c r="CN140" i="1"/>
  <c r="EL242" i="10"/>
  <c r="ER241" i="10"/>
  <c r="EV241" i="10" s="1"/>
  <c r="EI241" i="10"/>
  <c r="EN241" i="10" s="1"/>
  <c r="EU138" i="10"/>
  <c r="EW138" i="10" s="1"/>
  <c r="EQ138" i="10"/>
  <c r="ES138" i="10" s="1"/>
  <c r="EH139" i="10"/>
  <c r="EM138" i="10"/>
  <c r="EJ138" i="10"/>
  <c r="EO138" i="10" s="1"/>
  <c r="ED140" i="10"/>
  <c r="EC140" i="10"/>
  <c r="EF140" i="10"/>
  <c r="EB140" i="10"/>
  <c r="EE140" i="10"/>
  <c r="EA141" i="10"/>
  <c r="GM137" i="9"/>
  <c r="GR137" i="9" s="1"/>
  <c r="GF137" i="9"/>
  <c r="FP130" i="9"/>
  <c r="FS130" i="9" s="1"/>
  <c r="FX130" i="9"/>
  <c r="GB130" i="9"/>
  <c r="FU131" i="9"/>
  <c r="GC131" i="9"/>
  <c r="FY131" i="9"/>
  <c r="FN132" i="9"/>
  <c r="GC132" i="9" s="1"/>
  <c r="FV132" i="9"/>
  <c r="FZ133" i="9"/>
  <c r="FN133" i="9"/>
  <c r="FO133" i="9" s="1"/>
  <c r="EM137" i="9"/>
  <c r="FB137" i="9" s="1"/>
  <c r="FD137" i="9" s="1"/>
  <c r="EO137" i="9"/>
  <c r="FC137" i="9" s="1"/>
  <c r="EF138" i="9"/>
  <c r="EE138" i="9"/>
  <c r="EB138" i="9"/>
  <c r="EH138" i="9"/>
  <c r="EA139" i="9"/>
  <c r="GP138" i="9"/>
  <c r="EG138" i="9"/>
  <c r="EC138" i="9"/>
  <c r="ED138" i="9"/>
  <c r="EI138" i="9"/>
  <c r="EY137" i="9"/>
  <c r="EZ137" i="9"/>
  <c r="GE128" i="9"/>
  <c r="GH128" i="9" s="1"/>
  <c r="GJ128" i="9"/>
  <c r="FL134" i="9"/>
  <c r="FK134" i="9"/>
  <c r="ES137" i="9"/>
  <c r="EQ137" i="9"/>
  <c r="FR129" i="9"/>
  <c r="FQ129" i="9"/>
  <c r="GD129" i="9" s="1"/>
  <c r="FS129" i="9"/>
  <c r="GA129" i="9"/>
  <c r="FW129" i="9"/>
  <c r="FF136" i="9"/>
  <c r="FE136" i="9"/>
  <c r="FG136" i="9" s="1"/>
  <c r="FI135" i="9"/>
  <c r="FH135" i="9"/>
  <c r="FJ135" i="9" s="1"/>
  <c r="EU137" i="9"/>
  <c r="EW137" i="9"/>
  <c r="GB131" i="9"/>
  <c r="FX131" i="9"/>
  <c r="FT131" i="9"/>
  <c r="FP131" i="9"/>
  <c r="CZ139" i="2" l="1"/>
  <c r="CQ139" i="2"/>
  <c r="DA139" i="2" s="1"/>
  <c r="CX140" i="2"/>
  <c r="CP140" i="2"/>
  <c r="CN140" i="2"/>
  <c r="CK141" i="2"/>
  <c r="CL140" i="2"/>
  <c r="CO140" i="2" s="1"/>
  <c r="CY140" i="2" s="1"/>
  <c r="CU139" i="1"/>
  <c r="CY139" i="1"/>
  <c r="CR139" i="1"/>
  <c r="CW139" i="1" s="1"/>
  <c r="CV140" i="1"/>
  <c r="CQ140" i="1"/>
  <c r="CP140" i="1"/>
  <c r="CM142" i="1"/>
  <c r="CT141" i="1"/>
  <c r="CX141" i="1" s="1"/>
  <c r="CO141" i="1"/>
  <c r="CN141" i="1"/>
  <c r="EL243" i="10"/>
  <c r="ER242" i="10"/>
  <c r="EV242" i="10" s="1"/>
  <c r="EI242" i="10"/>
  <c r="EN242" i="10" s="1"/>
  <c r="EM139" i="10"/>
  <c r="EQ139" i="10"/>
  <c r="ES139" i="10" s="1"/>
  <c r="EU139" i="10"/>
  <c r="EW139" i="10" s="1"/>
  <c r="EJ139" i="10"/>
  <c r="EO139" i="10" s="1"/>
  <c r="ED141" i="10"/>
  <c r="EC141" i="10"/>
  <c r="EF141" i="10"/>
  <c r="EB141" i="10"/>
  <c r="EE141" i="10"/>
  <c r="EH140" i="10"/>
  <c r="EA142" i="10"/>
  <c r="GM138" i="9"/>
  <c r="GR138" i="9" s="1"/>
  <c r="GF138" i="9"/>
  <c r="GK128" i="9"/>
  <c r="GQ128" i="9" s="1"/>
  <c r="GG128" i="9"/>
  <c r="GS128" i="9"/>
  <c r="FR130" i="9"/>
  <c r="GA130" i="9"/>
  <c r="FW130" i="9"/>
  <c r="FQ130" i="9"/>
  <c r="GD130" i="9" s="1"/>
  <c r="FY132" i="9"/>
  <c r="FU132" i="9"/>
  <c r="FO132" i="9"/>
  <c r="FX132" i="9" s="1"/>
  <c r="FU133" i="9"/>
  <c r="GC133" i="9"/>
  <c r="FY133" i="9"/>
  <c r="FM134" i="9"/>
  <c r="FV134" i="9" s="1"/>
  <c r="EA140" i="9"/>
  <c r="ED139" i="9"/>
  <c r="EC139" i="9"/>
  <c r="EF139" i="9"/>
  <c r="EI139" i="9"/>
  <c r="GP139" i="9"/>
  <c r="EB139" i="9"/>
  <c r="EH139" i="9"/>
  <c r="EG139" i="9"/>
  <c r="EE139" i="9"/>
  <c r="FL135" i="9"/>
  <c r="FK135" i="9"/>
  <c r="FT133" i="9"/>
  <c r="FX133" i="9"/>
  <c r="FP133" i="9"/>
  <c r="GB133" i="9"/>
  <c r="EO138" i="9"/>
  <c r="FC138" i="9" s="1"/>
  <c r="EM138" i="9"/>
  <c r="FB138" i="9" s="1"/>
  <c r="FD138" i="9" s="1"/>
  <c r="GE129" i="9"/>
  <c r="GH129" i="9" s="1"/>
  <c r="GJ129" i="9"/>
  <c r="EZ138" i="9"/>
  <c r="EY138" i="9"/>
  <c r="FR131" i="9"/>
  <c r="GA131" i="9"/>
  <c r="FW131" i="9"/>
  <c r="FS131" i="9"/>
  <c r="FQ131" i="9"/>
  <c r="GD131" i="9" s="1"/>
  <c r="FH136" i="9"/>
  <c r="FJ136" i="9" s="1"/>
  <c r="FI136" i="9"/>
  <c r="EU138" i="9"/>
  <c r="EW138" i="9"/>
  <c r="ES138" i="9"/>
  <c r="EQ138" i="9"/>
  <c r="FE137" i="9"/>
  <c r="FG137" i="9" s="1"/>
  <c r="FF137" i="9"/>
  <c r="CX141" i="2" l="1"/>
  <c r="CP141" i="2"/>
  <c r="CK142" i="2"/>
  <c r="CL141" i="2"/>
  <c r="CO141" i="2" s="1"/>
  <c r="CY141" i="2" s="1"/>
  <c r="CN141" i="2"/>
  <c r="CZ140" i="2"/>
  <c r="CQ140" i="2"/>
  <c r="DA140" i="2" s="1"/>
  <c r="CU140" i="1"/>
  <c r="CY140" i="1"/>
  <c r="CR140" i="1"/>
  <c r="CW140" i="1" s="1"/>
  <c r="CP141" i="1"/>
  <c r="CV141" i="1"/>
  <c r="CQ141" i="1"/>
  <c r="CM143" i="1"/>
  <c r="CT142" i="1"/>
  <c r="CX142" i="1" s="1"/>
  <c r="CO142" i="1"/>
  <c r="CN142" i="1"/>
  <c r="EL244" i="10"/>
  <c r="ER243" i="10"/>
  <c r="EV243" i="10" s="1"/>
  <c r="EI243" i="10"/>
  <c r="EN243" i="10" s="1"/>
  <c r="EU140" i="10"/>
  <c r="EW140" i="10" s="1"/>
  <c r="EQ140" i="10"/>
  <c r="ES140" i="10" s="1"/>
  <c r="EM140" i="10"/>
  <c r="EJ140" i="10"/>
  <c r="EO140" i="10" s="1"/>
  <c r="EH141" i="10"/>
  <c r="EC142" i="10"/>
  <c r="EF142" i="10"/>
  <c r="ED142" i="10"/>
  <c r="EB142" i="10"/>
  <c r="EE142" i="10"/>
  <c r="EA143" i="10"/>
  <c r="GM139" i="9"/>
  <c r="GR139" i="9" s="1"/>
  <c r="GF139" i="9"/>
  <c r="GK129" i="9"/>
  <c r="GQ129" i="9" s="1"/>
  <c r="GG129" i="9"/>
  <c r="GS129" i="9"/>
  <c r="GE130" i="9"/>
  <c r="GH130" i="9" s="1"/>
  <c r="GJ130" i="9"/>
  <c r="GB132" i="9"/>
  <c r="FP132" i="9"/>
  <c r="FS132" i="9" s="1"/>
  <c r="FT132" i="9"/>
  <c r="FN134" i="9"/>
  <c r="FU134" i="9" s="1"/>
  <c r="FZ134" i="9"/>
  <c r="EO139" i="9"/>
  <c r="FC139" i="9" s="1"/>
  <c r="EM139" i="9"/>
  <c r="FB139" i="9" s="1"/>
  <c r="FD139" i="9" s="1"/>
  <c r="FL136" i="9"/>
  <c r="FK136" i="9"/>
  <c r="FS133" i="9"/>
  <c r="FW133" i="9"/>
  <c r="FR133" i="9"/>
  <c r="FQ133" i="9"/>
  <c r="GD133" i="9" s="1"/>
  <c r="GA133" i="9"/>
  <c r="GE131" i="9"/>
  <c r="GH131" i="9" s="1"/>
  <c r="GJ131" i="9"/>
  <c r="FM135" i="9"/>
  <c r="EQ139" i="9"/>
  <c r="ES139" i="9"/>
  <c r="FE138" i="9"/>
  <c r="FG138" i="9" s="1"/>
  <c r="FF138" i="9"/>
  <c r="EY139" i="9"/>
  <c r="EZ139" i="9"/>
  <c r="EU139" i="9"/>
  <c r="EW139" i="9"/>
  <c r="FI137" i="9"/>
  <c r="FH137" i="9"/>
  <c r="FJ137" i="9" s="1"/>
  <c r="EA141" i="9"/>
  <c r="ED140" i="9"/>
  <c r="EH140" i="9"/>
  <c r="GP140" i="9"/>
  <c r="EC140" i="9"/>
  <c r="EI140" i="9"/>
  <c r="EF140" i="9"/>
  <c r="EG140" i="9"/>
  <c r="EE140" i="9"/>
  <c r="EB140" i="9"/>
  <c r="CX142" i="2" l="1"/>
  <c r="CP142" i="2"/>
  <c r="CZ142" i="2" s="1"/>
  <c r="CL142" i="2"/>
  <c r="CO142" i="2" s="1"/>
  <c r="CN142" i="2"/>
  <c r="CK143" i="2"/>
  <c r="CZ141" i="2"/>
  <c r="CQ141" i="2"/>
  <c r="DA141" i="2" s="1"/>
  <c r="CU141" i="1"/>
  <c r="CY141" i="1"/>
  <c r="CP142" i="1"/>
  <c r="CR141" i="1"/>
  <c r="CW141" i="1" s="1"/>
  <c r="CV142" i="1"/>
  <c r="CQ142" i="1"/>
  <c r="CM144" i="1"/>
  <c r="CT143" i="1"/>
  <c r="CX143" i="1" s="1"/>
  <c r="CO143" i="1"/>
  <c r="CN143" i="1"/>
  <c r="EL245" i="10"/>
  <c r="ER244" i="10"/>
  <c r="EV244" i="10" s="1"/>
  <c r="EI244" i="10"/>
  <c r="EN244" i="10" s="1"/>
  <c r="EU141" i="10"/>
  <c r="EW141" i="10" s="1"/>
  <c r="EQ141" i="10"/>
  <c r="ES141" i="10" s="1"/>
  <c r="EH142" i="10"/>
  <c r="EM141" i="10"/>
  <c r="EJ141" i="10"/>
  <c r="EO141" i="10" s="1"/>
  <c r="ED143" i="10"/>
  <c r="EC143" i="10"/>
  <c r="EF143" i="10"/>
  <c r="EB143" i="10"/>
  <c r="EE143" i="10"/>
  <c r="EA144" i="10"/>
  <c r="GM140" i="9"/>
  <c r="GF140" i="9"/>
  <c r="GK131" i="9"/>
  <c r="GQ131" i="9" s="1"/>
  <c r="GG131" i="9"/>
  <c r="GS131" i="9"/>
  <c r="GK130" i="9"/>
  <c r="GQ130" i="9" s="1"/>
  <c r="GG130" i="9"/>
  <c r="GS130" i="9"/>
  <c r="GR140" i="9"/>
  <c r="FR132" i="9"/>
  <c r="GA132" i="9"/>
  <c r="FQ132" i="9"/>
  <c r="GD132" i="9" s="1"/>
  <c r="GE132" i="9" s="1"/>
  <c r="GH132" i="9" s="1"/>
  <c r="FW132" i="9"/>
  <c r="FY134" i="9"/>
  <c r="FO134" i="9"/>
  <c r="FT134" i="9" s="1"/>
  <c r="GC134" i="9"/>
  <c r="FZ135" i="9"/>
  <c r="FN135" i="9"/>
  <c r="FV135" i="9"/>
  <c r="EY140" i="9"/>
  <c r="EZ140" i="9"/>
  <c r="ES140" i="9"/>
  <c r="EQ140" i="9"/>
  <c r="GJ133" i="9"/>
  <c r="GE133" i="9"/>
  <c r="GH133" i="9" s="1"/>
  <c r="FI138" i="9"/>
  <c r="FH138" i="9"/>
  <c r="FJ138" i="9" s="1"/>
  <c r="FM136" i="9"/>
  <c r="FL137" i="9"/>
  <c r="FK137" i="9"/>
  <c r="FF139" i="9"/>
  <c r="FE139" i="9"/>
  <c r="FG139" i="9" s="1"/>
  <c r="EI141" i="9"/>
  <c r="EG141" i="9"/>
  <c r="EE141" i="9"/>
  <c r="ED141" i="9"/>
  <c r="EC141" i="9"/>
  <c r="EA142" i="9"/>
  <c r="EB141" i="9"/>
  <c r="GP141" i="9"/>
  <c r="EH141" i="9"/>
  <c r="EF141" i="9"/>
  <c r="EO140" i="9"/>
  <c r="FC140" i="9" s="1"/>
  <c r="EM140" i="9"/>
  <c r="FB140" i="9" s="1"/>
  <c r="FD140" i="9" s="1"/>
  <c r="EW140" i="9"/>
  <c r="EU140" i="9"/>
  <c r="CX143" i="2" l="1"/>
  <c r="CP143" i="2"/>
  <c r="CL143" i="2"/>
  <c r="CO143" i="2" s="1"/>
  <c r="CY143" i="2" s="1"/>
  <c r="CK144" i="2"/>
  <c r="CN143" i="2"/>
  <c r="CQ142" i="2"/>
  <c r="DA142" i="2" s="1"/>
  <c r="CY142" i="2"/>
  <c r="CR142" i="1"/>
  <c r="CW142" i="1" s="1"/>
  <c r="CU142" i="1"/>
  <c r="CY142" i="1"/>
  <c r="CV143" i="1"/>
  <c r="CQ143" i="1"/>
  <c r="CR143" i="1" s="1"/>
  <c r="CW143" i="1" s="1"/>
  <c r="CP143" i="1"/>
  <c r="CM145" i="1"/>
  <c r="CT144" i="1"/>
  <c r="CX144" i="1" s="1"/>
  <c r="CO144" i="1"/>
  <c r="CN144" i="1"/>
  <c r="EL246" i="10"/>
  <c r="ER245" i="10"/>
  <c r="EV245" i="10" s="1"/>
  <c r="EI245" i="10"/>
  <c r="EN245" i="10" s="1"/>
  <c r="EM142" i="10"/>
  <c r="EU142" i="10"/>
  <c r="EW142" i="10" s="1"/>
  <c r="EQ142" i="10"/>
  <c r="ES142" i="10" s="1"/>
  <c r="EJ142" i="10"/>
  <c r="EO142" i="10" s="1"/>
  <c r="ED144" i="10"/>
  <c r="EC144" i="10"/>
  <c r="EF144" i="10"/>
  <c r="EB144" i="10"/>
  <c r="EE144" i="10"/>
  <c r="EH143" i="10"/>
  <c r="EA145" i="10"/>
  <c r="GM141" i="9"/>
  <c r="GF141" i="9"/>
  <c r="GK132" i="9"/>
  <c r="GQ132" i="9" s="1"/>
  <c r="GG132" i="9"/>
  <c r="GS132" i="9"/>
  <c r="GK133" i="9"/>
  <c r="GQ133" i="9" s="1"/>
  <c r="GG133" i="9"/>
  <c r="GS133" i="9"/>
  <c r="GR141" i="9"/>
  <c r="GJ132" i="9"/>
  <c r="FP134" i="9"/>
  <c r="FQ134" i="9" s="1"/>
  <c r="GD134" i="9" s="1"/>
  <c r="FX134" i="9"/>
  <c r="GB134" i="9"/>
  <c r="FM137" i="9"/>
  <c r="FI139" i="9"/>
  <c r="FH139" i="9"/>
  <c r="FJ139" i="9" s="1"/>
  <c r="FN136" i="9"/>
  <c r="FZ136" i="9"/>
  <c r="FV136" i="9"/>
  <c r="EO141" i="9"/>
  <c r="FC141" i="9" s="1"/>
  <c r="EM141" i="9"/>
  <c r="FB141" i="9" s="1"/>
  <c r="FD141" i="9" s="1"/>
  <c r="FK138" i="9"/>
  <c r="FL138" i="9"/>
  <c r="EF142" i="9"/>
  <c r="EG142" i="9"/>
  <c r="EE142" i="9"/>
  <c r="EI142" i="9"/>
  <c r="GP142" i="9"/>
  <c r="EH142" i="9"/>
  <c r="EB142" i="9"/>
  <c r="EA143" i="9"/>
  <c r="EC142" i="9"/>
  <c r="ED142" i="9"/>
  <c r="ES141" i="9"/>
  <c r="EQ141" i="9"/>
  <c r="EW141" i="9"/>
  <c r="EU141" i="9"/>
  <c r="GC135" i="9"/>
  <c r="FY135" i="9"/>
  <c r="FO135" i="9"/>
  <c r="FU135" i="9"/>
  <c r="FE140" i="9"/>
  <c r="FG140" i="9" s="1"/>
  <c r="FF140" i="9"/>
  <c r="EZ141" i="9"/>
  <c r="EY141" i="9"/>
  <c r="CX144" i="2" l="1"/>
  <c r="CP144" i="2"/>
  <c r="CN144" i="2"/>
  <c r="CL144" i="2"/>
  <c r="CO144" i="2" s="1"/>
  <c r="CY144" i="2" s="1"/>
  <c r="CK145" i="2"/>
  <c r="CZ143" i="2"/>
  <c r="CQ143" i="2"/>
  <c r="DA143" i="2" s="1"/>
  <c r="CU143" i="1"/>
  <c r="CY143" i="1"/>
  <c r="CV144" i="1"/>
  <c r="CQ144" i="1"/>
  <c r="CP144" i="1"/>
  <c r="CM146" i="1"/>
  <c r="CT145" i="1"/>
  <c r="CX145" i="1" s="1"/>
  <c r="CO145" i="1"/>
  <c r="CN145" i="1"/>
  <c r="EL247" i="10"/>
  <c r="ER246" i="10"/>
  <c r="EV246" i="10" s="1"/>
  <c r="EI246" i="10"/>
  <c r="EN246" i="10" s="1"/>
  <c r="EQ143" i="10"/>
  <c r="ES143" i="10" s="1"/>
  <c r="EU143" i="10"/>
  <c r="EW143" i="10" s="1"/>
  <c r="EM143" i="10"/>
  <c r="EJ143" i="10"/>
  <c r="EO143" i="10" s="1"/>
  <c r="EH144" i="10"/>
  <c r="ED145" i="10"/>
  <c r="EF145" i="10"/>
  <c r="EC145" i="10"/>
  <c r="EB145" i="10"/>
  <c r="EE145" i="10"/>
  <c r="EA146" i="10"/>
  <c r="GM142" i="9"/>
  <c r="GR142" i="9" s="1"/>
  <c r="GF142" i="9"/>
  <c r="FW134" i="9"/>
  <c r="GA134" i="9"/>
  <c r="FS134" i="9"/>
  <c r="FR134" i="9"/>
  <c r="FV137" i="9"/>
  <c r="FZ137" i="9"/>
  <c r="FN137" i="9"/>
  <c r="FM138" i="9"/>
  <c r="FV138" i="9" s="1"/>
  <c r="EM142" i="9"/>
  <c r="FB142" i="9" s="1"/>
  <c r="FD142" i="9" s="1"/>
  <c r="EO142" i="9"/>
  <c r="FC142" i="9" s="1"/>
  <c r="FL139" i="9"/>
  <c r="FK139" i="9"/>
  <c r="FF141" i="9"/>
  <c r="FE141" i="9"/>
  <c r="FG141" i="9" s="1"/>
  <c r="EW142" i="9"/>
  <c r="EU142" i="9"/>
  <c r="EQ142" i="9"/>
  <c r="ES142" i="9"/>
  <c r="EI143" i="9"/>
  <c r="EH143" i="9"/>
  <c r="EG143" i="9"/>
  <c r="EF143" i="9"/>
  <c r="ED143" i="9"/>
  <c r="EE143" i="9"/>
  <c r="EC143" i="9"/>
  <c r="EA144" i="9"/>
  <c r="EB143" i="9"/>
  <c r="GP143" i="9"/>
  <c r="GB135" i="9"/>
  <c r="FX135" i="9"/>
  <c r="FP135" i="9"/>
  <c r="FT135" i="9"/>
  <c r="FU136" i="9"/>
  <c r="FY136" i="9"/>
  <c r="GC136" i="9"/>
  <c r="FO136" i="9"/>
  <c r="FI140" i="9"/>
  <c r="FH140" i="9"/>
  <c r="FJ140" i="9" s="1"/>
  <c r="EZ142" i="9"/>
  <c r="EY142" i="9"/>
  <c r="GJ134" i="9"/>
  <c r="GE134" i="9"/>
  <c r="GH134" i="9" s="1"/>
  <c r="CX145" i="2" l="1"/>
  <c r="CP145" i="2"/>
  <c r="CN145" i="2"/>
  <c r="CK146" i="2"/>
  <c r="CL145" i="2"/>
  <c r="CO145" i="2" s="1"/>
  <c r="CY145" i="2" s="1"/>
  <c r="CZ144" i="2"/>
  <c r="CQ144" i="2"/>
  <c r="DA144" i="2" s="1"/>
  <c r="CU144" i="1"/>
  <c r="CY144" i="1"/>
  <c r="CR144" i="1"/>
  <c r="CW144" i="1" s="1"/>
  <c r="CV145" i="1"/>
  <c r="CQ145" i="1"/>
  <c r="CP145" i="1"/>
  <c r="CM147" i="1"/>
  <c r="CT146" i="1"/>
  <c r="CX146" i="1" s="1"/>
  <c r="CO146" i="1"/>
  <c r="CN146" i="1"/>
  <c r="EL248" i="10"/>
  <c r="ER247" i="10"/>
  <c r="EV247" i="10" s="1"/>
  <c r="EI247" i="10"/>
  <c r="EN247" i="10" s="1"/>
  <c r="EQ144" i="10"/>
  <c r="ES144" i="10" s="1"/>
  <c r="EU144" i="10"/>
  <c r="EW144" i="10" s="1"/>
  <c r="EM144" i="10"/>
  <c r="EJ144" i="10"/>
  <c r="EO144" i="10" s="1"/>
  <c r="EH145" i="10"/>
  <c r="ED146" i="10"/>
  <c r="EC146" i="10"/>
  <c r="EF146" i="10"/>
  <c r="EB146" i="10"/>
  <c r="EE146" i="10"/>
  <c r="EA147" i="10"/>
  <c r="GM143" i="9"/>
  <c r="GR143" i="9" s="1"/>
  <c r="GF143" i="9"/>
  <c r="GK134" i="9"/>
  <c r="GQ134" i="9" s="1"/>
  <c r="GG134" i="9"/>
  <c r="GS134" i="9"/>
  <c r="FZ138" i="9"/>
  <c r="FN138" i="9"/>
  <c r="GC138" i="9" s="1"/>
  <c r="GC137" i="9"/>
  <c r="FY137" i="9"/>
  <c r="FU137" i="9"/>
  <c r="FO137" i="9"/>
  <c r="EI144" i="9"/>
  <c r="GP144" i="9"/>
  <c r="EH144" i="9"/>
  <c r="EA145" i="9"/>
  <c r="EG144" i="9"/>
  <c r="ED144" i="9"/>
  <c r="EC144" i="9"/>
  <c r="EE144" i="9"/>
  <c r="EB144" i="9"/>
  <c r="EF144" i="9"/>
  <c r="EQ143" i="9"/>
  <c r="ES143" i="9"/>
  <c r="FE142" i="9"/>
  <c r="FG142" i="9" s="1"/>
  <c r="FF142" i="9"/>
  <c r="FM139" i="9"/>
  <c r="EZ143" i="9"/>
  <c r="EY143" i="9"/>
  <c r="FT136" i="9"/>
  <c r="GB136" i="9"/>
  <c r="FX136" i="9"/>
  <c r="FP136" i="9"/>
  <c r="FQ135" i="9"/>
  <c r="GD135" i="9" s="1"/>
  <c r="FR135" i="9"/>
  <c r="FW135" i="9"/>
  <c r="FS135" i="9"/>
  <c r="GA135" i="9"/>
  <c r="EU143" i="9"/>
  <c r="EW143" i="9"/>
  <c r="EO143" i="9"/>
  <c r="FC143" i="9" s="1"/>
  <c r="EM143" i="9"/>
  <c r="FB143" i="9" s="1"/>
  <c r="FD143" i="9" s="1"/>
  <c r="FL140" i="9"/>
  <c r="FK140" i="9"/>
  <c r="FI141" i="9"/>
  <c r="FH141" i="9"/>
  <c r="FJ141" i="9" s="1"/>
  <c r="CX146" i="2" l="1"/>
  <c r="CP146" i="2"/>
  <c r="CN146" i="2"/>
  <c r="CL146" i="2"/>
  <c r="CO146" i="2" s="1"/>
  <c r="CY146" i="2" s="1"/>
  <c r="CK147" i="2"/>
  <c r="CZ145" i="2"/>
  <c r="CQ145" i="2"/>
  <c r="DA145" i="2" s="1"/>
  <c r="CU145" i="1"/>
  <c r="CY145" i="1"/>
  <c r="CR145" i="1"/>
  <c r="CW145" i="1" s="1"/>
  <c r="CV146" i="1"/>
  <c r="CQ146" i="1"/>
  <c r="CP146" i="1"/>
  <c r="CM148" i="1"/>
  <c r="CT147" i="1"/>
  <c r="CX147" i="1" s="1"/>
  <c r="CO147" i="1"/>
  <c r="CN147" i="1"/>
  <c r="EL249" i="10"/>
  <c r="ER248" i="10"/>
  <c r="EV248" i="10" s="1"/>
  <c r="EI248" i="10"/>
  <c r="EN248" i="10" s="1"/>
  <c r="EU145" i="10"/>
  <c r="EW145" i="10" s="1"/>
  <c r="EQ145" i="10"/>
  <c r="ES145" i="10" s="1"/>
  <c r="EH146" i="10"/>
  <c r="EM145" i="10"/>
  <c r="EJ145" i="10"/>
  <c r="EO145" i="10" s="1"/>
  <c r="EC147" i="10"/>
  <c r="EF147" i="10"/>
  <c r="ED147" i="10"/>
  <c r="EE147" i="10"/>
  <c r="EB147" i="10"/>
  <c r="EA148" i="10"/>
  <c r="GM144" i="9"/>
  <c r="GR144" i="9" s="1"/>
  <c r="GF144" i="9"/>
  <c r="FY138" i="9"/>
  <c r="FO138" i="9"/>
  <c r="FX138" i="9" s="1"/>
  <c r="FU138" i="9"/>
  <c r="FT137" i="9"/>
  <c r="FX137" i="9"/>
  <c r="FP137" i="9"/>
  <c r="GB137" i="9"/>
  <c r="EZ144" i="9"/>
  <c r="EY144" i="9"/>
  <c r="EQ144" i="9"/>
  <c r="ES144" i="9"/>
  <c r="FQ136" i="9"/>
  <c r="GD136" i="9" s="1"/>
  <c r="FR136" i="9"/>
  <c r="GA136" i="9"/>
  <c r="FS136" i="9"/>
  <c r="FW136" i="9"/>
  <c r="FI142" i="9"/>
  <c r="FH142" i="9"/>
  <c r="FJ142" i="9" s="1"/>
  <c r="EA146" i="9"/>
  <c r="ED145" i="9"/>
  <c r="EG145" i="9"/>
  <c r="GP145" i="9"/>
  <c r="EC145" i="9"/>
  <c r="EI145" i="9"/>
  <c r="EF145" i="9"/>
  <c r="EE145" i="9"/>
  <c r="EB145" i="9"/>
  <c r="EH145" i="9"/>
  <c r="FK141" i="9"/>
  <c r="FL141" i="9"/>
  <c r="EW144" i="9"/>
  <c r="EU144" i="9"/>
  <c r="GJ135" i="9"/>
  <c r="GE135" i="9"/>
  <c r="GH135" i="9" s="1"/>
  <c r="FM140" i="9"/>
  <c r="FF143" i="9"/>
  <c r="FE143" i="9"/>
  <c r="FG143" i="9" s="1"/>
  <c r="FV139" i="9"/>
  <c r="FN139" i="9"/>
  <c r="FZ139" i="9"/>
  <c r="EM144" i="9"/>
  <c r="FB144" i="9" s="1"/>
  <c r="FD144" i="9" s="1"/>
  <c r="EO144" i="9"/>
  <c r="FC144" i="9" s="1"/>
  <c r="CX147" i="2" l="1"/>
  <c r="CP147" i="2"/>
  <c r="CK148" i="2"/>
  <c r="CL147" i="2"/>
  <c r="CO147" i="2" s="1"/>
  <c r="CY147" i="2" s="1"/>
  <c r="CN147" i="2"/>
  <c r="CZ146" i="2"/>
  <c r="CQ146" i="2"/>
  <c r="DA146" i="2" s="1"/>
  <c r="CU146" i="1"/>
  <c r="CY146" i="1"/>
  <c r="CR146" i="1"/>
  <c r="CW146" i="1" s="1"/>
  <c r="CV147" i="1"/>
  <c r="CQ147" i="1"/>
  <c r="CP147" i="1"/>
  <c r="CM149" i="1"/>
  <c r="CT148" i="1"/>
  <c r="CX148" i="1" s="1"/>
  <c r="CO148" i="1"/>
  <c r="CN148" i="1"/>
  <c r="EL250" i="10"/>
  <c r="ER249" i="10"/>
  <c r="EV249" i="10" s="1"/>
  <c r="EI249" i="10"/>
  <c r="EN249" i="10" s="1"/>
  <c r="EM146" i="10"/>
  <c r="EQ146" i="10"/>
  <c r="ES146" i="10" s="1"/>
  <c r="EU146" i="10"/>
  <c r="EW146" i="10" s="1"/>
  <c r="EJ146" i="10"/>
  <c r="EO146" i="10" s="1"/>
  <c r="EH147" i="10"/>
  <c r="EF148" i="10"/>
  <c r="ED148" i="10"/>
  <c r="EC148" i="10"/>
  <c r="EB148" i="10"/>
  <c r="EE148" i="10"/>
  <c r="EA149" i="10"/>
  <c r="GM145" i="9"/>
  <c r="GR145" i="9" s="1"/>
  <c r="GF145" i="9"/>
  <c r="GK135" i="9"/>
  <c r="GQ135" i="9" s="1"/>
  <c r="GG135" i="9"/>
  <c r="GS135" i="9"/>
  <c r="FP138" i="9"/>
  <c r="FR138" i="9" s="1"/>
  <c r="GB138" i="9"/>
  <c r="FT138" i="9"/>
  <c r="FQ137" i="9"/>
  <c r="GD137" i="9" s="1"/>
  <c r="FR137" i="9"/>
  <c r="FS137" i="9"/>
  <c r="GA137" i="9"/>
  <c r="FW137" i="9"/>
  <c r="FM141" i="9"/>
  <c r="FV141" i="9" s="1"/>
  <c r="EQ145" i="9"/>
  <c r="ES145" i="9"/>
  <c r="GE136" i="9"/>
  <c r="GH136" i="9" s="1"/>
  <c r="GJ136" i="9"/>
  <c r="FY139" i="9"/>
  <c r="FU139" i="9"/>
  <c r="GC139" i="9"/>
  <c r="FO139" i="9"/>
  <c r="EO145" i="9"/>
  <c r="FC145" i="9" s="1"/>
  <c r="EM145" i="9"/>
  <c r="FB145" i="9" s="1"/>
  <c r="FD145" i="9" s="1"/>
  <c r="EI146" i="9"/>
  <c r="EH146" i="9"/>
  <c r="GP146" i="9"/>
  <c r="EG146" i="9"/>
  <c r="ED146" i="9"/>
  <c r="EC146" i="9"/>
  <c r="EF146" i="9"/>
  <c r="EE146" i="9"/>
  <c r="EA147" i="9"/>
  <c r="EB146" i="9"/>
  <c r="FF144" i="9"/>
  <c r="FZ140" i="9"/>
  <c r="FV140" i="9"/>
  <c r="FN140" i="9"/>
  <c r="EZ145" i="9"/>
  <c r="EY145" i="9"/>
  <c r="FK142" i="9"/>
  <c r="FL142" i="9"/>
  <c r="FE144" i="9"/>
  <c r="FG144" i="9" s="1"/>
  <c r="FI143" i="9"/>
  <c r="FH143" i="9"/>
  <c r="FJ143" i="9" s="1"/>
  <c r="EU145" i="9"/>
  <c r="EW145" i="9"/>
  <c r="CX148" i="2" l="1"/>
  <c r="CP148" i="2"/>
  <c r="CL148" i="2"/>
  <c r="CO148" i="2" s="1"/>
  <c r="CY148" i="2" s="1"/>
  <c r="CN148" i="2"/>
  <c r="CK149" i="2"/>
  <c r="CZ147" i="2"/>
  <c r="CQ147" i="2"/>
  <c r="DA147" i="2" s="1"/>
  <c r="CU147" i="1"/>
  <c r="CY147" i="1"/>
  <c r="CR147" i="1"/>
  <c r="CW147" i="1" s="1"/>
  <c r="CP148" i="1"/>
  <c r="CV148" i="1"/>
  <c r="CQ148" i="1"/>
  <c r="CM150" i="1"/>
  <c r="CT149" i="1"/>
  <c r="CX149" i="1" s="1"/>
  <c r="CO149" i="1"/>
  <c r="CN149" i="1"/>
  <c r="EI250" i="10"/>
  <c r="EN250" i="10" s="1"/>
  <c r="ER250" i="10"/>
  <c r="EV250" i="10" s="1"/>
  <c r="EU147" i="10"/>
  <c r="EW147" i="10" s="1"/>
  <c r="EQ147" i="10"/>
  <c r="ES147" i="10" s="1"/>
  <c r="EH148" i="10"/>
  <c r="EM147" i="10"/>
  <c r="EJ147" i="10"/>
  <c r="EO147" i="10" s="1"/>
  <c r="EC149" i="10"/>
  <c r="ED149" i="10"/>
  <c r="EF149" i="10"/>
  <c r="EE149" i="10"/>
  <c r="EB149" i="10"/>
  <c r="EA150" i="10"/>
  <c r="GM146" i="9"/>
  <c r="GR146" i="9" s="1"/>
  <c r="GF146" i="9"/>
  <c r="GK136" i="9"/>
  <c r="GQ136" i="9" s="1"/>
  <c r="GG136" i="9"/>
  <c r="GS136" i="9"/>
  <c r="GA138" i="9"/>
  <c r="FQ138" i="9"/>
  <c r="GD138" i="9" s="1"/>
  <c r="GJ138" i="9" s="1"/>
  <c r="FW138" i="9"/>
  <c r="FS138" i="9"/>
  <c r="FN141" i="9"/>
  <c r="FO141" i="9" s="1"/>
  <c r="FP141" i="9" s="1"/>
  <c r="FZ141" i="9"/>
  <c r="GJ137" i="9"/>
  <c r="GE137" i="9"/>
  <c r="GH137" i="9" s="1"/>
  <c r="FM142" i="9"/>
  <c r="FV142" i="9" s="1"/>
  <c r="EQ146" i="9"/>
  <c r="ES146" i="9"/>
  <c r="FT139" i="9"/>
  <c r="FX139" i="9"/>
  <c r="GB139" i="9"/>
  <c r="FP139" i="9"/>
  <c r="EU146" i="9"/>
  <c r="EW146" i="9"/>
  <c r="FL143" i="9"/>
  <c r="FK143" i="9"/>
  <c r="FH144" i="9"/>
  <c r="FJ144" i="9" s="1"/>
  <c r="FI144" i="9"/>
  <c r="EO146" i="9"/>
  <c r="FC146" i="9" s="1"/>
  <c r="EM146" i="9"/>
  <c r="FB146" i="9" s="1"/>
  <c r="FD146" i="9" s="1"/>
  <c r="FO140" i="9"/>
  <c r="FU140" i="9"/>
  <c r="FY140" i="9"/>
  <c r="GC140" i="9"/>
  <c r="EH147" i="9"/>
  <c r="EB147" i="9"/>
  <c r="EE147" i="9"/>
  <c r="EC147" i="9"/>
  <c r="GP147" i="9"/>
  <c r="EI147" i="9"/>
  <c r="EF147" i="9"/>
  <c r="EA148" i="9"/>
  <c r="ED147" i="9"/>
  <c r="EG147" i="9"/>
  <c r="EY146" i="9"/>
  <c r="EZ146" i="9"/>
  <c r="FE145" i="9"/>
  <c r="FG145" i="9" s="1"/>
  <c r="FF145" i="9"/>
  <c r="CX149" i="2" l="1"/>
  <c r="CP149" i="2"/>
  <c r="CK150" i="2"/>
  <c r="CL149" i="2"/>
  <c r="CO149" i="2" s="1"/>
  <c r="CY149" i="2" s="1"/>
  <c r="CN149" i="2"/>
  <c r="CZ148" i="2"/>
  <c r="CQ148" i="2"/>
  <c r="DA148" i="2" s="1"/>
  <c r="CU148" i="1"/>
  <c r="CY148" i="1"/>
  <c r="CR148" i="1"/>
  <c r="CW148" i="1" s="1"/>
  <c r="CV149" i="1"/>
  <c r="CQ149" i="1"/>
  <c r="CP149" i="1"/>
  <c r="CM151" i="1"/>
  <c r="CT150" i="1"/>
  <c r="CX150" i="1" s="1"/>
  <c r="CO150" i="1"/>
  <c r="CN150" i="1"/>
  <c r="EU148" i="10"/>
  <c r="EW148" i="10" s="1"/>
  <c r="EQ148" i="10"/>
  <c r="ES148" i="10" s="1"/>
  <c r="EH149" i="10"/>
  <c r="EM148" i="10"/>
  <c r="EJ148" i="10"/>
  <c r="EO148" i="10" s="1"/>
  <c r="ED150" i="10"/>
  <c r="EC150" i="10"/>
  <c r="EF150" i="10"/>
  <c r="EB150" i="10"/>
  <c r="EE150" i="10"/>
  <c r="EA151" i="10"/>
  <c r="GM147" i="9"/>
  <c r="GF147" i="9"/>
  <c r="GK137" i="9"/>
  <c r="GQ137" i="9" s="1"/>
  <c r="GG137" i="9"/>
  <c r="GS137" i="9"/>
  <c r="GR147" i="9"/>
  <c r="GE138" i="9"/>
  <c r="GH138" i="9" s="1"/>
  <c r="FT141" i="9"/>
  <c r="FX141" i="9"/>
  <c r="GB141" i="9"/>
  <c r="GC141" i="9"/>
  <c r="FU141" i="9"/>
  <c r="FY141" i="9"/>
  <c r="FZ142" i="9"/>
  <c r="FN142" i="9"/>
  <c r="FO142" i="9" s="1"/>
  <c r="GB142" i="9" s="1"/>
  <c r="EY147" i="9"/>
  <c r="EZ147" i="9"/>
  <c r="EO147" i="9"/>
  <c r="FC147" i="9" s="1"/>
  <c r="EM147" i="9"/>
  <c r="FB147" i="9" s="1"/>
  <c r="FD147" i="9" s="1"/>
  <c r="FL144" i="9"/>
  <c r="FK144" i="9"/>
  <c r="FQ139" i="9"/>
  <c r="GD139" i="9" s="1"/>
  <c r="FW139" i="9"/>
  <c r="FR139" i="9"/>
  <c r="FS139" i="9"/>
  <c r="GA139" i="9"/>
  <c r="EW147" i="9"/>
  <c r="EU147" i="9"/>
  <c r="EI148" i="9"/>
  <c r="ED148" i="9"/>
  <c r="EB148" i="9"/>
  <c r="EE148" i="9"/>
  <c r="EA149" i="9"/>
  <c r="EH148" i="9"/>
  <c r="EG148" i="9"/>
  <c r="GP148" i="9"/>
  <c r="EC148" i="9"/>
  <c r="EF148" i="9"/>
  <c r="FH145" i="9"/>
  <c r="FJ145" i="9" s="1"/>
  <c r="FI145" i="9"/>
  <c r="GB140" i="9"/>
  <c r="FT140" i="9"/>
  <c r="FP140" i="9"/>
  <c r="FX140" i="9"/>
  <c r="FM143" i="9"/>
  <c r="ES147" i="9"/>
  <c r="EQ147" i="9"/>
  <c r="FE146" i="9"/>
  <c r="FG146" i="9" s="1"/>
  <c r="FF146" i="9"/>
  <c r="FR141" i="9"/>
  <c r="FS141" i="9"/>
  <c r="FQ141" i="9"/>
  <c r="GA141" i="9"/>
  <c r="FW141" i="9"/>
  <c r="CX150" i="2" l="1"/>
  <c r="CP150" i="2"/>
  <c r="CZ150" i="2" s="1"/>
  <c r="CL150" i="2"/>
  <c r="CO150" i="2" s="1"/>
  <c r="CN150" i="2"/>
  <c r="CK151" i="2"/>
  <c r="CZ149" i="2"/>
  <c r="CQ149" i="2"/>
  <c r="DA149" i="2" s="1"/>
  <c r="CU149" i="1"/>
  <c r="CY149" i="1"/>
  <c r="CR149" i="1"/>
  <c r="CW149" i="1" s="1"/>
  <c r="CV150" i="1"/>
  <c r="CQ150" i="1"/>
  <c r="CP150" i="1"/>
  <c r="CM152" i="1"/>
  <c r="CT151" i="1"/>
  <c r="CX151" i="1" s="1"/>
  <c r="CO151" i="1"/>
  <c r="CN151" i="1"/>
  <c r="EM149" i="10"/>
  <c r="EU149" i="10"/>
  <c r="EW149" i="10" s="1"/>
  <c r="EQ149" i="10"/>
  <c r="ES149" i="10" s="1"/>
  <c r="EJ149" i="10"/>
  <c r="EO149" i="10" s="1"/>
  <c r="EH150" i="10"/>
  <c r="ED151" i="10"/>
  <c r="EC151" i="10"/>
  <c r="EF151" i="10"/>
  <c r="EE151" i="10"/>
  <c r="EB151" i="10"/>
  <c r="EA152" i="10"/>
  <c r="GM148" i="9"/>
  <c r="GR148" i="9" s="1"/>
  <c r="GF148" i="9"/>
  <c r="GK138" i="9"/>
  <c r="GQ138" i="9" s="1"/>
  <c r="GG138" i="9"/>
  <c r="GS138" i="9"/>
  <c r="GD141" i="9"/>
  <c r="GJ141" i="9" s="1"/>
  <c r="FP142" i="9"/>
  <c r="FR142" i="9" s="1"/>
  <c r="FT142" i="9"/>
  <c r="FX142" i="9"/>
  <c r="FU142" i="9"/>
  <c r="GC142" i="9"/>
  <c r="FM144" i="9"/>
  <c r="FV144" i="9" s="1"/>
  <c r="FY142" i="9"/>
  <c r="FL145" i="9"/>
  <c r="FK145" i="9"/>
  <c r="EM148" i="9"/>
  <c r="FB148" i="9" s="1"/>
  <c r="FD148" i="9" s="1"/>
  <c r="EO148" i="9"/>
  <c r="FC148" i="9" s="1"/>
  <c r="EW148" i="9"/>
  <c r="EU148" i="9"/>
  <c r="GJ139" i="9"/>
  <c r="GE139" i="9"/>
  <c r="GH139" i="9" s="1"/>
  <c r="FV143" i="9"/>
  <c r="FN143" i="9"/>
  <c r="FZ143" i="9"/>
  <c r="ES148" i="9"/>
  <c r="EQ148" i="9"/>
  <c r="GA140" i="9"/>
  <c r="FQ140" i="9"/>
  <c r="GD140" i="9" s="1"/>
  <c r="FS140" i="9"/>
  <c r="FW140" i="9"/>
  <c r="FR140" i="9"/>
  <c r="FE147" i="9"/>
  <c r="FG147" i="9" s="1"/>
  <c r="FF147" i="9"/>
  <c r="EA150" i="9"/>
  <c r="EE149" i="9"/>
  <c r="GP149" i="9"/>
  <c r="EC149" i="9"/>
  <c r="EH149" i="9"/>
  <c r="ED149" i="9"/>
  <c r="EI149" i="9"/>
  <c r="EF149" i="9"/>
  <c r="EG149" i="9"/>
  <c r="EB149" i="9"/>
  <c r="FH146" i="9"/>
  <c r="FJ146" i="9" s="1"/>
  <c r="FI146" i="9"/>
  <c r="EZ148" i="9"/>
  <c r="EY148" i="9"/>
  <c r="CX151" i="2" l="1"/>
  <c r="CP151" i="2"/>
  <c r="CK152" i="2"/>
  <c r="CN151" i="2"/>
  <c r="CL151" i="2"/>
  <c r="CO151" i="2" s="1"/>
  <c r="CY151" i="2" s="1"/>
  <c r="CQ150" i="2"/>
  <c r="DA150" i="2" s="1"/>
  <c r="CY150" i="2"/>
  <c r="CU150" i="1"/>
  <c r="CY150" i="1"/>
  <c r="CR150" i="1"/>
  <c r="CW150" i="1" s="1"/>
  <c r="CV151" i="1"/>
  <c r="CQ151" i="1"/>
  <c r="CP151" i="1"/>
  <c r="CM153" i="1"/>
  <c r="CT152" i="1"/>
  <c r="CX152" i="1" s="1"/>
  <c r="CO152" i="1"/>
  <c r="CN152" i="1"/>
  <c r="EU150" i="10"/>
  <c r="EW150" i="10" s="1"/>
  <c r="EQ150" i="10"/>
  <c r="ES150" i="10" s="1"/>
  <c r="EM150" i="10"/>
  <c r="EJ150" i="10"/>
  <c r="EO150" i="10" s="1"/>
  <c r="EH151" i="10"/>
  <c r="EC152" i="10"/>
  <c r="EF152" i="10"/>
  <c r="ED152" i="10"/>
  <c r="EE152" i="10"/>
  <c r="EB152" i="10"/>
  <c r="EA153" i="10"/>
  <c r="GM149" i="9"/>
  <c r="GF149" i="9"/>
  <c r="GK139" i="9"/>
  <c r="GQ139" i="9" s="1"/>
  <c r="GG139" i="9"/>
  <c r="GS139" i="9"/>
  <c r="GR149" i="9"/>
  <c r="GE141" i="9"/>
  <c r="GH141" i="9" s="1"/>
  <c r="FQ142" i="9"/>
  <c r="GD142" i="9" s="1"/>
  <c r="GE142" i="9" s="1"/>
  <c r="GH142" i="9" s="1"/>
  <c r="FW142" i="9"/>
  <c r="FS142" i="9"/>
  <c r="GA142" i="9"/>
  <c r="FN144" i="9"/>
  <c r="FU144" i="9" s="1"/>
  <c r="FZ144" i="9"/>
  <c r="FM145" i="9"/>
  <c r="EY149" i="9"/>
  <c r="EZ149" i="9"/>
  <c r="EF150" i="9"/>
  <c r="EG150" i="9"/>
  <c r="EI150" i="9"/>
  <c r="EH150" i="9"/>
  <c r="EB150" i="9"/>
  <c r="EE150" i="9"/>
  <c r="EA151" i="9"/>
  <c r="EC150" i="9"/>
  <c r="GP150" i="9"/>
  <c r="ED150" i="9"/>
  <c r="FH147" i="9"/>
  <c r="FJ147" i="9" s="1"/>
  <c r="FI147" i="9"/>
  <c r="EU149" i="9"/>
  <c r="EW149" i="9"/>
  <c r="ES149" i="9"/>
  <c r="EQ149" i="9"/>
  <c r="FF148" i="9"/>
  <c r="FE148" i="9"/>
  <c r="FG148" i="9" s="1"/>
  <c r="FK146" i="9"/>
  <c r="FL146" i="9"/>
  <c r="GE140" i="9"/>
  <c r="GH140" i="9" s="1"/>
  <c r="GJ140" i="9"/>
  <c r="FU143" i="9"/>
  <c r="FY143" i="9"/>
  <c r="GC143" i="9"/>
  <c r="FO143" i="9"/>
  <c r="EO149" i="9"/>
  <c r="FC149" i="9" s="1"/>
  <c r="EM149" i="9"/>
  <c r="FB149" i="9" s="1"/>
  <c r="FD149" i="9" s="1"/>
  <c r="CX152" i="2" l="1"/>
  <c r="CP152" i="2"/>
  <c r="CK153" i="2"/>
  <c r="CL152" i="2"/>
  <c r="CO152" i="2" s="1"/>
  <c r="CY152" i="2" s="1"/>
  <c r="CN152" i="2"/>
  <c r="CZ151" i="2"/>
  <c r="CQ151" i="2"/>
  <c r="DA151" i="2" s="1"/>
  <c r="CU151" i="1"/>
  <c r="CY151" i="1"/>
  <c r="CR151" i="1"/>
  <c r="CW151" i="1" s="1"/>
  <c r="CV152" i="1"/>
  <c r="CQ152" i="1"/>
  <c r="CP152" i="1"/>
  <c r="CM154" i="1"/>
  <c r="CT153" i="1"/>
  <c r="CX153" i="1" s="1"/>
  <c r="CO153" i="1"/>
  <c r="CN153" i="1"/>
  <c r="EU151" i="10"/>
  <c r="EW151" i="10" s="1"/>
  <c r="EQ151" i="10"/>
  <c r="ES151" i="10" s="1"/>
  <c r="EH152" i="10"/>
  <c r="EM151" i="10"/>
  <c r="EJ151" i="10"/>
  <c r="EO151" i="10" s="1"/>
  <c r="ED153" i="10"/>
  <c r="EF153" i="10"/>
  <c r="EC153" i="10"/>
  <c r="EB153" i="10"/>
  <c r="EE153" i="10"/>
  <c r="EA154" i="10"/>
  <c r="GM150" i="9"/>
  <c r="GF150" i="9"/>
  <c r="GK141" i="9"/>
  <c r="GQ141" i="9" s="1"/>
  <c r="GG141" i="9"/>
  <c r="GS141" i="9"/>
  <c r="GK140" i="9"/>
  <c r="GQ140" i="9" s="1"/>
  <c r="GG140" i="9"/>
  <c r="GS140" i="9"/>
  <c r="GK142" i="9"/>
  <c r="GQ142" i="9" s="1"/>
  <c r="GG142" i="9"/>
  <c r="GS142" i="9"/>
  <c r="GR150" i="9"/>
  <c r="GJ142" i="9"/>
  <c r="FY144" i="9"/>
  <c r="FO144" i="9"/>
  <c r="FP144" i="9" s="1"/>
  <c r="GC144" i="9"/>
  <c r="FV145" i="9"/>
  <c r="FZ145" i="9"/>
  <c r="FN145" i="9"/>
  <c r="EZ150" i="9"/>
  <c r="EY150" i="9"/>
  <c r="EO150" i="9"/>
  <c r="FC150" i="9" s="1"/>
  <c r="EM150" i="9"/>
  <c r="FB150" i="9" s="1"/>
  <c r="FD150" i="9" s="1"/>
  <c r="EW150" i="9"/>
  <c r="EU150" i="9"/>
  <c r="FE149" i="9"/>
  <c r="FG149" i="9" s="1"/>
  <c r="FF149" i="9"/>
  <c r="FM146" i="9"/>
  <c r="ES150" i="9"/>
  <c r="EQ150" i="9"/>
  <c r="GB143" i="9"/>
  <c r="FX143" i="9"/>
  <c r="FP143" i="9"/>
  <c r="FT143" i="9"/>
  <c r="FI148" i="9"/>
  <c r="FH148" i="9"/>
  <c r="FJ148" i="9" s="1"/>
  <c r="FK147" i="9"/>
  <c r="FL147" i="9"/>
  <c r="EB151" i="9"/>
  <c r="EA152" i="9"/>
  <c r="EC151" i="9"/>
  <c r="EH151" i="9"/>
  <c r="EI151" i="9"/>
  <c r="EE151" i="9"/>
  <c r="GP151" i="9"/>
  <c r="EG151" i="9"/>
  <c r="ED151" i="9"/>
  <c r="EF151" i="9"/>
  <c r="CZ152" i="2" l="1"/>
  <c r="CQ152" i="2"/>
  <c r="DA152" i="2" s="1"/>
  <c r="CX153" i="2"/>
  <c r="CP153" i="2"/>
  <c r="CK154" i="2"/>
  <c r="CN153" i="2"/>
  <c r="CL153" i="2"/>
  <c r="CO153" i="2" s="1"/>
  <c r="CY153" i="2" s="1"/>
  <c r="CU152" i="1"/>
  <c r="CY152" i="1"/>
  <c r="CR152" i="1"/>
  <c r="CW152" i="1" s="1"/>
  <c r="CV153" i="1"/>
  <c r="CQ153" i="1"/>
  <c r="CP153" i="1"/>
  <c r="CM155" i="1"/>
  <c r="CT154" i="1"/>
  <c r="CX154" i="1" s="1"/>
  <c r="CO154" i="1"/>
  <c r="CN154" i="1"/>
  <c r="EU152" i="10"/>
  <c r="EW152" i="10" s="1"/>
  <c r="EQ152" i="10"/>
  <c r="ES152" i="10" s="1"/>
  <c r="EM152" i="10"/>
  <c r="EJ152" i="10"/>
  <c r="EO152" i="10" s="1"/>
  <c r="EC154" i="10"/>
  <c r="ED154" i="10"/>
  <c r="EF154" i="10"/>
  <c r="EE154" i="10"/>
  <c r="EB154" i="10"/>
  <c r="EH153" i="10"/>
  <c r="EA155" i="10"/>
  <c r="GM151" i="9"/>
  <c r="GR151" i="9" s="1"/>
  <c r="GF151" i="9"/>
  <c r="GB144" i="9"/>
  <c r="FT144" i="9"/>
  <c r="FX144" i="9"/>
  <c r="FY145" i="9"/>
  <c r="FU145" i="9"/>
  <c r="GC145" i="9"/>
  <c r="FO145" i="9"/>
  <c r="FM147" i="9"/>
  <c r="FE150" i="9"/>
  <c r="FG150" i="9" s="1"/>
  <c r="FF150" i="9"/>
  <c r="EZ151" i="9"/>
  <c r="EY151" i="9"/>
  <c r="FK148" i="9"/>
  <c r="FL148" i="9"/>
  <c r="FZ146" i="9"/>
  <c r="FV146" i="9"/>
  <c r="FN146" i="9"/>
  <c r="EQ151" i="9"/>
  <c r="ES151" i="9"/>
  <c r="FS143" i="9"/>
  <c r="FW143" i="9"/>
  <c r="FR143" i="9"/>
  <c r="FQ143" i="9"/>
  <c r="GD143" i="9" s="1"/>
  <c r="GA143" i="9"/>
  <c r="FI149" i="9"/>
  <c r="FH149" i="9"/>
  <c r="FJ149" i="9" s="1"/>
  <c r="EG152" i="9"/>
  <c r="EB152" i="9"/>
  <c r="EE152" i="9"/>
  <c r="EA153" i="9"/>
  <c r="EC152" i="9"/>
  <c r="GP152" i="9"/>
  <c r="ED152" i="9"/>
  <c r="EF152" i="9"/>
  <c r="EH152" i="9"/>
  <c r="EI152" i="9"/>
  <c r="EW151" i="9"/>
  <c r="EU151" i="9"/>
  <c r="EO151" i="9"/>
  <c r="FC151" i="9" s="1"/>
  <c r="EM151" i="9"/>
  <c r="FB151" i="9" s="1"/>
  <c r="FD151" i="9" s="1"/>
  <c r="FS144" i="9"/>
  <c r="FQ144" i="9"/>
  <c r="GA144" i="9"/>
  <c r="FR144" i="9"/>
  <c r="FW144" i="9"/>
  <c r="CX154" i="2" l="1"/>
  <c r="CP154" i="2"/>
  <c r="CN154" i="2"/>
  <c r="CK155" i="2"/>
  <c r="CL154" i="2"/>
  <c r="CO154" i="2" s="1"/>
  <c r="CY154" i="2" s="1"/>
  <c r="CZ153" i="2"/>
  <c r="CQ153" i="2"/>
  <c r="DA153" i="2" s="1"/>
  <c r="CU153" i="1"/>
  <c r="CY153" i="1"/>
  <c r="CP154" i="1"/>
  <c r="CR153" i="1"/>
  <c r="CW153" i="1" s="1"/>
  <c r="CV154" i="1"/>
  <c r="CQ154" i="1"/>
  <c r="CR154" i="1" s="1"/>
  <c r="CW154" i="1" s="1"/>
  <c r="CM156" i="1"/>
  <c r="CT155" i="1"/>
  <c r="CX155" i="1" s="1"/>
  <c r="CO155" i="1"/>
  <c r="CN155" i="1"/>
  <c r="EQ153" i="10"/>
  <c r="ES153" i="10" s="1"/>
  <c r="EU153" i="10"/>
  <c r="EW153" i="10" s="1"/>
  <c r="EM153" i="10"/>
  <c r="EJ153" i="10"/>
  <c r="EO153" i="10" s="1"/>
  <c r="EH154" i="10"/>
  <c r="EC155" i="10"/>
  <c r="ED155" i="10"/>
  <c r="EF155" i="10"/>
  <c r="EB155" i="10"/>
  <c r="EE155" i="10"/>
  <c r="EA156" i="10"/>
  <c r="GD144" i="9"/>
  <c r="GJ144" i="9" s="1"/>
  <c r="GM152" i="9"/>
  <c r="GR152" i="9" s="1"/>
  <c r="GF152" i="9"/>
  <c r="FM148" i="9"/>
  <c r="FN148" i="9" s="1"/>
  <c r="FY148" i="9" s="1"/>
  <c r="FT145" i="9"/>
  <c r="FX145" i="9"/>
  <c r="FP145" i="9"/>
  <c r="GB145" i="9"/>
  <c r="GE143" i="9"/>
  <c r="GH143" i="9" s="1"/>
  <c r="GJ143" i="9"/>
  <c r="EA154" i="9"/>
  <c r="EE153" i="9"/>
  <c r="EI153" i="9"/>
  <c r="GP153" i="9"/>
  <c r="EG153" i="9"/>
  <c r="ED153" i="9"/>
  <c r="EC153" i="9"/>
  <c r="EF153" i="9"/>
  <c r="EB153" i="9"/>
  <c r="EH153" i="9"/>
  <c r="EZ152" i="9"/>
  <c r="EY152" i="9"/>
  <c r="EM152" i="9"/>
  <c r="FB152" i="9" s="1"/>
  <c r="FD152" i="9" s="1"/>
  <c r="EO152" i="9"/>
  <c r="FC152" i="9" s="1"/>
  <c r="ES152" i="9"/>
  <c r="EQ152" i="9"/>
  <c r="FK149" i="9"/>
  <c r="FL149" i="9"/>
  <c r="FE151" i="9"/>
  <c r="FG151" i="9" s="1"/>
  <c r="FH151" i="9" s="1"/>
  <c r="FJ151" i="9" s="1"/>
  <c r="EU152" i="9"/>
  <c r="EW152" i="9"/>
  <c r="FY146" i="9"/>
  <c r="FU146" i="9"/>
  <c r="FO146" i="9"/>
  <c r="GC146" i="9"/>
  <c r="FI150" i="9"/>
  <c r="FH150" i="9"/>
  <c r="FJ150" i="9" s="1"/>
  <c r="FF151" i="9"/>
  <c r="FZ147" i="9"/>
  <c r="FN147" i="9"/>
  <c r="FV147" i="9"/>
  <c r="CZ154" i="2" l="1"/>
  <c r="CQ154" i="2"/>
  <c r="DA154" i="2" s="1"/>
  <c r="CX155" i="2"/>
  <c r="CP155" i="2"/>
  <c r="CK156" i="2"/>
  <c r="CN155" i="2"/>
  <c r="CL155" i="2"/>
  <c r="CU154" i="1"/>
  <c r="CY154" i="1"/>
  <c r="CV155" i="1"/>
  <c r="CQ155" i="1"/>
  <c r="CP155" i="1"/>
  <c r="CM157" i="1"/>
  <c r="CT156" i="1"/>
  <c r="CX156" i="1" s="1"/>
  <c r="CO156" i="1"/>
  <c r="CN156" i="1"/>
  <c r="EU154" i="10"/>
  <c r="EW154" i="10" s="1"/>
  <c r="EQ154" i="10"/>
  <c r="ES154" i="10" s="1"/>
  <c r="EM154" i="10"/>
  <c r="EJ154" i="10"/>
  <c r="EO154" i="10" s="1"/>
  <c r="EH155" i="10"/>
  <c r="EC156" i="10"/>
  <c r="ED156" i="10"/>
  <c r="EF156" i="10"/>
  <c r="EE156" i="10"/>
  <c r="EB156" i="10"/>
  <c r="EA157" i="10"/>
  <c r="GE144" i="9"/>
  <c r="GH144" i="9" s="1"/>
  <c r="GM153" i="9"/>
  <c r="GF153" i="9"/>
  <c r="GK143" i="9"/>
  <c r="GQ143" i="9" s="1"/>
  <c r="GG143" i="9"/>
  <c r="GS143" i="9"/>
  <c r="GR153" i="9"/>
  <c r="GC148" i="9"/>
  <c r="FO148" i="9"/>
  <c r="FX148" i="9" s="1"/>
  <c r="FU148" i="9"/>
  <c r="FV148" i="9"/>
  <c r="FZ148" i="9"/>
  <c r="FM149" i="9"/>
  <c r="FZ149" i="9" s="1"/>
  <c r="FQ145" i="9"/>
  <c r="GD145" i="9" s="1"/>
  <c r="FR145" i="9"/>
  <c r="FW145" i="9"/>
  <c r="GA145" i="9"/>
  <c r="FS145" i="9"/>
  <c r="FI151" i="9"/>
  <c r="EU153" i="9"/>
  <c r="EW153" i="9"/>
  <c r="FF152" i="9"/>
  <c r="FE152" i="9"/>
  <c r="FG152" i="9" s="1"/>
  <c r="FH152" i="9" s="1"/>
  <c r="FJ152" i="9" s="1"/>
  <c r="FL150" i="9"/>
  <c r="FK150" i="9"/>
  <c r="FP146" i="9"/>
  <c r="GB146" i="9"/>
  <c r="FX146" i="9"/>
  <c r="FT146" i="9"/>
  <c r="EY153" i="9"/>
  <c r="EZ153" i="9"/>
  <c r="FL151" i="9"/>
  <c r="FK151" i="9"/>
  <c r="EO153" i="9"/>
  <c r="FC153" i="9" s="1"/>
  <c r="EM153" i="9"/>
  <c r="FB153" i="9" s="1"/>
  <c r="FD153" i="9" s="1"/>
  <c r="EH154" i="9"/>
  <c r="EG154" i="9"/>
  <c r="EI154" i="9"/>
  <c r="GP154" i="9"/>
  <c r="EE154" i="9"/>
  <c r="ED154" i="9"/>
  <c r="EB154" i="9"/>
  <c r="EF154" i="9"/>
  <c r="EA155" i="9"/>
  <c r="EC154" i="9"/>
  <c r="FY147" i="9"/>
  <c r="FO147" i="9"/>
  <c r="FU147" i="9"/>
  <c r="GC147" i="9"/>
  <c r="ES153" i="9"/>
  <c r="EQ153" i="9"/>
  <c r="CO155" i="2" l="1"/>
  <c r="CY155" i="2" s="1"/>
  <c r="CX156" i="2"/>
  <c r="CP156" i="2"/>
  <c r="CK157" i="2"/>
  <c r="CL156" i="2"/>
  <c r="CO156" i="2" s="1"/>
  <c r="CY156" i="2" s="1"/>
  <c r="CN156" i="2"/>
  <c r="CZ155" i="2"/>
  <c r="CQ155" i="2"/>
  <c r="DA155" i="2" s="1"/>
  <c r="CU155" i="1"/>
  <c r="CY155" i="1"/>
  <c r="CR155" i="1"/>
  <c r="CW155" i="1" s="1"/>
  <c r="CV156" i="1"/>
  <c r="CQ156" i="1"/>
  <c r="CP156" i="1"/>
  <c r="CM158" i="1"/>
  <c r="CT157" i="1"/>
  <c r="CX157" i="1" s="1"/>
  <c r="CO157" i="1"/>
  <c r="CN157" i="1"/>
  <c r="EU155" i="10"/>
  <c r="EW155" i="10" s="1"/>
  <c r="EQ155" i="10"/>
  <c r="ES155" i="10" s="1"/>
  <c r="EM155" i="10"/>
  <c r="EJ155" i="10"/>
  <c r="EO155" i="10" s="1"/>
  <c r="ED157" i="10"/>
  <c r="EC157" i="10"/>
  <c r="EF157" i="10"/>
  <c r="EE157" i="10"/>
  <c r="EB157" i="10"/>
  <c r="EH156" i="10"/>
  <c r="EA158" i="10"/>
  <c r="GS144" i="9"/>
  <c r="GG144" i="9"/>
  <c r="GK144" i="9"/>
  <c r="GQ144" i="9" s="1"/>
  <c r="GM154" i="9"/>
  <c r="GR154" i="9" s="1"/>
  <c r="GF154" i="9"/>
  <c r="FP148" i="9"/>
  <c r="FR148" i="9" s="1"/>
  <c r="GB148" i="9"/>
  <c r="FT148" i="9"/>
  <c r="FV149" i="9"/>
  <c r="FN149" i="9"/>
  <c r="FM151" i="9"/>
  <c r="FN151" i="9" s="1"/>
  <c r="FU151" i="9" s="1"/>
  <c r="FM150" i="9"/>
  <c r="GE145" i="9"/>
  <c r="GH145" i="9" s="1"/>
  <c r="GJ145" i="9"/>
  <c r="EO154" i="9"/>
  <c r="FC154" i="9" s="1"/>
  <c r="EM154" i="9"/>
  <c r="FB154" i="9" s="1"/>
  <c r="FD154" i="9" s="1"/>
  <c r="GA146" i="9"/>
  <c r="FW146" i="9"/>
  <c r="FQ146" i="9"/>
  <c r="GD146" i="9" s="1"/>
  <c r="FR146" i="9"/>
  <c r="FS146" i="9"/>
  <c r="FF153" i="9"/>
  <c r="FE153" i="9"/>
  <c r="FG153" i="9" s="1"/>
  <c r="EU154" i="9"/>
  <c r="EW154" i="9"/>
  <c r="GB147" i="9"/>
  <c r="FT147" i="9"/>
  <c r="FP147" i="9"/>
  <c r="FX147" i="9"/>
  <c r="FK152" i="9"/>
  <c r="FL152" i="9"/>
  <c r="FI152" i="9"/>
  <c r="ES154" i="9"/>
  <c r="EQ154" i="9"/>
  <c r="EZ154" i="9"/>
  <c r="EY154" i="9"/>
  <c r="EB155" i="9"/>
  <c r="ED155" i="9"/>
  <c r="EE155" i="9"/>
  <c r="EC155" i="9"/>
  <c r="EA156" i="9"/>
  <c r="EG155" i="9"/>
  <c r="EF155" i="9"/>
  <c r="EH155" i="9"/>
  <c r="EI155" i="9"/>
  <c r="GP155" i="9"/>
  <c r="CX157" i="2" l="1"/>
  <c r="CP157" i="2"/>
  <c r="CL157" i="2"/>
  <c r="CO157" i="2" s="1"/>
  <c r="CY157" i="2" s="1"/>
  <c r="CK158" i="2"/>
  <c r="CN157" i="2"/>
  <c r="CZ156" i="2"/>
  <c r="CQ156" i="2"/>
  <c r="DA156" i="2" s="1"/>
  <c r="CU156" i="1"/>
  <c r="CY156" i="1"/>
  <c r="CP157" i="1"/>
  <c r="CR156" i="1"/>
  <c r="CW156" i="1" s="1"/>
  <c r="CV157" i="1"/>
  <c r="CQ157" i="1"/>
  <c r="CM159" i="1"/>
  <c r="CT158" i="1"/>
  <c r="CX158" i="1" s="1"/>
  <c r="CO158" i="1"/>
  <c r="CN158" i="1"/>
  <c r="EQ156" i="10"/>
  <c r="ES156" i="10" s="1"/>
  <c r="EU156" i="10"/>
  <c r="EW156" i="10" s="1"/>
  <c r="EM156" i="10"/>
  <c r="EJ156" i="10"/>
  <c r="EO156" i="10" s="1"/>
  <c r="EH157" i="10"/>
  <c r="ED158" i="10"/>
  <c r="EF158" i="10"/>
  <c r="EC158" i="10"/>
  <c r="EB158" i="10"/>
  <c r="EE158" i="10"/>
  <c r="EA159" i="10"/>
  <c r="GM155" i="9"/>
  <c r="GF155" i="9"/>
  <c r="GK145" i="9"/>
  <c r="GQ145" i="9" s="1"/>
  <c r="GG145" i="9"/>
  <c r="GS145" i="9"/>
  <c r="GR155" i="9"/>
  <c r="GA148" i="9"/>
  <c r="FQ148" i="9"/>
  <c r="GD148" i="9" s="1"/>
  <c r="FS148" i="9"/>
  <c r="FW148" i="9"/>
  <c r="GC149" i="9"/>
  <c r="FU149" i="9"/>
  <c r="FY149" i="9"/>
  <c r="FO149" i="9"/>
  <c r="FY151" i="9"/>
  <c r="GC151" i="9"/>
  <c r="FO151" i="9"/>
  <c r="FX151" i="9" s="1"/>
  <c r="FZ150" i="9"/>
  <c r="FN150" i="9"/>
  <c r="FV150" i="9"/>
  <c r="FZ151" i="9"/>
  <c r="FV151" i="9"/>
  <c r="EO155" i="9"/>
  <c r="FC155" i="9" s="1"/>
  <c r="EM155" i="9"/>
  <c r="FB155" i="9" s="1"/>
  <c r="FD155" i="9" s="1"/>
  <c r="FR147" i="9"/>
  <c r="FS147" i="9"/>
  <c r="FW147" i="9"/>
  <c r="GA147" i="9"/>
  <c r="FQ147" i="9"/>
  <c r="GD147" i="9" s="1"/>
  <c r="GE146" i="9"/>
  <c r="GH146" i="9" s="1"/>
  <c r="GJ146" i="9"/>
  <c r="EE156" i="9"/>
  <c r="EH156" i="9"/>
  <c r="EB156" i="9"/>
  <c r="EA157" i="9"/>
  <c r="ED156" i="9"/>
  <c r="GP156" i="9"/>
  <c r="EC156" i="9"/>
  <c r="EF156" i="9"/>
  <c r="EI156" i="9"/>
  <c r="EG156" i="9"/>
  <c r="ES155" i="9"/>
  <c r="EQ155" i="9"/>
  <c r="EY155" i="9"/>
  <c r="EZ155" i="9"/>
  <c r="FE154" i="9"/>
  <c r="FG154" i="9" s="1"/>
  <c r="FH154" i="9" s="1"/>
  <c r="FJ154" i="9" s="1"/>
  <c r="FF154" i="9"/>
  <c r="EU155" i="9"/>
  <c r="EW155" i="9"/>
  <c r="FM152" i="9"/>
  <c r="FH153" i="9"/>
  <c r="FJ153" i="9" s="1"/>
  <c r="FI153" i="9"/>
  <c r="CX158" i="2" l="1"/>
  <c r="CP158" i="2"/>
  <c r="CZ158" i="2" s="1"/>
  <c r="CK159" i="2"/>
  <c r="CL158" i="2"/>
  <c r="CO158" i="2" s="1"/>
  <c r="CN158" i="2"/>
  <c r="CZ157" i="2"/>
  <c r="CQ157" i="2"/>
  <c r="DA157" i="2" s="1"/>
  <c r="CU157" i="1"/>
  <c r="CY157" i="1"/>
  <c r="CR157" i="1"/>
  <c r="CW157" i="1" s="1"/>
  <c r="CV158" i="1"/>
  <c r="CQ158" i="1"/>
  <c r="CP158" i="1"/>
  <c r="CM160" i="1"/>
  <c r="CT159" i="1"/>
  <c r="CX159" i="1" s="1"/>
  <c r="CO159" i="1"/>
  <c r="CN159" i="1"/>
  <c r="EU157" i="10"/>
  <c r="EW157" i="10" s="1"/>
  <c r="EQ157" i="10"/>
  <c r="ES157" i="10" s="1"/>
  <c r="EM157" i="10"/>
  <c r="EJ157" i="10"/>
  <c r="EO157" i="10" s="1"/>
  <c r="EC159" i="10"/>
  <c r="EF159" i="10"/>
  <c r="ED159" i="10"/>
  <c r="EE159" i="10"/>
  <c r="EB159" i="10"/>
  <c r="EH158" i="10"/>
  <c r="EA160" i="10"/>
  <c r="GM156" i="9"/>
  <c r="GF156" i="9"/>
  <c r="GK146" i="9"/>
  <c r="GQ146" i="9" s="1"/>
  <c r="GG146" i="9"/>
  <c r="GS146" i="9"/>
  <c r="GR156" i="9"/>
  <c r="GE148" i="9"/>
  <c r="GH148" i="9" s="1"/>
  <c r="GJ148" i="9"/>
  <c r="GB151" i="9"/>
  <c r="FP151" i="9"/>
  <c r="FR151" i="9" s="1"/>
  <c r="FT151" i="9"/>
  <c r="FT149" i="9"/>
  <c r="FP149" i="9"/>
  <c r="GB149" i="9"/>
  <c r="FX149" i="9"/>
  <c r="FI154" i="9"/>
  <c r="FO150" i="9"/>
  <c r="GC150" i="9"/>
  <c r="FY150" i="9"/>
  <c r="FU150" i="9"/>
  <c r="FL154" i="9"/>
  <c r="FK154" i="9"/>
  <c r="ES156" i="9"/>
  <c r="EQ156" i="9"/>
  <c r="GJ147" i="9"/>
  <c r="GE147" i="9"/>
  <c r="GH147" i="9" s="1"/>
  <c r="EU156" i="9"/>
  <c r="EW156" i="9"/>
  <c r="FK153" i="9"/>
  <c r="FL153" i="9"/>
  <c r="EF157" i="9"/>
  <c r="EH157" i="9"/>
  <c r="EG157" i="9"/>
  <c r="EE157" i="9"/>
  <c r="EC157" i="9"/>
  <c r="EA158" i="9"/>
  <c r="ED157" i="9"/>
  <c r="GP157" i="9"/>
  <c r="EB157" i="9"/>
  <c r="EI157" i="9"/>
  <c r="FZ152" i="9"/>
  <c r="FN152" i="9"/>
  <c r="FV152" i="9"/>
  <c r="EO156" i="9"/>
  <c r="FC156" i="9" s="1"/>
  <c r="EM156" i="9"/>
  <c r="FB156" i="9" s="1"/>
  <c r="FD156" i="9" s="1"/>
  <c r="EZ156" i="9"/>
  <c r="EY156" i="9"/>
  <c r="FE155" i="9"/>
  <c r="FG155" i="9" s="1"/>
  <c r="FF155" i="9"/>
  <c r="CQ158" i="2" l="1"/>
  <c r="DA158" i="2" s="1"/>
  <c r="CY158" i="2"/>
  <c r="CX159" i="2"/>
  <c r="CP159" i="2"/>
  <c r="CL159" i="2"/>
  <c r="CO159" i="2" s="1"/>
  <c r="CY159" i="2" s="1"/>
  <c r="CK160" i="2"/>
  <c r="CN159" i="2"/>
  <c r="CU158" i="1"/>
  <c r="CY158" i="1"/>
  <c r="CR158" i="1"/>
  <c r="CW158" i="1" s="1"/>
  <c r="CV159" i="1"/>
  <c r="CQ159" i="1"/>
  <c r="CP159" i="1"/>
  <c r="CM161" i="1"/>
  <c r="CT160" i="1"/>
  <c r="CX160" i="1" s="1"/>
  <c r="CO160" i="1"/>
  <c r="CN160" i="1"/>
  <c r="EU158" i="10"/>
  <c r="EW158" i="10" s="1"/>
  <c r="EQ158" i="10"/>
  <c r="ES158" i="10" s="1"/>
  <c r="EM158" i="10"/>
  <c r="EJ158" i="10"/>
  <c r="EO158" i="10" s="1"/>
  <c r="EH159" i="10"/>
  <c r="EF160" i="10"/>
  <c r="ED160" i="10"/>
  <c r="EC160" i="10"/>
  <c r="EE160" i="10"/>
  <c r="EB160" i="10"/>
  <c r="EA161" i="10"/>
  <c r="GM157" i="9"/>
  <c r="GF157" i="9"/>
  <c r="GK148" i="9"/>
  <c r="GQ148" i="9" s="1"/>
  <c r="GG148" i="9"/>
  <c r="GS148" i="9"/>
  <c r="GK147" i="9"/>
  <c r="GQ147" i="9" s="1"/>
  <c r="GG147" i="9"/>
  <c r="GS147" i="9"/>
  <c r="GR157" i="9"/>
  <c r="FQ151" i="9"/>
  <c r="GD151" i="9" s="1"/>
  <c r="GE151" i="9" s="1"/>
  <c r="GH151" i="9" s="1"/>
  <c r="GA151" i="9"/>
  <c r="FW151" i="9"/>
  <c r="FS151" i="9"/>
  <c r="FW149" i="9"/>
  <c r="FR149" i="9"/>
  <c r="GA149" i="9"/>
  <c r="FS149" i="9"/>
  <c r="FQ149" i="9"/>
  <c r="GD149" i="9" s="1"/>
  <c r="FM154" i="9"/>
  <c r="FP150" i="9"/>
  <c r="GB150" i="9"/>
  <c r="FX150" i="9"/>
  <c r="FT150" i="9"/>
  <c r="EA159" i="9"/>
  <c r="ED158" i="9"/>
  <c r="GP158" i="9"/>
  <c r="EE158" i="9"/>
  <c r="EF158" i="9"/>
  <c r="EG158" i="9"/>
  <c r="EC158" i="9"/>
  <c r="EH158" i="9"/>
  <c r="EI158" i="9"/>
  <c r="EB158" i="9"/>
  <c r="ES157" i="9"/>
  <c r="EQ157" i="9"/>
  <c r="FU152" i="9"/>
  <c r="GC152" i="9"/>
  <c r="FY152" i="9"/>
  <c r="FO152" i="9"/>
  <c r="EY157" i="9"/>
  <c r="EZ157" i="9"/>
  <c r="FI155" i="9"/>
  <c r="FH155" i="9"/>
  <c r="FJ155" i="9" s="1"/>
  <c r="EO157" i="9"/>
  <c r="FC157" i="9" s="1"/>
  <c r="EM157" i="9"/>
  <c r="FB157" i="9" s="1"/>
  <c r="FD157" i="9" s="1"/>
  <c r="FM153" i="9"/>
  <c r="FF156" i="9"/>
  <c r="FE156" i="9"/>
  <c r="FG156" i="9" s="1"/>
  <c r="EU157" i="9"/>
  <c r="EW157" i="9"/>
  <c r="CX160" i="2" l="1"/>
  <c r="CP160" i="2"/>
  <c r="CN160" i="2"/>
  <c r="CL160" i="2"/>
  <c r="CO160" i="2" s="1"/>
  <c r="CY160" i="2" s="1"/>
  <c r="CK161" i="2"/>
  <c r="CZ159" i="2"/>
  <c r="CQ159" i="2"/>
  <c r="DA159" i="2" s="1"/>
  <c r="CU159" i="1"/>
  <c r="CY159" i="1"/>
  <c r="CR159" i="1"/>
  <c r="CW159" i="1" s="1"/>
  <c r="CV160" i="1"/>
  <c r="CQ160" i="1"/>
  <c r="CP160" i="1"/>
  <c r="CM162" i="1"/>
  <c r="CT161" i="1"/>
  <c r="CX161" i="1" s="1"/>
  <c r="CO161" i="1"/>
  <c r="CN161" i="1"/>
  <c r="EU159" i="10"/>
  <c r="EW159" i="10" s="1"/>
  <c r="EQ159" i="10"/>
  <c r="ES159" i="10" s="1"/>
  <c r="EM159" i="10"/>
  <c r="EJ159" i="10"/>
  <c r="EO159" i="10" s="1"/>
  <c r="ED161" i="10"/>
  <c r="EF161" i="10"/>
  <c r="EC161" i="10"/>
  <c r="EB161" i="10"/>
  <c r="EE161" i="10"/>
  <c r="EH160" i="10"/>
  <c r="EA162" i="10"/>
  <c r="GM158" i="9"/>
  <c r="GF158" i="9"/>
  <c r="GK151" i="9"/>
  <c r="GQ151" i="9" s="1"/>
  <c r="GG151" i="9"/>
  <c r="GS151" i="9"/>
  <c r="GR158" i="9"/>
  <c r="GJ151" i="9"/>
  <c r="GJ149" i="9"/>
  <c r="GE149" i="9"/>
  <c r="GH149" i="9" s="1"/>
  <c r="GA150" i="9"/>
  <c r="FQ150" i="9"/>
  <c r="GD150" i="9" s="1"/>
  <c r="FW150" i="9"/>
  <c r="FR150" i="9"/>
  <c r="FS150" i="9"/>
  <c r="FF157" i="9"/>
  <c r="FN154" i="9"/>
  <c r="FV154" i="9"/>
  <c r="FZ154" i="9"/>
  <c r="FX152" i="9"/>
  <c r="FP152" i="9"/>
  <c r="FT152" i="9"/>
  <c r="GB152" i="9"/>
  <c r="FZ153" i="9"/>
  <c r="FV153" i="9"/>
  <c r="FN153" i="9"/>
  <c r="ES158" i="9"/>
  <c r="EQ158" i="9"/>
  <c r="FL155" i="9"/>
  <c r="FK155" i="9"/>
  <c r="FE157" i="9"/>
  <c r="FG157" i="9" s="1"/>
  <c r="FH157" i="9" s="1"/>
  <c r="FJ157" i="9" s="1"/>
  <c r="EZ158" i="9"/>
  <c r="EY158" i="9"/>
  <c r="EM158" i="9"/>
  <c r="FB158" i="9" s="1"/>
  <c r="FD158" i="9" s="1"/>
  <c r="EO158" i="9"/>
  <c r="FC158" i="9" s="1"/>
  <c r="EW158" i="9"/>
  <c r="EU158" i="9"/>
  <c r="FI156" i="9"/>
  <c r="FH156" i="9"/>
  <c r="FJ156" i="9" s="1"/>
  <c r="GP159" i="9"/>
  <c r="EI159" i="9"/>
  <c r="EF159" i="9"/>
  <c r="EB159" i="9"/>
  <c r="EC159" i="9"/>
  <c r="EG159" i="9"/>
  <c r="EH159" i="9"/>
  <c r="EE159" i="9"/>
  <c r="ED159" i="9"/>
  <c r="EA160" i="9"/>
  <c r="CX161" i="2" l="1"/>
  <c r="CP161" i="2"/>
  <c r="CL161" i="2"/>
  <c r="CO161" i="2" s="1"/>
  <c r="CY161" i="2" s="1"/>
  <c r="CN161" i="2"/>
  <c r="CK162" i="2"/>
  <c r="CZ160" i="2"/>
  <c r="CQ160" i="2"/>
  <c r="DA160" i="2" s="1"/>
  <c r="CU160" i="1"/>
  <c r="CY160" i="1"/>
  <c r="CP161" i="1"/>
  <c r="CR160" i="1"/>
  <c r="CW160" i="1" s="1"/>
  <c r="CV161" i="1"/>
  <c r="CQ161" i="1"/>
  <c r="CR161" i="1" s="1"/>
  <c r="CW161" i="1" s="1"/>
  <c r="CM163" i="1"/>
  <c r="CT162" i="1"/>
  <c r="CX162" i="1" s="1"/>
  <c r="CO162" i="1"/>
  <c r="CN162" i="1"/>
  <c r="EU160" i="10"/>
  <c r="EW160" i="10" s="1"/>
  <c r="EQ160" i="10"/>
  <c r="ES160" i="10" s="1"/>
  <c r="EM160" i="10"/>
  <c r="EJ160" i="10"/>
  <c r="EO160" i="10" s="1"/>
  <c r="EH161" i="10"/>
  <c r="ED162" i="10"/>
  <c r="EC162" i="10"/>
  <c r="EF162" i="10"/>
  <c r="EE162" i="10"/>
  <c r="EB162" i="10"/>
  <c r="EA163" i="10"/>
  <c r="GM159" i="9"/>
  <c r="GR159" i="9" s="1"/>
  <c r="GF159" i="9"/>
  <c r="GK149" i="9"/>
  <c r="GQ149" i="9" s="1"/>
  <c r="GG149" i="9"/>
  <c r="GS149" i="9"/>
  <c r="FO154" i="9"/>
  <c r="GC154" i="9"/>
  <c r="FU154" i="9"/>
  <c r="FY154" i="9"/>
  <c r="FM155" i="9"/>
  <c r="GJ150" i="9"/>
  <c r="GE150" i="9"/>
  <c r="GH150" i="9" s="1"/>
  <c r="EY159" i="9"/>
  <c r="EZ159" i="9"/>
  <c r="FE158" i="9"/>
  <c r="FG158" i="9" s="1"/>
  <c r="FF158" i="9"/>
  <c r="FY153" i="9"/>
  <c r="FO153" i="9"/>
  <c r="GC153" i="9"/>
  <c r="FU153" i="9"/>
  <c r="EW159" i="9"/>
  <c r="EU159" i="9"/>
  <c r="FL156" i="9"/>
  <c r="FK156" i="9"/>
  <c r="FK157" i="9"/>
  <c r="FL157" i="9"/>
  <c r="EF160" i="9"/>
  <c r="EI160" i="9"/>
  <c r="EH160" i="9"/>
  <c r="EG160" i="9"/>
  <c r="EB160" i="9"/>
  <c r="GP160" i="9"/>
  <c r="EE160" i="9"/>
  <c r="EA161" i="9"/>
  <c r="EC160" i="9"/>
  <c r="ED160" i="9"/>
  <c r="ES159" i="9"/>
  <c r="EQ159" i="9"/>
  <c r="FI157" i="9"/>
  <c r="GA152" i="9"/>
  <c r="FQ152" i="9"/>
  <c r="GD152" i="9" s="1"/>
  <c r="FW152" i="9"/>
  <c r="FR152" i="9"/>
  <c r="FS152" i="9"/>
  <c r="EO159" i="9"/>
  <c r="FC159" i="9" s="1"/>
  <c r="EM159" i="9"/>
  <c r="FB159" i="9" s="1"/>
  <c r="FD159" i="9" s="1"/>
  <c r="CX162" i="2" l="1"/>
  <c r="CP162" i="2"/>
  <c r="CK163" i="2"/>
  <c r="CL162" i="2"/>
  <c r="CO162" i="2" s="1"/>
  <c r="CY162" i="2" s="1"/>
  <c r="CN162" i="2"/>
  <c r="CZ161" i="2"/>
  <c r="CQ161" i="2"/>
  <c r="DA161" i="2" s="1"/>
  <c r="CU161" i="1"/>
  <c r="CY161" i="1"/>
  <c r="CV162" i="1"/>
  <c r="CQ162" i="1"/>
  <c r="CP162" i="1"/>
  <c r="CM164" i="1"/>
  <c r="CT163" i="1"/>
  <c r="CX163" i="1" s="1"/>
  <c r="CO163" i="1"/>
  <c r="CN163" i="1"/>
  <c r="EU161" i="10"/>
  <c r="EW161" i="10" s="1"/>
  <c r="EQ161" i="10"/>
  <c r="ES161" i="10" s="1"/>
  <c r="EM161" i="10"/>
  <c r="EJ161" i="10"/>
  <c r="EO161" i="10" s="1"/>
  <c r="EH162" i="10"/>
  <c r="ED163" i="10"/>
  <c r="EC163" i="10"/>
  <c r="EF163" i="10"/>
  <c r="EE163" i="10"/>
  <c r="EB163" i="10"/>
  <c r="EA164" i="10"/>
  <c r="GM160" i="9"/>
  <c r="GF160" i="9"/>
  <c r="GK150" i="9"/>
  <c r="GQ150" i="9" s="1"/>
  <c r="GG150" i="9"/>
  <c r="GS150" i="9"/>
  <c r="GR160" i="9"/>
  <c r="FM157" i="9"/>
  <c r="FV157" i="9" s="1"/>
  <c r="FV155" i="9"/>
  <c r="FN155" i="9"/>
  <c r="FZ155" i="9"/>
  <c r="FM156" i="9"/>
  <c r="FP154" i="9"/>
  <c r="FT154" i="9"/>
  <c r="FX154" i="9"/>
  <c r="GB154" i="9"/>
  <c r="EU160" i="9"/>
  <c r="EW160" i="9"/>
  <c r="EQ160" i="9"/>
  <c r="ES160" i="9"/>
  <c r="EH161" i="9"/>
  <c r="EA162" i="9"/>
  <c r="EG161" i="9"/>
  <c r="EB161" i="9"/>
  <c r="ED161" i="9"/>
  <c r="GP161" i="9"/>
  <c r="EC161" i="9"/>
  <c r="EF161" i="9"/>
  <c r="EI161" i="9"/>
  <c r="EE161" i="9"/>
  <c r="FT153" i="9"/>
  <c r="GB153" i="9"/>
  <c r="FP153" i="9"/>
  <c r="FX153" i="9"/>
  <c r="GJ152" i="9"/>
  <c r="GE152" i="9"/>
  <c r="GH152" i="9" s="1"/>
  <c r="EZ160" i="9"/>
  <c r="EY160" i="9"/>
  <c r="EO160" i="9"/>
  <c r="FC160" i="9" s="1"/>
  <c r="EM160" i="9"/>
  <c r="FB160" i="9" s="1"/>
  <c r="FD160" i="9" s="1"/>
  <c r="FH158" i="9"/>
  <c r="FJ158" i="9" s="1"/>
  <c r="FI158" i="9"/>
  <c r="FE159" i="9"/>
  <c r="FG159" i="9" s="1"/>
  <c r="FF159" i="9"/>
  <c r="CX163" i="2" l="1"/>
  <c r="CP163" i="2"/>
  <c r="CK164" i="2"/>
  <c r="CL163" i="2"/>
  <c r="CO163" i="2" s="1"/>
  <c r="CY163" i="2" s="1"/>
  <c r="CN163" i="2"/>
  <c r="CZ162" i="2"/>
  <c r="CQ162" i="2"/>
  <c r="DA162" i="2" s="1"/>
  <c r="CU162" i="1"/>
  <c r="CY162" i="1"/>
  <c r="CR162" i="1"/>
  <c r="CW162" i="1" s="1"/>
  <c r="CP163" i="1"/>
  <c r="CV163" i="1"/>
  <c r="CQ163" i="1"/>
  <c r="CR163" i="1" s="1"/>
  <c r="CW163" i="1" s="1"/>
  <c r="CM165" i="1"/>
  <c r="CT164" i="1"/>
  <c r="CX164" i="1" s="1"/>
  <c r="CO164" i="1"/>
  <c r="CN164" i="1"/>
  <c r="EU162" i="10"/>
  <c r="EW162" i="10" s="1"/>
  <c r="EQ162" i="10"/>
  <c r="ES162" i="10" s="1"/>
  <c r="EM162" i="10"/>
  <c r="EJ162" i="10"/>
  <c r="EO162" i="10" s="1"/>
  <c r="EC164" i="10"/>
  <c r="EF164" i="10"/>
  <c r="ED164" i="10"/>
  <c r="EB164" i="10"/>
  <c r="EE164" i="10"/>
  <c r="EH163" i="10"/>
  <c r="EA165" i="10"/>
  <c r="GM161" i="9"/>
  <c r="GR161" i="9" s="1"/>
  <c r="GF161" i="9"/>
  <c r="GK152" i="9"/>
  <c r="GQ152" i="9" s="1"/>
  <c r="GG152" i="9"/>
  <c r="GS152" i="9"/>
  <c r="FN157" i="9"/>
  <c r="FO157" i="9" s="1"/>
  <c r="FX157" i="9" s="1"/>
  <c r="FZ157" i="9"/>
  <c r="GA154" i="9"/>
  <c r="FS154" i="9"/>
  <c r="FW154" i="9"/>
  <c r="FR154" i="9"/>
  <c r="FQ154" i="9"/>
  <c r="GD154" i="9" s="1"/>
  <c r="FN156" i="9"/>
  <c r="FZ156" i="9"/>
  <c r="FV156" i="9"/>
  <c r="FO155" i="9"/>
  <c r="GC155" i="9"/>
  <c r="FU155" i="9"/>
  <c r="FY155" i="9"/>
  <c r="FF160" i="9"/>
  <c r="FE160" i="9"/>
  <c r="FG160" i="9" s="1"/>
  <c r="EM161" i="9"/>
  <c r="FB161" i="9" s="1"/>
  <c r="FD161" i="9" s="1"/>
  <c r="EO161" i="9"/>
  <c r="FC161" i="9" s="1"/>
  <c r="EZ161" i="9"/>
  <c r="EY161" i="9"/>
  <c r="EH162" i="9"/>
  <c r="EI162" i="9"/>
  <c r="EA163" i="9"/>
  <c r="ED162" i="9"/>
  <c r="EB162" i="9"/>
  <c r="EE162" i="9"/>
  <c r="GP162" i="9"/>
  <c r="EC162" i="9"/>
  <c r="EF162" i="9"/>
  <c r="EG162" i="9"/>
  <c r="FI159" i="9"/>
  <c r="FH159" i="9"/>
  <c r="FJ159" i="9" s="1"/>
  <c r="EQ161" i="9"/>
  <c r="ES161" i="9"/>
  <c r="FK158" i="9"/>
  <c r="FL158" i="9"/>
  <c r="FQ153" i="9"/>
  <c r="GD153" i="9" s="1"/>
  <c r="FR153" i="9"/>
  <c r="GA153" i="9"/>
  <c r="FS153" i="9"/>
  <c r="FW153" i="9"/>
  <c r="EW161" i="9"/>
  <c r="EU161" i="9"/>
  <c r="CX164" i="2" l="1"/>
  <c r="CP164" i="2"/>
  <c r="CL164" i="2"/>
  <c r="CO164" i="2" s="1"/>
  <c r="CY164" i="2" s="1"/>
  <c r="CN164" i="2"/>
  <c r="CK165" i="2"/>
  <c r="CZ163" i="2"/>
  <c r="CQ163" i="2"/>
  <c r="DA163" i="2" s="1"/>
  <c r="CU163" i="1"/>
  <c r="CY163" i="1"/>
  <c r="CP164" i="1"/>
  <c r="CV164" i="1"/>
  <c r="CQ164" i="1"/>
  <c r="CR164" i="1" s="1"/>
  <c r="CW164" i="1" s="1"/>
  <c r="CM166" i="1"/>
  <c r="CT165" i="1"/>
  <c r="CX165" i="1" s="1"/>
  <c r="CO165" i="1"/>
  <c r="CN165" i="1"/>
  <c r="EQ163" i="10"/>
  <c r="ES163" i="10" s="1"/>
  <c r="EU163" i="10"/>
  <c r="EW163" i="10" s="1"/>
  <c r="EM163" i="10"/>
  <c r="EJ163" i="10"/>
  <c r="EO163" i="10" s="1"/>
  <c r="EH164" i="10"/>
  <c r="EF165" i="10"/>
  <c r="EC165" i="10"/>
  <c r="ED165" i="10"/>
  <c r="EB165" i="10"/>
  <c r="EE165" i="10"/>
  <c r="EA166" i="10"/>
  <c r="GM162" i="9"/>
  <c r="GR162" i="9" s="1"/>
  <c r="GF162" i="9"/>
  <c r="FT157" i="9"/>
  <c r="GB157" i="9"/>
  <c r="FP157" i="9"/>
  <c r="FS157" i="9" s="1"/>
  <c r="GC157" i="9"/>
  <c r="FY157" i="9"/>
  <c r="FU157" i="9"/>
  <c r="FU156" i="9"/>
  <c r="GC156" i="9"/>
  <c r="FO156" i="9"/>
  <c r="FY156" i="9"/>
  <c r="GE154" i="9"/>
  <c r="GH154" i="9" s="1"/>
  <c r="GJ154" i="9"/>
  <c r="GB155" i="9"/>
  <c r="FT155" i="9"/>
  <c r="FX155" i="9"/>
  <c r="FP155" i="9"/>
  <c r="GJ153" i="9"/>
  <c r="GE153" i="9"/>
  <c r="GH153" i="9" s="1"/>
  <c r="FM158" i="9"/>
  <c r="ES162" i="9"/>
  <c r="EQ162" i="9"/>
  <c r="EZ162" i="9"/>
  <c r="EY162" i="9"/>
  <c r="EO162" i="9"/>
  <c r="FC162" i="9" s="1"/>
  <c r="EM162" i="9"/>
  <c r="FB162" i="9" s="1"/>
  <c r="FD162" i="9" s="1"/>
  <c r="FE161" i="9"/>
  <c r="FG161" i="9" s="1"/>
  <c r="FF161" i="9"/>
  <c r="FI160" i="9"/>
  <c r="FH160" i="9"/>
  <c r="FJ160" i="9" s="1"/>
  <c r="FK159" i="9"/>
  <c r="FL159" i="9"/>
  <c r="EU162" i="9"/>
  <c r="EW162" i="9"/>
  <c r="EH163" i="9"/>
  <c r="EG163" i="9"/>
  <c r="EE163" i="9"/>
  <c r="EC163" i="9"/>
  <c r="EA164" i="9"/>
  <c r="EB163" i="9"/>
  <c r="GP163" i="9"/>
  <c r="ED163" i="9"/>
  <c r="EI163" i="9"/>
  <c r="EF163" i="9"/>
  <c r="CX165" i="2" l="1"/>
  <c r="CP165" i="2"/>
  <c r="CK166" i="2"/>
  <c r="CL165" i="2"/>
  <c r="CO165" i="2" s="1"/>
  <c r="CY165" i="2" s="1"/>
  <c r="CN165" i="2"/>
  <c r="CZ164" i="2"/>
  <c r="CQ164" i="2"/>
  <c r="DA164" i="2" s="1"/>
  <c r="CU164" i="1"/>
  <c r="CY164" i="1"/>
  <c r="CV165" i="1"/>
  <c r="CQ165" i="1"/>
  <c r="CP165" i="1"/>
  <c r="CM167" i="1"/>
  <c r="CT166" i="1"/>
  <c r="CX166" i="1" s="1"/>
  <c r="CO166" i="1"/>
  <c r="CN166" i="1"/>
  <c r="EU164" i="10"/>
  <c r="EW164" i="10" s="1"/>
  <c r="EQ164" i="10"/>
  <c r="ES164" i="10" s="1"/>
  <c r="EM164" i="10"/>
  <c r="EJ164" i="10"/>
  <c r="EO164" i="10" s="1"/>
  <c r="EH165" i="10"/>
  <c r="ED166" i="10"/>
  <c r="EF166" i="10"/>
  <c r="EC166" i="10"/>
  <c r="EB166" i="10"/>
  <c r="EE166" i="10"/>
  <c r="EA167" i="10"/>
  <c r="GM163" i="9"/>
  <c r="GR163" i="9" s="1"/>
  <c r="GF163" i="9"/>
  <c r="GK154" i="9"/>
  <c r="GQ154" i="9" s="1"/>
  <c r="GG154" i="9"/>
  <c r="GS154" i="9"/>
  <c r="GK153" i="9"/>
  <c r="GQ153" i="9" s="1"/>
  <c r="GG153" i="9"/>
  <c r="GS153" i="9"/>
  <c r="FR157" i="9"/>
  <c r="FW157" i="9"/>
  <c r="FQ157" i="9"/>
  <c r="GD157" i="9" s="1"/>
  <c r="GA157" i="9"/>
  <c r="GB156" i="9"/>
  <c r="FX156" i="9"/>
  <c r="FP156" i="9"/>
  <c r="FT156" i="9"/>
  <c r="FW155" i="9"/>
  <c r="FQ155" i="9"/>
  <c r="GD155" i="9" s="1"/>
  <c r="GA155" i="9"/>
  <c r="FS155" i="9"/>
  <c r="FR155" i="9"/>
  <c r="FM159" i="9"/>
  <c r="FN159" i="9" s="1"/>
  <c r="FY159" i="9" s="1"/>
  <c r="EM163" i="9"/>
  <c r="FB163" i="9" s="1"/>
  <c r="FD163" i="9" s="1"/>
  <c r="EO163" i="9"/>
  <c r="FC163" i="9" s="1"/>
  <c r="EE164" i="9"/>
  <c r="EI164" i="9"/>
  <c r="EA165" i="9"/>
  <c r="ED164" i="9"/>
  <c r="EF164" i="9"/>
  <c r="GP164" i="9"/>
  <c r="EC164" i="9"/>
  <c r="EG164" i="9"/>
  <c r="EH164" i="9"/>
  <c r="EB164" i="9"/>
  <c r="FL160" i="9"/>
  <c r="FK160" i="9"/>
  <c r="ES163" i="9"/>
  <c r="EQ163" i="9"/>
  <c r="EY163" i="9"/>
  <c r="EZ163" i="9"/>
  <c r="FZ158" i="9"/>
  <c r="FV158" i="9"/>
  <c r="FN158" i="9"/>
  <c r="FH161" i="9"/>
  <c r="FJ161" i="9" s="1"/>
  <c r="FI161" i="9"/>
  <c r="EU163" i="9"/>
  <c r="EW163" i="9"/>
  <c r="FE162" i="9"/>
  <c r="FG162" i="9" s="1"/>
  <c r="FF162" i="9"/>
  <c r="CX166" i="2" l="1"/>
  <c r="CP166" i="2"/>
  <c r="CZ166" i="2" s="1"/>
  <c r="CL166" i="2"/>
  <c r="CO166" i="2" s="1"/>
  <c r="CN166" i="2"/>
  <c r="CK167" i="2"/>
  <c r="CZ165" i="2"/>
  <c r="CQ165" i="2"/>
  <c r="DA165" i="2" s="1"/>
  <c r="CU165" i="1"/>
  <c r="CY165" i="1"/>
  <c r="CR165" i="1"/>
  <c r="CW165" i="1" s="1"/>
  <c r="CV166" i="1"/>
  <c r="CQ166" i="1"/>
  <c r="CP166" i="1"/>
  <c r="CM168" i="1"/>
  <c r="CT167" i="1"/>
  <c r="CX167" i="1" s="1"/>
  <c r="CO167" i="1"/>
  <c r="CN167" i="1"/>
  <c r="EU165" i="10"/>
  <c r="EW165" i="10" s="1"/>
  <c r="EQ165" i="10"/>
  <c r="ES165" i="10" s="1"/>
  <c r="EH166" i="10"/>
  <c r="EM165" i="10"/>
  <c r="EJ165" i="10"/>
  <c r="EO165" i="10" s="1"/>
  <c r="EC167" i="10"/>
  <c r="EF167" i="10"/>
  <c r="ED167" i="10"/>
  <c r="EE167" i="10"/>
  <c r="EB167" i="10"/>
  <c r="EA168" i="10"/>
  <c r="GM164" i="9"/>
  <c r="GR164" i="9" s="1"/>
  <c r="GF164" i="9"/>
  <c r="GJ157" i="9"/>
  <c r="GE157" i="9"/>
  <c r="GH157" i="9" s="1"/>
  <c r="GC159" i="9"/>
  <c r="FZ159" i="9"/>
  <c r="FV159" i="9"/>
  <c r="FU159" i="9"/>
  <c r="FO159" i="9"/>
  <c r="GB159" i="9" s="1"/>
  <c r="GJ155" i="9"/>
  <c r="GE155" i="9"/>
  <c r="GH155" i="9" s="1"/>
  <c r="FW156" i="9"/>
  <c r="GA156" i="9"/>
  <c r="FR156" i="9"/>
  <c r="FQ156" i="9"/>
  <c r="GD156" i="9" s="1"/>
  <c r="FS156" i="9"/>
  <c r="FY158" i="9"/>
  <c r="FO158" i="9"/>
  <c r="FU158" i="9"/>
  <c r="GC158" i="9"/>
  <c r="FH162" i="9"/>
  <c r="FJ162" i="9" s="1"/>
  <c r="FI162" i="9"/>
  <c r="EW164" i="9"/>
  <c r="EU164" i="9"/>
  <c r="FM160" i="9"/>
  <c r="EF165" i="9"/>
  <c r="EH165" i="9"/>
  <c r="EG165" i="9"/>
  <c r="EE165" i="9"/>
  <c r="EI165" i="9"/>
  <c r="EB165" i="9"/>
  <c r="EA166" i="9"/>
  <c r="EC165" i="9"/>
  <c r="GP165" i="9"/>
  <c r="ED165" i="9"/>
  <c r="EO164" i="9"/>
  <c r="FC164" i="9" s="1"/>
  <c r="EM164" i="9"/>
  <c r="FB164" i="9" s="1"/>
  <c r="FD164" i="9" s="1"/>
  <c r="EY164" i="9"/>
  <c r="EZ164" i="9"/>
  <c r="FK161" i="9"/>
  <c r="FL161" i="9"/>
  <c r="EQ164" i="9"/>
  <c r="ES164" i="9"/>
  <c r="FE163" i="9"/>
  <c r="FG163" i="9" s="1"/>
  <c r="FF163" i="9"/>
  <c r="CX167" i="2" l="1"/>
  <c r="CP167" i="2"/>
  <c r="CN167" i="2"/>
  <c r="CK168" i="2"/>
  <c r="CL167" i="2"/>
  <c r="CO167" i="2" s="1"/>
  <c r="CY167" i="2" s="1"/>
  <c r="CQ166" i="2"/>
  <c r="DA166" i="2" s="1"/>
  <c r="CY166" i="2"/>
  <c r="CU166" i="1"/>
  <c r="CY166" i="1"/>
  <c r="CR166" i="1"/>
  <c r="CW166" i="1" s="1"/>
  <c r="CP167" i="1"/>
  <c r="CV167" i="1"/>
  <c r="CQ167" i="1"/>
  <c r="CR167" i="1" s="1"/>
  <c r="CW167" i="1" s="1"/>
  <c r="CM169" i="1"/>
  <c r="CT168" i="1"/>
  <c r="CX168" i="1" s="1"/>
  <c r="CO168" i="1"/>
  <c r="CN168" i="1"/>
  <c r="EM166" i="10"/>
  <c r="EU166" i="10"/>
  <c r="EW166" i="10" s="1"/>
  <c r="EQ166" i="10"/>
  <c r="ES166" i="10" s="1"/>
  <c r="EJ166" i="10"/>
  <c r="EO166" i="10" s="1"/>
  <c r="EH167" i="10"/>
  <c r="ED168" i="10"/>
  <c r="EF168" i="10"/>
  <c r="EC168" i="10"/>
  <c r="EB168" i="10"/>
  <c r="EE168" i="10"/>
  <c r="EA169" i="10"/>
  <c r="GM165" i="9"/>
  <c r="GF165" i="9"/>
  <c r="GK157" i="9"/>
  <c r="GQ157" i="9" s="1"/>
  <c r="GG157" i="9"/>
  <c r="GS157" i="9"/>
  <c r="GK155" i="9"/>
  <c r="GQ155" i="9" s="1"/>
  <c r="GG155" i="9"/>
  <c r="GS155" i="9"/>
  <c r="GR165" i="9"/>
  <c r="FX159" i="9"/>
  <c r="FT159" i="9"/>
  <c r="FP159" i="9"/>
  <c r="GE156" i="9"/>
  <c r="GH156" i="9" s="1"/>
  <c r="GJ156" i="9"/>
  <c r="EI166" i="9"/>
  <c r="ED166" i="9"/>
  <c r="EG166" i="9"/>
  <c r="EH166" i="9"/>
  <c r="EB166" i="9"/>
  <c r="EF166" i="9"/>
  <c r="EA167" i="9"/>
  <c r="EC166" i="9"/>
  <c r="GP166" i="9"/>
  <c r="EE166" i="9"/>
  <c r="EO165" i="9"/>
  <c r="FC165" i="9" s="1"/>
  <c r="EM165" i="9"/>
  <c r="FB165" i="9" s="1"/>
  <c r="FD165" i="9" s="1"/>
  <c r="FE164" i="9"/>
  <c r="FG164" i="9" s="1"/>
  <c r="FF164" i="9"/>
  <c r="EY165" i="9"/>
  <c r="EZ165" i="9"/>
  <c r="FL162" i="9"/>
  <c r="FK162" i="9"/>
  <c r="FI163" i="9"/>
  <c r="FH163" i="9"/>
  <c r="FJ163" i="9" s="1"/>
  <c r="EW165" i="9"/>
  <c r="EU165" i="9"/>
  <c r="GB158" i="9"/>
  <c r="FP158" i="9"/>
  <c r="FX158" i="9"/>
  <c r="FT158" i="9"/>
  <c r="FM161" i="9"/>
  <c r="ES165" i="9"/>
  <c r="EQ165" i="9"/>
  <c r="FV160" i="9"/>
  <c r="FN160" i="9"/>
  <c r="FZ160" i="9"/>
  <c r="CX168" i="2" l="1"/>
  <c r="CP168" i="2"/>
  <c r="CK169" i="2"/>
  <c r="CL168" i="2"/>
  <c r="CN168" i="2"/>
  <c r="CZ167" i="2"/>
  <c r="CQ167" i="2"/>
  <c r="DA167" i="2" s="1"/>
  <c r="CU167" i="1"/>
  <c r="CY167" i="1"/>
  <c r="CP168" i="1"/>
  <c r="CV168" i="1"/>
  <c r="CQ168" i="1"/>
  <c r="CR168" i="1" s="1"/>
  <c r="CW168" i="1" s="1"/>
  <c r="CM170" i="1"/>
  <c r="CT169" i="1"/>
  <c r="CX169" i="1" s="1"/>
  <c r="CO169" i="1"/>
  <c r="CN169" i="1"/>
  <c r="EU167" i="10"/>
  <c r="EW167" i="10" s="1"/>
  <c r="EQ167" i="10"/>
  <c r="ES167" i="10" s="1"/>
  <c r="EM167" i="10"/>
  <c r="EJ167" i="10"/>
  <c r="EO167" i="10" s="1"/>
  <c r="EH168" i="10"/>
  <c r="ED169" i="10"/>
  <c r="EC169" i="10"/>
  <c r="EF169" i="10"/>
  <c r="EE169" i="10"/>
  <c r="EB169" i="10"/>
  <c r="EA170" i="10"/>
  <c r="GM166" i="9"/>
  <c r="GR166" i="9" s="1"/>
  <c r="GF166" i="9"/>
  <c r="GK156" i="9"/>
  <c r="GQ156" i="9" s="1"/>
  <c r="GG156" i="9"/>
  <c r="GS156" i="9"/>
  <c r="FS159" i="9"/>
  <c r="GA159" i="9"/>
  <c r="FW159" i="9"/>
  <c r="FQ159" i="9"/>
  <c r="GD159" i="9" s="1"/>
  <c r="FR159" i="9"/>
  <c r="FS158" i="9"/>
  <c r="FQ158" i="9"/>
  <c r="GD158" i="9" s="1"/>
  <c r="FW158" i="9"/>
  <c r="GA158" i="9"/>
  <c r="FR158" i="9"/>
  <c r="ES166" i="9"/>
  <c r="EQ166" i="9"/>
  <c r="GC160" i="9"/>
  <c r="FY160" i="9"/>
  <c r="FU160" i="9"/>
  <c r="FO160" i="9"/>
  <c r="EH167" i="9"/>
  <c r="EE167" i="9"/>
  <c r="GP167" i="9"/>
  <c r="EF167" i="9"/>
  <c r="EG167" i="9"/>
  <c r="EB167" i="9"/>
  <c r="ED167" i="9"/>
  <c r="EC167" i="9"/>
  <c r="EA168" i="9"/>
  <c r="EI167" i="9"/>
  <c r="FI164" i="9"/>
  <c r="FH164" i="9"/>
  <c r="FJ164" i="9" s="1"/>
  <c r="EM166" i="9"/>
  <c r="FB166" i="9" s="1"/>
  <c r="FD166" i="9" s="1"/>
  <c r="EO166" i="9"/>
  <c r="FC166" i="9" s="1"/>
  <c r="FK163" i="9"/>
  <c r="FL163" i="9"/>
  <c r="FE165" i="9"/>
  <c r="FG165" i="9" s="1"/>
  <c r="FF165" i="9"/>
  <c r="FZ161" i="9"/>
  <c r="FV161" i="9"/>
  <c r="FN161" i="9"/>
  <c r="EW166" i="9"/>
  <c r="EU166" i="9"/>
  <c r="EY166" i="9"/>
  <c r="EZ166" i="9"/>
  <c r="FM162" i="9"/>
  <c r="CX169" i="2" l="1"/>
  <c r="CP169" i="2"/>
  <c r="CN169" i="2"/>
  <c r="CK170" i="2"/>
  <c r="CL169" i="2"/>
  <c r="CO169" i="2" s="1"/>
  <c r="CY169" i="2" s="1"/>
  <c r="CO168" i="2"/>
  <c r="CY168" i="2" s="1"/>
  <c r="CZ168" i="2"/>
  <c r="CU168" i="1"/>
  <c r="CY168" i="1"/>
  <c r="CP169" i="1"/>
  <c r="CV169" i="1"/>
  <c r="CQ169" i="1"/>
  <c r="CR169" i="1" s="1"/>
  <c r="CW169" i="1" s="1"/>
  <c r="CM171" i="1"/>
  <c r="CT170" i="1"/>
  <c r="CX170" i="1" s="1"/>
  <c r="CO170" i="1"/>
  <c r="CP170" i="1" s="1"/>
  <c r="CN170" i="1"/>
  <c r="EU168" i="10"/>
  <c r="EW168" i="10" s="1"/>
  <c r="EQ168" i="10"/>
  <c r="ES168" i="10" s="1"/>
  <c r="EH169" i="10"/>
  <c r="EM168" i="10"/>
  <c r="EJ168" i="10"/>
  <c r="EO168" i="10" s="1"/>
  <c r="EF170" i="10"/>
  <c r="EC170" i="10"/>
  <c r="ED170" i="10"/>
  <c r="EE170" i="10"/>
  <c r="EB170" i="10"/>
  <c r="EA171" i="10"/>
  <c r="GM167" i="9"/>
  <c r="GR167" i="9" s="1"/>
  <c r="GF167" i="9"/>
  <c r="FM163" i="9"/>
  <c r="FZ163" i="9" s="1"/>
  <c r="GJ159" i="9"/>
  <c r="GE159" i="9"/>
  <c r="GH159" i="9" s="1"/>
  <c r="FE166" i="9"/>
  <c r="FG166" i="9" s="1"/>
  <c r="FH166" i="9" s="1"/>
  <c r="FJ166" i="9" s="1"/>
  <c r="FL166" i="9" s="1"/>
  <c r="GC161" i="9"/>
  <c r="FO161" i="9"/>
  <c r="FY161" i="9"/>
  <c r="FU161" i="9"/>
  <c r="FF166" i="9"/>
  <c r="FZ162" i="9"/>
  <c r="FV162" i="9"/>
  <c r="FN162" i="9"/>
  <c r="EY167" i="9"/>
  <c r="EZ167" i="9"/>
  <c r="FK164" i="9"/>
  <c r="FL164" i="9"/>
  <c r="FI165" i="9"/>
  <c r="FH165" i="9"/>
  <c r="FJ165" i="9" s="1"/>
  <c r="EI168" i="9"/>
  <c r="EH168" i="9"/>
  <c r="EG168" i="9"/>
  <c r="ED168" i="9"/>
  <c r="EE168" i="9"/>
  <c r="EB168" i="9"/>
  <c r="GP168" i="9"/>
  <c r="EF168" i="9"/>
  <c r="EC168" i="9"/>
  <c r="EA169" i="9"/>
  <c r="EQ167" i="9"/>
  <c r="ES167" i="9"/>
  <c r="FT160" i="9"/>
  <c r="FP160" i="9"/>
  <c r="FX160" i="9"/>
  <c r="GB160" i="9"/>
  <c r="EW167" i="9"/>
  <c r="EU167" i="9"/>
  <c r="GE158" i="9"/>
  <c r="GH158" i="9" s="1"/>
  <c r="GJ158" i="9"/>
  <c r="EO167" i="9"/>
  <c r="FC167" i="9" s="1"/>
  <c r="EM167" i="9"/>
  <c r="FB167" i="9" s="1"/>
  <c r="FD167" i="9" s="1"/>
  <c r="CQ168" i="2" l="1"/>
  <c r="DA168" i="2" s="1"/>
  <c r="CX170" i="2"/>
  <c r="CP170" i="2"/>
  <c r="CN170" i="2"/>
  <c r="CK171" i="2"/>
  <c r="CL170" i="2"/>
  <c r="CO170" i="2" s="1"/>
  <c r="CY170" i="2" s="1"/>
  <c r="CZ169" i="2"/>
  <c r="CQ169" i="2"/>
  <c r="DA169" i="2" s="1"/>
  <c r="CU169" i="1"/>
  <c r="CY169" i="1"/>
  <c r="CU170" i="1"/>
  <c r="CV170" i="1"/>
  <c r="CQ170" i="1"/>
  <c r="CR170" i="1" s="1"/>
  <c r="CW170" i="1" s="1"/>
  <c r="CM172" i="1"/>
  <c r="CT171" i="1"/>
  <c r="CX171" i="1" s="1"/>
  <c r="CO171" i="1"/>
  <c r="CN171" i="1"/>
  <c r="EM169" i="10"/>
  <c r="EU169" i="10"/>
  <c r="EW169" i="10" s="1"/>
  <c r="EQ169" i="10"/>
  <c r="ES169" i="10" s="1"/>
  <c r="EJ169" i="10"/>
  <c r="EO169" i="10" s="1"/>
  <c r="EH170" i="10"/>
  <c r="EC171" i="10"/>
  <c r="EF171" i="10"/>
  <c r="ED171" i="10"/>
  <c r="EE171" i="10"/>
  <c r="EB171" i="10"/>
  <c r="EA172" i="10"/>
  <c r="GM168" i="9"/>
  <c r="GF168" i="9"/>
  <c r="GK159" i="9"/>
  <c r="GQ159" i="9" s="1"/>
  <c r="GG159" i="9"/>
  <c r="GS159" i="9"/>
  <c r="GK158" i="9"/>
  <c r="GQ158" i="9" s="1"/>
  <c r="GG158" i="9"/>
  <c r="GS158" i="9"/>
  <c r="GR168" i="9"/>
  <c r="FN163" i="9"/>
  <c r="FU163" i="9" s="1"/>
  <c r="FV163" i="9"/>
  <c r="FM164" i="9"/>
  <c r="FN164" i="9" s="1"/>
  <c r="FK166" i="9"/>
  <c r="FM166" i="9" s="1"/>
  <c r="FI166" i="9"/>
  <c r="FE167" i="9"/>
  <c r="FG167" i="9" s="1"/>
  <c r="FF167" i="9"/>
  <c r="FR160" i="9"/>
  <c r="FW160" i="9"/>
  <c r="FQ160" i="9"/>
  <c r="GD160" i="9" s="1"/>
  <c r="FS160" i="9"/>
  <c r="GA160" i="9"/>
  <c r="ES168" i="9"/>
  <c r="EQ168" i="9"/>
  <c r="FO162" i="9"/>
  <c r="GC162" i="9"/>
  <c r="FY162" i="9"/>
  <c r="FU162" i="9"/>
  <c r="FK165" i="9"/>
  <c r="FL165" i="9"/>
  <c r="EO168" i="9"/>
  <c r="FC168" i="9" s="1"/>
  <c r="EM168" i="9"/>
  <c r="FB168" i="9" s="1"/>
  <c r="FD168" i="9" s="1"/>
  <c r="EY168" i="9"/>
  <c r="EZ168" i="9"/>
  <c r="EW168" i="9"/>
  <c r="EU168" i="9"/>
  <c r="FT161" i="9"/>
  <c r="FX161" i="9"/>
  <c r="GB161" i="9"/>
  <c r="FP161" i="9"/>
  <c r="EI169" i="9"/>
  <c r="ED169" i="9"/>
  <c r="EH169" i="9"/>
  <c r="EF169" i="9"/>
  <c r="GP169" i="9"/>
  <c r="EC169" i="9"/>
  <c r="EA170" i="9"/>
  <c r="EG169" i="9"/>
  <c r="EB169" i="9"/>
  <c r="EE169" i="9"/>
  <c r="CX171" i="2" l="1"/>
  <c r="CP171" i="2"/>
  <c r="CL171" i="2"/>
  <c r="CO171" i="2" s="1"/>
  <c r="CY171" i="2" s="1"/>
  <c r="CK172" i="2"/>
  <c r="CN171" i="2"/>
  <c r="CZ170" i="2"/>
  <c r="CQ170" i="2"/>
  <c r="DA170" i="2" s="1"/>
  <c r="CY170" i="1"/>
  <c r="CP171" i="1"/>
  <c r="CV171" i="1"/>
  <c r="CQ171" i="1"/>
  <c r="CM173" i="1"/>
  <c r="CT172" i="1"/>
  <c r="CX172" i="1" s="1"/>
  <c r="CO172" i="1"/>
  <c r="CN172" i="1"/>
  <c r="EU170" i="10"/>
  <c r="EW170" i="10" s="1"/>
  <c r="EQ170" i="10"/>
  <c r="ES170" i="10" s="1"/>
  <c r="EH171" i="10"/>
  <c r="EM170" i="10"/>
  <c r="EJ170" i="10"/>
  <c r="EO170" i="10" s="1"/>
  <c r="ED172" i="10"/>
  <c r="EF172" i="10"/>
  <c r="EC172" i="10"/>
  <c r="EB172" i="10"/>
  <c r="EE172" i="10"/>
  <c r="EA173" i="10"/>
  <c r="GM169" i="9"/>
  <c r="GR169" i="9" s="1"/>
  <c r="GF169" i="9"/>
  <c r="FO163" i="9"/>
  <c r="FT163" i="9" s="1"/>
  <c r="FY163" i="9"/>
  <c r="GC163" i="9"/>
  <c r="FV164" i="9"/>
  <c r="FZ164" i="9"/>
  <c r="FN166" i="9"/>
  <c r="GC166" i="9" s="1"/>
  <c r="FZ166" i="9"/>
  <c r="FV166" i="9"/>
  <c r="FM165" i="9"/>
  <c r="FV165" i="9" s="1"/>
  <c r="FS161" i="9"/>
  <c r="FW161" i="9"/>
  <c r="FR161" i="9"/>
  <c r="GA161" i="9"/>
  <c r="FQ161" i="9"/>
  <c r="GD161" i="9" s="1"/>
  <c r="EI170" i="9"/>
  <c r="EH170" i="9"/>
  <c r="ED170" i="9"/>
  <c r="EA171" i="9"/>
  <c r="EB170" i="9"/>
  <c r="EG170" i="9"/>
  <c r="EC170" i="9"/>
  <c r="GP170" i="9"/>
  <c r="EE170" i="9"/>
  <c r="EF170" i="9"/>
  <c r="FU164" i="9"/>
  <c r="GC164" i="9"/>
  <c r="FY164" i="9"/>
  <c r="FO164" i="9"/>
  <c r="GJ160" i="9"/>
  <c r="GE160" i="9"/>
  <c r="GH160" i="9" s="1"/>
  <c r="EY169" i="9"/>
  <c r="EZ169" i="9"/>
  <c r="EW169" i="9"/>
  <c r="EU169" i="9"/>
  <c r="FX162" i="9"/>
  <c r="FT162" i="9"/>
  <c r="GB162" i="9"/>
  <c r="FP162" i="9"/>
  <c r="ES169" i="9"/>
  <c r="EQ169" i="9"/>
  <c r="EO169" i="9"/>
  <c r="FC169" i="9" s="1"/>
  <c r="EM169" i="9"/>
  <c r="FB169" i="9" s="1"/>
  <c r="FD169" i="9" s="1"/>
  <c r="FF168" i="9"/>
  <c r="FE168" i="9"/>
  <c r="FG168" i="9" s="1"/>
  <c r="FI167" i="9"/>
  <c r="FH167" i="9"/>
  <c r="FJ167" i="9" s="1"/>
  <c r="CZ171" i="2" l="1"/>
  <c r="CQ171" i="2"/>
  <c r="DA171" i="2" s="1"/>
  <c r="CX172" i="2"/>
  <c r="CP172" i="2"/>
  <c r="CK173" i="2"/>
  <c r="CL172" i="2"/>
  <c r="CO172" i="2" s="1"/>
  <c r="CY172" i="2" s="1"/>
  <c r="CN172" i="2"/>
  <c r="CR171" i="1"/>
  <c r="CW171" i="1" s="1"/>
  <c r="CU171" i="1"/>
  <c r="CY171" i="1"/>
  <c r="CV172" i="1"/>
  <c r="CQ172" i="1"/>
  <c r="CP172" i="1"/>
  <c r="CM174" i="1"/>
  <c r="CT173" i="1"/>
  <c r="CX173" i="1" s="1"/>
  <c r="CO173" i="1"/>
  <c r="CN173" i="1"/>
  <c r="EU171" i="10"/>
  <c r="EW171" i="10" s="1"/>
  <c r="EQ171" i="10"/>
  <c r="ES171" i="10" s="1"/>
  <c r="EH172" i="10"/>
  <c r="EM171" i="10"/>
  <c r="EJ171" i="10"/>
  <c r="EO171" i="10" s="1"/>
  <c r="ED173" i="10"/>
  <c r="EC173" i="10"/>
  <c r="EF173" i="10"/>
  <c r="EB173" i="10"/>
  <c r="EE173" i="10"/>
  <c r="EA174" i="10"/>
  <c r="GM170" i="9"/>
  <c r="GF170" i="9"/>
  <c r="GK160" i="9"/>
  <c r="GQ160" i="9" s="1"/>
  <c r="GG160" i="9"/>
  <c r="GS160" i="9"/>
  <c r="GR170" i="9"/>
  <c r="FX163" i="9"/>
  <c r="FP163" i="9"/>
  <c r="FR163" i="9" s="1"/>
  <c r="GB163" i="9"/>
  <c r="FU166" i="9"/>
  <c r="FO166" i="9"/>
  <c r="FX166" i="9" s="1"/>
  <c r="FY166" i="9"/>
  <c r="FZ165" i="9"/>
  <c r="FN165" i="9"/>
  <c r="EU170" i="9"/>
  <c r="EW170" i="9"/>
  <c r="EY170" i="9"/>
  <c r="EZ170" i="9"/>
  <c r="GJ161" i="9"/>
  <c r="GE161" i="9"/>
  <c r="GH161" i="9" s="1"/>
  <c r="FP164" i="9"/>
  <c r="FX164" i="9"/>
  <c r="FT164" i="9"/>
  <c r="GB164" i="9"/>
  <c r="FH168" i="9"/>
  <c r="FJ168" i="9" s="1"/>
  <c r="FI168" i="9"/>
  <c r="ES170" i="9"/>
  <c r="EQ170" i="9"/>
  <c r="EO170" i="9"/>
  <c r="FC170" i="9" s="1"/>
  <c r="EM170" i="9"/>
  <c r="FB170" i="9" s="1"/>
  <c r="FD170" i="9" s="1"/>
  <c r="GA162" i="9"/>
  <c r="FQ162" i="9"/>
  <c r="GD162" i="9" s="1"/>
  <c r="FR162" i="9"/>
  <c r="FS162" i="9"/>
  <c r="FW162" i="9"/>
  <c r="FK167" i="9"/>
  <c r="FL167" i="9"/>
  <c r="FF169" i="9"/>
  <c r="FE169" i="9"/>
  <c r="FG169" i="9" s="1"/>
  <c r="EI171" i="9"/>
  <c r="EH171" i="9"/>
  <c r="EB171" i="9"/>
  <c r="EE171" i="9"/>
  <c r="GP171" i="9"/>
  <c r="ED171" i="9"/>
  <c r="EA172" i="9"/>
  <c r="EC171" i="9"/>
  <c r="EF171" i="9"/>
  <c r="EG171" i="9"/>
  <c r="CX173" i="2" l="1"/>
  <c r="CP173" i="2"/>
  <c r="CK174" i="2"/>
  <c r="CL173" i="2"/>
  <c r="CO173" i="2" s="1"/>
  <c r="CY173" i="2" s="1"/>
  <c r="CN173" i="2"/>
  <c r="CZ172" i="2"/>
  <c r="CQ172" i="2"/>
  <c r="DA172" i="2" s="1"/>
  <c r="CU172" i="1"/>
  <c r="CY172" i="1"/>
  <c r="CR172" i="1"/>
  <c r="CW172" i="1" s="1"/>
  <c r="CV173" i="1"/>
  <c r="CQ173" i="1"/>
  <c r="CP173" i="1"/>
  <c r="CM175" i="1"/>
  <c r="CT174" i="1"/>
  <c r="CX174" i="1" s="1"/>
  <c r="CO174" i="1"/>
  <c r="CN174" i="1"/>
  <c r="EM172" i="10"/>
  <c r="EU172" i="10"/>
  <c r="EW172" i="10" s="1"/>
  <c r="EQ172" i="10"/>
  <c r="ES172" i="10" s="1"/>
  <c r="EJ172" i="10"/>
  <c r="EO172" i="10" s="1"/>
  <c r="EH173" i="10"/>
  <c r="EF174" i="10"/>
  <c r="ED174" i="10"/>
  <c r="EC174" i="10"/>
  <c r="EE174" i="10"/>
  <c r="EB174" i="10"/>
  <c r="EA175" i="10"/>
  <c r="GM171" i="9"/>
  <c r="GF171" i="9"/>
  <c r="GK161" i="9"/>
  <c r="GQ161" i="9" s="1"/>
  <c r="GG161" i="9"/>
  <c r="GS161" i="9"/>
  <c r="GR171" i="9"/>
  <c r="FQ163" i="9"/>
  <c r="GD163" i="9" s="1"/>
  <c r="GE163" i="9" s="1"/>
  <c r="GH163" i="9" s="1"/>
  <c r="FW163" i="9"/>
  <c r="FS163" i="9"/>
  <c r="GA163" i="9"/>
  <c r="GB166" i="9"/>
  <c r="FT166" i="9"/>
  <c r="FP166" i="9"/>
  <c r="FS166" i="9" s="1"/>
  <c r="FM167" i="9"/>
  <c r="FV167" i="9" s="1"/>
  <c r="FO165" i="9"/>
  <c r="FU165" i="9"/>
  <c r="GC165" i="9"/>
  <c r="FY165" i="9"/>
  <c r="FL168" i="9"/>
  <c r="FK168" i="9"/>
  <c r="GJ162" i="9"/>
  <c r="GE162" i="9"/>
  <c r="GH162" i="9" s="1"/>
  <c r="FI169" i="9"/>
  <c r="FH169" i="9"/>
  <c r="FJ169" i="9" s="1"/>
  <c r="EA173" i="9"/>
  <c r="ED172" i="9"/>
  <c r="GP172" i="9"/>
  <c r="EC172" i="9"/>
  <c r="EI172" i="9"/>
  <c r="EG172" i="9"/>
  <c r="EF172" i="9"/>
  <c r="EE172" i="9"/>
  <c r="EH172" i="9"/>
  <c r="EB172" i="9"/>
  <c r="FF170" i="9"/>
  <c r="FE170" i="9"/>
  <c r="FG170" i="9" s="1"/>
  <c r="FR164" i="9"/>
  <c r="GA164" i="9"/>
  <c r="FW164" i="9"/>
  <c r="FS164" i="9"/>
  <c r="FQ164" i="9"/>
  <c r="GD164" i="9" s="1"/>
  <c r="EQ171" i="9"/>
  <c r="ES171" i="9"/>
  <c r="EY171" i="9"/>
  <c r="EZ171" i="9"/>
  <c r="EU171" i="9"/>
  <c r="EW171" i="9"/>
  <c r="EM171" i="9"/>
  <c r="FB171" i="9" s="1"/>
  <c r="FD171" i="9" s="1"/>
  <c r="EO171" i="9"/>
  <c r="FC171" i="9" s="1"/>
  <c r="CX174" i="2" l="1"/>
  <c r="CP174" i="2"/>
  <c r="CZ174" i="2" s="1"/>
  <c r="CL174" i="2"/>
  <c r="CO174" i="2" s="1"/>
  <c r="CN174" i="2"/>
  <c r="CK175" i="2"/>
  <c r="CZ173" i="2"/>
  <c r="CQ173" i="2"/>
  <c r="DA173" i="2" s="1"/>
  <c r="CU173" i="1"/>
  <c r="CY173" i="1"/>
  <c r="CR173" i="1"/>
  <c r="CW173" i="1" s="1"/>
  <c r="CP174" i="1"/>
  <c r="CV174" i="1"/>
  <c r="CQ174" i="1"/>
  <c r="CM176" i="1"/>
  <c r="CT175" i="1"/>
  <c r="CX175" i="1" s="1"/>
  <c r="CO175" i="1"/>
  <c r="CN175" i="1"/>
  <c r="EU173" i="10"/>
  <c r="EW173" i="10" s="1"/>
  <c r="EQ173" i="10"/>
  <c r="ES173" i="10" s="1"/>
  <c r="EH174" i="10"/>
  <c r="EM173" i="10"/>
  <c r="EJ173" i="10"/>
  <c r="EO173" i="10" s="1"/>
  <c r="ED175" i="10"/>
  <c r="EF175" i="10"/>
  <c r="EC175" i="10"/>
  <c r="EB175" i="10"/>
  <c r="EE175" i="10"/>
  <c r="EA176" i="10"/>
  <c r="GM172" i="9"/>
  <c r="GR172" i="9" s="1"/>
  <c r="GF172" i="9"/>
  <c r="GK163" i="9"/>
  <c r="GQ163" i="9" s="1"/>
  <c r="GG163" i="9"/>
  <c r="GS163" i="9"/>
  <c r="GJ163" i="9"/>
  <c r="GK162" i="9"/>
  <c r="GQ162" i="9" s="1"/>
  <c r="GG162" i="9"/>
  <c r="GS162" i="9"/>
  <c r="FW166" i="9"/>
  <c r="FR166" i="9"/>
  <c r="FQ166" i="9"/>
  <c r="GD166" i="9" s="1"/>
  <c r="GE166" i="9" s="1"/>
  <c r="GH166" i="9" s="1"/>
  <c r="GA166" i="9"/>
  <c r="FZ167" i="9"/>
  <c r="FN167" i="9"/>
  <c r="FU167" i="9" s="1"/>
  <c r="FX165" i="9"/>
  <c r="GB165" i="9"/>
  <c r="FP165" i="9"/>
  <c r="FT165" i="9"/>
  <c r="EM172" i="9"/>
  <c r="FB172" i="9" s="1"/>
  <c r="FD172" i="9" s="1"/>
  <c r="EO172" i="9"/>
  <c r="FC172" i="9" s="1"/>
  <c r="EU172" i="9"/>
  <c r="EW172" i="9"/>
  <c r="GE164" i="9"/>
  <c r="GH164" i="9" s="1"/>
  <c r="GJ164" i="9"/>
  <c r="EF173" i="9"/>
  <c r="EA174" i="9"/>
  <c r="EI173" i="9"/>
  <c r="EH173" i="9"/>
  <c r="EG173" i="9"/>
  <c r="ED173" i="9"/>
  <c r="EC173" i="9"/>
  <c r="GP173" i="9"/>
  <c r="EB173" i="9"/>
  <c r="EE173" i="9"/>
  <c r="EY172" i="9"/>
  <c r="EZ172" i="9"/>
  <c r="FK169" i="9"/>
  <c r="FL169" i="9"/>
  <c r="FE171" i="9"/>
  <c r="FG171" i="9" s="1"/>
  <c r="FF171" i="9"/>
  <c r="FH170" i="9"/>
  <c r="FJ170" i="9" s="1"/>
  <c r="FI170" i="9"/>
  <c r="ES172" i="9"/>
  <c r="EQ172" i="9"/>
  <c r="FM168" i="9"/>
  <c r="CX175" i="2" l="1"/>
  <c r="CP175" i="2"/>
  <c r="CL175" i="2"/>
  <c r="CO175" i="2" s="1"/>
  <c r="CY175" i="2" s="1"/>
  <c r="CN175" i="2"/>
  <c r="CK176" i="2"/>
  <c r="CQ174" i="2"/>
  <c r="DA174" i="2" s="1"/>
  <c r="CY174" i="2"/>
  <c r="CU174" i="1"/>
  <c r="CY174" i="1"/>
  <c r="CR174" i="1"/>
  <c r="CW174" i="1" s="1"/>
  <c r="CP175" i="1"/>
  <c r="CV175" i="1"/>
  <c r="CQ175" i="1"/>
  <c r="CM177" i="1"/>
  <c r="CT176" i="1"/>
  <c r="CX176" i="1" s="1"/>
  <c r="CO176" i="1"/>
  <c r="CN176" i="1"/>
  <c r="EU174" i="10"/>
  <c r="EW174" i="10" s="1"/>
  <c r="EQ174" i="10"/>
  <c r="ES174" i="10" s="1"/>
  <c r="EM174" i="10"/>
  <c r="EJ174" i="10"/>
  <c r="EO174" i="10" s="1"/>
  <c r="EF176" i="10"/>
  <c r="ED176" i="10"/>
  <c r="EC176" i="10"/>
  <c r="EE176" i="10"/>
  <c r="EB176" i="10"/>
  <c r="EH175" i="10"/>
  <c r="EA177" i="10"/>
  <c r="GM173" i="9"/>
  <c r="GF173" i="9"/>
  <c r="GK166" i="9"/>
  <c r="GQ166" i="9" s="1"/>
  <c r="GG166" i="9"/>
  <c r="GS166" i="9"/>
  <c r="GK164" i="9"/>
  <c r="GQ164" i="9" s="1"/>
  <c r="GG164" i="9"/>
  <c r="GS164" i="9"/>
  <c r="GR173" i="9"/>
  <c r="GJ166" i="9"/>
  <c r="FO167" i="9"/>
  <c r="FT167" i="9" s="1"/>
  <c r="FY167" i="9"/>
  <c r="GC167" i="9"/>
  <c r="FQ165" i="9"/>
  <c r="GD165" i="9" s="1"/>
  <c r="FW165" i="9"/>
  <c r="FR165" i="9"/>
  <c r="FS165" i="9"/>
  <c r="GA165" i="9"/>
  <c r="EY173" i="9"/>
  <c r="EZ173" i="9"/>
  <c r="ED174" i="9"/>
  <c r="EE174" i="9"/>
  <c r="GP174" i="9"/>
  <c r="EC174" i="9"/>
  <c r="EA175" i="9"/>
  <c r="EF174" i="9"/>
  <c r="EI174" i="9"/>
  <c r="EG174" i="9"/>
  <c r="EH174" i="9"/>
  <c r="EB174" i="9"/>
  <c r="FK170" i="9"/>
  <c r="FL170" i="9"/>
  <c r="EO173" i="9"/>
  <c r="FC173" i="9" s="1"/>
  <c r="EM173" i="9"/>
  <c r="FB173" i="9" s="1"/>
  <c r="FD173" i="9" s="1"/>
  <c r="FI171" i="9"/>
  <c r="FH171" i="9"/>
  <c r="FJ171" i="9" s="1"/>
  <c r="ES173" i="9"/>
  <c r="EQ173" i="9"/>
  <c r="FV168" i="9"/>
  <c r="FZ168" i="9"/>
  <c r="FN168" i="9"/>
  <c r="FM169" i="9"/>
  <c r="EU173" i="9"/>
  <c r="EW173" i="9"/>
  <c r="FE172" i="9"/>
  <c r="FG172" i="9" s="1"/>
  <c r="FF172" i="9"/>
  <c r="CX176" i="2" l="1"/>
  <c r="CP176" i="2"/>
  <c r="CN176" i="2"/>
  <c r="CL176" i="2"/>
  <c r="CO176" i="2" s="1"/>
  <c r="CY176" i="2" s="1"/>
  <c r="CK177" i="2"/>
  <c r="CZ175" i="2"/>
  <c r="CQ175" i="2"/>
  <c r="DA175" i="2" s="1"/>
  <c r="CU175" i="1"/>
  <c r="CY175" i="1"/>
  <c r="CR175" i="1"/>
  <c r="CW175" i="1" s="1"/>
  <c r="CV176" i="1"/>
  <c r="CQ176" i="1"/>
  <c r="CP176" i="1"/>
  <c r="CM178" i="1"/>
  <c r="CT177" i="1"/>
  <c r="CX177" i="1" s="1"/>
  <c r="CO177" i="1"/>
  <c r="CN177" i="1"/>
  <c r="EU175" i="10"/>
  <c r="EW175" i="10" s="1"/>
  <c r="EQ175" i="10"/>
  <c r="ES175" i="10" s="1"/>
  <c r="EM175" i="10"/>
  <c r="EJ175" i="10"/>
  <c r="EO175" i="10" s="1"/>
  <c r="EH176" i="10"/>
  <c r="EC177" i="10"/>
  <c r="ED177" i="10"/>
  <c r="EF177" i="10"/>
  <c r="EE177" i="10"/>
  <c r="EB177" i="10"/>
  <c r="EA178" i="10"/>
  <c r="GM174" i="9"/>
  <c r="GR174" i="9" s="1"/>
  <c r="GF174" i="9"/>
  <c r="FP167" i="9"/>
  <c r="FR167" i="9" s="1"/>
  <c r="FX167" i="9"/>
  <c r="GB167" i="9"/>
  <c r="FM170" i="9"/>
  <c r="FZ170" i="9" s="1"/>
  <c r="GJ165" i="9"/>
  <c r="GE165" i="9"/>
  <c r="GH165" i="9" s="1"/>
  <c r="FE173" i="9"/>
  <c r="FG173" i="9" s="1"/>
  <c r="FF173" i="9"/>
  <c r="FH172" i="9"/>
  <c r="FJ172" i="9" s="1"/>
  <c r="FI172" i="9"/>
  <c r="FY168" i="9"/>
  <c r="GC168" i="9"/>
  <c r="FO168" i="9"/>
  <c r="FU168" i="9"/>
  <c r="EF175" i="9"/>
  <c r="EH175" i="9"/>
  <c r="EG175" i="9"/>
  <c r="EB175" i="9"/>
  <c r="EE175" i="9"/>
  <c r="GP175" i="9"/>
  <c r="EC175" i="9"/>
  <c r="EA176" i="9"/>
  <c r="ED175" i="9"/>
  <c r="EI175" i="9"/>
  <c r="ES174" i="9"/>
  <c r="EQ174" i="9"/>
  <c r="FZ169" i="9"/>
  <c r="FV169" i="9"/>
  <c r="FN169" i="9"/>
  <c r="EO174" i="9"/>
  <c r="FC174" i="9" s="1"/>
  <c r="EM174" i="9"/>
  <c r="FB174" i="9" s="1"/>
  <c r="FD174" i="9" s="1"/>
  <c r="EZ174" i="9"/>
  <c r="EY174" i="9"/>
  <c r="EU174" i="9"/>
  <c r="EW174" i="9"/>
  <c r="FL171" i="9"/>
  <c r="FK171" i="9"/>
  <c r="CX177" i="2" l="1"/>
  <c r="CP177" i="2"/>
  <c r="CK178" i="2"/>
  <c r="CN177" i="2"/>
  <c r="CL177" i="2"/>
  <c r="CO177" i="2" s="1"/>
  <c r="CY177" i="2" s="1"/>
  <c r="CZ176" i="2"/>
  <c r="CQ176" i="2"/>
  <c r="DA176" i="2" s="1"/>
  <c r="CU176" i="1"/>
  <c r="CY176" i="1"/>
  <c r="CR176" i="1"/>
  <c r="CW176" i="1" s="1"/>
  <c r="CV177" i="1"/>
  <c r="CQ177" i="1"/>
  <c r="CP177" i="1"/>
  <c r="CM179" i="1"/>
  <c r="CT178" i="1"/>
  <c r="CX178" i="1" s="1"/>
  <c r="CO178" i="1"/>
  <c r="CN178" i="1"/>
  <c r="EU176" i="10"/>
  <c r="EW176" i="10" s="1"/>
  <c r="EQ176" i="10"/>
  <c r="ES176" i="10" s="1"/>
  <c r="EM176" i="10"/>
  <c r="EJ176" i="10"/>
  <c r="EO176" i="10" s="1"/>
  <c r="EH177" i="10"/>
  <c r="EC178" i="10"/>
  <c r="ED178" i="10"/>
  <c r="EF178" i="10"/>
  <c r="EE178" i="10"/>
  <c r="EB178" i="10"/>
  <c r="EA179" i="10"/>
  <c r="GM175" i="9"/>
  <c r="GF175" i="9"/>
  <c r="GK165" i="9"/>
  <c r="GQ165" i="9" s="1"/>
  <c r="GG165" i="9"/>
  <c r="GS165" i="9"/>
  <c r="GR175" i="9"/>
  <c r="FQ167" i="9"/>
  <c r="GD167" i="9" s="1"/>
  <c r="GE167" i="9" s="1"/>
  <c r="GH167" i="9" s="1"/>
  <c r="GA167" i="9"/>
  <c r="FW167" i="9"/>
  <c r="FS167" i="9"/>
  <c r="FV170" i="9"/>
  <c r="FN170" i="9"/>
  <c r="FU170" i="9" s="1"/>
  <c r="FM171" i="9"/>
  <c r="FN171" i="9" s="1"/>
  <c r="EU175" i="9"/>
  <c r="EW175" i="9"/>
  <c r="GP176" i="9"/>
  <c r="ED176" i="9"/>
  <c r="EF176" i="9"/>
  <c r="EH176" i="9"/>
  <c r="EI176" i="9"/>
  <c r="EG176" i="9"/>
  <c r="EB176" i="9"/>
  <c r="EE176" i="9"/>
  <c r="EA177" i="9"/>
  <c r="EC176" i="9"/>
  <c r="EQ175" i="9"/>
  <c r="ES175" i="9"/>
  <c r="FP168" i="9"/>
  <c r="FX168" i="9"/>
  <c r="GB168" i="9"/>
  <c r="FT168" i="9"/>
  <c r="EZ175" i="9"/>
  <c r="EY175" i="9"/>
  <c r="FF174" i="9"/>
  <c r="FE174" i="9"/>
  <c r="FG174" i="9" s="1"/>
  <c r="EO175" i="9"/>
  <c r="FC175" i="9" s="1"/>
  <c r="EM175" i="9"/>
  <c r="FB175" i="9" s="1"/>
  <c r="FD175" i="9" s="1"/>
  <c r="FK172" i="9"/>
  <c r="FL172" i="9"/>
  <c r="GC169" i="9"/>
  <c r="FU169" i="9"/>
  <c r="FO169" i="9"/>
  <c r="FY169" i="9"/>
  <c r="FI173" i="9"/>
  <c r="FH173" i="9"/>
  <c r="FJ173" i="9" s="1"/>
  <c r="CX178" i="2" l="1"/>
  <c r="CP178" i="2"/>
  <c r="CK179" i="2"/>
  <c r="CN178" i="2"/>
  <c r="CL178" i="2"/>
  <c r="CO178" i="2" s="1"/>
  <c r="CY178" i="2" s="1"/>
  <c r="CZ177" i="2"/>
  <c r="CQ177" i="2"/>
  <c r="DA177" i="2" s="1"/>
  <c r="CR177" i="1"/>
  <c r="CW177" i="1" s="1"/>
  <c r="CU177" i="1"/>
  <c r="CY177" i="1"/>
  <c r="CV178" i="1"/>
  <c r="CQ178" i="1"/>
  <c r="CP178" i="1"/>
  <c r="CM180" i="1"/>
  <c r="CT179" i="1"/>
  <c r="CX179" i="1" s="1"/>
  <c r="CO179" i="1"/>
  <c r="CN179" i="1"/>
  <c r="EU177" i="10"/>
  <c r="EW177" i="10" s="1"/>
  <c r="EQ177" i="10"/>
  <c r="ES177" i="10" s="1"/>
  <c r="EH178" i="10"/>
  <c r="EM177" i="10"/>
  <c r="EJ177" i="10"/>
  <c r="EO177" i="10" s="1"/>
  <c r="ED179" i="10"/>
  <c r="EF179" i="10"/>
  <c r="EC179" i="10"/>
  <c r="EE179" i="10"/>
  <c r="EB179" i="10"/>
  <c r="EA180" i="10"/>
  <c r="GM176" i="9"/>
  <c r="GF176" i="9"/>
  <c r="GK167" i="9"/>
  <c r="GQ167" i="9" s="1"/>
  <c r="GG167" i="9"/>
  <c r="GS167" i="9"/>
  <c r="GR176" i="9"/>
  <c r="GJ167" i="9"/>
  <c r="FY170" i="9"/>
  <c r="FO170" i="9"/>
  <c r="GB170" i="9" s="1"/>
  <c r="GC170" i="9"/>
  <c r="FZ171" i="9"/>
  <c r="FV171" i="9"/>
  <c r="EQ176" i="9"/>
  <c r="ES176" i="9"/>
  <c r="EW176" i="9"/>
  <c r="EU176" i="9"/>
  <c r="FX169" i="9"/>
  <c r="FP169" i="9"/>
  <c r="GB169" i="9"/>
  <c r="FT169" i="9"/>
  <c r="GP177" i="9"/>
  <c r="ED177" i="9"/>
  <c r="EE177" i="9"/>
  <c r="EF177" i="9"/>
  <c r="EG177" i="9"/>
  <c r="EB177" i="9"/>
  <c r="EI177" i="9"/>
  <c r="EH177" i="9"/>
  <c r="EA178" i="9"/>
  <c r="EC177" i="9"/>
  <c r="EZ176" i="9"/>
  <c r="EY176" i="9"/>
  <c r="EO176" i="9"/>
  <c r="FC176" i="9" s="1"/>
  <c r="EM176" i="9"/>
  <c r="FB176" i="9" s="1"/>
  <c r="FD176" i="9" s="1"/>
  <c r="FE175" i="9"/>
  <c r="FG175" i="9" s="1"/>
  <c r="FF175" i="9"/>
  <c r="FS168" i="9"/>
  <c r="GA168" i="9"/>
  <c r="FQ168" i="9"/>
  <c r="GD168" i="9" s="1"/>
  <c r="FR168" i="9"/>
  <c r="FW168" i="9"/>
  <c r="FK173" i="9"/>
  <c r="FL173" i="9"/>
  <c r="FM172" i="9"/>
  <c r="FI174" i="9"/>
  <c r="FH174" i="9"/>
  <c r="FJ174" i="9" s="1"/>
  <c r="FO171" i="9"/>
  <c r="FY171" i="9"/>
  <c r="GC171" i="9"/>
  <c r="FU171" i="9"/>
  <c r="CX179" i="2" l="1"/>
  <c r="CP179" i="2"/>
  <c r="CL179" i="2"/>
  <c r="CO179" i="2" s="1"/>
  <c r="CY179" i="2" s="1"/>
  <c r="CK180" i="2"/>
  <c r="CN179" i="2"/>
  <c r="CZ178" i="2"/>
  <c r="CQ178" i="2"/>
  <c r="DA178" i="2" s="1"/>
  <c r="CU178" i="1"/>
  <c r="CY178" i="1"/>
  <c r="CR178" i="1"/>
  <c r="CW178" i="1" s="1"/>
  <c r="CV179" i="1"/>
  <c r="CQ179" i="1"/>
  <c r="CP179" i="1"/>
  <c r="CM181" i="1"/>
  <c r="CT180" i="1"/>
  <c r="CX180" i="1" s="1"/>
  <c r="CO180" i="1"/>
  <c r="CN180" i="1"/>
  <c r="EU178" i="10"/>
  <c r="EW178" i="10" s="1"/>
  <c r="EQ178" i="10"/>
  <c r="ES178" i="10" s="1"/>
  <c r="EM178" i="10"/>
  <c r="EJ178" i="10"/>
  <c r="EO178" i="10" s="1"/>
  <c r="EH179" i="10"/>
  <c r="EC180" i="10"/>
  <c r="ED180" i="10"/>
  <c r="EF180" i="10"/>
  <c r="EB180" i="10"/>
  <c r="EE180" i="10"/>
  <c r="EA181" i="10"/>
  <c r="GM177" i="9"/>
  <c r="GR177" i="9" s="1"/>
  <c r="GF177" i="9"/>
  <c r="FP170" i="9"/>
  <c r="FS170" i="9" s="1"/>
  <c r="FT170" i="9"/>
  <c r="FX170" i="9"/>
  <c r="FM173" i="9"/>
  <c r="FN173" i="9" s="1"/>
  <c r="FU173" i="9" s="1"/>
  <c r="GJ168" i="9"/>
  <c r="GE168" i="9"/>
  <c r="GH168" i="9" s="1"/>
  <c r="FL174" i="9"/>
  <c r="FK174" i="9"/>
  <c r="EO177" i="9"/>
  <c r="FC177" i="9" s="1"/>
  <c r="EM177" i="9"/>
  <c r="FB177" i="9" s="1"/>
  <c r="FD177" i="9" s="1"/>
  <c r="GA169" i="9"/>
  <c r="FR169" i="9"/>
  <c r="FQ169" i="9"/>
  <c r="GD169" i="9" s="1"/>
  <c r="FW169" i="9"/>
  <c r="FS169" i="9"/>
  <c r="FP171" i="9"/>
  <c r="FT171" i="9"/>
  <c r="FX171" i="9"/>
  <c r="GB171" i="9"/>
  <c r="FN172" i="9"/>
  <c r="FV172" i="9"/>
  <c r="FZ172" i="9"/>
  <c r="FI175" i="9"/>
  <c r="FH175" i="9"/>
  <c r="FJ175" i="9" s="1"/>
  <c r="EY177" i="9"/>
  <c r="EZ177" i="9"/>
  <c r="FE176" i="9"/>
  <c r="FG176" i="9" s="1"/>
  <c r="FF176" i="9"/>
  <c r="ES177" i="9"/>
  <c r="EQ177" i="9"/>
  <c r="EW177" i="9"/>
  <c r="EU177" i="9"/>
  <c r="EH178" i="9"/>
  <c r="EF178" i="9"/>
  <c r="EG178" i="9"/>
  <c r="GP178" i="9"/>
  <c r="EI178" i="9"/>
  <c r="EE178" i="9"/>
  <c r="EB178" i="9"/>
  <c r="EC178" i="9"/>
  <c r="EA179" i="9"/>
  <c r="ED178" i="9"/>
  <c r="CX180" i="2" l="1"/>
  <c r="CP180" i="2"/>
  <c r="CL180" i="2"/>
  <c r="CO180" i="2" s="1"/>
  <c r="CY180" i="2" s="1"/>
  <c r="CN180" i="2"/>
  <c r="CK181" i="2"/>
  <c r="CZ179" i="2"/>
  <c r="CQ179" i="2"/>
  <c r="DA179" i="2" s="1"/>
  <c r="CU179" i="1"/>
  <c r="CY179" i="1"/>
  <c r="CR179" i="1"/>
  <c r="CW179" i="1" s="1"/>
  <c r="CV180" i="1"/>
  <c r="CQ180" i="1"/>
  <c r="CP180" i="1"/>
  <c r="CM182" i="1"/>
  <c r="CT181" i="1"/>
  <c r="CX181" i="1" s="1"/>
  <c r="CO181" i="1"/>
  <c r="CN181" i="1"/>
  <c r="EU179" i="10"/>
  <c r="EW179" i="10" s="1"/>
  <c r="EQ179" i="10"/>
  <c r="ES179" i="10" s="1"/>
  <c r="EM179" i="10"/>
  <c r="EJ179" i="10"/>
  <c r="EO179" i="10" s="1"/>
  <c r="ED181" i="10"/>
  <c r="EF181" i="10"/>
  <c r="EC181" i="10"/>
  <c r="EB181" i="10"/>
  <c r="EE181" i="10"/>
  <c r="EH180" i="10"/>
  <c r="EA182" i="10"/>
  <c r="GM178" i="9"/>
  <c r="GF178" i="9"/>
  <c r="GK168" i="9"/>
  <c r="GQ168" i="9" s="1"/>
  <c r="GG168" i="9"/>
  <c r="GS168" i="9"/>
  <c r="GR178" i="9"/>
  <c r="FQ170" i="9"/>
  <c r="GD170" i="9" s="1"/>
  <c r="FZ173" i="9"/>
  <c r="FW170" i="9"/>
  <c r="GA170" i="9"/>
  <c r="FR170" i="9"/>
  <c r="GC173" i="9"/>
  <c r="FY173" i="9"/>
  <c r="FV173" i="9"/>
  <c r="FO173" i="9"/>
  <c r="GB173" i="9" s="1"/>
  <c r="FM174" i="9"/>
  <c r="FV174" i="9" s="1"/>
  <c r="FO172" i="9"/>
  <c r="FY172" i="9"/>
  <c r="FU172" i="9"/>
  <c r="GC172" i="9"/>
  <c r="GE169" i="9"/>
  <c r="GH169" i="9" s="1"/>
  <c r="GJ169" i="9"/>
  <c r="FH176" i="9"/>
  <c r="FJ176" i="9" s="1"/>
  <c r="FI176" i="9"/>
  <c r="EU178" i="9"/>
  <c r="EW178" i="9"/>
  <c r="EA180" i="9"/>
  <c r="GP179" i="9"/>
  <c r="EE179" i="9"/>
  <c r="EF179" i="9"/>
  <c r="EB179" i="9"/>
  <c r="EG179" i="9"/>
  <c r="EH179" i="9"/>
  <c r="ED179" i="9"/>
  <c r="EC179" i="9"/>
  <c r="EI179" i="9"/>
  <c r="FF177" i="9"/>
  <c r="FE177" i="9"/>
  <c r="FG177" i="9" s="1"/>
  <c r="EQ178" i="9"/>
  <c r="ES178" i="9"/>
  <c r="FL175" i="9"/>
  <c r="FK175" i="9"/>
  <c r="FS171" i="9"/>
  <c r="FW171" i="9"/>
  <c r="FQ171" i="9"/>
  <c r="GD171" i="9" s="1"/>
  <c r="FR171" i="9"/>
  <c r="GA171" i="9"/>
  <c r="EM178" i="9"/>
  <c r="FB178" i="9" s="1"/>
  <c r="FD178" i="9" s="1"/>
  <c r="EO178" i="9"/>
  <c r="FC178" i="9" s="1"/>
  <c r="EZ178" i="9"/>
  <c r="EY178" i="9"/>
  <c r="CX181" i="2" l="1"/>
  <c r="CP181" i="2"/>
  <c r="CK182" i="2"/>
  <c r="CL181" i="2"/>
  <c r="CO181" i="2" s="1"/>
  <c r="CY181" i="2" s="1"/>
  <c r="CN181" i="2"/>
  <c r="CZ180" i="2"/>
  <c r="CQ180" i="2"/>
  <c r="DA180" i="2" s="1"/>
  <c r="CU180" i="1"/>
  <c r="CY180" i="1"/>
  <c r="CR180" i="1"/>
  <c r="CW180" i="1" s="1"/>
  <c r="CP181" i="1"/>
  <c r="CV181" i="1"/>
  <c r="CQ181" i="1"/>
  <c r="CM183" i="1"/>
  <c r="CT182" i="1"/>
  <c r="CX182" i="1" s="1"/>
  <c r="CO182" i="1"/>
  <c r="CN182" i="1"/>
  <c r="EU180" i="10"/>
  <c r="EW180" i="10" s="1"/>
  <c r="EQ180" i="10"/>
  <c r="ES180" i="10" s="1"/>
  <c r="EM180" i="10"/>
  <c r="EJ180" i="10"/>
  <c r="EO180" i="10" s="1"/>
  <c r="EH181" i="10"/>
  <c r="ED182" i="10"/>
  <c r="EC182" i="10"/>
  <c r="EF182" i="10"/>
  <c r="EB182" i="10"/>
  <c r="EE182" i="10"/>
  <c r="EA183" i="10"/>
  <c r="GM179" i="9"/>
  <c r="GF179" i="9"/>
  <c r="GK169" i="9"/>
  <c r="GQ169" i="9" s="1"/>
  <c r="GG169" i="9"/>
  <c r="GS169" i="9"/>
  <c r="GR179" i="9"/>
  <c r="GE170" i="9"/>
  <c r="GH170" i="9" s="1"/>
  <c r="GJ170" i="9"/>
  <c r="FX173" i="9"/>
  <c r="FT173" i="9"/>
  <c r="FN174" i="9"/>
  <c r="FU174" i="9" s="1"/>
  <c r="FP173" i="9"/>
  <c r="GA173" i="9" s="1"/>
  <c r="FZ174" i="9"/>
  <c r="FI177" i="9"/>
  <c r="FH177" i="9"/>
  <c r="FJ177" i="9" s="1"/>
  <c r="EZ179" i="9"/>
  <c r="EY179" i="9"/>
  <c r="FK176" i="9"/>
  <c r="FL176" i="9"/>
  <c r="FM175" i="9"/>
  <c r="FE178" i="9"/>
  <c r="FG178" i="9" s="1"/>
  <c r="FF178" i="9"/>
  <c r="ES179" i="9"/>
  <c r="EQ179" i="9"/>
  <c r="EF180" i="9"/>
  <c r="EI180" i="9"/>
  <c r="EH180" i="9"/>
  <c r="ED180" i="9"/>
  <c r="EE180" i="9"/>
  <c r="EB180" i="9"/>
  <c r="EA181" i="9"/>
  <c r="GP180" i="9"/>
  <c r="EC180" i="9"/>
  <c r="EG180" i="9"/>
  <c r="EW179" i="9"/>
  <c r="EU179" i="9"/>
  <c r="GE171" i="9"/>
  <c r="GH171" i="9" s="1"/>
  <c r="GJ171" i="9"/>
  <c r="EO179" i="9"/>
  <c r="FC179" i="9" s="1"/>
  <c r="EM179" i="9"/>
  <c r="FB179" i="9" s="1"/>
  <c r="FD179" i="9" s="1"/>
  <c r="FT172" i="9"/>
  <c r="FP172" i="9"/>
  <c r="GB172" i="9"/>
  <c r="FX172" i="9"/>
  <c r="CX182" i="2" l="1"/>
  <c r="CP182" i="2"/>
  <c r="CZ182" i="2" s="1"/>
  <c r="CL182" i="2"/>
  <c r="CO182" i="2" s="1"/>
  <c r="CN182" i="2"/>
  <c r="CK183" i="2"/>
  <c r="CZ181" i="2"/>
  <c r="CQ181" i="2"/>
  <c r="DA181" i="2" s="1"/>
  <c r="CU181" i="1"/>
  <c r="CY181" i="1"/>
  <c r="CR181" i="1"/>
  <c r="CW181" i="1" s="1"/>
  <c r="CV182" i="1"/>
  <c r="CQ182" i="1"/>
  <c r="CP182" i="1"/>
  <c r="CM184" i="1"/>
  <c r="CT183" i="1"/>
  <c r="CX183" i="1" s="1"/>
  <c r="CO183" i="1"/>
  <c r="CN183" i="1"/>
  <c r="EU181" i="10"/>
  <c r="EW181" i="10" s="1"/>
  <c r="EQ181" i="10"/>
  <c r="ES181" i="10" s="1"/>
  <c r="EM181" i="10"/>
  <c r="EJ181" i="10"/>
  <c r="EO181" i="10" s="1"/>
  <c r="EF183" i="10"/>
  <c r="ED183" i="10"/>
  <c r="EC183" i="10"/>
  <c r="EB183" i="10"/>
  <c r="EE183" i="10"/>
  <c r="EH182" i="10"/>
  <c r="EA184" i="10"/>
  <c r="GM180" i="9"/>
  <c r="GF180" i="9"/>
  <c r="GK170" i="9"/>
  <c r="GQ170" i="9" s="1"/>
  <c r="GG170" i="9"/>
  <c r="GS170" i="9"/>
  <c r="GK171" i="9"/>
  <c r="GQ171" i="9" s="1"/>
  <c r="GG171" i="9"/>
  <c r="GS171" i="9"/>
  <c r="GR180" i="9"/>
  <c r="GC174" i="9"/>
  <c r="FO174" i="9"/>
  <c r="FT174" i="9" s="1"/>
  <c r="FY174" i="9"/>
  <c r="FS173" i="9"/>
  <c r="FW173" i="9"/>
  <c r="FR173" i="9"/>
  <c r="FQ173" i="9"/>
  <c r="GD173" i="9" s="1"/>
  <c r="GE173" i="9" s="1"/>
  <c r="GH173" i="9" s="1"/>
  <c r="FM176" i="9"/>
  <c r="FZ176" i="9" s="1"/>
  <c r="EZ180" i="9"/>
  <c r="EY180" i="9"/>
  <c r="FI178" i="9"/>
  <c r="FH178" i="9"/>
  <c r="FJ178" i="9" s="1"/>
  <c r="EU180" i="9"/>
  <c r="EW180" i="9"/>
  <c r="FV175" i="9"/>
  <c r="FZ175" i="9"/>
  <c r="FN175" i="9"/>
  <c r="FE179" i="9"/>
  <c r="FG179" i="9" s="1"/>
  <c r="FH179" i="9" s="1"/>
  <c r="FJ179" i="9" s="1"/>
  <c r="FF179" i="9"/>
  <c r="FW172" i="9"/>
  <c r="FS172" i="9"/>
  <c r="GA172" i="9"/>
  <c r="FQ172" i="9"/>
  <c r="GD172" i="9" s="1"/>
  <c r="FR172" i="9"/>
  <c r="EQ180" i="9"/>
  <c r="ES180" i="9"/>
  <c r="EE181" i="9"/>
  <c r="EA182" i="9"/>
  <c r="EB181" i="9"/>
  <c r="EF181" i="9"/>
  <c r="EH181" i="9"/>
  <c r="ED181" i="9"/>
  <c r="GP181" i="9"/>
  <c r="EC181" i="9"/>
  <c r="EI181" i="9"/>
  <c r="EG181" i="9"/>
  <c r="FK177" i="9"/>
  <c r="FL177" i="9"/>
  <c r="EO180" i="9"/>
  <c r="FC180" i="9" s="1"/>
  <c r="EM180" i="9"/>
  <c r="FB180" i="9" s="1"/>
  <c r="FD180" i="9" s="1"/>
  <c r="CX183" i="2" l="1"/>
  <c r="CP183" i="2"/>
  <c r="CN183" i="2"/>
  <c r="CK184" i="2"/>
  <c r="CL183" i="2"/>
  <c r="CO183" i="2" s="1"/>
  <c r="CY183" i="2" s="1"/>
  <c r="CQ182" i="2"/>
  <c r="DA182" i="2" s="1"/>
  <c r="CY182" i="2"/>
  <c r="CU182" i="1"/>
  <c r="CY182" i="1"/>
  <c r="CR182" i="1"/>
  <c r="CW182" i="1" s="1"/>
  <c r="CV183" i="1"/>
  <c r="CQ183" i="1"/>
  <c r="CP183" i="1"/>
  <c r="CM185" i="1"/>
  <c r="CT184" i="1"/>
  <c r="CX184" i="1" s="1"/>
  <c r="CO184" i="1"/>
  <c r="CN184" i="1"/>
  <c r="EU182" i="10"/>
  <c r="EW182" i="10" s="1"/>
  <c r="EQ182" i="10"/>
  <c r="ES182" i="10" s="1"/>
  <c r="EM182" i="10"/>
  <c r="EJ182" i="10"/>
  <c r="EO182" i="10" s="1"/>
  <c r="EH183" i="10"/>
  <c r="EC184" i="10"/>
  <c r="ED184" i="10"/>
  <c r="EF184" i="10"/>
  <c r="EE184" i="10"/>
  <c r="EB184" i="10"/>
  <c r="EA185" i="10"/>
  <c r="GM181" i="9"/>
  <c r="GR181" i="9" s="1"/>
  <c r="GF181" i="9"/>
  <c r="GK173" i="9"/>
  <c r="GQ173" i="9" s="1"/>
  <c r="GG173" i="9"/>
  <c r="GS173" i="9"/>
  <c r="GB174" i="9"/>
  <c r="FP174" i="9"/>
  <c r="FQ174" i="9" s="1"/>
  <c r="GD174" i="9" s="1"/>
  <c r="FX174" i="9"/>
  <c r="FN176" i="9"/>
  <c r="FU176" i="9" s="1"/>
  <c r="GJ173" i="9"/>
  <c r="FV176" i="9"/>
  <c r="FM177" i="9"/>
  <c r="FV177" i="9" s="1"/>
  <c r="FE180" i="9"/>
  <c r="FG180" i="9" s="1"/>
  <c r="FF180" i="9"/>
  <c r="EW181" i="9"/>
  <c r="EU181" i="9"/>
  <c r="FI179" i="9"/>
  <c r="FK179" i="9"/>
  <c r="FL179" i="9"/>
  <c r="EM181" i="9"/>
  <c r="FB181" i="9" s="1"/>
  <c r="FD181" i="9" s="1"/>
  <c r="EO181" i="9"/>
  <c r="FC181" i="9" s="1"/>
  <c r="FK178" i="9"/>
  <c r="FL178" i="9"/>
  <c r="EA183" i="9"/>
  <c r="EB182" i="9"/>
  <c r="GP182" i="9"/>
  <c r="EE182" i="9"/>
  <c r="EF182" i="9"/>
  <c r="EI182" i="9"/>
  <c r="EG182" i="9"/>
  <c r="EH182" i="9"/>
  <c r="ED182" i="9"/>
  <c r="EC182" i="9"/>
  <c r="EY181" i="9"/>
  <c r="EZ181" i="9"/>
  <c r="GJ172" i="9"/>
  <c r="GE172" i="9"/>
  <c r="GH172" i="9" s="1"/>
  <c r="ES181" i="9"/>
  <c r="EQ181" i="9"/>
  <c r="FU175" i="9"/>
  <c r="GC175" i="9"/>
  <c r="FY175" i="9"/>
  <c r="FO175" i="9"/>
  <c r="CX184" i="2" l="1"/>
  <c r="CP184" i="2"/>
  <c r="CK185" i="2"/>
  <c r="CN184" i="2"/>
  <c r="CL184" i="2"/>
  <c r="CO184" i="2" s="1"/>
  <c r="CY184" i="2" s="1"/>
  <c r="CZ183" i="2"/>
  <c r="CQ183" i="2"/>
  <c r="DA183" i="2" s="1"/>
  <c r="CU183" i="1"/>
  <c r="CY183" i="1"/>
  <c r="CR183" i="1"/>
  <c r="CW183" i="1" s="1"/>
  <c r="CV184" i="1"/>
  <c r="CQ184" i="1"/>
  <c r="CP184" i="1"/>
  <c r="CM186" i="1"/>
  <c r="CT185" i="1"/>
  <c r="CX185" i="1" s="1"/>
  <c r="CO185" i="1"/>
  <c r="CN185" i="1"/>
  <c r="EU183" i="10"/>
  <c r="EW183" i="10" s="1"/>
  <c r="EQ183" i="10"/>
  <c r="ES183" i="10" s="1"/>
  <c r="EM183" i="10"/>
  <c r="EJ183" i="10"/>
  <c r="EO183" i="10" s="1"/>
  <c r="EH184" i="10"/>
  <c r="ED185" i="10"/>
  <c r="EC185" i="10"/>
  <c r="EF185" i="10"/>
  <c r="EB185" i="10"/>
  <c r="EE185" i="10"/>
  <c r="EA186" i="10"/>
  <c r="GM182" i="9"/>
  <c r="GF182" i="9"/>
  <c r="GK172" i="9"/>
  <c r="GQ172" i="9" s="1"/>
  <c r="GG172" i="9"/>
  <c r="GS172" i="9"/>
  <c r="GR182" i="9"/>
  <c r="FS174" i="9"/>
  <c r="FW174" i="9"/>
  <c r="FR174" i="9"/>
  <c r="GA174" i="9"/>
  <c r="GC176" i="9"/>
  <c r="FY176" i="9"/>
  <c r="FO176" i="9"/>
  <c r="FT176" i="9" s="1"/>
  <c r="FN177" i="9"/>
  <c r="FO177" i="9" s="1"/>
  <c r="FZ177" i="9"/>
  <c r="FM178" i="9"/>
  <c r="FZ178" i="9" s="1"/>
  <c r="FE181" i="9"/>
  <c r="FG181" i="9" s="1"/>
  <c r="FF181" i="9"/>
  <c r="EY182" i="9"/>
  <c r="EZ182" i="9"/>
  <c r="FM179" i="9"/>
  <c r="EO182" i="9"/>
  <c r="FC182" i="9" s="1"/>
  <c r="EM182" i="9"/>
  <c r="FB182" i="9" s="1"/>
  <c r="FD182" i="9" s="1"/>
  <c r="GJ174" i="9"/>
  <c r="GE174" i="9"/>
  <c r="GH174" i="9" s="1"/>
  <c r="EQ182" i="9"/>
  <c r="ES182" i="9"/>
  <c r="EU182" i="9"/>
  <c r="EW182" i="9"/>
  <c r="EE183" i="9"/>
  <c r="EC183" i="9"/>
  <c r="EF183" i="9"/>
  <c r="EG183" i="9"/>
  <c r="EA184" i="9"/>
  <c r="EB183" i="9"/>
  <c r="GP183" i="9"/>
  <c r="ED183" i="9"/>
  <c r="EI183" i="9"/>
  <c r="EH183" i="9"/>
  <c r="FX175" i="9"/>
  <c r="FP175" i="9"/>
  <c r="FT175" i="9"/>
  <c r="GB175" i="9"/>
  <c r="FI180" i="9"/>
  <c r="FH180" i="9"/>
  <c r="FJ180" i="9" s="1"/>
  <c r="CX185" i="2" l="1"/>
  <c r="CP185" i="2"/>
  <c r="CL185" i="2"/>
  <c r="CO185" i="2" s="1"/>
  <c r="CY185" i="2" s="1"/>
  <c r="CN185" i="2"/>
  <c r="CK186" i="2"/>
  <c r="CZ184" i="2"/>
  <c r="CQ184" i="2"/>
  <c r="DA184" i="2" s="1"/>
  <c r="CU184" i="1"/>
  <c r="CY184" i="1"/>
  <c r="CP185" i="1"/>
  <c r="CR184" i="1"/>
  <c r="CW184" i="1" s="1"/>
  <c r="CV185" i="1"/>
  <c r="CQ185" i="1"/>
  <c r="CR185" i="1" s="1"/>
  <c r="CW185" i="1" s="1"/>
  <c r="CM187" i="1"/>
  <c r="CT186" i="1"/>
  <c r="CX186" i="1" s="1"/>
  <c r="CO186" i="1"/>
  <c r="CN186" i="1"/>
  <c r="EU184" i="10"/>
  <c r="EW184" i="10" s="1"/>
  <c r="EQ184" i="10"/>
  <c r="ES184" i="10" s="1"/>
  <c r="EM184" i="10"/>
  <c r="EJ184" i="10"/>
  <c r="EO184" i="10" s="1"/>
  <c r="EH185" i="10"/>
  <c r="ED186" i="10"/>
  <c r="EC186" i="10"/>
  <c r="EF186" i="10"/>
  <c r="EE186" i="10"/>
  <c r="EB186" i="10"/>
  <c r="EA187" i="10"/>
  <c r="GM183" i="9"/>
  <c r="GF183" i="9"/>
  <c r="GK174" i="9"/>
  <c r="GQ174" i="9" s="1"/>
  <c r="GG174" i="9"/>
  <c r="GS174" i="9"/>
  <c r="GR183" i="9"/>
  <c r="GC177" i="9"/>
  <c r="FP176" i="9"/>
  <c r="FW176" i="9" s="1"/>
  <c r="FX176" i="9"/>
  <c r="FU177" i="9"/>
  <c r="GB176" i="9"/>
  <c r="FY177" i="9"/>
  <c r="FV178" i="9"/>
  <c r="FN178" i="9"/>
  <c r="GC178" i="9" s="1"/>
  <c r="EZ183" i="9"/>
  <c r="EY183" i="9"/>
  <c r="FP177" i="9"/>
  <c r="GB177" i="9"/>
  <c r="FT177" i="9"/>
  <c r="FX177" i="9"/>
  <c r="EO183" i="9"/>
  <c r="FC183" i="9" s="1"/>
  <c r="EM183" i="9"/>
  <c r="FB183" i="9" s="1"/>
  <c r="FD183" i="9" s="1"/>
  <c r="FH181" i="9"/>
  <c r="FJ181" i="9" s="1"/>
  <c r="FI181" i="9"/>
  <c r="EU183" i="9"/>
  <c r="EW183" i="9"/>
  <c r="EI184" i="9"/>
  <c r="EB184" i="9"/>
  <c r="ED184" i="9"/>
  <c r="EA185" i="9"/>
  <c r="EE184" i="9"/>
  <c r="GP184" i="9"/>
  <c r="EC184" i="9"/>
  <c r="EF184" i="9"/>
  <c r="EH184" i="9"/>
  <c r="EG184" i="9"/>
  <c r="FF182" i="9"/>
  <c r="FE182" i="9"/>
  <c r="FG182" i="9" s="1"/>
  <c r="FW175" i="9"/>
  <c r="GA175" i="9"/>
  <c r="FR175" i="9"/>
  <c r="FS175" i="9"/>
  <c r="FQ175" i="9"/>
  <c r="GD175" i="9" s="1"/>
  <c r="FL180" i="9"/>
  <c r="FK180" i="9"/>
  <c r="ES183" i="9"/>
  <c r="EQ183" i="9"/>
  <c r="FV179" i="9"/>
  <c r="FZ179" i="9"/>
  <c r="FN179" i="9"/>
  <c r="CX186" i="2" l="1"/>
  <c r="CP186" i="2"/>
  <c r="CL186" i="2"/>
  <c r="CO186" i="2" s="1"/>
  <c r="CY186" i="2" s="1"/>
  <c r="CN186" i="2"/>
  <c r="CK187" i="2"/>
  <c r="CZ185" i="2"/>
  <c r="CQ185" i="2"/>
  <c r="DA185" i="2" s="1"/>
  <c r="CU185" i="1"/>
  <c r="CY185" i="1"/>
  <c r="CV186" i="1"/>
  <c r="CQ186" i="1"/>
  <c r="CP186" i="1"/>
  <c r="CM188" i="1"/>
  <c r="CT187" i="1"/>
  <c r="CX187" i="1" s="1"/>
  <c r="CO187" i="1"/>
  <c r="CN187" i="1"/>
  <c r="EU185" i="10"/>
  <c r="EW185" i="10" s="1"/>
  <c r="EQ185" i="10"/>
  <c r="ES185" i="10" s="1"/>
  <c r="EM185" i="10"/>
  <c r="EJ185" i="10"/>
  <c r="EO185" i="10" s="1"/>
  <c r="EC187" i="10"/>
  <c r="EF187" i="10"/>
  <c r="ED187" i="10"/>
  <c r="EE187" i="10"/>
  <c r="EB187" i="10"/>
  <c r="EH186" i="10"/>
  <c r="EA188" i="10"/>
  <c r="GM184" i="9"/>
  <c r="GR184" i="9" s="1"/>
  <c r="GF184" i="9"/>
  <c r="FQ176" i="9"/>
  <c r="GD176" i="9" s="1"/>
  <c r="GE176" i="9" s="1"/>
  <c r="GH176" i="9" s="1"/>
  <c r="GA176" i="9"/>
  <c r="FS176" i="9"/>
  <c r="FR176" i="9"/>
  <c r="FU178" i="9"/>
  <c r="FO178" i="9"/>
  <c r="FY178" i="9"/>
  <c r="FM180" i="9"/>
  <c r="FV180" i="9" s="1"/>
  <c r="FI182" i="9"/>
  <c r="FH182" i="9"/>
  <c r="FJ182" i="9" s="1"/>
  <c r="GP185" i="9"/>
  <c r="EI185" i="9"/>
  <c r="EC185" i="9"/>
  <c r="EA186" i="9"/>
  <c r="ED185" i="9"/>
  <c r="EF185" i="9"/>
  <c r="EH185" i="9"/>
  <c r="EG185" i="9"/>
  <c r="EB185" i="9"/>
  <c r="EE185" i="9"/>
  <c r="FF183" i="9"/>
  <c r="FE183" i="9"/>
  <c r="FG183" i="9" s="1"/>
  <c r="EW184" i="9"/>
  <c r="EU184" i="9"/>
  <c r="EM184" i="9"/>
  <c r="FB184" i="9" s="1"/>
  <c r="FD184" i="9" s="1"/>
  <c r="EO184" i="9"/>
  <c r="FC184" i="9" s="1"/>
  <c r="ES184" i="9"/>
  <c r="EQ184" i="9"/>
  <c r="FR177" i="9"/>
  <c r="FS177" i="9"/>
  <c r="FQ177" i="9"/>
  <c r="GD177" i="9" s="1"/>
  <c r="FW177" i="9"/>
  <c r="GA177" i="9"/>
  <c r="GE175" i="9"/>
  <c r="GH175" i="9" s="1"/>
  <c r="GJ175" i="9"/>
  <c r="FY179" i="9"/>
  <c r="FO179" i="9"/>
  <c r="GC179" i="9"/>
  <c r="FU179" i="9"/>
  <c r="EY184" i="9"/>
  <c r="EZ184" i="9"/>
  <c r="FK181" i="9"/>
  <c r="FL181" i="9"/>
  <c r="CX187" i="2" l="1"/>
  <c r="CP187" i="2"/>
  <c r="CK188" i="2"/>
  <c r="CN187" i="2"/>
  <c r="CL187" i="2"/>
  <c r="CO187" i="2" s="1"/>
  <c r="CY187" i="2" s="1"/>
  <c r="CZ186" i="2"/>
  <c r="CQ186" i="2"/>
  <c r="DA186" i="2" s="1"/>
  <c r="CU186" i="1"/>
  <c r="CY186" i="1"/>
  <c r="CR186" i="1"/>
  <c r="CW186" i="1" s="1"/>
  <c r="CV187" i="1"/>
  <c r="CQ187" i="1"/>
  <c r="CP187" i="1"/>
  <c r="CM189" i="1"/>
  <c r="CT188" i="1"/>
  <c r="CX188" i="1" s="1"/>
  <c r="CO188" i="1"/>
  <c r="CN188" i="1"/>
  <c r="EU186" i="10"/>
  <c r="EW186" i="10" s="1"/>
  <c r="EQ186" i="10"/>
  <c r="ES186" i="10" s="1"/>
  <c r="EM186" i="10"/>
  <c r="EJ186" i="10"/>
  <c r="EO186" i="10" s="1"/>
  <c r="EH187" i="10"/>
  <c r="EF188" i="10"/>
  <c r="ED188" i="10"/>
  <c r="EC188" i="10"/>
  <c r="EB188" i="10"/>
  <c r="EE188" i="10"/>
  <c r="EA189" i="10"/>
  <c r="GM185" i="9"/>
  <c r="GF185" i="9"/>
  <c r="GK176" i="9"/>
  <c r="GQ176" i="9" s="1"/>
  <c r="GG176" i="9"/>
  <c r="GS176" i="9"/>
  <c r="GK175" i="9"/>
  <c r="GQ175" i="9" s="1"/>
  <c r="GG175" i="9"/>
  <c r="GS175" i="9"/>
  <c r="GR185" i="9"/>
  <c r="GJ176" i="9"/>
  <c r="FZ180" i="9"/>
  <c r="FN180" i="9"/>
  <c r="FY180" i="9" s="1"/>
  <c r="FX178" i="9"/>
  <c r="FT178" i="9"/>
  <c r="GB178" i="9"/>
  <c r="FP178" i="9"/>
  <c r="FM181" i="9"/>
  <c r="FV181" i="9" s="1"/>
  <c r="GE177" i="9"/>
  <c r="GH177" i="9" s="1"/>
  <c r="GJ177" i="9"/>
  <c r="EW185" i="9"/>
  <c r="EU185" i="9"/>
  <c r="FI183" i="9"/>
  <c r="FH183" i="9"/>
  <c r="FJ183" i="9" s="1"/>
  <c r="GP186" i="9"/>
  <c r="EB186" i="9"/>
  <c r="EI186" i="9"/>
  <c r="EF186" i="9"/>
  <c r="EH186" i="9"/>
  <c r="EG186" i="9"/>
  <c r="EC186" i="9"/>
  <c r="ED186" i="9"/>
  <c r="EE186" i="9"/>
  <c r="EA187" i="9"/>
  <c r="ES185" i="9"/>
  <c r="EQ185" i="9"/>
  <c r="EZ185" i="9"/>
  <c r="EY185" i="9"/>
  <c r="EM185" i="9"/>
  <c r="FB185" i="9" s="1"/>
  <c r="FD185" i="9" s="1"/>
  <c r="EO185" i="9"/>
  <c r="FC185" i="9" s="1"/>
  <c r="FF184" i="9"/>
  <c r="FE184" i="9"/>
  <c r="FG184" i="9" s="1"/>
  <c r="FK182" i="9"/>
  <c r="FL182" i="9"/>
  <c r="FP179" i="9"/>
  <c r="FT179" i="9"/>
  <c r="FX179" i="9"/>
  <c r="GB179" i="9"/>
  <c r="CX188" i="2" l="1"/>
  <c r="CP188" i="2"/>
  <c r="CK189" i="2"/>
  <c r="CL188" i="2"/>
  <c r="CO188" i="2" s="1"/>
  <c r="CY188" i="2" s="1"/>
  <c r="CN188" i="2"/>
  <c r="CZ187" i="2"/>
  <c r="CQ187" i="2"/>
  <c r="DA187" i="2" s="1"/>
  <c r="CU187" i="1"/>
  <c r="CY187" i="1"/>
  <c r="CR187" i="1"/>
  <c r="CW187" i="1" s="1"/>
  <c r="CP188" i="1"/>
  <c r="CV188" i="1"/>
  <c r="CQ188" i="1"/>
  <c r="CM190" i="1"/>
  <c r="CT189" i="1"/>
  <c r="CX189" i="1" s="1"/>
  <c r="CO189" i="1"/>
  <c r="CN189" i="1"/>
  <c r="EU187" i="10"/>
  <c r="EW187" i="10" s="1"/>
  <c r="EQ187" i="10"/>
  <c r="ES187" i="10" s="1"/>
  <c r="EM187" i="10"/>
  <c r="EJ187" i="10"/>
  <c r="EO187" i="10" s="1"/>
  <c r="EC189" i="10"/>
  <c r="EF189" i="10"/>
  <c r="ED189" i="10"/>
  <c r="EE189" i="10"/>
  <c r="EB189" i="10"/>
  <c r="EH188" i="10"/>
  <c r="EA190" i="10"/>
  <c r="GM186" i="9"/>
  <c r="GR186" i="9" s="1"/>
  <c r="GF186" i="9"/>
  <c r="GK177" i="9"/>
  <c r="GQ177" i="9" s="1"/>
  <c r="GG177" i="9"/>
  <c r="GS177" i="9"/>
  <c r="FN181" i="9"/>
  <c r="GC181" i="9" s="1"/>
  <c r="FU180" i="9"/>
  <c r="FO180" i="9"/>
  <c r="GB180" i="9" s="1"/>
  <c r="GC180" i="9"/>
  <c r="FW178" i="9"/>
  <c r="FR178" i="9"/>
  <c r="GA178" i="9"/>
  <c r="FQ178" i="9"/>
  <c r="GD178" i="9" s="1"/>
  <c r="FS178" i="9"/>
  <c r="FZ181" i="9"/>
  <c r="FM182" i="9"/>
  <c r="FZ182" i="9" s="1"/>
  <c r="FF185" i="9"/>
  <c r="FE185" i="9"/>
  <c r="FG185" i="9" s="1"/>
  <c r="EU186" i="9"/>
  <c r="EW186" i="9"/>
  <c r="FK183" i="9"/>
  <c r="FL183" i="9"/>
  <c r="ES186" i="9"/>
  <c r="EQ186" i="9"/>
  <c r="FQ179" i="9"/>
  <c r="GD179" i="9" s="1"/>
  <c r="FR179" i="9"/>
  <c r="GA179" i="9"/>
  <c r="FS179" i="9"/>
  <c r="FW179" i="9"/>
  <c r="EA188" i="9"/>
  <c r="EC187" i="9"/>
  <c r="GP187" i="9"/>
  <c r="EB187" i="9"/>
  <c r="EF187" i="9"/>
  <c r="EG187" i="9"/>
  <c r="ED187" i="9"/>
  <c r="EI187" i="9"/>
  <c r="EH187" i="9"/>
  <c r="EE187" i="9"/>
  <c r="EM186" i="9"/>
  <c r="FB186" i="9" s="1"/>
  <c r="FD186" i="9" s="1"/>
  <c r="EO186" i="9"/>
  <c r="FC186" i="9" s="1"/>
  <c r="FI184" i="9"/>
  <c r="FH184" i="9"/>
  <c r="FJ184" i="9" s="1"/>
  <c r="EZ186" i="9"/>
  <c r="EY186" i="9"/>
  <c r="CX189" i="2" l="1"/>
  <c r="CP189" i="2"/>
  <c r="CK190" i="2"/>
  <c r="CL189" i="2"/>
  <c r="CO189" i="2" s="1"/>
  <c r="CY189" i="2" s="1"/>
  <c r="CN189" i="2"/>
  <c r="CZ188" i="2"/>
  <c r="CQ188" i="2"/>
  <c r="DA188" i="2" s="1"/>
  <c r="CU188" i="1"/>
  <c r="CY188" i="1"/>
  <c r="CR188" i="1"/>
  <c r="CW188" i="1" s="1"/>
  <c r="CV189" i="1"/>
  <c r="CQ189" i="1"/>
  <c r="CP189" i="1"/>
  <c r="CM191" i="1"/>
  <c r="CT190" i="1"/>
  <c r="CX190" i="1" s="1"/>
  <c r="CO190" i="1"/>
  <c r="CN190" i="1"/>
  <c r="EU188" i="10"/>
  <c r="EW188" i="10" s="1"/>
  <c r="EQ188" i="10"/>
  <c r="ES188" i="10" s="1"/>
  <c r="EM188" i="10"/>
  <c r="EJ188" i="10"/>
  <c r="EO188" i="10" s="1"/>
  <c r="EH189" i="10"/>
  <c r="EF190" i="10"/>
  <c r="EC190" i="10"/>
  <c r="ED190" i="10"/>
  <c r="EE190" i="10"/>
  <c r="EB190" i="10"/>
  <c r="EA191" i="10"/>
  <c r="GM187" i="9"/>
  <c r="GR187" i="9" s="1"/>
  <c r="GF187" i="9"/>
  <c r="FY181" i="9"/>
  <c r="FU181" i="9"/>
  <c r="FO181" i="9"/>
  <c r="FX181" i="9" s="1"/>
  <c r="FE186" i="9"/>
  <c r="FG186" i="9" s="1"/>
  <c r="FH186" i="9" s="1"/>
  <c r="FJ186" i="9" s="1"/>
  <c r="FL186" i="9" s="1"/>
  <c r="FP180" i="9"/>
  <c r="FQ180" i="9" s="1"/>
  <c r="FT180" i="9"/>
  <c r="FX180" i="9"/>
  <c r="GJ178" i="9"/>
  <c r="GE178" i="9"/>
  <c r="GH178" i="9" s="1"/>
  <c r="FV182" i="9"/>
  <c r="FN182" i="9"/>
  <c r="FY182" i="9" s="1"/>
  <c r="FM183" i="9"/>
  <c r="FN183" i="9" s="1"/>
  <c r="FU183" i="9" s="1"/>
  <c r="FL184" i="9"/>
  <c r="FK184" i="9"/>
  <c r="FF186" i="9"/>
  <c r="EO187" i="9"/>
  <c r="FC187" i="9" s="1"/>
  <c r="EM187" i="9"/>
  <c r="FB187" i="9" s="1"/>
  <c r="FD187" i="9" s="1"/>
  <c r="EY187" i="9"/>
  <c r="EZ187" i="9"/>
  <c r="EQ187" i="9"/>
  <c r="ES187" i="9"/>
  <c r="EH188" i="9"/>
  <c r="EG188" i="9"/>
  <c r="EA189" i="9"/>
  <c r="EC188" i="9"/>
  <c r="GP188" i="9"/>
  <c r="EB188" i="9"/>
  <c r="EI188" i="9"/>
  <c r="EE188" i="9"/>
  <c r="ED188" i="9"/>
  <c r="EF188" i="9"/>
  <c r="FH185" i="9"/>
  <c r="FJ185" i="9" s="1"/>
  <c r="FI185" i="9"/>
  <c r="EW187" i="9"/>
  <c r="EU187" i="9"/>
  <c r="GJ179" i="9"/>
  <c r="GE179" i="9"/>
  <c r="GH179" i="9" s="1"/>
  <c r="CX190" i="2" l="1"/>
  <c r="CP190" i="2"/>
  <c r="CZ190" i="2" s="1"/>
  <c r="CL190" i="2"/>
  <c r="CO190" i="2" s="1"/>
  <c r="CN190" i="2"/>
  <c r="CK191" i="2"/>
  <c r="CZ189" i="2"/>
  <c r="CQ189" i="2"/>
  <c r="DA189" i="2" s="1"/>
  <c r="CU189" i="1"/>
  <c r="CY189" i="1"/>
  <c r="CP190" i="1"/>
  <c r="CR189" i="1"/>
  <c r="CW189" i="1" s="1"/>
  <c r="CV190" i="1"/>
  <c r="CQ190" i="1"/>
  <c r="CM192" i="1"/>
  <c r="CT191" i="1"/>
  <c r="CX191" i="1" s="1"/>
  <c r="CO191" i="1"/>
  <c r="CN191" i="1"/>
  <c r="EU189" i="10"/>
  <c r="EW189" i="10" s="1"/>
  <c r="EQ189" i="10"/>
  <c r="ES189" i="10" s="1"/>
  <c r="EM189" i="10"/>
  <c r="EJ189" i="10"/>
  <c r="EO189" i="10" s="1"/>
  <c r="EH190" i="10"/>
  <c r="ED191" i="10"/>
  <c r="EF191" i="10"/>
  <c r="EC191" i="10"/>
  <c r="EE191" i="10"/>
  <c r="EB191" i="10"/>
  <c r="EA192" i="10"/>
  <c r="GM188" i="9"/>
  <c r="GF188" i="9"/>
  <c r="GK178" i="9"/>
  <c r="GQ178" i="9" s="1"/>
  <c r="GG178" i="9"/>
  <c r="GS178" i="9"/>
  <c r="GK179" i="9"/>
  <c r="GQ179" i="9" s="1"/>
  <c r="GG179" i="9"/>
  <c r="GS179" i="9"/>
  <c r="GR188" i="9"/>
  <c r="FK186" i="9"/>
  <c r="FM186" i="9" s="1"/>
  <c r="FI186" i="9"/>
  <c r="GB181" i="9"/>
  <c r="FP181" i="9"/>
  <c r="FS181" i="9" s="1"/>
  <c r="GA180" i="9"/>
  <c r="FT181" i="9"/>
  <c r="FW180" i="9"/>
  <c r="FR180" i="9"/>
  <c r="GD180" i="9"/>
  <c r="GE180" i="9" s="1"/>
  <c r="GH180" i="9" s="1"/>
  <c r="FS180" i="9"/>
  <c r="FO183" i="9"/>
  <c r="GB183" i="9" s="1"/>
  <c r="FY183" i="9"/>
  <c r="FO182" i="9"/>
  <c r="FT182" i="9" s="1"/>
  <c r="FU182" i="9"/>
  <c r="GC182" i="9"/>
  <c r="GC183" i="9"/>
  <c r="FZ183" i="9"/>
  <c r="FV183" i="9"/>
  <c r="FK185" i="9"/>
  <c r="FL185" i="9"/>
  <c r="GP189" i="9"/>
  <c r="ED189" i="9"/>
  <c r="EF189" i="9"/>
  <c r="EH189" i="9"/>
  <c r="EE189" i="9"/>
  <c r="EG189" i="9"/>
  <c r="EI189" i="9"/>
  <c r="EB189" i="9"/>
  <c r="EA190" i="9"/>
  <c r="EC189" i="9"/>
  <c r="EU188" i="9"/>
  <c r="EW188" i="9"/>
  <c r="EY188" i="9"/>
  <c r="EZ188" i="9"/>
  <c r="EO188" i="9"/>
  <c r="FC188" i="9" s="1"/>
  <c r="EM188" i="9"/>
  <c r="FB188" i="9" s="1"/>
  <c r="FD188" i="9" s="1"/>
  <c r="ES188" i="9"/>
  <c r="EQ188" i="9"/>
  <c r="FE187" i="9"/>
  <c r="FG187" i="9" s="1"/>
  <c r="FH187" i="9" s="1"/>
  <c r="FJ187" i="9" s="1"/>
  <c r="FF187" i="9"/>
  <c r="FM184" i="9"/>
  <c r="CX191" i="2" l="1"/>
  <c r="CP191" i="2"/>
  <c r="CL191" i="2"/>
  <c r="CO191" i="2" s="1"/>
  <c r="CY191" i="2" s="1"/>
  <c r="CK192" i="2"/>
  <c r="CN191" i="2"/>
  <c r="CQ190" i="2"/>
  <c r="DA190" i="2" s="1"/>
  <c r="CY190" i="2"/>
  <c r="CU190" i="1"/>
  <c r="CY190" i="1"/>
  <c r="CR190" i="1"/>
  <c r="CW190" i="1" s="1"/>
  <c r="CV191" i="1"/>
  <c r="CQ191" i="1"/>
  <c r="CP191" i="1"/>
  <c r="CM193" i="1"/>
  <c r="CT192" i="1"/>
  <c r="CX192" i="1" s="1"/>
  <c r="CO192" i="1"/>
  <c r="CN192" i="1"/>
  <c r="EU190" i="10"/>
  <c r="EW190" i="10" s="1"/>
  <c r="EQ190" i="10"/>
  <c r="ES190" i="10" s="1"/>
  <c r="EM190" i="10"/>
  <c r="EJ190" i="10"/>
  <c r="EO190" i="10" s="1"/>
  <c r="EH191" i="10"/>
  <c r="EC192" i="10"/>
  <c r="EF192" i="10"/>
  <c r="ED192" i="10"/>
  <c r="EB192" i="10"/>
  <c r="EE192" i="10"/>
  <c r="EA193" i="10"/>
  <c r="GM189" i="9"/>
  <c r="GF189" i="9"/>
  <c r="GK180" i="9"/>
  <c r="GQ180" i="9" s="1"/>
  <c r="GG180" i="9"/>
  <c r="GS180" i="9"/>
  <c r="GR189" i="9"/>
  <c r="FW181" i="9"/>
  <c r="FQ181" i="9"/>
  <c r="GD181" i="9" s="1"/>
  <c r="GJ181" i="9" s="1"/>
  <c r="GA181" i="9"/>
  <c r="GJ180" i="9"/>
  <c r="FR181" i="9"/>
  <c r="FP183" i="9"/>
  <c r="FS183" i="9" s="1"/>
  <c r="FP182" i="9"/>
  <c r="FR182" i="9" s="1"/>
  <c r="FX183" i="9"/>
  <c r="FT183" i="9"/>
  <c r="GB182" i="9"/>
  <c r="FX182" i="9"/>
  <c r="FI187" i="9"/>
  <c r="FM185" i="9"/>
  <c r="EZ189" i="9"/>
  <c r="EY189" i="9"/>
  <c r="FF188" i="9"/>
  <c r="FE188" i="9"/>
  <c r="FG188" i="9" s="1"/>
  <c r="FH188" i="9" s="1"/>
  <c r="FJ188" i="9" s="1"/>
  <c r="ES189" i="9"/>
  <c r="EQ189" i="9"/>
  <c r="EW189" i="9"/>
  <c r="EU189" i="9"/>
  <c r="FV184" i="9"/>
  <c r="FZ184" i="9"/>
  <c r="FN184" i="9"/>
  <c r="EI190" i="9"/>
  <c r="EG190" i="9"/>
  <c r="EB190" i="9"/>
  <c r="EE190" i="9"/>
  <c r="GP190" i="9"/>
  <c r="EA191" i="9"/>
  <c r="EC190" i="9"/>
  <c r="ED190" i="9"/>
  <c r="EF190" i="9"/>
  <c r="EH190" i="9"/>
  <c r="EO189" i="9"/>
  <c r="FC189" i="9" s="1"/>
  <c r="EM189" i="9"/>
  <c r="FB189" i="9" s="1"/>
  <c r="FD189" i="9" s="1"/>
  <c r="FL187" i="9"/>
  <c r="FK187" i="9"/>
  <c r="FZ186" i="9"/>
  <c r="FV186" i="9"/>
  <c r="FN186" i="9"/>
  <c r="CX192" i="2" l="1"/>
  <c r="CP192" i="2"/>
  <c r="CN192" i="2"/>
  <c r="CL192" i="2"/>
  <c r="CO192" i="2" s="1"/>
  <c r="CY192" i="2" s="1"/>
  <c r="CK193" i="2"/>
  <c r="CZ191" i="2"/>
  <c r="CQ191" i="2"/>
  <c r="DA191" i="2" s="1"/>
  <c r="CU191" i="1"/>
  <c r="CY191" i="1"/>
  <c r="CR191" i="1"/>
  <c r="CW191" i="1" s="1"/>
  <c r="CV192" i="1"/>
  <c r="CQ192" i="1"/>
  <c r="CP192" i="1"/>
  <c r="CM194" i="1"/>
  <c r="CT193" i="1"/>
  <c r="CX193" i="1" s="1"/>
  <c r="CO193" i="1"/>
  <c r="CN193" i="1"/>
  <c r="EU191" i="10"/>
  <c r="EW191" i="10" s="1"/>
  <c r="EQ191" i="10"/>
  <c r="ES191" i="10" s="1"/>
  <c r="EM191" i="10"/>
  <c r="EJ191" i="10"/>
  <c r="EO191" i="10" s="1"/>
  <c r="EH192" i="10"/>
  <c r="EC193" i="10"/>
  <c r="ED193" i="10"/>
  <c r="EF193" i="10"/>
  <c r="EE193" i="10"/>
  <c r="EB193" i="10"/>
  <c r="EA194" i="10"/>
  <c r="GM190" i="9"/>
  <c r="GR190" i="9" s="1"/>
  <c r="GF190" i="9"/>
  <c r="FQ183" i="9"/>
  <c r="GD183" i="9" s="1"/>
  <c r="GE181" i="9"/>
  <c r="GH181" i="9" s="1"/>
  <c r="FR183" i="9"/>
  <c r="FW183" i="9"/>
  <c r="GA183" i="9"/>
  <c r="GA182" i="9"/>
  <c r="FQ182" i="9"/>
  <c r="GD182" i="9" s="1"/>
  <c r="GE182" i="9" s="1"/>
  <c r="GH182" i="9" s="1"/>
  <c r="FS182" i="9"/>
  <c r="FW182" i="9"/>
  <c r="FZ185" i="9"/>
  <c r="FV185" i="9"/>
  <c r="FN185" i="9"/>
  <c r="FI188" i="9"/>
  <c r="EZ190" i="9"/>
  <c r="EY190" i="9"/>
  <c r="EO190" i="9"/>
  <c r="FC190" i="9" s="1"/>
  <c r="EM190" i="9"/>
  <c r="FB190" i="9" s="1"/>
  <c r="FD190" i="9" s="1"/>
  <c r="FM187" i="9"/>
  <c r="FE189" i="9"/>
  <c r="FG189" i="9" s="1"/>
  <c r="FF189" i="9"/>
  <c r="FK188" i="9"/>
  <c r="FL188" i="9"/>
  <c r="FU184" i="9"/>
  <c r="FY184" i="9"/>
  <c r="GC184" i="9"/>
  <c r="FO184" i="9"/>
  <c r="ES190" i="9"/>
  <c r="EQ190" i="9"/>
  <c r="EU190" i="9"/>
  <c r="EW190" i="9"/>
  <c r="EH191" i="9"/>
  <c r="EA192" i="9"/>
  <c r="ED191" i="9"/>
  <c r="GP191" i="9"/>
  <c r="EC191" i="9"/>
  <c r="EG191" i="9"/>
  <c r="EB191" i="9"/>
  <c r="EE191" i="9"/>
  <c r="EF191" i="9"/>
  <c r="EI191" i="9"/>
  <c r="FY186" i="9"/>
  <c r="GC186" i="9"/>
  <c r="FU186" i="9"/>
  <c r="FO186" i="9"/>
  <c r="CX193" i="2" l="1"/>
  <c r="CP193" i="2"/>
  <c r="CN193" i="2"/>
  <c r="CK194" i="2"/>
  <c r="CL193" i="2"/>
  <c r="CO193" i="2" s="1"/>
  <c r="CY193" i="2" s="1"/>
  <c r="CZ192" i="2"/>
  <c r="CQ192" i="2"/>
  <c r="DA192" i="2" s="1"/>
  <c r="CU192" i="1"/>
  <c r="CY192" i="1"/>
  <c r="CP193" i="1"/>
  <c r="CR192" i="1"/>
  <c r="CW192" i="1" s="1"/>
  <c r="CV193" i="1"/>
  <c r="CQ193" i="1"/>
  <c r="CR193" i="1" s="1"/>
  <c r="CW193" i="1" s="1"/>
  <c r="CM195" i="1"/>
  <c r="CT194" i="1"/>
  <c r="CX194" i="1" s="1"/>
  <c r="CO194" i="1"/>
  <c r="CN194" i="1"/>
  <c r="EU192" i="10"/>
  <c r="EW192" i="10" s="1"/>
  <c r="EQ192" i="10"/>
  <c r="ES192" i="10" s="1"/>
  <c r="EM192" i="10"/>
  <c r="EJ192" i="10"/>
  <c r="EO192" i="10" s="1"/>
  <c r="EH193" i="10"/>
  <c r="EC194" i="10"/>
  <c r="EF194" i="10"/>
  <c r="ED194" i="10"/>
  <c r="EE194" i="10"/>
  <c r="EB194" i="10"/>
  <c r="EA195" i="10"/>
  <c r="GM191" i="9"/>
  <c r="GF191" i="9"/>
  <c r="GK181" i="9"/>
  <c r="GQ181" i="9" s="1"/>
  <c r="GG181" i="9"/>
  <c r="GS181" i="9"/>
  <c r="GK182" i="9"/>
  <c r="GQ182" i="9" s="1"/>
  <c r="GG182" i="9"/>
  <c r="GS182" i="9"/>
  <c r="GR191" i="9"/>
  <c r="GE183" i="9"/>
  <c r="GH183" i="9" s="1"/>
  <c r="GJ183" i="9"/>
  <c r="GJ182" i="9"/>
  <c r="FU185" i="9"/>
  <c r="GC185" i="9"/>
  <c r="FY185" i="9"/>
  <c r="FO185" i="9"/>
  <c r="ES191" i="9"/>
  <c r="EQ191" i="9"/>
  <c r="EW191" i="9"/>
  <c r="EU191" i="9"/>
  <c r="FH189" i="9"/>
  <c r="FJ189" i="9" s="1"/>
  <c r="FI189" i="9"/>
  <c r="GP192" i="9"/>
  <c r="EC192" i="9"/>
  <c r="EF192" i="9"/>
  <c r="EI192" i="9"/>
  <c r="EG192" i="9"/>
  <c r="EH192" i="9"/>
  <c r="EB192" i="9"/>
  <c r="EA193" i="9"/>
  <c r="ED192" i="9"/>
  <c r="EE192" i="9"/>
  <c r="GB184" i="9"/>
  <c r="FX184" i="9"/>
  <c r="FT184" i="9"/>
  <c r="FP184" i="9"/>
  <c r="FN187" i="9"/>
  <c r="FV187" i="9"/>
  <c r="FZ187" i="9"/>
  <c r="FF190" i="9"/>
  <c r="FE190" i="9"/>
  <c r="FG190" i="9" s="1"/>
  <c r="FH190" i="9" s="1"/>
  <c r="FJ190" i="9" s="1"/>
  <c r="EZ191" i="9"/>
  <c r="EY191" i="9"/>
  <c r="EM191" i="9"/>
  <c r="FB191" i="9" s="1"/>
  <c r="FD191" i="9" s="1"/>
  <c r="EO191" i="9"/>
  <c r="FC191" i="9" s="1"/>
  <c r="FM188" i="9"/>
  <c r="GB186" i="9"/>
  <c r="FP186" i="9"/>
  <c r="FT186" i="9"/>
  <c r="FX186" i="9"/>
  <c r="CX194" i="2" l="1"/>
  <c r="CP194" i="2"/>
  <c r="CK195" i="2"/>
  <c r="CL194" i="2"/>
  <c r="CO194" i="2" s="1"/>
  <c r="CY194" i="2" s="1"/>
  <c r="CN194" i="2"/>
  <c r="CZ193" i="2"/>
  <c r="CQ193" i="2"/>
  <c r="DA193" i="2" s="1"/>
  <c r="CU193" i="1"/>
  <c r="CY193" i="1"/>
  <c r="CV194" i="1"/>
  <c r="CQ194" i="1"/>
  <c r="CP194" i="1"/>
  <c r="CM196" i="1"/>
  <c r="CT195" i="1"/>
  <c r="CX195" i="1" s="1"/>
  <c r="CO195" i="1"/>
  <c r="CN195" i="1"/>
  <c r="EU193" i="10"/>
  <c r="EW193" i="10" s="1"/>
  <c r="EQ193" i="10"/>
  <c r="ES193" i="10" s="1"/>
  <c r="EH194" i="10"/>
  <c r="EM193" i="10"/>
  <c r="EJ193" i="10"/>
  <c r="EO193" i="10" s="1"/>
  <c r="EC195" i="10"/>
  <c r="ED195" i="10"/>
  <c r="EF195" i="10"/>
  <c r="EB195" i="10"/>
  <c r="EE195" i="10"/>
  <c r="EA196" i="10"/>
  <c r="GM192" i="9"/>
  <c r="GF192" i="9"/>
  <c r="GK183" i="9"/>
  <c r="GQ183" i="9" s="1"/>
  <c r="GG183" i="9"/>
  <c r="GS183" i="9"/>
  <c r="GR192" i="9"/>
  <c r="FX185" i="9"/>
  <c r="GB185" i="9"/>
  <c r="FP185" i="9"/>
  <c r="FT185" i="9"/>
  <c r="FI190" i="9"/>
  <c r="EZ192" i="9"/>
  <c r="EY192" i="9"/>
  <c r="EQ192" i="9"/>
  <c r="ES192" i="9"/>
  <c r="EW192" i="9"/>
  <c r="EU192" i="9"/>
  <c r="FZ188" i="9"/>
  <c r="FV188" i="9"/>
  <c r="FN188" i="9"/>
  <c r="EE193" i="9"/>
  <c r="EA194" i="9"/>
  <c r="ED193" i="9"/>
  <c r="EH193" i="9"/>
  <c r="EB193" i="9"/>
  <c r="GP193" i="9"/>
  <c r="EC193" i="9"/>
  <c r="EF193" i="9"/>
  <c r="EI193" i="9"/>
  <c r="EG193" i="9"/>
  <c r="FY187" i="9"/>
  <c r="GC187" i="9"/>
  <c r="FO187" i="9"/>
  <c r="FU187" i="9"/>
  <c r="EO192" i="9"/>
  <c r="FC192" i="9" s="1"/>
  <c r="EM192" i="9"/>
  <c r="FB192" i="9" s="1"/>
  <c r="FD192" i="9" s="1"/>
  <c r="FK189" i="9"/>
  <c r="FL189" i="9"/>
  <c r="FE191" i="9"/>
  <c r="FG191" i="9" s="1"/>
  <c r="FF191" i="9"/>
  <c r="FS184" i="9"/>
  <c r="GA184" i="9"/>
  <c r="FR184" i="9"/>
  <c r="FW184" i="9"/>
  <c r="FQ184" i="9"/>
  <c r="GD184" i="9" s="1"/>
  <c r="FL190" i="9"/>
  <c r="FK190" i="9"/>
  <c r="FR186" i="9"/>
  <c r="FQ186" i="9"/>
  <c r="GD186" i="9" s="1"/>
  <c r="GA186" i="9"/>
  <c r="FS186" i="9"/>
  <c r="FW186" i="9"/>
  <c r="CX195" i="2" l="1"/>
  <c r="CP195" i="2"/>
  <c r="CL195" i="2"/>
  <c r="CO195" i="2" s="1"/>
  <c r="CY195" i="2" s="1"/>
  <c r="CK196" i="2"/>
  <c r="CN195" i="2"/>
  <c r="CZ194" i="2"/>
  <c r="CQ194" i="2"/>
  <c r="DA194" i="2" s="1"/>
  <c r="CU194" i="1"/>
  <c r="CY194" i="1"/>
  <c r="CR194" i="1"/>
  <c r="CW194" i="1" s="1"/>
  <c r="CV195" i="1"/>
  <c r="CQ195" i="1"/>
  <c r="CM197" i="1"/>
  <c r="CT196" i="1"/>
  <c r="CX196" i="1" s="1"/>
  <c r="CO196" i="1"/>
  <c r="CN196" i="1"/>
  <c r="CP195" i="1"/>
  <c r="EU194" i="10"/>
  <c r="EW194" i="10" s="1"/>
  <c r="EQ194" i="10"/>
  <c r="ES194" i="10" s="1"/>
  <c r="EM194" i="10"/>
  <c r="EJ194" i="10"/>
  <c r="EO194" i="10" s="1"/>
  <c r="EH195" i="10"/>
  <c r="EC196" i="10"/>
  <c r="EF196" i="10"/>
  <c r="ED196" i="10"/>
  <c r="EE196" i="10"/>
  <c r="EB196" i="10"/>
  <c r="EA197" i="10"/>
  <c r="GM193" i="9"/>
  <c r="GR193" i="9" s="1"/>
  <c r="GF193" i="9"/>
  <c r="GA185" i="9"/>
  <c r="FQ185" i="9"/>
  <c r="GD185" i="9" s="1"/>
  <c r="FW185" i="9"/>
  <c r="FR185" i="9"/>
  <c r="FS185" i="9"/>
  <c r="EQ193" i="9"/>
  <c r="ES193" i="9"/>
  <c r="GB187" i="9"/>
  <c r="FX187" i="9"/>
  <c r="FT187" i="9"/>
  <c r="FP187" i="9"/>
  <c r="EM193" i="9"/>
  <c r="FB193" i="9" s="1"/>
  <c r="FD193" i="9" s="1"/>
  <c r="EO193" i="9"/>
  <c r="FC193" i="9" s="1"/>
  <c r="FH191" i="9"/>
  <c r="FJ191" i="9" s="1"/>
  <c r="FI191" i="9"/>
  <c r="EW193" i="9"/>
  <c r="EU193" i="9"/>
  <c r="FM190" i="9"/>
  <c r="FM189" i="9"/>
  <c r="EG194" i="9"/>
  <c r="EB194" i="9"/>
  <c r="EE194" i="9"/>
  <c r="EA195" i="9"/>
  <c r="ED194" i="9"/>
  <c r="GP194" i="9"/>
  <c r="EC194" i="9"/>
  <c r="EI194" i="9"/>
  <c r="EH194" i="9"/>
  <c r="EF194" i="9"/>
  <c r="GJ184" i="9"/>
  <c r="GE184" i="9"/>
  <c r="GH184" i="9" s="1"/>
  <c r="EZ193" i="9"/>
  <c r="EY193" i="9"/>
  <c r="FF192" i="9"/>
  <c r="FE192" i="9"/>
  <c r="FG192" i="9" s="1"/>
  <c r="FO188" i="9"/>
  <c r="GC188" i="9"/>
  <c r="FY188" i="9"/>
  <c r="FU188" i="9"/>
  <c r="GE186" i="9"/>
  <c r="GH186" i="9" s="1"/>
  <c r="GJ186" i="9"/>
  <c r="CX196" i="2" l="1"/>
  <c r="CP196" i="2"/>
  <c r="CL196" i="2"/>
  <c r="CO196" i="2" s="1"/>
  <c r="CY196" i="2" s="1"/>
  <c r="CK197" i="2"/>
  <c r="CN196" i="2"/>
  <c r="CZ195" i="2"/>
  <c r="CQ195" i="2"/>
  <c r="DA195" i="2" s="1"/>
  <c r="CU195" i="1"/>
  <c r="CY195" i="1"/>
  <c r="CR195" i="1"/>
  <c r="CW195" i="1" s="1"/>
  <c r="CV196" i="1"/>
  <c r="CQ196" i="1"/>
  <c r="CP196" i="1"/>
  <c r="CM198" i="1"/>
  <c r="CT197" i="1"/>
  <c r="CX197" i="1" s="1"/>
  <c r="CO197" i="1"/>
  <c r="CN197" i="1"/>
  <c r="EU195" i="10"/>
  <c r="EW195" i="10" s="1"/>
  <c r="EQ195" i="10"/>
  <c r="ES195" i="10" s="1"/>
  <c r="EM195" i="10"/>
  <c r="EJ195" i="10"/>
  <c r="EO195" i="10" s="1"/>
  <c r="EC197" i="10"/>
  <c r="EF197" i="10"/>
  <c r="ED197" i="10"/>
  <c r="EE197" i="10"/>
  <c r="EB197" i="10"/>
  <c r="EH196" i="10"/>
  <c r="EA198" i="10"/>
  <c r="GM194" i="9"/>
  <c r="GF194" i="9"/>
  <c r="GK186" i="9"/>
  <c r="GQ186" i="9" s="1"/>
  <c r="GG186" i="9"/>
  <c r="GS186" i="9"/>
  <c r="GK184" i="9"/>
  <c r="GQ184" i="9" s="1"/>
  <c r="GG184" i="9"/>
  <c r="GS184" i="9"/>
  <c r="GR194" i="9"/>
  <c r="GE185" i="9"/>
  <c r="GH185" i="9" s="1"/>
  <c r="GJ185" i="9"/>
  <c r="EM194" i="9"/>
  <c r="FB194" i="9" s="1"/>
  <c r="FD194" i="9" s="1"/>
  <c r="EO194" i="9"/>
  <c r="FC194" i="9" s="1"/>
  <c r="FE193" i="9"/>
  <c r="FG193" i="9" s="1"/>
  <c r="FF193" i="9"/>
  <c r="FZ189" i="9"/>
  <c r="FV189" i="9"/>
  <c r="FN189" i="9"/>
  <c r="GA187" i="9"/>
  <c r="FS187" i="9"/>
  <c r="FQ187" i="9"/>
  <c r="GD187" i="9" s="1"/>
  <c r="FW187" i="9"/>
  <c r="FR187" i="9"/>
  <c r="ES194" i="9"/>
  <c r="EQ194" i="9"/>
  <c r="FZ190" i="9"/>
  <c r="FV190" i="9"/>
  <c r="FN190" i="9"/>
  <c r="FT188" i="9"/>
  <c r="FP188" i="9"/>
  <c r="GB188" i="9"/>
  <c r="FX188" i="9"/>
  <c r="EW194" i="9"/>
  <c r="EU194" i="9"/>
  <c r="EF195" i="9"/>
  <c r="EH195" i="9"/>
  <c r="EE195" i="9"/>
  <c r="EI195" i="9"/>
  <c r="EA196" i="9"/>
  <c r="EB195" i="9"/>
  <c r="EC195" i="9"/>
  <c r="GP195" i="9"/>
  <c r="EG195" i="9"/>
  <c r="ED195" i="9"/>
  <c r="FH192" i="9"/>
  <c r="FJ192" i="9" s="1"/>
  <c r="FI192" i="9"/>
  <c r="EZ194" i="9"/>
  <c r="EY194" i="9"/>
  <c r="FL191" i="9"/>
  <c r="FK191" i="9"/>
  <c r="CX197" i="2" l="1"/>
  <c r="CP197" i="2"/>
  <c r="CN197" i="2"/>
  <c r="CL197" i="2"/>
  <c r="CO197" i="2" s="1"/>
  <c r="CY197" i="2" s="1"/>
  <c r="CK198" i="2"/>
  <c r="CZ196" i="2"/>
  <c r="CQ196" i="2"/>
  <c r="DA196" i="2" s="1"/>
  <c r="CU196" i="1"/>
  <c r="CY196" i="1"/>
  <c r="CR196" i="1"/>
  <c r="CW196" i="1" s="1"/>
  <c r="CV197" i="1"/>
  <c r="CQ197" i="1"/>
  <c r="CP197" i="1"/>
  <c r="CM199" i="1"/>
  <c r="CT198" i="1"/>
  <c r="CX198" i="1" s="1"/>
  <c r="CO198" i="1"/>
  <c r="CN198" i="1"/>
  <c r="EU196" i="10"/>
  <c r="EW196" i="10" s="1"/>
  <c r="EQ196" i="10"/>
  <c r="ES196" i="10" s="1"/>
  <c r="EM196" i="10"/>
  <c r="EJ196" i="10"/>
  <c r="EO196" i="10" s="1"/>
  <c r="EH197" i="10"/>
  <c r="ED198" i="10"/>
  <c r="EF198" i="10"/>
  <c r="EC198" i="10"/>
  <c r="EB198" i="10"/>
  <c r="EE198" i="10"/>
  <c r="EA199" i="10"/>
  <c r="GM195" i="9"/>
  <c r="GF195" i="9"/>
  <c r="GK185" i="9"/>
  <c r="GQ185" i="9" s="1"/>
  <c r="GG185" i="9"/>
  <c r="GS185" i="9"/>
  <c r="GR195" i="9"/>
  <c r="FM191" i="9"/>
  <c r="FZ191" i="9" s="1"/>
  <c r="FU189" i="9"/>
  <c r="GC189" i="9"/>
  <c r="FO189" i="9"/>
  <c r="FY189" i="9"/>
  <c r="EQ195" i="9"/>
  <c r="ES195" i="9"/>
  <c r="EM195" i="9"/>
  <c r="FB195" i="9" s="1"/>
  <c r="FD195" i="9" s="1"/>
  <c r="EO195" i="9"/>
  <c r="FC195" i="9" s="1"/>
  <c r="GP196" i="9"/>
  <c r="ED196" i="9"/>
  <c r="EF196" i="9"/>
  <c r="EG196" i="9"/>
  <c r="EI196" i="9"/>
  <c r="EH196" i="9"/>
  <c r="EE196" i="9"/>
  <c r="EB196" i="9"/>
  <c r="EA197" i="9"/>
  <c r="EC196" i="9"/>
  <c r="GA188" i="9"/>
  <c r="FS188" i="9"/>
  <c r="FW188" i="9"/>
  <c r="FQ188" i="9"/>
  <c r="GD188" i="9" s="1"/>
  <c r="FR188" i="9"/>
  <c r="FH193" i="9"/>
  <c r="FJ193" i="9" s="1"/>
  <c r="FI193" i="9"/>
  <c r="FL192" i="9"/>
  <c r="FK192" i="9"/>
  <c r="EY195" i="9"/>
  <c r="EZ195" i="9"/>
  <c r="GJ187" i="9"/>
  <c r="GE187" i="9"/>
  <c r="GH187" i="9" s="1"/>
  <c r="EU195" i="9"/>
  <c r="EW195" i="9"/>
  <c r="GC190" i="9"/>
  <c r="FO190" i="9"/>
  <c r="FU190" i="9"/>
  <c r="FY190" i="9"/>
  <c r="FF194" i="9"/>
  <c r="FE194" i="9"/>
  <c r="FG194" i="9" s="1"/>
  <c r="CX198" i="2" l="1"/>
  <c r="CP198" i="2"/>
  <c r="CZ198" i="2" s="1"/>
  <c r="CL198" i="2"/>
  <c r="CO198" i="2" s="1"/>
  <c r="CK199" i="2"/>
  <c r="CN198" i="2"/>
  <c r="CQ197" i="2"/>
  <c r="DA197" i="2" s="1"/>
  <c r="CZ197" i="2"/>
  <c r="CU197" i="1"/>
  <c r="CY197" i="1"/>
  <c r="CR197" i="1"/>
  <c r="CW197" i="1" s="1"/>
  <c r="CV198" i="1"/>
  <c r="CQ198" i="1"/>
  <c r="CP198" i="1"/>
  <c r="CM200" i="1"/>
  <c r="CT199" i="1"/>
  <c r="CX199" i="1" s="1"/>
  <c r="CO199" i="1"/>
  <c r="CN199" i="1"/>
  <c r="EQ197" i="10"/>
  <c r="ES197" i="10" s="1"/>
  <c r="EU197" i="10"/>
  <c r="EW197" i="10" s="1"/>
  <c r="EH198" i="10"/>
  <c r="EM197" i="10"/>
  <c r="EJ197" i="10"/>
  <c r="EO197" i="10" s="1"/>
  <c r="ED199" i="10"/>
  <c r="EC199" i="10"/>
  <c r="EF199" i="10"/>
  <c r="EE199" i="10"/>
  <c r="EB199" i="10"/>
  <c r="EA200" i="10"/>
  <c r="GM196" i="9"/>
  <c r="GR196" i="9" s="1"/>
  <c r="GF196" i="9"/>
  <c r="GK187" i="9"/>
  <c r="GQ187" i="9" s="1"/>
  <c r="GG187" i="9"/>
  <c r="GS187" i="9"/>
  <c r="FN191" i="9"/>
  <c r="GC191" i="9" s="1"/>
  <c r="FV191" i="9"/>
  <c r="FP190" i="9"/>
  <c r="FX190" i="9"/>
  <c r="FT190" i="9"/>
  <c r="GB190" i="9"/>
  <c r="FM192" i="9"/>
  <c r="EQ196" i="9"/>
  <c r="ES196" i="9"/>
  <c r="EW196" i="9"/>
  <c r="EU196" i="9"/>
  <c r="EI197" i="9"/>
  <c r="EG197" i="9"/>
  <c r="EH197" i="9"/>
  <c r="EC197" i="9"/>
  <c r="ED197" i="9"/>
  <c r="EF197" i="9"/>
  <c r="EB197" i="9"/>
  <c r="GP197" i="9"/>
  <c r="EE197" i="9"/>
  <c r="EA198" i="9"/>
  <c r="FL193" i="9"/>
  <c r="FK193" i="9"/>
  <c r="EM196" i="9"/>
  <c r="FB196" i="9" s="1"/>
  <c r="FD196" i="9" s="1"/>
  <c r="EO196" i="9"/>
  <c r="FC196" i="9" s="1"/>
  <c r="GB189" i="9"/>
  <c r="FX189" i="9"/>
  <c r="FP189" i="9"/>
  <c r="FT189" i="9"/>
  <c r="FI194" i="9"/>
  <c r="FH194" i="9"/>
  <c r="FJ194" i="9" s="1"/>
  <c r="EY196" i="9"/>
  <c r="EZ196" i="9"/>
  <c r="FF195" i="9"/>
  <c r="FE195" i="9"/>
  <c r="FG195" i="9" s="1"/>
  <c r="GJ188" i="9"/>
  <c r="GE188" i="9"/>
  <c r="GH188" i="9" s="1"/>
  <c r="CX199" i="2" l="1"/>
  <c r="CP199" i="2"/>
  <c r="CL199" i="2"/>
  <c r="CO199" i="2" s="1"/>
  <c r="CY199" i="2" s="1"/>
  <c r="CN199" i="2"/>
  <c r="CK200" i="2"/>
  <c r="CQ198" i="2"/>
  <c r="DA198" i="2" s="1"/>
  <c r="CY198" i="2"/>
  <c r="CU198" i="1"/>
  <c r="CY198" i="1"/>
  <c r="CR198" i="1"/>
  <c r="CW198" i="1" s="1"/>
  <c r="CP199" i="1"/>
  <c r="CV199" i="1"/>
  <c r="CQ199" i="1"/>
  <c r="CM201" i="1"/>
  <c r="CT200" i="1"/>
  <c r="CX200" i="1" s="1"/>
  <c r="CO200" i="1"/>
  <c r="CN200" i="1"/>
  <c r="EU198" i="10"/>
  <c r="EW198" i="10" s="1"/>
  <c r="EQ198" i="10"/>
  <c r="ES198" i="10" s="1"/>
  <c r="EM198" i="10"/>
  <c r="EJ198" i="10"/>
  <c r="EO198" i="10" s="1"/>
  <c r="EH199" i="10"/>
  <c r="ED200" i="10"/>
  <c r="EF200" i="10"/>
  <c r="EC200" i="10"/>
  <c r="EB200" i="10"/>
  <c r="EE200" i="10"/>
  <c r="EA201" i="10"/>
  <c r="GM197" i="9"/>
  <c r="GR197" i="9" s="1"/>
  <c r="GF197" i="9"/>
  <c r="GK188" i="9"/>
  <c r="GQ188" i="9" s="1"/>
  <c r="GG188" i="9"/>
  <c r="GS188" i="9"/>
  <c r="FO191" i="9"/>
  <c r="FP191" i="9" s="1"/>
  <c r="FY191" i="9"/>
  <c r="FU191" i="9"/>
  <c r="FM193" i="9"/>
  <c r="FZ193" i="9" s="1"/>
  <c r="EB198" i="9"/>
  <c r="EH198" i="9"/>
  <c r="EA199" i="9"/>
  <c r="ED198" i="9"/>
  <c r="GP198" i="9"/>
  <c r="EC198" i="9"/>
  <c r="EI198" i="9"/>
  <c r="EG198" i="9"/>
  <c r="EE198" i="9"/>
  <c r="EF198" i="9"/>
  <c r="FI195" i="9"/>
  <c r="FH195" i="9"/>
  <c r="FJ195" i="9" s="1"/>
  <c r="EZ197" i="9"/>
  <c r="EY197" i="9"/>
  <c r="EM197" i="9"/>
  <c r="FB197" i="9" s="1"/>
  <c r="FD197" i="9" s="1"/>
  <c r="EO197" i="9"/>
  <c r="FC197" i="9" s="1"/>
  <c r="GA189" i="9"/>
  <c r="FS189" i="9"/>
  <c r="FQ189" i="9"/>
  <c r="GD189" i="9" s="1"/>
  <c r="FR189" i="9"/>
  <c r="FW189" i="9"/>
  <c r="FF196" i="9"/>
  <c r="FE196" i="9"/>
  <c r="FG196" i="9" s="1"/>
  <c r="EW197" i="9"/>
  <c r="EU197" i="9"/>
  <c r="FL194" i="9"/>
  <c r="FK194" i="9"/>
  <c r="EQ197" i="9"/>
  <c r="ES197" i="9"/>
  <c r="FZ192" i="9"/>
  <c r="FV192" i="9"/>
  <c r="FN192" i="9"/>
  <c r="GA190" i="9"/>
  <c r="FS190" i="9"/>
  <c r="FW190" i="9"/>
  <c r="FQ190" i="9"/>
  <c r="GD190" i="9" s="1"/>
  <c r="FR190" i="9"/>
  <c r="CX200" i="2" l="1"/>
  <c r="CP200" i="2"/>
  <c r="CK201" i="2"/>
  <c r="CN200" i="2"/>
  <c r="CL200" i="2"/>
  <c r="CO200" i="2" s="1"/>
  <c r="CY200" i="2" s="1"/>
  <c r="CZ199" i="2"/>
  <c r="CQ199" i="2"/>
  <c r="DA199" i="2" s="1"/>
  <c r="CU199" i="1"/>
  <c r="CY199" i="1"/>
  <c r="CR199" i="1"/>
  <c r="CW199" i="1" s="1"/>
  <c r="CP200" i="1"/>
  <c r="CV200" i="1"/>
  <c r="CQ200" i="1"/>
  <c r="CM202" i="1"/>
  <c r="CT201" i="1"/>
  <c r="CX201" i="1" s="1"/>
  <c r="CO201" i="1"/>
  <c r="CN201" i="1"/>
  <c r="EU199" i="10"/>
  <c r="EW199" i="10" s="1"/>
  <c r="EQ199" i="10"/>
  <c r="ES199" i="10" s="1"/>
  <c r="EM199" i="10"/>
  <c r="EJ199" i="10"/>
  <c r="EO199" i="10" s="1"/>
  <c r="EH200" i="10"/>
  <c r="EF201" i="10"/>
  <c r="EC201" i="10"/>
  <c r="ED201" i="10"/>
  <c r="EE201" i="10"/>
  <c r="EB201" i="10"/>
  <c r="EA202" i="10"/>
  <c r="GM198" i="9"/>
  <c r="GR198" i="9" s="1"/>
  <c r="GF198" i="9"/>
  <c r="FT191" i="9"/>
  <c r="GB191" i="9"/>
  <c r="FX191" i="9"/>
  <c r="FV193" i="9"/>
  <c r="FN193" i="9"/>
  <c r="FO193" i="9" s="1"/>
  <c r="FY192" i="9"/>
  <c r="FO192" i="9"/>
  <c r="GC192" i="9"/>
  <c r="FU192" i="9"/>
  <c r="EW198" i="9"/>
  <c r="EU198" i="9"/>
  <c r="FI196" i="9"/>
  <c r="FH196" i="9"/>
  <c r="FJ196" i="9" s="1"/>
  <c r="EI199" i="9"/>
  <c r="EH199" i="9"/>
  <c r="ED199" i="9"/>
  <c r="EA200" i="9"/>
  <c r="EE199" i="9"/>
  <c r="EF199" i="9"/>
  <c r="EG199" i="9"/>
  <c r="EB199" i="9"/>
  <c r="GP199" i="9"/>
  <c r="EC199" i="9"/>
  <c r="FF197" i="9"/>
  <c r="EY198" i="9"/>
  <c r="EZ198" i="9"/>
  <c r="EO198" i="9"/>
  <c r="FC198" i="9" s="1"/>
  <c r="EM198" i="9"/>
  <c r="FB198" i="9" s="1"/>
  <c r="FD198" i="9" s="1"/>
  <c r="GE190" i="9"/>
  <c r="GH190" i="9" s="1"/>
  <c r="GJ190" i="9"/>
  <c r="FE197" i="9"/>
  <c r="FG197" i="9" s="1"/>
  <c r="FL195" i="9"/>
  <c r="FK195" i="9"/>
  <c r="GJ189" i="9"/>
  <c r="GE189" i="9"/>
  <c r="GH189" i="9" s="1"/>
  <c r="FM194" i="9"/>
  <c r="GA191" i="9"/>
  <c r="FS191" i="9"/>
  <c r="FQ191" i="9"/>
  <c r="FR191" i="9"/>
  <c r="FW191" i="9"/>
  <c r="EQ198" i="9"/>
  <c r="ES198" i="9"/>
  <c r="CX201" i="2" l="1"/>
  <c r="CP201" i="2"/>
  <c r="CL201" i="2"/>
  <c r="CO201" i="2" s="1"/>
  <c r="CY201" i="2" s="1"/>
  <c r="CN201" i="2"/>
  <c r="CK202" i="2"/>
  <c r="CZ200" i="2"/>
  <c r="CQ200" i="2"/>
  <c r="DA200" i="2" s="1"/>
  <c r="CR200" i="1"/>
  <c r="CW200" i="1" s="1"/>
  <c r="CU200" i="1"/>
  <c r="CY200" i="1"/>
  <c r="CV201" i="1"/>
  <c r="CQ201" i="1"/>
  <c r="CP201" i="1"/>
  <c r="CM203" i="1"/>
  <c r="CT202" i="1"/>
  <c r="CX202" i="1" s="1"/>
  <c r="CO202" i="1"/>
  <c r="CN202" i="1"/>
  <c r="EU200" i="10"/>
  <c r="EW200" i="10" s="1"/>
  <c r="EQ200" i="10"/>
  <c r="ES200" i="10" s="1"/>
  <c r="EH201" i="10"/>
  <c r="EM200" i="10"/>
  <c r="EJ200" i="10"/>
  <c r="EO200" i="10" s="1"/>
  <c r="EC202" i="10"/>
  <c r="ED202" i="10"/>
  <c r="EF202" i="10"/>
  <c r="EB202" i="10"/>
  <c r="EE202" i="10"/>
  <c r="EA203" i="10"/>
  <c r="GM199" i="9"/>
  <c r="GR199" i="9" s="1"/>
  <c r="GF199" i="9"/>
  <c r="GK189" i="9"/>
  <c r="GQ189" i="9" s="1"/>
  <c r="GG189" i="9"/>
  <c r="GS189" i="9"/>
  <c r="GK190" i="9"/>
  <c r="GQ190" i="9" s="1"/>
  <c r="GG190" i="9"/>
  <c r="GS190" i="9"/>
  <c r="GD191" i="9"/>
  <c r="GJ191" i="9" s="1"/>
  <c r="GC193" i="9"/>
  <c r="FU193" i="9"/>
  <c r="FY193" i="9"/>
  <c r="FM195" i="9"/>
  <c r="FV195" i="9" s="1"/>
  <c r="EM199" i="9"/>
  <c r="FB199" i="9" s="1"/>
  <c r="FD199" i="9" s="1"/>
  <c r="EO199" i="9"/>
  <c r="FC199" i="9" s="1"/>
  <c r="FL196" i="9"/>
  <c r="FK196" i="9"/>
  <c r="FT193" i="9"/>
  <c r="FP193" i="9"/>
  <c r="GB193" i="9"/>
  <c r="FX193" i="9"/>
  <c r="FF198" i="9"/>
  <c r="FE198" i="9"/>
  <c r="FG198" i="9" s="1"/>
  <c r="EZ199" i="9"/>
  <c r="EY199" i="9"/>
  <c r="GP200" i="9"/>
  <c r="EB200" i="9"/>
  <c r="EI200" i="9"/>
  <c r="EC200" i="9"/>
  <c r="EG200" i="9"/>
  <c r="EF200" i="9"/>
  <c r="EE200" i="9"/>
  <c r="ED200" i="9"/>
  <c r="EA201" i="9"/>
  <c r="EH200" i="9"/>
  <c r="EU199" i="9"/>
  <c r="EW199" i="9"/>
  <c r="FH197" i="9"/>
  <c r="FJ197" i="9" s="1"/>
  <c r="FI197" i="9"/>
  <c r="ES199" i="9"/>
  <c r="EQ199" i="9"/>
  <c r="FT192" i="9"/>
  <c r="GB192" i="9"/>
  <c r="FP192" i="9"/>
  <c r="FX192" i="9"/>
  <c r="FV194" i="9"/>
  <c r="FN194" i="9"/>
  <c r="FZ194" i="9"/>
  <c r="CX202" i="2" l="1"/>
  <c r="CP202" i="2"/>
  <c r="CK203" i="2"/>
  <c r="CN202" i="2"/>
  <c r="CL202" i="2"/>
  <c r="CO202" i="2" s="1"/>
  <c r="CY202" i="2" s="1"/>
  <c r="CZ201" i="2"/>
  <c r="CQ201" i="2"/>
  <c r="DA201" i="2" s="1"/>
  <c r="CU201" i="1"/>
  <c r="CY201" i="1"/>
  <c r="CR201" i="1"/>
  <c r="CW201" i="1" s="1"/>
  <c r="CV202" i="1"/>
  <c r="CQ202" i="1"/>
  <c r="CP202" i="1"/>
  <c r="CM204" i="1"/>
  <c r="CT203" i="1"/>
  <c r="CX203" i="1" s="1"/>
  <c r="CO203" i="1"/>
  <c r="CN203" i="1"/>
  <c r="EU201" i="10"/>
  <c r="EW201" i="10" s="1"/>
  <c r="EQ201" i="10"/>
  <c r="ES201" i="10" s="1"/>
  <c r="EM201" i="10"/>
  <c r="EJ201" i="10"/>
  <c r="EO201" i="10" s="1"/>
  <c r="EC203" i="10"/>
  <c r="EF203" i="10"/>
  <c r="ED203" i="10"/>
  <c r="EE203" i="10"/>
  <c r="EB203" i="10"/>
  <c r="EH202" i="10"/>
  <c r="EA204" i="10"/>
  <c r="GM200" i="9"/>
  <c r="GR200" i="9" s="1"/>
  <c r="GF200" i="9"/>
  <c r="GE191" i="9"/>
  <c r="GH191" i="9" s="1"/>
  <c r="FZ195" i="9"/>
  <c r="FN195" i="9"/>
  <c r="FO195" i="9" s="1"/>
  <c r="EM200" i="9"/>
  <c r="FB200" i="9" s="1"/>
  <c r="FD200" i="9" s="1"/>
  <c r="EO200" i="9"/>
  <c r="FC200" i="9" s="1"/>
  <c r="FY194" i="9"/>
  <c r="GC194" i="9"/>
  <c r="FO194" i="9"/>
  <c r="FU194" i="9"/>
  <c r="EH201" i="9"/>
  <c r="EG201" i="9"/>
  <c r="EB201" i="9"/>
  <c r="ED201" i="9"/>
  <c r="EC201" i="9"/>
  <c r="GP201" i="9"/>
  <c r="EE201" i="9"/>
  <c r="EA202" i="9"/>
  <c r="EI201" i="9"/>
  <c r="EF201" i="9"/>
  <c r="FK197" i="9"/>
  <c r="FL197" i="9"/>
  <c r="EW200" i="9"/>
  <c r="EU200" i="9"/>
  <c r="FW193" i="9"/>
  <c r="FR193" i="9"/>
  <c r="GA193" i="9"/>
  <c r="FS193" i="9"/>
  <c r="FQ193" i="9"/>
  <c r="GD193" i="9" s="1"/>
  <c r="EZ200" i="9"/>
  <c r="EY200" i="9"/>
  <c r="FR192" i="9"/>
  <c r="GA192" i="9"/>
  <c r="FQ192" i="9"/>
  <c r="GD192" i="9" s="1"/>
  <c r="FS192" i="9"/>
  <c r="FW192" i="9"/>
  <c r="FM196" i="9"/>
  <c r="EQ200" i="9"/>
  <c r="ES200" i="9"/>
  <c r="FI198" i="9"/>
  <c r="FH198" i="9"/>
  <c r="FJ198" i="9" s="1"/>
  <c r="FE199" i="9"/>
  <c r="FG199" i="9" s="1"/>
  <c r="FF199" i="9"/>
  <c r="CX203" i="2" l="1"/>
  <c r="CP203" i="2"/>
  <c r="CK204" i="2"/>
  <c r="CN203" i="2"/>
  <c r="CL203" i="2"/>
  <c r="CO203" i="2" s="1"/>
  <c r="CY203" i="2" s="1"/>
  <c r="CZ202" i="2"/>
  <c r="CQ202" i="2"/>
  <c r="DA202" i="2" s="1"/>
  <c r="CU202" i="1"/>
  <c r="CY202" i="1"/>
  <c r="CR202" i="1"/>
  <c r="CW202" i="1" s="1"/>
  <c r="CP203" i="1"/>
  <c r="CV203" i="1"/>
  <c r="CQ203" i="1"/>
  <c r="CM205" i="1"/>
  <c r="CT204" i="1"/>
  <c r="CX204" i="1" s="1"/>
  <c r="CO204" i="1"/>
  <c r="CN204" i="1"/>
  <c r="EU202" i="10"/>
  <c r="EW202" i="10" s="1"/>
  <c r="EQ202" i="10"/>
  <c r="ES202" i="10" s="1"/>
  <c r="EM202" i="10"/>
  <c r="EJ202" i="10"/>
  <c r="EO202" i="10" s="1"/>
  <c r="EH203" i="10"/>
  <c r="EC204" i="10"/>
  <c r="EF204" i="10"/>
  <c r="ED204" i="10"/>
  <c r="EE204" i="10"/>
  <c r="EB204" i="10"/>
  <c r="EA205" i="10"/>
  <c r="GM201" i="9"/>
  <c r="GF201" i="9"/>
  <c r="GK191" i="9"/>
  <c r="GQ191" i="9" s="1"/>
  <c r="GG191" i="9"/>
  <c r="GS191" i="9"/>
  <c r="GR201" i="9"/>
  <c r="FU195" i="9"/>
  <c r="FY195" i="9"/>
  <c r="GC195" i="9"/>
  <c r="FK198" i="9"/>
  <c r="FL198" i="9"/>
  <c r="GE192" i="9"/>
  <c r="GH192" i="9" s="1"/>
  <c r="GJ192" i="9"/>
  <c r="EF202" i="9"/>
  <c r="EG202" i="9"/>
  <c r="EH202" i="9"/>
  <c r="GP202" i="9"/>
  <c r="EI202" i="9"/>
  <c r="EE202" i="9"/>
  <c r="ED202" i="9"/>
  <c r="EB202" i="9"/>
  <c r="EA203" i="9"/>
  <c r="EC202" i="9"/>
  <c r="EZ201" i="9"/>
  <c r="EY201" i="9"/>
  <c r="FT194" i="9"/>
  <c r="FP194" i="9"/>
  <c r="FX194" i="9"/>
  <c r="GB194" i="9"/>
  <c r="EQ201" i="9"/>
  <c r="ES201" i="9"/>
  <c r="FH199" i="9"/>
  <c r="FJ199" i="9" s="1"/>
  <c r="FI199" i="9"/>
  <c r="GB195" i="9"/>
  <c r="FP195" i="9"/>
  <c r="FX195" i="9"/>
  <c r="FT195" i="9"/>
  <c r="FM197" i="9"/>
  <c r="EU201" i="9"/>
  <c r="EW201" i="9"/>
  <c r="FV196" i="9"/>
  <c r="FN196" i="9"/>
  <c r="FZ196" i="9"/>
  <c r="GE193" i="9"/>
  <c r="GH193" i="9" s="1"/>
  <c r="GJ193" i="9"/>
  <c r="EM201" i="9"/>
  <c r="FB201" i="9" s="1"/>
  <c r="FD201" i="9" s="1"/>
  <c r="EO201" i="9"/>
  <c r="FC201" i="9" s="1"/>
  <c r="FF200" i="9"/>
  <c r="FE200" i="9"/>
  <c r="FG200" i="9" s="1"/>
  <c r="CX204" i="2" l="1"/>
  <c r="CP204" i="2"/>
  <c r="CK205" i="2"/>
  <c r="CL204" i="2"/>
  <c r="CO204" i="2" s="1"/>
  <c r="CY204" i="2" s="1"/>
  <c r="CN204" i="2"/>
  <c r="CZ203" i="2"/>
  <c r="CQ203" i="2"/>
  <c r="DA203" i="2" s="1"/>
  <c r="CR203" i="1"/>
  <c r="CW203" i="1" s="1"/>
  <c r="CU203" i="1"/>
  <c r="CY203" i="1"/>
  <c r="CP204" i="1"/>
  <c r="CV204" i="1"/>
  <c r="CQ204" i="1"/>
  <c r="CM206" i="1"/>
  <c r="CT205" i="1"/>
  <c r="CX205" i="1" s="1"/>
  <c r="CO205" i="1"/>
  <c r="CN205" i="1"/>
  <c r="EQ203" i="10"/>
  <c r="ES203" i="10" s="1"/>
  <c r="EU203" i="10"/>
  <c r="EW203" i="10" s="1"/>
  <c r="EH204" i="10"/>
  <c r="EM203" i="10"/>
  <c r="EJ203" i="10"/>
  <c r="EO203" i="10" s="1"/>
  <c r="EC205" i="10"/>
  <c r="ED205" i="10"/>
  <c r="EF205" i="10"/>
  <c r="EB205" i="10"/>
  <c r="EE205" i="10"/>
  <c r="EA206" i="10"/>
  <c r="GM202" i="9"/>
  <c r="GF202" i="9"/>
  <c r="GK192" i="9"/>
  <c r="GQ192" i="9" s="1"/>
  <c r="GG192" i="9"/>
  <c r="GS192" i="9"/>
  <c r="GK193" i="9"/>
  <c r="GQ193" i="9" s="1"/>
  <c r="GG193" i="9"/>
  <c r="GS193" i="9"/>
  <c r="GR202" i="9"/>
  <c r="FI200" i="9"/>
  <c r="FH200" i="9"/>
  <c r="FJ200" i="9" s="1"/>
  <c r="FK199" i="9"/>
  <c r="FL199" i="9"/>
  <c r="ES202" i="9"/>
  <c r="EQ202" i="9"/>
  <c r="FE201" i="9"/>
  <c r="FG201" i="9" s="1"/>
  <c r="FF201" i="9"/>
  <c r="FN197" i="9"/>
  <c r="FV197" i="9"/>
  <c r="FZ197" i="9"/>
  <c r="EF203" i="9"/>
  <c r="EI203" i="9"/>
  <c r="EH203" i="9"/>
  <c r="EG203" i="9"/>
  <c r="EB203" i="9"/>
  <c r="ED203" i="9"/>
  <c r="EA204" i="9"/>
  <c r="EC203" i="9"/>
  <c r="GP203" i="9"/>
  <c r="EE203" i="9"/>
  <c r="EO202" i="9"/>
  <c r="FC202" i="9" s="1"/>
  <c r="EM202" i="9"/>
  <c r="FB202" i="9" s="1"/>
  <c r="FD202" i="9" s="1"/>
  <c r="EU202" i="9"/>
  <c r="EW202" i="9"/>
  <c r="FS195" i="9"/>
  <c r="FQ195" i="9"/>
  <c r="GD195" i="9" s="1"/>
  <c r="FW195" i="9"/>
  <c r="FR195" i="9"/>
  <c r="GA195" i="9"/>
  <c r="GA194" i="9"/>
  <c r="FS194" i="9"/>
  <c r="FR194" i="9"/>
  <c r="FW194" i="9"/>
  <c r="FQ194" i="9"/>
  <c r="GD194" i="9" s="1"/>
  <c r="EY202" i="9"/>
  <c r="EZ202" i="9"/>
  <c r="FM198" i="9"/>
  <c r="FU196" i="9"/>
  <c r="FO196" i="9"/>
  <c r="GC196" i="9"/>
  <c r="FY196" i="9"/>
  <c r="CX205" i="2" l="1"/>
  <c r="CP205" i="2"/>
  <c r="CK206" i="2"/>
  <c r="CL205" i="2"/>
  <c r="CO205" i="2" s="1"/>
  <c r="CY205" i="2" s="1"/>
  <c r="CN205" i="2"/>
  <c r="CZ204" i="2"/>
  <c r="CQ204" i="2"/>
  <c r="DA204" i="2" s="1"/>
  <c r="CU204" i="1"/>
  <c r="CY204" i="1"/>
  <c r="CR204" i="1"/>
  <c r="CW204" i="1" s="1"/>
  <c r="CV205" i="1"/>
  <c r="CQ205" i="1"/>
  <c r="CP205" i="1"/>
  <c r="CM207" i="1"/>
  <c r="CT206" i="1"/>
  <c r="CX206" i="1" s="1"/>
  <c r="CO206" i="1"/>
  <c r="CN206" i="1"/>
  <c r="EU204" i="10"/>
  <c r="EW204" i="10" s="1"/>
  <c r="EQ204" i="10"/>
  <c r="ES204" i="10" s="1"/>
  <c r="EH205" i="10"/>
  <c r="EM204" i="10"/>
  <c r="EJ204" i="10"/>
  <c r="EO204" i="10" s="1"/>
  <c r="EF206" i="10"/>
  <c r="EC206" i="10"/>
  <c r="ED206" i="10"/>
  <c r="EB206" i="10"/>
  <c r="EE206" i="10"/>
  <c r="EA207" i="10"/>
  <c r="GM203" i="9"/>
  <c r="GR203" i="9" s="1"/>
  <c r="GF203" i="9"/>
  <c r="FM199" i="9"/>
  <c r="FZ199" i="9" s="1"/>
  <c r="GB196" i="9"/>
  <c r="FX196" i="9"/>
  <c r="FP196" i="9"/>
  <c r="FT196" i="9"/>
  <c r="EM203" i="9"/>
  <c r="FB203" i="9" s="1"/>
  <c r="FD203" i="9" s="1"/>
  <c r="EO203" i="9"/>
  <c r="FC203" i="9" s="1"/>
  <c r="FE202" i="9"/>
  <c r="FG202" i="9" s="1"/>
  <c r="FF202" i="9"/>
  <c r="FI201" i="9"/>
  <c r="FH201" i="9"/>
  <c r="FJ201" i="9" s="1"/>
  <c r="FZ198" i="9"/>
  <c r="FN198" i="9"/>
  <c r="FV198" i="9"/>
  <c r="EZ203" i="9"/>
  <c r="EY203" i="9"/>
  <c r="GJ194" i="9"/>
  <c r="GE194" i="9"/>
  <c r="GH194" i="9" s="1"/>
  <c r="GE195" i="9"/>
  <c r="GH195" i="9" s="1"/>
  <c r="GJ195" i="9"/>
  <c r="ES203" i="9"/>
  <c r="EQ203" i="9"/>
  <c r="EB204" i="9"/>
  <c r="ED204" i="9"/>
  <c r="EF204" i="9"/>
  <c r="EG204" i="9"/>
  <c r="EH204" i="9"/>
  <c r="EI204" i="9"/>
  <c r="EE204" i="9"/>
  <c r="EA205" i="9"/>
  <c r="EC204" i="9"/>
  <c r="GP204" i="9"/>
  <c r="FL200" i="9"/>
  <c r="FK200" i="9"/>
  <c r="EW203" i="9"/>
  <c r="EU203" i="9"/>
  <c r="GC197" i="9"/>
  <c r="FY197" i="9"/>
  <c r="FO197" i="9"/>
  <c r="FU197" i="9"/>
  <c r="CX206" i="2" l="1"/>
  <c r="CP206" i="2"/>
  <c r="CZ206" i="2" s="1"/>
  <c r="CL206" i="2"/>
  <c r="CO206" i="2" s="1"/>
  <c r="CN206" i="2"/>
  <c r="CK207" i="2"/>
  <c r="CQ205" i="2"/>
  <c r="DA205" i="2" s="1"/>
  <c r="CZ205" i="2"/>
  <c r="CU205" i="1"/>
  <c r="CY205" i="1"/>
  <c r="CR205" i="1"/>
  <c r="CW205" i="1" s="1"/>
  <c r="CV206" i="1"/>
  <c r="CQ206" i="1"/>
  <c r="CP206" i="1"/>
  <c r="CM208" i="1"/>
  <c r="CT207" i="1"/>
  <c r="CX207" i="1" s="1"/>
  <c r="CO207" i="1"/>
  <c r="CN207" i="1"/>
  <c r="EM205" i="10"/>
  <c r="EU205" i="10"/>
  <c r="EW205" i="10" s="1"/>
  <c r="EQ205" i="10"/>
  <c r="ES205" i="10" s="1"/>
  <c r="EJ205" i="10"/>
  <c r="EO205" i="10" s="1"/>
  <c r="EH206" i="10"/>
  <c r="EC207" i="10"/>
  <c r="ED207" i="10"/>
  <c r="EF207" i="10"/>
  <c r="EE207" i="10"/>
  <c r="EB207" i="10"/>
  <c r="EA208" i="10"/>
  <c r="GM204" i="9"/>
  <c r="GF204" i="9"/>
  <c r="GK195" i="9"/>
  <c r="GQ195" i="9" s="1"/>
  <c r="GG195" i="9"/>
  <c r="GS195" i="9"/>
  <c r="GK194" i="9"/>
  <c r="GQ194" i="9" s="1"/>
  <c r="GG194" i="9"/>
  <c r="GS194" i="9"/>
  <c r="GR204" i="9"/>
  <c r="FV199" i="9"/>
  <c r="FN199" i="9"/>
  <c r="FU199" i="9" s="1"/>
  <c r="EI205" i="9"/>
  <c r="EE205" i="9"/>
  <c r="EC205" i="9"/>
  <c r="EG205" i="9"/>
  <c r="EH205" i="9"/>
  <c r="EB205" i="9"/>
  <c r="EA206" i="9"/>
  <c r="ED205" i="9"/>
  <c r="GP205" i="9"/>
  <c r="EF205" i="9"/>
  <c r="EY204" i="9"/>
  <c r="EZ204" i="9"/>
  <c r="FI202" i="9"/>
  <c r="FH202" i="9"/>
  <c r="FJ202" i="9" s="1"/>
  <c r="FF203" i="9"/>
  <c r="FE203" i="9"/>
  <c r="FG203" i="9" s="1"/>
  <c r="FU198" i="9"/>
  <c r="FY198" i="9"/>
  <c r="GC198" i="9"/>
  <c r="FO198" i="9"/>
  <c r="FR196" i="9"/>
  <c r="FS196" i="9"/>
  <c r="FW196" i="9"/>
  <c r="FQ196" i="9"/>
  <c r="GD196" i="9" s="1"/>
  <c r="GA196" i="9"/>
  <c r="FM200" i="9"/>
  <c r="EU204" i="9"/>
  <c r="EW204" i="9"/>
  <c r="FL201" i="9"/>
  <c r="FK201" i="9"/>
  <c r="GB197" i="9"/>
  <c r="FX197" i="9"/>
  <c r="FP197" i="9"/>
  <c r="FT197" i="9"/>
  <c r="EQ204" i="9"/>
  <c r="ES204" i="9"/>
  <c r="EO204" i="9"/>
  <c r="FC204" i="9" s="1"/>
  <c r="EM204" i="9"/>
  <c r="FB204" i="9" s="1"/>
  <c r="FD204" i="9" s="1"/>
  <c r="CX207" i="2" l="1"/>
  <c r="CP207" i="2"/>
  <c r="CL207" i="2"/>
  <c r="CO207" i="2" s="1"/>
  <c r="CY207" i="2" s="1"/>
  <c r="CK208" i="2"/>
  <c r="CN207" i="2"/>
  <c r="CQ206" i="2"/>
  <c r="DA206" i="2" s="1"/>
  <c r="CY206" i="2"/>
  <c r="CU206" i="1"/>
  <c r="CY206" i="1"/>
  <c r="CP207" i="1"/>
  <c r="CR206" i="1"/>
  <c r="CW206" i="1" s="1"/>
  <c r="CV207" i="1"/>
  <c r="CQ207" i="1"/>
  <c r="CR207" i="1" s="1"/>
  <c r="CW207" i="1" s="1"/>
  <c r="CM209" i="1"/>
  <c r="CT208" i="1"/>
  <c r="CX208" i="1" s="1"/>
  <c r="CO208" i="1"/>
  <c r="CN208" i="1"/>
  <c r="EU206" i="10"/>
  <c r="EW206" i="10" s="1"/>
  <c r="EQ206" i="10"/>
  <c r="ES206" i="10" s="1"/>
  <c r="EM206" i="10"/>
  <c r="EJ206" i="10"/>
  <c r="EO206" i="10" s="1"/>
  <c r="EH207" i="10"/>
  <c r="EC208" i="10"/>
  <c r="EF208" i="10"/>
  <c r="ED208" i="10"/>
  <c r="EB208" i="10"/>
  <c r="EE208" i="10"/>
  <c r="EA209" i="10"/>
  <c r="GM205" i="9"/>
  <c r="GF205" i="9"/>
  <c r="GR205" i="9"/>
  <c r="FO199" i="9"/>
  <c r="FP199" i="9" s="1"/>
  <c r="FY199" i="9"/>
  <c r="GC199" i="9"/>
  <c r="GE196" i="9"/>
  <c r="GH196" i="9" s="1"/>
  <c r="GJ196" i="9"/>
  <c r="FI203" i="9"/>
  <c r="FH203" i="9"/>
  <c r="FJ203" i="9" s="1"/>
  <c r="EW205" i="9"/>
  <c r="EU205" i="9"/>
  <c r="EG206" i="9"/>
  <c r="EH206" i="9"/>
  <c r="EE206" i="9"/>
  <c r="ED206" i="9"/>
  <c r="EI206" i="9"/>
  <c r="EA207" i="9"/>
  <c r="EC206" i="9"/>
  <c r="EB206" i="9"/>
  <c r="GP206" i="9"/>
  <c r="EF206" i="9"/>
  <c r="FL202" i="9"/>
  <c r="FK202" i="9"/>
  <c r="EO205" i="9"/>
  <c r="FC205" i="9" s="1"/>
  <c r="EM205" i="9"/>
  <c r="FB205" i="9" s="1"/>
  <c r="FD205" i="9" s="1"/>
  <c r="FR197" i="9"/>
  <c r="GA197" i="9"/>
  <c r="FS197" i="9"/>
  <c r="FQ197" i="9"/>
  <c r="GD197" i="9" s="1"/>
  <c r="FW197" i="9"/>
  <c r="GB198" i="9"/>
  <c r="FT198" i="9"/>
  <c r="FX198" i="9"/>
  <c r="FP198" i="9"/>
  <c r="EQ205" i="9"/>
  <c r="ES205" i="9"/>
  <c r="FE204" i="9"/>
  <c r="FG204" i="9" s="1"/>
  <c r="FF204" i="9"/>
  <c r="FN200" i="9"/>
  <c r="FZ200" i="9"/>
  <c r="FV200" i="9"/>
  <c r="EZ205" i="9"/>
  <c r="EY205" i="9"/>
  <c r="FM201" i="9"/>
  <c r="CX208" i="2" l="1"/>
  <c r="CP208" i="2"/>
  <c r="CN208" i="2"/>
  <c r="CL208" i="2"/>
  <c r="CO208" i="2" s="1"/>
  <c r="CY208" i="2" s="1"/>
  <c r="CK209" i="2"/>
  <c r="CZ207" i="2"/>
  <c r="CQ207" i="2"/>
  <c r="DA207" i="2" s="1"/>
  <c r="CU207" i="1"/>
  <c r="CY207" i="1"/>
  <c r="CP208" i="1"/>
  <c r="CV208" i="1"/>
  <c r="CQ208" i="1"/>
  <c r="CM210" i="1"/>
  <c r="CT209" i="1"/>
  <c r="CX209" i="1" s="1"/>
  <c r="CO209" i="1"/>
  <c r="CN209" i="1"/>
  <c r="EU207" i="10"/>
  <c r="EW207" i="10" s="1"/>
  <c r="EQ207" i="10"/>
  <c r="ES207" i="10" s="1"/>
  <c r="EH208" i="10"/>
  <c r="EM207" i="10"/>
  <c r="EJ207" i="10"/>
  <c r="EO207" i="10" s="1"/>
  <c r="EC209" i="10"/>
  <c r="ED209" i="10"/>
  <c r="EF209" i="10"/>
  <c r="EB209" i="10"/>
  <c r="EE209" i="10"/>
  <c r="EA210" i="10"/>
  <c r="GM206" i="9"/>
  <c r="GF206" i="9"/>
  <c r="GK196" i="9"/>
  <c r="GQ196" i="9" s="1"/>
  <c r="GG196" i="9"/>
  <c r="GS196" i="9"/>
  <c r="GR206" i="9"/>
  <c r="FX199" i="9"/>
  <c r="FT199" i="9"/>
  <c r="GB199" i="9"/>
  <c r="FM202" i="9"/>
  <c r="FV202" i="9" s="1"/>
  <c r="FF205" i="9"/>
  <c r="FE205" i="9"/>
  <c r="FG205" i="9" s="1"/>
  <c r="EH207" i="9"/>
  <c r="EE207" i="9"/>
  <c r="ED207" i="9"/>
  <c r="EA208" i="9"/>
  <c r="EB207" i="9"/>
  <c r="GP207" i="9"/>
  <c r="EC207" i="9"/>
  <c r="EF207" i="9"/>
  <c r="EG207" i="9"/>
  <c r="EI207" i="9"/>
  <c r="FK203" i="9"/>
  <c r="FL203" i="9"/>
  <c r="GC200" i="9"/>
  <c r="FO200" i="9"/>
  <c r="FU200" i="9"/>
  <c r="FY200" i="9"/>
  <c r="EW206" i="9"/>
  <c r="EU206" i="9"/>
  <c r="EY206" i="9"/>
  <c r="EZ206" i="9"/>
  <c r="GJ197" i="9"/>
  <c r="GE197" i="9"/>
  <c r="GH197" i="9" s="1"/>
  <c r="FZ201" i="9"/>
  <c r="FV201" i="9"/>
  <c r="FN201" i="9"/>
  <c r="EO206" i="9"/>
  <c r="FC206" i="9" s="1"/>
  <c r="EM206" i="9"/>
  <c r="FB206" i="9" s="1"/>
  <c r="FD206" i="9" s="1"/>
  <c r="FQ199" i="9"/>
  <c r="FS199" i="9"/>
  <c r="FR199" i="9"/>
  <c r="FW199" i="9"/>
  <c r="GA199" i="9"/>
  <c r="FI204" i="9"/>
  <c r="FH204" i="9"/>
  <c r="FJ204" i="9" s="1"/>
  <c r="FW198" i="9"/>
  <c r="FS198" i="9"/>
  <c r="GA198" i="9"/>
  <c r="FQ198" i="9"/>
  <c r="GD198" i="9" s="1"/>
  <c r="FR198" i="9"/>
  <c r="ES206" i="9"/>
  <c r="EQ206" i="9"/>
  <c r="GD199" i="9" l="1"/>
  <c r="CX209" i="2"/>
  <c r="CP209" i="2"/>
  <c r="CN209" i="2"/>
  <c r="CK210" i="2"/>
  <c r="CL209" i="2"/>
  <c r="CO209" i="2" s="1"/>
  <c r="CY209" i="2" s="1"/>
  <c r="CZ208" i="2"/>
  <c r="CQ208" i="2"/>
  <c r="DA208" i="2" s="1"/>
  <c r="CU208" i="1"/>
  <c r="CY208" i="1"/>
  <c r="CR208" i="1"/>
  <c r="CW208" i="1" s="1"/>
  <c r="CV209" i="1"/>
  <c r="CQ209" i="1"/>
  <c r="CP209" i="1"/>
  <c r="CM211" i="1"/>
  <c r="CT210" i="1"/>
  <c r="CX210" i="1" s="1"/>
  <c r="CO210" i="1"/>
  <c r="CN210" i="1"/>
  <c r="EM208" i="10"/>
  <c r="EU208" i="10"/>
  <c r="EW208" i="10" s="1"/>
  <c r="EQ208" i="10"/>
  <c r="ES208" i="10" s="1"/>
  <c r="EJ208" i="10"/>
  <c r="EO208" i="10" s="1"/>
  <c r="EH209" i="10"/>
  <c r="EF210" i="10"/>
  <c r="EC210" i="10"/>
  <c r="ED210" i="10"/>
  <c r="EB210" i="10"/>
  <c r="EE210" i="10"/>
  <c r="EA211" i="10"/>
  <c r="GM207" i="9"/>
  <c r="GF207" i="9"/>
  <c r="GK197" i="9"/>
  <c r="GQ197" i="9" s="1"/>
  <c r="GG197" i="9"/>
  <c r="GS197" i="9"/>
  <c r="GR207" i="9"/>
  <c r="FN202" i="9"/>
  <c r="GC202" i="9" s="1"/>
  <c r="FZ202" i="9"/>
  <c r="FE206" i="9"/>
  <c r="FG206" i="9" s="1"/>
  <c r="FF206" i="9"/>
  <c r="FP200" i="9"/>
  <c r="FT200" i="9"/>
  <c r="GB200" i="9"/>
  <c r="FX200" i="9"/>
  <c r="FL204" i="9"/>
  <c r="FK204" i="9"/>
  <c r="EO207" i="9"/>
  <c r="FC207" i="9" s="1"/>
  <c r="EM207" i="9"/>
  <c r="FB207" i="9" s="1"/>
  <c r="FD207" i="9" s="1"/>
  <c r="FY201" i="9"/>
  <c r="FO201" i="9"/>
  <c r="FU201" i="9"/>
  <c r="GC201" i="9"/>
  <c r="FM203" i="9"/>
  <c r="EB208" i="9"/>
  <c r="EA209" i="9"/>
  <c r="EE208" i="9"/>
  <c r="EH208" i="9"/>
  <c r="EF208" i="9"/>
  <c r="EG208" i="9"/>
  <c r="EC208" i="9"/>
  <c r="GP208" i="9"/>
  <c r="ED208" i="9"/>
  <c r="EI208" i="9"/>
  <c r="EW207" i="9"/>
  <c r="EU207" i="9"/>
  <c r="EZ207" i="9"/>
  <c r="EY207" i="9"/>
  <c r="GJ198" i="9"/>
  <c r="GE198" i="9"/>
  <c r="GH198" i="9" s="1"/>
  <c r="FH205" i="9"/>
  <c r="FJ205" i="9" s="1"/>
  <c r="FI205" i="9"/>
  <c r="GJ199" i="9"/>
  <c r="GE199" i="9"/>
  <c r="GH199" i="9" s="1"/>
  <c r="ES207" i="9"/>
  <c r="EQ207" i="9"/>
  <c r="CX210" i="2" l="1"/>
  <c r="CP210" i="2"/>
  <c r="CN210" i="2"/>
  <c r="CL210" i="2"/>
  <c r="CO210" i="2" s="1"/>
  <c r="CY210" i="2" s="1"/>
  <c r="CK211" i="2"/>
  <c r="CZ209" i="2"/>
  <c r="CQ209" i="2"/>
  <c r="DA209" i="2" s="1"/>
  <c r="CU209" i="1"/>
  <c r="CY209" i="1"/>
  <c r="CP210" i="1"/>
  <c r="CR209" i="1"/>
  <c r="CW209" i="1" s="1"/>
  <c r="CV210" i="1"/>
  <c r="CQ210" i="1"/>
  <c r="CM212" i="1"/>
  <c r="CT211" i="1"/>
  <c r="CX211" i="1" s="1"/>
  <c r="CO211" i="1"/>
  <c r="CN211" i="1"/>
  <c r="EQ209" i="10"/>
  <c r="ES209" i="10" s="1"/>
  <c r="EU209" i="10"/>
  <c r="EW209" i="10" s="1"/>
  <c r="EM209" i="10"/>
  <c r="EJ209" i="10"/>
  <c r="EO209" i="10" s="1"/>
  <c r="EH210" i="10"/>
  <c r="ED211" i="10"/>
  <c r="EF211" i="10"/>
  <c r="EC211" i="10"/>
  <c r="EB211" i="10"/>
  <c r="EE211" i="10"/>
  <c r="EA212" i="10"/>
  <c r="GM208" i="9"/>
  <c r="GF208" i="9"/>
  <c r="GK199" i="9"/>
  <c r="GQ199" i="9" s="1"/>
  <c r="GG199" i="9"/>
  <c r="GS199" i="9"/>
  <c r="GK198" i="9"/>
  <c r="GQ198" i="9" s="1"/>
  <c r="GG198" i="9"/>
  <c r="GS198" i="9"/>
  <c r="GR208" i="9"/>
  <c r="FU202" i="9"/>
  <c r="FO202" i="9"/>
  <c r="FX202" i="9" s="1"/>
  <c r="FY202" i="9"/>
  <c r="FM204" i="9"/>
  <c r="FN204" i="9" s="1"/>
  <c r="ES208" i="9"/>
  <c r="EQ208" i="9"/>
  <c r="EY208" i="9"/>
  <c r="EZ208" i="9"/>
  <c r="EB209" i="9"/>
  <c r="EA210" i="9"/>
  <c r="ED209" i="9"/>
  <c r="GP209" i="9"/>
  <c r="EC209" i="9"/>
  <c r="EI209" i="9"/>
  <c r="EF209" i="9"/>
  <c r="EH209" i="9"/>
  <c r="EE209" i="9"/>
  <c r="EG209" i="9"/>
  <c r="FK205" i="9"/>
  <c r="FL205" i="9"/>
  <c r="EW208" i="9"/>
  <c r="EU208" i="9"/>
  <c r="EM208" i="9"/>
  <c r="FB208" i="9" s="1"/>
  <c r="FD208" i="9" s="1"/>
  <c r="EO208" i="9"/>
  <c r="FC208" i="9" s="1"/>
  <c r="FP201" i="9"/>
  <c r="FX201" i="9"/>
  <c r="GB201" i="9"/>
  <c r="FT201" i="9"/>
  <c r="FV203" i="9"/>
  <c r="FN203" i="9"/>
  <c r="FZ203" i="9"/>
  <c r="FS200" i="9"/>
  <c r="GA200" i="9"/>
  <c r="FR200" i="9"/>
  <c r="FQ200" i="9"/>
  <c r="GD200" i="9" s="1"/>
  <c r="FW200" i="9"/>
  <c r="FF207" i="9"/>
  <c r="FE207" i="9"/>
  <c r="FG207" i="9" s="1"/>
  <c r="FH206" i="9"/>
  <c r="FJ206" i="9" s="1"/>
  <c r="FI206" i="9"/>
  <c r="CX211" i="2" l="1"/>
  <c r="CP211" i="2"/>
  <c r="CK212" i="2"/>
  <c r="CL211" i="2"/>
  <c r="CO211" i="2" s="1"/>
  <c r="CY211" i="2" s="1"/>
  <c r="CN211" i="2"/>
  <c r="CZ210" i="2"/>
  <c r="CQ210" i="2"/>
  <c r="DA210" i="2" s="1"/>
  <c r="CU210" i="1"/>
  <c r="CY210" i="1"/>
  <c r="CR210" i="1"/>
  <c r="CW210" i="1" s="1"/>
  <c r="CV211" i="1"/>
  <c r="CQ211" i="1"/>
  <c r="CP211" i="1"/>
  <c r="CM213" i="1"/>
  <c r="CT212" i="1"/>
  <c r="CX212" i="1" s="1"/>
  <c r="CO212" i="1"/>
  <c r="CN212" i="1"/>
  <c r="EQ210" i="10"/>
  <c r="ES210" i="10" s="1"/>
  <c r="EU210" i="10"/>
  <c r="EW210" i="10" s="1"/>
  <c r="EM210" i="10"/>
  <c r="EJ210" i="10"/>
  <c r="EO210" i="10" s="1"/>
  <c r="EH211" i="10"/>
  <c r="EC212" i="10"/>
  <c r="ED212" i="10"/>
  <c r="EF212" i="10"/>
  <c r="EB212" i="10"/>
  <c r="EE212" i="10"/>
  <c r="EA213" i="10"/>
  <c r="GM209" i="9"/>
  <c r="GR209" i="9" s="1"/>
  <c r="GF209" i="9"/>
  <c r="FP202" i="9"/>
  <c r="FW202" i="9" s="1"/>
  <c r="GB202" i="9"/>
  <c r="FT202" i="9"/>
  <c r="GC204" i="9"/>
  <c r="FY204" i="9"/>
  <c r="FO204" i="9"/>
  <c r="FX204" i="9" s="1"/>
  <c r="FU204" i="9"/>
  <c r="FZ204" i="9"/>
  <c r="FV204" i="9"/>
  <c r="FL206" i="9"/>
  <c r="FK206" i="9"/>
  <c r="GE200" i="9"/>
  <c r="GH200" i="9" s="1"/>
  <c r="GJ200" i="9"/>
  <c r="EU209" i="9"/>
  <c r="EW209" i="9"/>
  <c r="FH207" i="9"/>
  <c r="FJ207" i="9" s="1"/>
  <c r="FI207" i="9"/>
  <c r="EE210" i="9"/>
  <c r="EB210" i="9"/>
  <c r="EA211" i="9"/>
  <c r="ED210" i="9"/>
  <c r="GP210" i="9"/>
  <c r="EC210" i="9"/>
  <c r="EF210" i="9"/>
  <c r="EI210" i="9"/>
  <c r="EG210" i="9"/>
  <c r="EH210" i="9"/>
  <c r="FQ201" i="9"/>
  <c r="GD201" i="9" s="1"/>
  <c r="FS201" i="9"/>
  <c r="GA201" i="9"/>
  <c r="FR201" i="9"/>
  <c r="FW201" i="9"/>
  <c r="EZ209" i="9"/>
  <c r="EY209" i="9"/>
  <c r="EO209" i="9"/>
  <c r="FC209" i="9" s="1"/>
  <c r="EM209" i="9"/>
  <c r="FB209" i="9" s="1"/>
  <c r="FD209" i="9" s="1"/>
  <c r="FE208" i="9"/>
  <c r="FG208" i="9" s="1"/>
  <c r="FF208" i="9"/>
  <c r="FU203" i="9"/>
  <c r="FY203" i="9"/>
  <c r="GC203" i="9"/>
  <c r="FO203" i="9"/>
  <c r="EQ209" i="9"/>
  <c r="ES209" i="9"/>
  <c r="FM205" i="9"/>
  <c r="CX212" i="2" l="1"/>
  <c r="CP212" i="2"/>
  <c r="CL212" i="2"/>
  <c r="CO212" i="2" s="1"/>
  <c r="CY212" i="2" s="1"/>
  <c r="CN212" i="2"/>
  <c r="CK213" i="2"/>
  <c r="CZ211" i="2"/>
  <c r="CQ211" i="2"/>
  <c r="DA211" i="2" s="1"/>
  <c r="CU211" i="1"/>
  <c r="CY211" i="1"/>
  <c r="CR211" i="1"/>
  <c r="CW211" i="1" s="1"/>
  <c r="CV212" i="1"/>
  <c r="CQ212" i="1"/>
  <c r="CP212" i="1"/>
  <c r="CM214" i="1"/>
  <c r="CT213" i="1"/>
  <c r="CX213" i="1" s="1"/>
  <c r="CO213" i="1"/>
  <c r="CN213" i="1"/>
  <c r="EU211" i="10"/>
  <c r="EW211" i="10" s="1"/>
  <c r="EQ211" i="10"/>
  <c r="ES211" i="10" s="1"/>
  <c r="EH212" i="10"/>
  <c r="EM211" i="10"/>
  <c r="EJ211" i="10"/>
  <c r="EO211" i="10" s="1"/>
  <c r="EF213" i="10"/>
  <c r="EC213" i="10"/>
  <c r="ED213" i="10"/>
  <c r="EE213" i="10"/>
  <c r="EB213" i="10"/>
  <c r="EA214" i="10"/>
  <c r="GM210" i="9"/>
  <c r="GR210" i="9" s="1"/>
  <c r="GF210" i="9"/>
  <c r="GK200" i="9"/>
  <c r="GQ200" i="9" s="1"/>
  <c r="GG200" i="9"/>
  <c r="GS200" i="9"/>
  <c r="FS202" i="9"/>
  <c r="FQ202" i="9"/>
  <c r="GD202" i="9" s="1"/>
  <c r="GJ202" i="9" s="1"/>
  <c r="GA202" i="9"/>
  <c r="FR202" i="9"/>
  <c r="GB204" i="9"/>
  <c r="FP204" i="9"/>
  <c r="FS204" i="9" s="1"/>
  <c r="FT204" i="9"/>
  <c r="FK207" i="9"/>
  <c r="FL207" i="9"/>
  <c r="ES210" i="9"/>
  <c r="EQ210" i="9"/>
  <c r="EU210" i="9"/>
  <c r="EW210" i="9"/>
  <c r="FF209" i="9"/>
  <c r="FE209" i="9"/>
  <c r="FG209" i="9" s="1"/>
  <c r="GE201" i="9"/>
  <c r="GH201" i="9" s="1"/>
  <c r="GJ201" i="9"/>
  <c r="EE211" i="9"/>
  <c r="EB211" i="9"/>
  <c r="ED211" i="9"/>
  <c r="EA212" i="9"/>
  <c r="GP211" i="9"/>
  <c r="EC211" i="9"/>
  <c r="EF211" i="9"/>
  <c r="EH211" i="9"/>
  <c r="EG211" i="9"/>
  <c r="EI211" i="9"/>
  <c r="EM210" i="9"/>
  <c r="FB210" i="9" s="1"/>
  <c r="FD210" i="9" s="1"/>
  <c r="EO210" i="9"/>
  <c r="FC210" i="9" s="1"/>
  <c r="FP203" i="9"/>
  <c r="FX203" i="9"/>
  <c r="GB203" i="9"/>
  <c r="FT203" i="9"/>
  <c r="FV205" i="9"/>
  <c r="FZ205" i="9"/>
  <c r="FN205" i="9"/>
  <c r="FH208" i="9"/>
  <c r="FJ208" i="9" s="1"/>
  <c r="FI208" i="9"/>
  <c r="EY210" i="9"/>
  <c r="EZ210" i="9"/>
  <c r="FM206" i="9"/>
  <c r="CX213" i="2" l="1"/>
  <c r="CP213" i="2"/>
  <c r="CK214" i="2"/>
  <c r="CL213" i="2"/>
  <c r="CO213" i="2" s="1"/>
  <c r="CY213" i="2" s="1"/>
  <c r="CN213" i="2"/>
  <c r="CZ212" i="2"/>
  <c r="CQ212" i="2"/>
  <c r="DA212" i="2" s="1"/>
  <c r="CU212" i="1"/>
  <c r="CY212" i="1"/>
  <c r="CP213" i="1"/>
  <c r="CR212" i="1"/>
  <c r="CW212" i="1" s="1"/>
  <c r="CV213" i="1"/>
  <c r="CQ213" i="1"/>
  <c r="CM215" i="1"/>
  <c r="CT214" i="1"/>
  <c r="CX214" i="1" s="1"/>
  <c r="CO214" i="1"/>
  <c r="CN214" i="1"/>
  <c r="EU212" i="10"/>
  <c r="EW212" i="10" s="1"/>
  <c r="EQ212" i="10"/>
  <c r="ES212" i="10" s="1"/>
  <c r="EH213" i="10"/>
  <c r="EM212" i="10"/>
  <c r="EJ212" i="10"/>
  <c r="EO212" i="10" s="1"/>
  <c r="EC214" i="10"/>
  <c r="EF214" i="10"/>
  <c r="ED214" i="10"/>
  <c r="EE214" i="10"/>
  <c r="EB214" i="10"/>
  <c r="EA215" i="10"/>
  <c r="GM211" i="9"/>
  <c r="GF211" i="9"/>
  <c r="GK201" i="9"/>
  <c r="GQ201" i="9" s="1"/>
  <c r="GG201" i="9"/>
  <c r="GS201" i="9"/>
  <c r="GR211" i="9"/>
  <c r="GE202" i="9"/>
  <c r="GH202" i="9" s="1"/>
  <c r="GA204" i="9"/>
  <c r="FR204" i="9"/>
  <c r="FW204" i="9"/>
  <c r="FQ204" i="9"/>
  <c r="GD204" i="9" s="1"/>
  <c r="GJ204" i="9" s="1"/>
  <c r="FM207" i="9"/>
  <c r="FZ207" i="9" s="1"/>
  <c r="FK208" i="9"/>
  <c r="FL208" i="9"/>
  <c r="EE212" i="9"/>
  <c r="EB212" i="9"/>
  <c r="EF212" i="9"/>
  <c r="EA213" i="9"/>
  <c r="ED212" i="9"/>
  <c r="GP212" i="9"/>
  <c r="EC212" i="9"/>
  <c r="EG212" i="9"/>
  <c r="EI212" i="9"/>
  <c r="EH212" i="9"/>
  <c r="FO205" i="9"/>
  <c r="FY205" i="9"/>
  <c r="FU205" i="9"/>
  <c r="GC205" i="9"/>
  <c r="FF210" i="9"/>
  <c r="FE210" i="9"/>
  <c r="FG210" i="9" s="1"/>
  <c r="EW211" i="9"/>
  <c r="EU211" i="9"/>
  <c r="EO211" i="9"/>
  <c r="FC211" i="9" s="1"/>
  <c r="EM211" i="9"/>
  <c r="FB211" i="9" s="1"/>
  <c r="FD211" i="9" s="1"/>
  <c r="EY211" i="9"/>
  <c r="EZ211" i="9"/>
  <c r="FN206" i="9"/>
  <c r="FV206" i="9"/>
  <c r="FZ206" i="9"/>
  <c r="EQ211" i="9"/>
  <c r="ES211" i="9"/>
  <c r="FI209" i="9"/>
  <c r="FH209" i="9"/>
  <c r="FJ209" i="9" s="1"/>
  <c r="FS203" i="9"/>
  <c r="FQ203" i="9"/>
  <c r="GD203" i="9" s="1"/>
  <c r="FR203" i="9"/>
  <c r="GA203" i="9"/>
  <c r="FW203" i="9"/>
  <c r="CX214" i="2" l="1"/>
  <c r="CP214" i="2"/>
  <c r="CZ214" i="2" s="1"/>
  <c r="CL214" i="2"/>
  <c r="CO214" i="2" s="1"/>
  <c r="CK215" i="2"/>
  <c r="CN214" i="2"/>
  <c r="CZ213" i="2"/>
  <c r="CQ213" i="2"/>
  <c r="DA213" i="2" s="1"/>
  <c r="CU213" i="1"/>
  <c r="CY213" i="1"/>
  <c r="CR213" i="1"/>
  <c r="CW213" i="1" s="1"/>
  <c r="CV214" i="1"/>
  <c r="CQ214" i="1"/>
  <c r="CP214" i="1"/>
  <c r="CM216" i="1"/>
  <c r="CT215" i="1"/>
  <c r="CX215" i="1" s="1"/>
  <c r="CO215" i="1"/>
  <c r="CP215" i="1" s="1"/>
  <c r="CN215" i="1"/>
  <c r="EQ213" i="10"/>
  <c r="ES213" i="10" s="1"/>
  <c r="EU213" i="10"/>
  <c r="EW213" i="10" s="1"/>
  <c r="EM213" i="10"/>
  <c r="EJ213" i="10"/>
  <c r="EO213" i="10" s="1"/>
  <c r="EH214" i="10"/>
  <c r="EC215" i="10"/>
  <c r="ED215" i="10"/>
  <c r="EF215" i="10"/>
  <c r="EE215" i="10"/>
  <c r="EB215" i="10"/>
  <c r="EA216" i="10"/>
  <c r="GM212" i="9"/>
  <c r="GR212" i="9" s="1"/>
  <c r="GF212" i="9"/>
  <c r="GK202" i="9"/>
  <c r="GQ202" i="9" s="1"/>
  <c r="GG202" i="9"/>
  <c r="GS202" i="9"/>
  <c r="GE204" i="9"/>
  <c r="GH204" i="9" s="1"/>
  <c r="FM208" i="9"/>
  <c r="FZ208" i="9" s="1"/>
  <c r="FV207" i="9"/>
  <c r="FN207" i="9"/>
  <c r="FL209" i="9"/>
  <c r="FK209" i="9"/>
  <c r="EU212" i="9"/>
  <c r="EW212" i="9"/>
  <c r="FE211" i="9"/>
  <c r="FG211" i="9" s="1"/>
  <c r="FF211" i="9"/>
  <c r="EI213" i="9"/>
  <c r="EH213" i="9"/>
  <c r="EB213" i="9"/>
  <c r="EE213" i="9"/>
  <c r="EA214" i="9"/>
  <c r="ED213" i="9"/>
  <c r="GP213" i="9"/>
  <c r="EC213" i="9"/>
  <c r="EF213" i="9"/>
  <c r="EG213" i="9"/>
  <c r="FT205" i="9"/>
  <c r="GB205" i="9"/>
  <c r="FX205" i="9"/>
  <c r="FP205" i="9"/>
  <c r="EO212" i="9"/>
  <c r="FC212" i="9" s="1"/>
  <c r="EM212" i="9"/>
  <c r="FB212" i="9" s="1"/>
  <c r="FD212" i="9" s="1"/>
  <c r="EZ212" i="9"/>
  <c r="EY212" i="9"/>
  <c r="FH210" i="9"/>
  <c r="FJ210" i="9" s="1"/>
  <c r="FI210" i="9"/>
  <c r="GE203" i="9"/>
  <c r="GH203" i="9" s="1"/>
  <c r="GJ203" i="9"/>
  <c r="FY206" i="9"/>
  <c r="GC206" i="9"/>
  <c r="FU206" i="9"/>
  <c r="FO206" i="9"/>
  <c r="EQ212" i="9"/>
  <c r="ES212" i="9"/>
  <c r="CX215" i="2" l="1"/>
  <c r="CP215" i="2"/>
  <c r="CK216" i="2"/>
  <c r="CN215" i="2"/>
  <c r="CL215" i="2"/>
  <c r="CO215" i="2" s="1"/>
  <c r="CY215" i="2" s="1"/>
  <c r="CQ214" i="2"/>
  <c r="DA214" i="2" s="1"/>
  <c r="CY214" i="2"/>
  <c r="CU214" i="1"/>
  <c r="CY214" i="1"/>
  <c r="CU215" i="1"/>
  <c r="CR214" i="1"/>
  <c r="CW214" i="1" s="1"/>
  <c r="CV215" i="1"/>
  <c r="CQ215" i="1"/>
  <c r="CR215" i="1" s="1"/>
  <c r="CW215" i="1" s="1"/>
  <c r="CM217" i="1"/>
  <c r="CT216" i="1"/>
  <c r="CX216" i="1" s="1"/>
  <c r="CO216" i="1"/>
  <c r="CN216" i="1"/>
  <c r="EQ214" i="10"/>
  <c r="ES214" i="10" s="1"/>
  <c r="EU214" i="10"/>
  <c r="EW214" i="10" s="1"/>
  <c r="EH215" i="10"/>
  <c r="EM214" i="10"/>
  <c r="EJ214" i="10"/>
  <c r="EO214" i="10" s="1"/>
  <c r="EC216" i="10"/>
  <c r="EF216" i="10"/>
  <c r="ED216" i="10"/>
  <c r="EE216" i="10"/>
  <c r="EB216" i="10"/>
  <c r="EA217" i="10"/>
  <c r="GM213" i="9"/>
  <c r="GR213" i="9" s="1"/>
  <c r="GF213" i="9"/>
  <c r="GK204" i="9"/>
  <c r="GQ204" i="9" s="1"/>
  <c r="GG204" i="9"/>
  <c r="GS204" i="9"/>
  <c r="GK203" i="9"/>
  <c r="GQ203" i="9" s="1"/>
  <c r="GG203" i="9"/>
  <c r="GS203" i="9"/>
  <c r="FV208" i="9"/>
  <c r="FN208" i="9"/>
  <c r="GC208" i="9" s="1"/>
  <c r="GC207" i="9"/>
  <c r="FO207" i="9"/>
  <c r="FU207" i="9"/>
  <c r="FY207" i="9"/>
  <c r="FF212" i="9"/>
  <c r="FK210" i="9"/>
  <c r="FL210" i="9"/>
  <c r="EQ213" i="9"/>
  <c r="ES213" i="9"/>
  <c r="FH211" i="9"/>
  <c r="FJ211" i="9" s="1"/>
  <c r="FI211" i="9"/>
  <c r="FQ205" i="9"/>
  <c r="GD205" i="9" s="1"/>
  <c r="FR205" i="9"/>
  <c r="FS205" i="9"/>
  <c r="FW205" i="9"/>
  <c r="GA205" i="9"/>
  <c r="EW213" i="9"/>
  <c r="EU213" i="9"/>
  <c r="FX206" i="9"/>
  <c r="FP206" i="9"/>
  <c r="FT206" i="9"/>
  <c r="GB206" i="9"/>
  <c r="EG214" i="9"/>
  <c r="EE214" i="9"/>
  <c r="EB214" i="9"/>
  <c r="EA215" i="9"/>
  <c r="ED214" i="9"/>
  <c r="GP214" i="9"/>
  <c r="EC214" i="9"/>
  <c r="EF214" i="9"/>
  <c r="EI214" i="9"/>
  <c r="EH214" i="9"/>
  <c r="EY213" i="9"/>
  <c r="EZ213" i="9"/>
  <c r="FE212" i="9"/>
  <c r="FG212" i="9" s="1"/>
  <c r="EO213" i="9"/>
  <c r="FC213" i="9" s="1"/>
  <c r="EM213" i="9"/>
  <c r="FB213" i="9" s="1"/>
  <c r="FD213" i="9" s="1"/>
  <c r="FM209" i="9"/>
  <c r="CX216" i="2" l="1"/>
  <c r="CP216" i="2"/>
  <c r="CK217" i="2"/>
  <c r="CN216" i="2"/>
  <c r="CL216" i="2"/>
  <c r="CO216" i="2" s="1"/>
  <c r="CY216" i="2" s="1"/>
  <c r="CZ215" i="2"/>
  <c r="CQ215" i="2"/>
  <c r="DA215" i="2" s="1"/>
  <c r="CY215" i="1"/>
  <c r="CP216" i="1"/>
  <c r="CV216" i="1"/>
  <c r="CQ216" i="1"/>
  <c r="CM218" i="1"/>
  <c r="CT217" i="1"/>
  <c r="CX217" i="1" s="1"/>
  <c r="CO217" i="1"/>
  <c r="CN217" i="1"/>
  <c r="EU215" i="10"/>
  <c r="EW215" i="10" s="1"/>
  <c r="EQ215" i="10"/>
  <c r="ES215" i="10" s="1"/>
  <c r="EM215" i="10"/>
  <c r="EJ215" i="10"/>
  <c r="EO215" i="10" s="1"/>
  <c r="EC217" i="10"/>
  <c r="ED217" i="10"/>
  <c r="EF217" i="10"/>
  <c r="EE217" i="10"/>
  <c r="EB217" i="10"/>
  <c r="EH216" i="10"/>
  <c r="EA218" i="10"/>
  <c r="GM214" i="9"/>
  <c r="GR214" i="9" s="1"/>
  <c r="GF214" i="9"/>
  <c r="FU208" i="9"/>
  <c r="FO208" i="9"/>
  <c r="FX208" i="9" s="1"/>
  <c r="FY208" i="9"/>
  <c r="GB207" i="9"/>
  <c r="FX207" i="9"/>
  <c r="FT207" i="9"/>
  <c r="FP207" i="9"/>
  <c r="FM210" i="9"/>
  <c r="EZ214" i="9"/>
  <c r="EY214" i="9"/>
  <c r="FQ206" i="9"/>
  <c r="GD206" i="9" s="1"/>
  <c r="FR206" i="9"/>
  <c r="FS206" i="9"/>
  <c r="GA206" i="9"/>
  <c r="FW206" i="9"/>
  <c r="GJ205" i="9"/>
  <c r="GE205" i="9"/>
  <c r="GH205" i="9" s="1"/>
  <c r="FL211" i="9"/>
  <c r="FK211" i="9"/>
  <c r="FE213" i="9"/>
  <c r="FG213" i="9" s="1"/>
  <c r="FF213" i="9"/>
  <c r="ES214" i="9"/>
  <c r="EQ214" i="9"/>
  <c r="FN209" i="9"/>
  <c r="FZ209" i="9"/>
  <c r="FV209" i="9"/>
  <c r="FI212" i="9"/>
  <c r="FH212" i="9"/>
  <c r="FJ212" i="9" s="1"/>
  <c r="EU214" i="9"/>
  <c r="EW214" i="9"/>
  <c r="EA216" i="9"/>
  <c r="GP215" i="9"/>
  <c r="EC215" i="9"/>
  <c r="EH215" i="9"/>
  <c r="EB215" i="9"/>
  <c r="ED215" i="9"/>
  <c r="EF215" i="9"/>
  <c r="EI215" i="9"/>
  <c r="EG215" i="9"/>
  <c r="EE215" i="9"/>
  <c r="EO214" i="9"/>
  <c r="FC214" i="9" s="1"/>
  <c r="EM214" i="9"/>
  <c r="FB214" i="9" s="1"/>
  <c r="FD214" i="9" s="1"/>
  <c r="CX217" i="2" l="1"/>
  <c r="CP217" i="2"/>
  <c r="CK218" i="2"/>
  <c r="CN217" i="2"/>
  <c r="CL217" i="2"/>
  <c r="CO217" i="2" s="1"/>
  <c r="CY217" i="2" s="1"/>
  <c r="CZ216" i="2"/>
  <c r="CQ216" i="2"/>
  <c r="DA216" i="2" s="1"/>
  <c r="CR216" i="1"/>
  <c r="CW216" i="1" s="1"/>
  <c r="CP217" i="1"/>
  <c r="CU216" i="1"/>
  <c r="CY216" i="1"/>
  <c r="CV217" i="1"/>
  <c r="CQ217" i="1"/>
  <c r="CM219" i="1"/>
  <c r="CT218" i="1"/>
  <c r="CX218" i="1" s="1"/>
  <c r="CO218" i="1"/>
  <c r="CN218" i="1"/>
  <c r="EU216" i="10"/>
  <c r="EW216" i="10" s="1"/>
  <c r="EQ216" i="10"/>
  <c r="ES216" i="10" s="1"/>
  <c r="EH217" i="10"/>
  <c r="EM216" i="10"/>
  <c r="EJ216" i="10"/>
  <c r="EO216" i="10" s="1"/>
  <c r="ED218" i="10"/>
  <c r="EC218" i="10"/>
  <c r="EF218" i="10"/>
  <c r="EE218" i="10"/>
  <c r="EB218" i="10"/>
  <c r="EA219" i="10"/>
  <c r="GM215" i="9"/>
  <c r="GF215" i="9"/>
  <c r="GK205" i="9"/>
  <c r="GQ205" i="9" s="1"/>
  <c r="GG205" i="9"/>
  <c r="GS205" i="9"/>
  <c r="GR215" i="9"/>
  <c r="FT208" i="9"/>
  <c r="FP208" i="9"/>
  <c r="GA208" i="9" s="1"/>
  <c r="GB208" i="9"/>
  <c r="GA207" i="9"/>
  <c r="FR207" i="9"/>
  <c r="FW207" i="9"/>
  <c r="FS207" i="9"/>
  <c r="FQ207" i="9"/>
  <c r="GD207" i="9" s="1"/>
  <c r="FM211" i="9"/>
  <c r="FV211" i="9" s="1"/>
  <c r="FZ210" i="9"/>
  <c r="FV210" i="9"/>
  <c r="FN210" i="9"/>
  <c r="GC209" i="9"/>
  <c r="FO209" i="9"/>
  <c r="FU209" i="9"/>
  <c r="FY209" i="9"/>
  <c r="EO215" i="9"/>
  <c r="FC215" i="9" s="1"/>
  <c r="EM215" i="9"/>
  <c r="FB215" i="9" s="1"/>
  <c r="FD215" i="9" s="1"/>
  <c r="FF214" i="9"/>
  <c r="FE214" i="9"/>
  <c r="FG214" i="9" s="1"/>
  <c r="FH214" i="9" s="1"/>
  <c r="FJ214" i="9" s="1"/>
  <c r="EW215" i="9"/>
  <c r="EU215" i="9"/>
  <c r="ES215" i="9"/>
  <c r="EQ215" i="9"/>
  <c r="EZ215" i="9"/>
  <c r="EY215" i="9"/>
  <c r="FL212" i="9"/>
  <c r="FK212" i="9"/>
  <c r="FH213" i="9"/>
  <c r="FJ213" i="9" s="1"/>
  <c r="FI213" i="9"/>
  <c r="EB216" i="9"/>
  <c r="EE216" i="9"/>
  <c r="EA217" i="9"/>
  <c r="ED216" i="9"/>
  <c r="GP216" i="9"/>
  <c r="EC216" i="9"/>
  <c r="EF216" i="9"/>
  <c r="EH216" i="9"/>
  <c r="EI216" i="9"/>
  <c r="EG216" i="9"/>
  <c r="GJ206" i="9"/>
  <c r="GE206" i="9"/>
  <c r="GH206" i="9" s="1"/>
  <c r="CX218" i="2" l="1"/>
  <c r="CP218" i="2"/>
  <c r="CN218" i="2"/>
  <c r="CK219" i="2"/>
  <c r="CL218" i="2"/>
  <c r="CO218" i="2" s="1"/>
  <c r="CY218" i="2" s="1"/>
  <c r="CZ217" i="2"/>
  <c r="CQ217" i="2"/>
  <c r="DA217" i="2" s="1"/>
  <c r="CU217" i="1"/>
  <c r="CY217" i="1"/>
  <c r="CR217" i="1"/>
  <c r="CW217" i="1" s="1"/>
  <c r="CP218" i="1"/>
  <c r="CV218" i="1"/>
  <c r="CQ218" i="1"/>
  <c r="CR218" i="1" s="1"/>
  <c r="CW218" i="1" s="1"/>
  <c r="CM220" i="1"/>
  <c r="CT219" i="1"/>
  <c r="CX219" i="1" s="1"/>
  <c r="CO219" i="1"/>
  <c r="CN219" i="1"/>
  <c r="EM217" i="10"/>
  <c r="EU217" i="10"/>
  <c r="EW217" i="10" s="1"/>
  <c r="EQ217" i="10"/>
  <c r="ES217" i="10" s="1"/>
  <c r="EJ217" i="10"/>
  <c r="EO217" i="10" s="1"/>
  <c r="EH218" i="10"/>
  <c r="EC219" i="10"/>
  <c r="ED219" i="10"/>
  <c r="EF219" i="10"/>
  <c r="EE219" i="10"/>
  <c r="EB219" i="10"/>
  <c r="EA220" i="10"/>
  <c r="GM216" i="9"/>
  <c r="GR216" i="9" s="1"/>
  <c r="GF216" i="9"/>
  <c r="GK206" i="9"/>
  <c r="GQ206" i="9" s="1"/>
  <c r="GG206" i="9"/>
  <c r="GS206" i="9"/>
  <c r="FS208" i="9"/>
  <c r="FQ208" i="9"/>
  <c r="GD208" i="9" s="1"/>
  <c r="GJ208" i="9" s="1"/>
  <c r="FR208" i="9"/>
  <c r="FW208" i="9"/>
  <c r="FN211" i="9"/>
  <c r="FO211" i="9" s="1"/>
  <c r="FX211" i="9" s="1"/>
  <c r="FZ211" i="9"/>
  <c r="GE207" i="9"/>
  <c r="GH207" i="9" s="1"/>
  <c r="GJ207" i="9"/>
  <c r="FU210" i="9"/>
  <c r="GC210" i="9"/>
  <c r="FY210" i="9"/>
  <c r="FO210" i="9"/>
  <c r="FK213" i="9"/>
  <c r="FL213" i="9"/>
  <c r="ES216" i="9"/>
  <c r="EQ216" i="9"/>
  <c r="FM212" i="9"/>
  <c r="FF215" i="9"/>
  <c r="FE215" i="9"/>
  <c r="FG215" i="9" s="1"/>
  <c r="FK214" i="9"/>
  <c r="FL214" i="9"/>
  <c r="EW216" i="9"/>
  <c r="EU216" i="9"/>
  <c r="EG217" i="9"/>
  <c r="EH217" i="9"/>
  <c r="EE217" i="9"/>
  <c r="EC217" i="9"/>
  <c r="EB217" i="9"/>
  <c r="EA218" i="9"/>
  <c r="GP217" i="9"/>
  <c r="ED217" i="9"/>
  <c r="EF217" i="9"/>
  <c r="EI217" i="9"/>
  <c r="FI214" i="9"/>
  <c r="EZ216" i="9"/>
  <c r="EY216" i="9"/>
  <c r="EM216" i="9"/>
  <c r="FB216" i="9" s="1"/>
  <c r="FD216" i="9" s="1"/>
  <c r="EO216" i="9"/>
  <c r="FC216" i="9" s="1"/>
  <c r="FT209" i="9"/>
  <c r="GB209" i="9"/>
  <c r="FP209" i="9"/>
  <c r="FX209" i="9"/>
  <c r="CX219" i="2" l="1"/>
  <c r="CP219" i="2"/>
  <c r="CK220" i="2"/>
  <c r="CN219" i="2"/>
  <c r="CL219" i="2"/>
  <c r="CZ218" i="2"/>
  <c r="CQ218" i="2"/>
  <c r="DA218" i="2" s="1"/>
  <c r="CU218" i="1"/>
  <c r="CY218" i="1"/>
  <c r="CV219" i="1"/>
  <c r="CQ219" i="1"/>
  <c r="CP219" i="1"/>
  <c r="CM221" i="1"/>
  <c r="CT220" i="1"/>
  <c r="CX220" i="1" s="1"/>
  <c r="CO220" i="1"/>
  <c r="CN220" i="1"/>
  <c r="EU218" i="10"/>
  <c r="EW218" i="10" s="1"/>
  <c r="EQ218" i="10"/>
  <c r="ES218" i="10" s="1"/>
  <c r="EH219" i="10"/>
  <c r="EM218" i="10"/>
  <c r="EJ218" i="10"/>
  <c r="EO218" i="10" s="1"/>
  <c r="EC220" i="10"/>
  <c r="ED220" i="10"/>
  <c r="EF220" i="10"/>
  <c r="EB220" i="10"/>
  <c r="EE220" i="10"/>
  <c r="EA221" i="10"/>
  <c r="GM217" i="9"/>
  <c r="GF217" i="9"/>
  <c r="GK207" i="9"/>
  <c r="GQ207" i="9" s="1"/>
  <c r="GG207" i="9"/>
  <c r="GS207" i="9"/>
  <c r="GR217" i="9"/>
  <c r="GE208" i="9"/>
  <c r="GH208" i="9" s="1"/>
  <c r="FU211" i="9"/>
  <c r="GB211" i="9"/>
  <c r="FT211" i="9"/>
  <c r="GC211" i="9"/>
  <c r="FP211" i="9"/>
  <c r="FW211" i="9" s="1"/>
  <c r="FY211" i="9"/>
  <c r="GB210" i="9"/>
  <c r="FT210" i="9"/>
  <c r="FX210" i="9"/>
  <c r="FP210" i="9"/>
  <c r="FM214" i="9"/>
  <c r="FN214" i="9" s="1"/>
  <c r="FQ209" i="9"/>
  <c r="GD209" i="9" s="1"/>
  <c r="FR209" i="9"/>
  <c r="FW209" i="9"/>
  <c r="FS209" i="9"/>
  <c r="GA209" i="9"/>
  <c r="FN212" i="9"/>
  <c r="FZ212" i="9"/>
  <c r="FV212" i="9"/>
  <c r="EU217" i="9"/>
  <c r="EW217" i="9"/>
  <c r="FE216" i="9"/>
  <c r="FG216" i="9" s="1"/>
  <c r="FF216" i="9"/>
  <c r="EF218" i="9"/>
  <c r="EI218" i="9"/>
  <c r="EG218" i="9"/>
  <c r="EB218" i="9"/>
  <c r="EE218" i="9"/>
  <c r="GP218" i="9"/>
  <c r="EC218" i="9"/>
  <c r="EH218" i="9"/>
  <c r="EA219" i="9"/>
  <c r="ED218" i="9"/>
  <c r="EM217" i="9"/>
  <c r="FB217" i="9" s="1"/>
  <c r="FD217" i="9" s="1"/>
  <c r="EO217" i="9"/>
  <c r="FC217" i="9" s="1"/>
  <c r="ES217" i="9"/>
  <c r="EQ217" i="9"/>
  <c r="FM213" i="9"/>
  <c r="EZ217" i="9"/>
  <c r="EY217" i="9"/>
  <c r="FI215" i="9"/>
  <c r="FH215" i="9"/>
  <c r="FJ215" i="9" s="1"/>
  <c r="CX220" i="2" l="1"/>
  <c r="CP220" i="2"/>
  <c r="CK221" i="2"/>
  <c r="CN220" i="2"/>
  <c r="CL220" i="2"/>
  <c r="CO220" i="2" s="1"/>
  <c r="CY220" i="2" s="1"/>
  <c r="CZ219" i="2"/>
  <c r="CO219" i="2"/>
  <c r="CY219" i="2" s="1"/>
  <c r="CU219" i="1"/>
  <c r="CY219" i="1"/>
  <c r="CP220" i="1"/>
  <c r="CR219" i="1"/>
  <c r="CW219" i="1" s="1"/>
  <c r="CV220" i="1"/>
  <c r="CQ220" i="1"/>
  <c r="CM222" i="1"/>
  <c r="CT221" i="1"/>
  <c r="CX221" i="1" s="1"/>
  <c r="CO221" i="1"/>
  <c r="CN221" i="1"/>
  <c r="EQ219" i="10"/>
  <c r="ES219" i="10" s="1"/>
  <c r="EU219" i="10"/>
  <c r="EW219" i="10" s="1"/>
  <c r="EM219" i="10"/>
  <c r="EJ219" i="10"/>
  <c r="EO219" i="10" s="1"/>
  <c r="EH220" i="10"/>
  <c r="EC221" i="10"/>
  <c r="EF221" i="10"/>
  <c r="ED221" i="10"/>
  <c r="EE221" i="10"/>
  <c r="EB221" i="10"/>
  <c r="EA222" i="10"/>
  <c r="GM218" i="9"/>
  <c r="GF218" i="9"/>
  <c r="GK208" i="9"/>
  <c r="GQ208" i="9" s="1"/>
  <c r="GG208" i="9"/>
  <c r="GS208" i="9"/>
  <c r="GR218" i="9"/>
  <c r="FS211" i="9"/>
  <c r="FQ211" i="9"/>
  <c r="GD211" i="9" s="1"/>
  <c r="GJ211" i="9" s="1"/>
  <c r="GA211" i="9"/>
  <c r="FR211" i="9"/>
  <c r="FV214" i="9"/>
  <c r="FZ214" i="9"/>
  <c r="FW210" i="9"/>
  <c r="FS210" i="9"/>
  <c r="GA210" i="9"/>
  <c r="FQ210" i="9"/>
  <c r="GD210" i="9" s="1"/>
  <c r="FR210" i="9"/>
  <c r="EO218" i="9"/>
  <c r="FC218" i="9" s="1"/>
  <c r="EM218" i="9"/>
  <c r="FB218" i="9" s="1"/>
  <c r="FD218" i="9" s="1"/>
  <c r="FE217" i="9"/>
  <c r="FG217" i="9" s="1"/>
  <c r="FF217" i="9"/>
  <c r="FO212" i="9"/>
  <c r="FU212" i="9"/>
  <c r="GC212" i="9"/>
  <c r="FY212" i="9"/>
  <c r="EW218" i="9"/>
  <c r="EU218" i="9"/>
  <c r="EG219" i="9"/>
  <c r="EB219" i="9"/>
  <c r="EA220" i="9"/>
  <c r="EC219" i="9"/>
  <c r="ED219" i="9"/>
  <c r="GP219" i="9"/>
  <c r="EE219" i="9"/>
  <c r="EF219" i="9"/>
  <c r="EH219" i="9"/>
  <c r="EI219" i="9"/>
  <c r="ES218" i="9"/>
  <c r="EQ218" i="9"/>
  <c r="FH216" i="9"/>
  <c r="FJ216" i="9" s="1"/>
  <c r="FI216" i="9"/>
  <c r="FN213" i="9"/>
  <c r="FV213" i="9"/>
  <c r="FZ213" i="9"/>
  <c r="FL215" i="9"/>
  <c r="FK215" i="9"/>
  <c r="GC214" i="9"/>
  <c r="FU214" i="9"/>
  <c r="FO214" i="9"/>
  <c r="FY214" i="9"/>
  <c r="EY218" i="9"/>
  <c r="EZ218" i="9"/>
  <c r="GJ209" i="9"/>
  <c r="GE209" i="9"/>
  <c r="GH209" i="9" s="1"/>
  <c r="CQ219" i="2" l="1"/>
  <c r="DA219" i="2" s="1"/>
  <c r="CX221" i="2"/>
  <c r="CP221" i="2"/>
  <c r="CL221" i="2"/>
  <c r="CO221" i="2" s="1"/>
  <c r="CY221" i="2" s="1"/>
  <c r="CK222" i="2"/>
  <c r="CN221" i="2"/>
  <c r="CZ220" i="2"/>
  <c r="CQ220" i="2"/>
  <c r="DA220" i="2" s="1"/>
  <c r="CU220" i="1"/>
  <c r="CY220" i="1"/>
  <c r="CR220" i="1"/>
  <c r="CW220" i="1" s="1"/>
  <c r="CV221" i="1"/>
  <c r="CQ221" i="1"/>
  <c r="CP221" i="1"/>
  <c r="CM223" i="1"/>
  <c r="CT222" i="1"/>
  <c r="CX222" i="1" s="1"/>
  <c r="CO222" i="1"/>
  <c r="CN222" i="1"/>
  <c r="EU220" i="10"/>
  <c r="EW220" i="10" s="1"/>
  <c r="EQ220" i="10"/>
  <c r="ES220" i="10" s="1"/>
  <c r="EH221" i="10"/>
  <c r="EM220" i="10"/>
  <c r="EJ220" i="10"/>
  <c r="EO220" i="10" s="1"/>
  <c r="EC222" i="10"/>
  <c r="ED222" i="10"/>
  <c r="EF222" i="10"/>
  <c r="EB222" i="10"/>
  <c r="EE222" i="10"/>
  <c r="EA223" i="10"/>
  <c r="GM219" i="9"/>
  <c r="GF219" i="9"/>
  <c r="GK209" i="9"/>
  <c r="GQ209" i="9" s="1"/>
  <c r="GG209" i="9"/>
  <c r="GS209" i="9"/>
  <c r="GR219" i="9"/>
  <c r="GE211" i="9"/>
  <c r="GH211" i="9" s="1"/>
  <c r="GJ210" i="9"/>
  <c r="GE210" i="9"/>
  <c r="GH210" i="9" s="1"/>
  <c r="FF218" i="9"/>
  <c r="FE218" i="9"/>
  <c r="FG218" i="9" s="1"/>
  <c r="FT214" i="9"/>
  <c r="GB214" i="9"/>
  <c r="FX214" i="9"/>
  <c r="FP214" i="9"/>
  <c r="FK216" i="9"/>
  <c r="FL216" i="9"/>
  <c r="EW219" i="9"/>
  <c r="EU219" i="9"/>
  <c r="ES219" i="9"/>
  <c r="EQ219" i="9"/>
  <c r="EA221" i="9"/>
  <c r="ED220" i="9"/>
  <c r="GP220" i="9"/>
  <c r="EC220" i="9"/>
  <c r="EF220" i="9"/>
  <c r="EH220" i="9"/>
  <c r="EG220" i="9"/>
  <c r="EI220" i="9"/>
  <c r="EE220" i="9"/>
  <c r="EB220" i="9"/>
  <c r="FT212" i="9"/>
  <c r="FX212" i="9"/>
  <c r="GB212" i="9"/>
  <c r="FP212" i="9"/>
  <c r="FM215" i="9"/>
  <c r="EO219" i="9"/>
  <c r="FC219" i="9" s="1"/>
  <c r="EM219" i="9"/>
  <c r="FB219" i="9" s="1"/>
  <c r="FD219" i="9" s="1"/>
  <c r="FI217" i="9"/>
  <c r="FH217" i="9"/>
  <c r="FJ217" i="9" s="1"/>
  <c r="GC213" i="9"/>
  <c r="FU213" i="9"/>
  <c r="FO213" i="9"/>
  <c r="FY213" i="9"/>
  <c r="EZ219" i="9"/>
  <c r="EY219" i="9"/>
  <c r="CZ221" i="2" l="1"/>
  <c r="CQ221" i="2"/>
  <c r="DA221" i="2" s="1"/>
  <c r="CX222" i="2"/>
  <c r="CP222" i="2"/>
  <c r="CZ222" i="2" s="1"/>
  <c r="CK223" i="2"/>
  <c r="CL222" i="2"/>
  <c r="CO222" i="2" s="1"/>
  <c r="CN222" i="2"/>
  <c r="CU221" i="1"/>
  <c r="CY221" i="1"/>
  <c r="CP222" i="1"/>
  <c r="CR221" i="1"/>
  <c r="CW221" i="1" s="1"/>
  <c r="CV222" i="1"/>
  <c r="CQ222" i="1"/>
  <c r="CR222" i="1" s="1"/>
  <c r="CW222" i="1" s="1"/>
  <c r="CM224" i="1"/>
  <c r="CT223" i="1"/>
  <c r="CX223" i="1" s="1"/>
  <c r="CO223" i="1"/>
  <c r="CN223" i="1"/>
  <c r="EU221" i="10"/>
  <c r="EW221" i="10" s="1"/>
  <c r="EQ221" i="10"/>
  <c r="ES221" i="10" s="1"/>
  <c r="EM221" i="10"/>
  <c r="EJ221" i="10"/>
  <c r="EO221" i="10" s="1"/>
  <c r="EH222" i="10"/>
  <c r="EC223" i="10"/>
  <c r="EF223" i="10"/>
  <c r="ED223" i="10"/>
  <c r="EB223" i="10"/>
  <c r="EE223" i="10"/>
  <c r="EA224" i="10"/>
  <c r="GM220" i="9"/>
  <c r="GF220" i="9"/>
  <c r="GK210" i="9"/>
  <c r="GQ210" i="9" s="1"/>
  <c r="GG210" i="9"/>
  <c r="GS210" i="9"/>
  <c r="GK211" i="9"/>
  <c r="GQ211" i="9" s="1"/>
  <c r="GG211" i="9"/>
  <c r="GS211" i="9"/>
  <c r="GR220" i="9"/>
  <c r="FI218" i="9"/>
  <c r="FH218" i="9"/>
  <c r="FJ218" i="9" s="1"/>
  <c r="FK218" i="9" s="1"/>
  <c r="FM216" i="9"/>
  <c r="FN216" i="9" s="1"/>
  <c r="EQ220" i="9"/>
  <c r="ES220" i="9"/>
  <c r="FL217" i="9"/>
  <c r="FK217" i="9"/>
  <c r="EW220" i="9"/>
  <c r="EU220" i="9"/>
  <c r="EZ220" i="9"/>
  <c r="EY220" i="9"/>
  <c r="EG221" i="9"/>
  <c r="EB221" i="9"/>
  <c r="ED221" i="9"/>
  <c r="EC221" i="9"/>
  <c r="GP221" i="9"/>
  <c r="EI221" i="9"/>
  <c r="EA222" i="9"/>
  <c r="EE221" i="9"/>
  <c r="EF221" i="9"/>
  <c r="EH221" i="9"/>
  <c r="EO220" i="9"/>
  <c r="FC220" i="9" s="1"/>
  <c r="EM220" i="9"/>
  <c r="FB220" i="9" s="1"/>
  <c r="FD220" i="9" s="1"/>
  <c r="FS214" i="9"/>
  <c r="FQ214" i="9"/>
  <c r="GD214" i="9" s="1"/>
  <c r="GA214" i="9"/>
  <c r="FW214" i="9"/>
  <c r="FR214" i="9"/>
  <c r="FZ215" i="9"/>
  <c r="FV215" i="9"/>
  <c r="FN215" i="9"/>
  <c r="FX213" i="9"/>
  <c r="FT213" i="9"/>
  <c r="FP213" i="9"/>
  <c r="GB213" i="9"/>
  <c r="FQ212" i="9"/>
  <c r="GD212" i="9" s="1"/>
  <c r="GA212" i="9"/>
  <c r="FR212" i="9"/>
  <c r="FW212" i="9"/>
  <c r="FS212" i="9"/>
  <c r="FF219" i="9"/>
  <c r="FE219" i="9"/>
  <c r="FG219" i="9" s="1"/>
  <c r="CQ222" i="2" l="1"/>
  <c r="DA222" i="2" s="1"/>
  <c r="CY222" i="2"/>
  <c r="CX223" i="2"/>
  <c r="CP223" i="2"/>
  <c r="CK224" i="2"/>
  <c r="CN223" i="2"/>
  <c r="CL223" i="2"/>
  <c r="CO223" i="2" s="1"/>
  <c r="CY223" i="2" s="1"/>
  <c r="CU222" i="1"/>
  <c r="CY222" i="1"/>
  <c r="CV223" i="1"/>
  <c r="CQ223" i="1"/>
  <c r="CP223" i="1"/>
  <c r="CM225" i="1"/>
  <c r="CT224" i="1"/>
  <c r="CX224" i="1" s="1"/>
  <c r="CO224" i="1"/>
  <c r="CN224" i="1"/>
  <c r="EU222" i="10"/>
  <c r="EW222" i="10" s="1"/>
  <c r="EQ222" i="10"/>
  <c r="ES222" i="10" s="1"/>
  <c r="EM222" i="10"/>
  <c r="EJ222" i="10"/>
  <c r="EO222" i="10" s="1"/>
  <c r="EC224" i="10"/>
  <c r="ED224" i="10"/>
  <c r="EF224" i="10"/>
  <c r="EE224" i="10"/>
  <c r="EB224" i="10"/>
  <c r="EH223" i="10"/>
  <c r="EA225" i="10"/>
  <c r="GM221" i="9"/>
  <c r="GR221" i="9" s="1"/>
  <c r="GF221" i="9"/>
  <c r="FL218" i="9"/>
  <c r="FM218" i="9" s="1"/>
  <c r="FN218" i="9" s="1"/>
  <c r="FO216" i="9"/>
  <c r="FP216" i="9" s="1"/>
  <c r="FY216" i="9"/>
  <c r="FU216" i="9"/>
  <c r="GC216" i="9"/>
  <c r="FV216" i="9"/>
  <c r="FZ216" i="9"/>
  <c r="FM217" i="9"/>
  <c r="EY221" i="9"/>
  <c r="EZ221" i="9"/>
  <c r="FW213" i="9"/>
  <c r="FQ213" i="9"/>
  <c r="GD213" i="9" s="1"/>
  <c r="FS213" i="9"/>
  <c r="GA213" i="9"/>
  <c r="FR213" i="9"/>
  <c r="EF222" i="9"/>
  <c r="EH222" i="9"/>
  <c r="EI222" i="9"/>
  <c r="EG222" i="9"/>
  <c r="EE222" i="9"/>
  <c r="EA223" i="9"/>
  <c r="ED222" i="9"/>
  <c r="EB222" i="9"/>
  <c r="GP222" i="9"/>
  <c r="EC222" i="9"/>
  <c r="GJ214" i="9"/>
  <c r="GE214" i="9"/>
  <c r="GH214" i="9" s="1"/>
  <c r="FU215" i="9"/>
  <c r="FO215" i="9"/>
  <c r="FY215" i="9"/>
  <c r="GC215" i="9"/>
  <c r="FE220" i="9"/>
  <c r="FG220" i="9" s="1"/>
  <c r="FF220" i="9"/>
  <c r="EQ221" i="9"/>
  <c r="ES221" i="9"/>
  <c r="EW221" i="9"/>
  <c r="EU221" i="9"/>
  <c r="FH219" i="9"/>
  <c r="FJ219" i="9" s="1"/>
  <c r="FI219" i="9"/>
  <c r="EM221" i="9"/>
  <c r="FB221" i="9" s="1"/>
  <c r="FD221" i="9" s="1"/>
  <c r="EO221" i="9"/>
  <c r="FC221" i="9" s="1"/>
  <c r="GJ212" i="9"/>
  <c r="GE212" i="9"/>
  <c r="GH212" i="9" s="1"/>
  <c r="CX224" i="2" l="1"/>
  <c r="CP224" i="2"/>
  <c r="CN224" i="2"/>
  <c r="CL224" i="2"/>
  <c r="CO224" i="2" s="1"/>
  <c r="CY224" i="2" s="1"/>
  <c r="CK225" i="2"/>
  <c r="CZ223" i="2"/>
  <c r="CQ223" i="2"/>
  <c r="DA223" i="2" s="1"/>
  <c r="CU223" i="1"/>
  <c r="CY223" i="1"/>
  <c r="CR223" i="1"/>
  <c r="CW223" i="1" s="1"/>
  <c r="CV224" i="1"/>
  <c r="CQ224" i="1"/>
  <c r="CP224" i="1"/>
  <c r="CM226" i="1"/>
  <c r="CT225" i="1"/>
  <c r="CX225" i="1" s="1"/>
  <c r="CO225" i="1"/>
  <c r="CN225" i="1"/>
  <c r="EQ223" i="10"/>
  <c r="ES223" i="10" s="1"/>
  <c r="EU223" i="10"/>
  <c r="EW223" i="10" s="1"/>
  <c r="EM223" i="10"/>
  <c r="EJ223" i="10"/>
  <c r="EO223" i="10" s="1"/>
  <c r="EH224" i="10"/>
  <c r="EC225" i="10"/>
  <c r="EF225" i="10"/>
  <c r="ED225" i="10"/>
  <c r="EE225" i="10"/>
  <c r="EB225" i="10"/>
  <c r="EA226" i="10"/>
  <c r="GM222" i="9"/>
  <c r="GF222" i="9"/>
  <c r="GK212" i="9"/>
  <c r="GQ212" i="9" s="1"/>
  <c r="GG212" i="9"/>
  <c r="GS212" i="9"/>
  <c r="GK214" i="9"/>
  <c r="GQ214" i="9" s="1"/>
  <c r="GG214" i="9"/>
  <c r="GS214" i="9"/>
  <c r="GR222" i="9"/>
  <c r="GB216" i="9"/>
  <c r="FT216" i="9"/>
  <c r="FX216" i="9"/>
  <c r="FV218" i="9"/>
  <c r="FZ218" i="9"/>
  <c r="FN217" i="9"/>
  <c r="FV217" i="9"/>
  <c r="FZ217" i="9"/>
  <c r="FH220" i="9"/>
  <c r="FJ220" i="9" s="1"/>
  <c r="FI220" i="9"/>
  <c r="FF221" i="9"/>
  <c r="FE221" i="9"/>
  <c r="FG221" i="9" s="1"/>
  <c r="EO222" i="9"/>
  <c r="FC222" i="9" s="1"/>
  <c r="EM222" i="9"/>
  <c r="FB222" i="9" s="1"/>
  <c r="FD222" i="9" s="1"/>
  <c r="EU222" i="9"/>
  <c r="EW222" i="9"/>
  <c r="FP215" i="9"/>
  <c r="FX215" i="9"/>
  <c r="GB215" i="9"/>
  <c r="FT215" i="9"/>
  <c r="GP223" i="9"/>
  <c r="EC223" i="9"/>
  <c r="EI223" i="9"/>
  <c r="EG223" i="9"/>
  <c r="EB223" i="9"/>
  <c r="EF223" i="9"/>
  <c r="EH223" i="9"/>
  <c r="EE223" i="9"/>
  <c r="EA224" i="9"/>
  <c r="ED223" i="9"/>
  <c r="EZ222" i="9"/>
  <c r="EY222" i="9"/>
  <c r="GJ213" i="9"/>
  <c r="GE213" i="9"/>
  <c r="GH213" i="9" s="1"/>
  <c r="FY218" i="9"/>
  <c r="GC218" i="9"/>
  <c r="FU218" i="9"/>
  <c r="FO218" i="9"/>
  <c r="FK219" i="9"/>
  <c r="FL219" i="9"/>
  <c r="ES222" i="9"/>
  <c r="EQ222" i="9"/>
  <c r="FQ216" i="9"/>
  <c r="GA216" i="9"/>
  <c r="FR216" i="9"/>
  <c r="FS216" i="9"/>
  <c r="FW216" i="9"/>
  <c r="CX225" i="2" l="1"/>
  <c r="CP225" i="2"/>
  <c r="CN225" i="2"/>
  <c r="CK226" i="2"/>
  <c r="CL225" i="2"/>
  <c r="CO225" i="2" s="1"/>
  <c r="CY225" i="2" s="1"/>
  <c r="CZ224" i="2"/>
  <c r="CQ224" i="2"/>
  <c r="DA224" i="2" s="1"/>
  <c r="CU224" i="1"/>
  <c r="CY224" i="1"/>
  <c r="CR224" i="1"/>
  <c r="CW224" i="1" s="1"/>
  <c r="CV225" i="1"/>
  <c r="CQ225" i="1"/>
  <c r="CP225" i="1"/>
  <c r="CM227" i="1"/>
  <c r="CT226" i="1"/>
  <c r="CX226" i="1" s="1"/>
  <c r="CO226" i="1"/>
  <c r="CN226" i="1"/>
  <c r="EU224" i="10"/>
  <c r="EW224" i="10" s="1"/>
  <c r="EQ224" i="10"/>
  <c r="ES224" i="10" s="1"/>
  <c r="EM224" i="10"/>
  <c r="EJ224" i="10"/>
  <c r="EO224" i="10" s="1"/>
  <c r="ED226" i="10"/>
  <c r="EC226" i="10"/>
  <c r="EF226" i="10"/>
  <c r="EB226" i="10"/>
  <c r="EE226" i="10"/>
  <c r="EH225" i="10"/>
  <c r="EA227" i="10"/>
  <c r="GM223" i="9"/>
  <c r="GR223" i="9" s="1"/>
  <c r="GF223" i="9"/>
  <c r="GK213" i="9"/>
  <c r="GQ213" i="9" s="1"/>
  <c r="GG213" i="9"/>
  <c r="GS213" i="9"/>
  <c r="GD216" i="9"/>
  <c r="GE216" i="9" s="1"/>
  <c r="GH216" i="9" s="1"/>
  <c r="FU217" i="9"/>
  <c r="FY217" i="9"/>
  <c r="GC217" i="9"/>
  <c r="FO217" i="9"/>
  <c r="FM219" i="9"/>
  <c r="FT218" i="9"/>
  <c r="GB218" i="9"/>
  <c r="FX218" i="9"/>
  <c r="FP218" i="9"/>
  <c r="EW223" i="9"/>
  <c r="EU223" i="9"/>
  <c r="ES223" i="9"/>
  <c r="EQ223" i="9"/>
  <c r="FF222" i="9"/>
  <c r="FE222" i="9"/>
  <c r="FG222" i="9" s="1"/>
  <c r="EH224" i="9"/>
  <c r="EA225" i="9"/>
  <c r="EE224" i="9"/>
  <c r="EC224" i="9"/>
  <c r="EB224" i="9"/>
  <c r="EG224" i="9"/>
  <c r="GP224" i="9"/>
  <c r="ED224" i="9"/>
  <c r="EI224" i="9"/>
  <c r="EF224" i="9"/>
  <c r="EY223" i="9"/>
  <c r="EZ223" i="9"/>
  <c r="FH221" i="9"/>
  <c r="FJ221" i="9" s="1"/>
  <c r="FI221" i="9"/>
  <c r="EM223" i="9"/>
  <c r="FB223" i="9" s="1"/>
  <c r="FD223" i="9" s="1"/>
  <c r="EO223" i="9"/>
  <c r="FC223" i="9" s="1"/>
  <c r="FS215" i="9"/>
  <c r="FW215" i="9"/>
  <c r="FR215" i="9"/>
  <c r="GA215" i="9"/>
  <c r="FQ215" i="9"/>
  <c r="GD215" i="9" s="1"/>
  <c r="FL220" i="9"/>
  <c r="FK220" i="9"/>
  <c r="CX226" i="2" l="1"/>
  <c r="CP226" i="2"/>
  <c r="CK227" i="2"/>
  <c r="CN226" i="2"/>
  <c r="CL226" i="2"/>
  <c r="CZ225" i="2"/>
  <c r="CQ225" i="2"/>
  <c r="DA225" i="2" s="1"/>
  <c r="CU225" i="1"/>
  <c r="CY225" i="1"/>
  <c r="CR225" i="1"/>
  <c r="CW225" i="1" s="1"/>
  <c r="CV226" i="1"/>
  <c r="CQ226" i="1"/>
  <c r="CP226" i="1"/>
  <c r="CM228" i="1"/>
  <c r="CT227" i="1"/>
  <c r="CX227" i="1" s="1"/>
  <c r="CO227" i="1"/>
  <c r="CN227" i="1"/>
  <c r="EU225" i="10"/>
  <c r="EW225" i="10" s="1"/>
  <c r="EQ225" i="10"/>
  <c r="ES225" i="10" s="1"/>
  <c r="EH226" i="10"/>
  <c r="EM225" i="10"/>
  <c r="EJ225" i="10"/>
  <c r="EO225" i="10" s="1"/>
  <c r="EC227" i="10"/>
  <c r="EF227" i="10"/>
  <c r="ED227" i="10"/>
  <c r="EE227" i="10"/>
  <c r="EB227" i="10"/>
  <c r="EA228" i="10"/>
  <c r="GM224" i="9"/>
  <c r="GF224" i="9"/>
  <c r="GK216" i="9"/>
  <c r="GQ216" i="9" s="1"/>
  <c r="GG216" i="9"/>
  <c r="GS216" i="9"/>
  <c r="GR224" i="9"/>
  <c r="GJ216" i="9"/>
  <c r="FM220" i="9"/>
  <c r="FN220" i="9" s="1"/>
  <c r="GB217" i="9"/>
  <c r="FP217" i="9"/>
  <c r="FT217" i="9"/>
  <c r="FX217" i="9"/>
  <c r="GJ215" i="9"/>
  <c r="GE215" i="9"/>
  <c r="GH215" i="9" s="1"/>
  <c r="FL221" i="9"/>
  <c r="FK221" i="9"/>
  <c r="EO224" i="9"/>
  <c r="FC224" i="9" s="1"/>
  <c r="EM224" i="9"/>
  <c r="FB224" i="9" s="1"/>
  <c r="FD224" i="9" s="1"/>
  <c r="ES224" i="9"/>
  <c r="EQ224" i="9"/>
  <c r="EZ224" i="9"/>
  <c r="EY224" i="9"/>
  <c r="EA226" i="9"/>
  <c r="ED225" i="9"/>
  <c r="EI225" i="9"/>
  <c r="GP225" i="9"/>
  <c r="EC225" i="9"/>
  <c r="EH225" i="9"/>
  <c r="EG225" i="9"/>
  <c r="EE225" i="9"/>
  <c r="EB225" i="9"/>
  <c r="EF225" i="9"/>
  <c r="FQ218" i="9"/>
  <c r="GD218" i="9" s="1"/>
  <c r="FR218" i="9"/>
  <c r="FW218" i="9"/>
  <c r="GA218" i="9"/>
  <c r="FS218" i="9"/>
  <c r="EW224" i="9"/>
  <c r="EU224" i="9"/>
  <c r="FH222" i="9"/>
  <c r="FJ222" i="9" s="1"/>
  <c r="FI222" i="9"/>
  <c r="FF223" i="9"/>
  <c r="FE223" i="9"/>
  <c r="FG223" i="9" s="1"/>
  <c r="FZ219" i="9"/>
  <c r="FN219" i="9"/>
  <c r="FV219" i="9"/>
  <c r="CO226" i="2" l="1"/>
  <c r="CY226" i="2" s="1"/>
  <c r="CX227" i="2"/>
  <c r="CP227" i="2"/>
  <c r="CL227" i="2"/>
  <c r="CO227" i="2" s="1"/>
  <c r="CY227" i="2" s="1"/>
  <c r="CN227" i="2"/>
  <c r="CK228" i="2"/>
  <c r="CZ226" i="2"/>
  <c r="CQ226" i="2"/>
  <c r="DA226" i="2" s="1"/>
  <c r="CU226" i="1"/>
  <c r="CY226" i="1"/>
  <c r="CR226" i="1"/>
  <c r="CW226" i="1" s="1"/>
  <c r="CV227" i="1"/>
  <c r="CQ227" i="1"/>
  <c r="CP227" i="1"/>
  <c r="CM229" i="1"/>
  <c r="CT228" i="1"/>
  <c r="CX228" i="1" s="1"/>
  <c r="CO228" i="1"/>
  <c r="CN228" i="1"/>
  <c r="EQ226" i="10"/>
  <c r="ES226" i="10" s="1"/>
  <c r="EU226" i="10"/>
  <c r="EW226" i="10" s="1"/>
  <c r="EM226" i="10"/>
  <c r="EJ226" i="10"/>
  <c r="EO226" i="10" s="1"/>
  <c r="EC228" i="10"/>
  <c r="ED228" i="10"/>
  <c r="EF228" i="10"/>
  <c r="EE228" i="10"/>
  <c r="EB228" i="10"/>
  <c r="EH227" i="10"/>
  <c r="EA229" i="10"/>
  <c r="GM225" i="9"/>
  <c r="GF225" i="9"/>
  <c r="GK215" i="9"/>
  <c r="GQ215" i="9" s="1"/>
  <c r="GG215" i="9"/>
  <c r="GS215" i="9"/>
  <c r="GR225" i="9"/>
  <c r="FV220" i="9"/>
  <c r="FZ220" i="9"/>
  <c r="FM221" i="9"/>
  <c r="FZ221" i="9" s="1"/>
  <c r="FW217" i="9"/>
  <c r="FQ217" i="9"/>
  <c r="GD217" i="9" s="1"/>
  <c r="GA217" i="9"/>
  <c r="FR217" i="9"/>
  <c r="FS217" i="9"/>
  <c r="GC220" i="9"/>
  <c r="FY220" i="9"/>
  <c r="FO220" i="9"/>
  <c r="FU220" i="9"/>
  <c r="FI223" i="9"/>
  <c r="FH223" i="9"/>
  <c r="FJ223" i="9" s="1"/>
  <c r="ES225" i="9"/>
  <c r="EQ225" i="9"/>
  <c r="FE224" i="9"/>
  <c r="FG224" i="9" s="1"/>
  <c r="FF224" i="9"/>
  <c r="GJ218" i="9"/>
  <c r="GE218" i="9"/>
  <c r="GH218" i="9" s="1"/>
  <c r="FO219" i="9"/>
  <c r="FY219" i="9"/>
  <c r="GC219" i="9"/>
  <c r="FU219" i="9"/>
  <c r="FK222" i="9"/>
  <c r="FL222" i="9"/>
  <c r="EU225" i="9"/>
  <c r="EW225" i="9"/>
  <c r="EO225" i="9"/>
  <c r="FC225" i="9" s="1"/>
  <c r="EM225" i="9"/>
  <c r="FB225" i="9" s="1"/>
  <c r="FD225" i="9" s="1"/>
  <c r="GP226" i="9"/>
  <c r="EC226" i="9"/>
  <c r="EB226" i="9"/>
  <c r="EF226" i="9"/>
  <c r="EI226" i="9"/>
  <c r="EG226" i="9"/>
  <c r="EE226" i="9"/>
  <c r="EA227" i="9"/>
  <c r="ED226" i="9"/>
  <c r="EH226" i="9"/>
  <c r="EY225" i="9"/>
  <c r="EZ225" i="9"/>
  <c r="CX228" i="2" l="1"/>
  <c r="CP228" i="2"/>
  <c r="CL228" i="2"/>
  <c r="CO228" i="2" s="1"/>
  <c r="CY228" i="2" s="1"/>
  <c r="CN228" i="2"/>
  <c r="CK229" i="2"/>
  <c r="CZ227" i="2"/>
  <c r="CQ227" i="2"/>
  <c r="DA227" i="2" s="1"/>
  <c r="CU227" i="1"/>
  <c r="CY227" i="1"/>
  <c r="CR227" i="1"/>
  <c r="CW227" i="1" s="1"/>
  <c r="CV228" i="1"/>
  <c r="CQ228" i="1"/>
  <c r="CP228" i="1"/>
  <c r="CM230" i="1"/>
  <c r="CT229" i="1"/>
  <c r="CX229" i="1" s="1"/>
  <c r="CO229" i="1"/>
  <c r="CN229" i="1"/>
  <c r="EU227" i="10"/>
  <c r="EW227" i="10" s="1"/>
  <c r="EQ227" i="10"/>
  <c r="ES227" i="10" s="1"/>
  <c r="EH228" i="10"/>
  <c r="EM227" i="10"/>
  <c r="EJ227" i="10"/>
  <c r="EO227" i="10" s="1"/>
  <c r="EF229" i="10"/>
  <c r="EC229" i="10"/>
  <c r="ED229" i="10"/>
  <c r="EE229" i="10"/>
  <c r="EB229" i="10"/>
  <c r="EA230" i="10"/>
  <c r="GM226" i="9"/>
  <c r="GF226" i="9"/>
  <c r="GK218" i="9"/>
  <c r="GQ218" i="9" s="1"/>
  <c r="GG218" i="9"/>
  <c r="GS218" i="9"/>
  <c r="GR226" i="9"/>
  <c r="FV221" i="9"/>
  <c r="FN221" i="9"/>
  <c r="GE217" i="9"/>
  <c r="GH217" i="9" s="1"/>
  <c r="GJ217" i="9"/>
  <c r="FM222" i="9"/>
  <c r="FV222" i="9" s="1"/>
  <c r="EF227" i="9"/>
  <c r="EH227" i="9"/>
  <c r="EG227" i="9"/>
  <c r="EI227" i="9"/>
  <c r="EE227" i="9"/>
  <c r="EB227" i="9"/>
  <c r="EA228" i="9"/>
  <c r="ED227" i="9"/>
  <c r="GP227" i="9"/>
  <c r="EC227" i="9"/>
  <c r="EM226" i="9"/>
  <c r="FB226" i="9" s="1"/>
  <c r="FD226" i="9" s="1"/>
  <c r="EO226" i="9"/>
  <c r="FC226" i="9" s="1"/>
  <c r="ES226" i="9"/>
  <c r="EQ226" i="9"/>
  <c r="EW226" i="9"/>
  <c r="EU226" i="9"/>
  <c r="FL223" i="9"/>
  <c r="FK223" i="9"/>
  <c r="EY226" i="9"/>
  <c r="EZ226" i="9"/>
  <c r="FX219" i="9"/>
  <c r="FT219" i="9"/>
  <c r="FP219" i="9"/>
  <c r="GB219" i="9"/>
  <c r="FF225" i="9"/>
  <c r="FE225" i="9"/>
  <c r="FG225" i="9" s="1"/>
  <c r="GB220" i="9"/>
  <c r="FT220" i="9"/>
  <c r="FP220" i="9"/>
  <c r="FX220" i="9"/>
  <c r="FI224" i="9"/>
  <c r="FH224" i="9"/>
  <c r="FJ224" i="9" s="1"/>
  <c r="CX229" i="2" l="1"/>
  <c r="CP229" i="2"/>
  <c r="CL229" i="2"/>
  <c r="CO229" i="2" s="1"/>
  <c r="CY229" i="2" s="1"/>
  <c r="CN229" i="2"/>
  <c r="CK230" i="2"/>
  <c r="CZ228" i="2"/>
  <c r="CQ228" i="2"/>
  <c r="DA228" i="2" s="1"/>
  <c r="CU228" i="1"/>
  <c r="CY228" i="1"/>
  <c r="CR228" i="1"/>
  <c r="CW228" i="1" s="1"/>
  <c r="CV229" i="1"/>
  <c r="CQ229" i="1"/>
  <c r="CP229" i="1"/>
  <c r="CM231" i="1"/>
  <c r="CT230" i="1"/>
  <c r="CX230" i="1" s="1"/>
  <c r="CO230" i="1"/>
  <c r="CN230" i="1"/>
  <c r="EM228" i="10"/>
  <c r="EU228" i="10"/>
  <c r="EW228" i="10" s="1"/>
  <c r="EQ228" i="10"/>
  <c r="ES228" i="10" s="1"/>
  <c r="EJ228" i="10"/>
  <c r="EO228" i="10" s="1"/>
  <c r="EF230" i="10"/>
  <c r="ED230" i="10"/>
  <c r="EC230" i="10"/>
  <c r="EE230" i="10"/>
  <c r="EB230" i="10"/>
  <c r="EH229" i="10"/>
  <c r="EA231" i="10"/>
  <c r="GM227" i="9"/>
  <c r="GR227" i="9" s="1"/>
  <c r="GF227" i="9"/>
  <c r="GK217" i="9"/>
  <c r="GQ217" i="9" s="1"/>
  <c r="GG217" i="9"/>
  <c r="GS217" i="9"/>
  <c r="FO221" i="9"/>
  <c r="GC221" i="9"/>
  <c r="FU221" i="9"/>
  <c r="FY221" i="9"/>
  <c r="FN222" i="9"/>
  <c r="GC222" i="9" s="1"/>
  <c r="FZ222" i="9"/>
  <c r="EU227" i="9"/>
  <c r="EW227" i="9"/>
  <c r="EE228" i="9"/>
  <c r="EI228" i="9"/>
  <c r="EB228" i="9"/>
  <c r="EH228" i="9"/>
  <c r="EG228" i="9"/>
  <c r="ED228" i="9"/>
  <c r="EA229" i="9"/>
  <c r="EC228" i="9"/>
  <c r="GP228" i="9"/>
  <c r="EF228" i="9"/>
  <c r="EO227" i="9"/>
  <c r="FC227" i="9" s="1"/>
  <c r="EM227" i="9"/>
  <c r="FB227" i="9" s="1"/>
  <c r="FD227" i="9" s="1"/>
  <c r="FW220" i="9"/>
  <c r="GA220" i="9"/>
  <c r="FS220" i="9"/>
  <c r="FQ220" i="9"/>
  <c r="GD220" i="9" s="1"/>
  <c r="FR220" i="9"/>
  <c r="EZ227" i="9"/>
  <c r="EY227" i="9"/>
  <c r="FE226" i="9"/>
  <c r="FG226" i="9" s="1"/>
  <c r="FF226" i="9"/>
  <c r="FK224" i="9"/>
  <c r="FL224" i="9"/>
  <c r="FH225" i="9"/>
  <c r="FJ225" i="9" s="1"/>
  <c r="FI225" i="9"/>
  <c r="EQ227" i="9"/>
  <c r="ES227" i="9"/>
  <c r="FW219" i="9"/>
  <c r="FR219" i="9"/>
  <c r="FQ219" i="9"/>
  <c r="GD219" i="9" s="1"/>
  <c r="GA219" i="9"/>
  <c r="FS219" i="9"/>
  <c r="FM223" i="9"/>
  <c r="CX230" i="2" l="1"/>
  <c r="CP230" i="2"/>
  <c r="CZ230" i="2" s="1"/>
  <c r="CN230" i="2"/>
  <c r="CL230" i="2"/>
  <c r="CO230" i="2" s="1"/>
  <c r="CK231" i="2"/>
  <c r="CZ229" i="2"/>
  <c r="CQ229" i="2"/>
  <c r="DA229" i="2" s="1"/>
  <c r="CU229" i="1"/>
  <c r="CY229" i="1"/>
  <c r="CP230" i="1"/>
  <c r="CR229" i="1"/>
  <c r="CW229" i="1" s="1"/>
  <c r="CV230" i="1"/>
  <c r="CQ230" i="1"/>
  <c r="CM232" i="1"/>
  <c r="CT231" i="1"/>
  <c r="CX231" i="1" s="1"/>
  <c r="CO231" i="1"/>
  <c r="CN231" i="1"/>
  <c r="EU229" i="10"/>
  <c r="EW229" i="10" s="1"/>
  <c r="EQ229" i="10"/>
  <c r="ES229" i="10" s="1"/>
  <c r="EM229" i="10"/>
  <c r="EJ229" i="10"/>
  <c r="EO229" i="10" s="1"/>
  <c r="ED231" i="10"/>
  <c r="EF231" i="10"/>
  <c r="EC231" i="10"/>
  <c r="EE231" i="10"/>
  <c r="EB231" i="10"/>
  <c r="EH230" i="10"/>
  <c r="EA232" i="10"/>
  <c r="GM228" i="9"/>
  <c r="GR228" i="9" s="1"/>
  <c r="GF228" i="9"/>
  <c r="FY222" i="9"/>
  <c r="FO222" i="9"/>
  <c r="FX222" i="9" s="1"/>
  <c r="FU222" i="9"/>
  <c r="GB221" i="9"/>
  <c r="FT221" i="9"/>
  <c r="FX221" i="9"/>
  <c r="FP221" i="9"/>
  <c r="FM224" i="9"/>
  <c r="GJ219" i="9"/>
  <c r="GE219" i="9"/>
  <c r="GH219" i="9" s="1"/>
  <c r="EW228" i="9"/>
  <c r="EU228" i="9"/>
  <c r="FZ223" i="9"/>
  <c r="FN223" i="9"/>
  <c r="FV223" i="9"/>
  <c r="FI226" i="9"/>
  <c r="FH226" i="9"/>
  <c r="FJ226" i="9" s="1"/>
  <c r="FE227" i="9"/>
  <c r="FG227" i="9" s="1"/>
  <c r="FF227" i="9"/>
  <c r="EO228" i="9"/>
  <c r="FC228" i="9" s="1"/>
  <c r="EM228" i="9"/>
  <c r="FB228" i="9" s="1"/>
  <c r="FD228" i="9" s="1"/>
  <c r="EZ228" i="9"/>
  <c r="EY228" i="9"/>
  <c r="FL225" i="9"/>
  <c r="FK225" i="9"/>
  <c r="GE220" i="9"/>
  <c r="GH220" i="9" s="1"/>
  <c r="GJ220" i="9"/>
  <c r="ES228" i="9"/>
  <c r="EQ228" i="9"/>
  <c r="EG229" i="9"/>
  <c r="ED229" i="9"/>
  <c r="EI229" i="9"/>
  <c r="EH229" i="9"/>
  <c r="EA230" i="9"/>
  <c r="EB229" i="9"/>
  <c r="GP229" i="9"/>
  <c r="EC229" i="9"/>
  <c r="EF229" i="9"/>
  <c r="EE229" i="9"/>
  <c r="CX231" i="2" l="1"/>
  <c r="CP231" i="2"/>
  <c r="CK232" i="2"/>
  <c r="CN231" i="2"/>
  <c r="CL231" i="2"/>
  <c r="CO231" i="2" s="1"/>
  <c r="CY231" i="2" s="1"/>
  <c r="CQ230" i="2"/>
  <c r="DA230" i="2" s="1"/>
  <c r="CY230" i="2"/>
  <c r="CR230" i="1"/>
  <c r="CW230" i="1" s="1"/>
  <c r="CU230" i="1"/>
  <c r="CY230" i="1"/>
  <c r="CV231" i="1"/>
  <c r="CQ231" i="1"/>
  <c r="CP231" i="1"/>
  <c r="CM233" i="1"/>
  <c r="CT232" i="1"/>
  <c r="CX232" i="1" s="1"/>
  <c r="CO232" i="1"/>
  <c r="CP232" i="1" s="1"/>
  <c r="CN232" i="1"/>
  <c r="EQ230" i="10"/>
  <c r="ES230" i="10" s="1"/>
  <c r="EU230" i="10"/>
  <c r="EW230" i="10" s="1"/>
  <c r="EM230" i="10"/>
  <c r="EJ230" i="10"/>
  <c r="EO230" i="10" s="1"/>
  <c r="EH231" i="10"/>
  <c r="EC232" i="10"/>
  <c r="ED232" i="10"/>
  <c r="EF232" i="10"/>
  <c r="EE232" i="10"/>
  <c r="EB232" i="10"/>
  <c r="EA233" i="10"/>
  <c r="GM229" i="9"/>
  <c r="GF229" i="9"/>
  <c r="GK220" i="9"/>
  <c r="GQ220" i="9" s="1"/>
  <c r="GG220" i="9"/>
  <c r="GS220" i="9"/>
  <c r="GK219" i="9"/>
  <c r="GQ219" i="9" s="1"/>
  <c r="GG219" i="9"/>
  <c r="GS219" i="9"/>
  <c r="GR229" i="9"/>
  <c r="FP222" i="9"/>
  <c r="FQ222" i="9" s="1"/>
  <c r="FT222" i="9"/>
  <c r="GB222" i="9"/>
  <c r="GA221" i="9"/>
  <c r="FS221" i="9"/>
  <c r="FQ221" i="9"/>
  <c r="GD221" i="9" s="1"/>
  <c r="FW221" i="9"/>
  <c r="FR221" i="9"/>
  <c r="FM225" i="9"/>
  <c r="FV225" i="9" s="1"/>
  <c r="FV224" i="9"/>
  <c r="FZ224" i="9"/>
  <c r="FN224" i="9"/>
  <c r="FU223" i="9"/>
  <c r="FY223" i="9"/>
  <c r="GC223" i="9"/>
  <c r="FO223" i="9"/>
  <c r="EO229" i="9"/>
  <c r="FC229" i="9" s="1"/>
  <c r="EM229" i="9"/>
  <c r="FB229" i="9" s="1"/>
  <c r="FD229" i="9" s="1"/>
  <c r="EA231" i="9"/>
  <c r="ED230" i="9"/>
  <c r="EI230" i="9"/>
  <c r="GP230" i="9"/>
  <c r="EC230" i="9"/>
  <c r="EF230" i="9"/>
  <c r="EH230" i="9"/>
  <c r="EB230" i="9"/>
  <c r="EE230" i="9"/>
  <c r="EG230" i="9"/>
  <c r="EW229" i="9"/>
  <c r="EU229" i="9"/>
  <c r="EZ229" i="9"/>
  <c r="EY229" i="9"/>
  <c r="FI227" i="9"/>
  <c r="FH227" i="9"/>
  <c r="FJ227" i="9" s="1"/>
  <c r="ES229" i="9"/>
  <c r="EQ229" i="9"/>
  <c r="FF228" i="9"/>
  <c r="FE228" i="9"/>
  <c r="FG228" i="9" s="1"/>
  <c r="FH228" i="9" s="1"/>
  <c r="FJ228" i="9" s="1"/>
  <c r="FK226" i="9"/>
  <c r="FL226" i="9"/>
  <c r="CX232" i="2" l="1"/>
  <c r="CP232" i="2"/>
  <c r="CL232" i="2"/>
  <c r="CO232" i="2" s="1"/>
  <c r="CY232" i="2" s="1"/>
  <c r="CN232" i="2"/>
  <c r="CK233" i="2"/>
  <c r="CZ231" i="2"/>
  <c r="CQ231" i="2"/>
  <c r="DA231" i="2" s="1"/>
  <c r="CU232" i="1"/>
  <c r="CU231" i="1"/>
  <c r="CY231" i="1"/>
  <c r="CR231" i="1"/>
  <c r="CW231" i="1" s="1"/>
  <c r="CV232" i="1"/>
  <c r="CQ232" i="1"/>
  <c r="CR232" i="1" s="1"/>
  <c r="CW232" i="1" s="1"/>
  <c r="CM234" i="1"/>
  <c r="CT233" i="1"/>
  <c r="CX233" i="1" s="1"/>
  <c r="CO233" i="1"/>
  <c r="CN233" i="1"/>
  <c r="EU231" i="10"/>
  <c r="EW231" i="10" s="1"/>
  <c r="EQ231" i="10"/>
  <c r="ES231" i="10" s="1"/>
  <c r="EM231" i="10"/>
  <c r="EJ231" i="10"/>
  <c r="EO231" i="10" s="1"/>
  <c r="EC233" i="10"/>
  <c r="EF233" i="10"/>
  <c r="ED233" i="10"/>
  <c r="EE233" i="10"/>
  <c r="EB233" i="10"/>
  <c r="EH232" i="10"/>
  <c r="EA234" i="10"/>
  <c r="GM230" i="9"/>
  <c r="GR230" i="9" s="1"/>
  <c r="GF230" i="9"/>
  <c r="FS222" i="9"/>
  <c r="GA222" i="9"/>
  <c r="FW222" i="9"/>
  <c r="GD222" i="9"/>
  <c r="GE222" i="9" s="1"/>
  <c r="GH222" i="9" s="1"/>
  <c r="FR222" i="9"/>
  <c r="GE221" i="9"/>
  <c r="GH221" i="9" s="1"/>
  <c r="GJ221" i="9"/>
  <c r="FF229" i="9"/>
  <c r="FN225" i="9"/>
  <c r="FZ225" i="9"/>
  <c r="FY224" i="9"/>
  <c r="FU224" i="9"/>
  <c r="GC224" i="9"/>
  <c r="FO224" i="9"/>
  <c r="FI228" i="9"/>
  <c r="ES230" i="9"/>
  <c r="EQ230" i="9"/>
  <c r="FK227" i="9"/>
  <c r="FL227" i="9"/>
  <c r="FK228" i="9"/>
  <c r="FL228" i="9"/>
  <c r="FE229" i="9"/>
  <c r="FG229" i="9" s="1"/>
  <c r="EW230" i="9"/>
  <c r="EU230" i="9"/>
  <c r="EZ230" i="9"/>
  <c r="EY230" i="9"/>
  <c r="EH231" i="9"/>
  <c r="GP231" i="9"/>
  <c r="EI231" i="9"/>
  <c r="EE231" i="9"/>
  <c r="EB231" i="9"/>
  <c r="EG231" i="9"/>
  <c r="EF231" i="9"/>
  <c r="EA232" i="9"/>
  <c r="ED231" i="9"/>
  <c r="EC231" i="9"/>
  <c r="EO230" i="9"/>
  <c r="FC230" i="9" s="1"/>
  <c r="EM230" i="9"/>
  <c r="FB230" i="9" s="1"/>
  <c r="FD230" i="9" s="1"/>
  <c r="FM226" i="9"/>
  <c r="GB223" i="9"/>
  <c r="FT223" i="9"/>
  <c r="FP223" i="9"/>
  <c r="FX223" i="9"/>
  <c r="CX233" i="2" l="1"/>
  <c r="CP233" i="2"/>
  <c r="CK234" i="2"/>
  <c r="CL233" i="2"/>
  <c r="CO233" i="2" s="1"/>
  <c r="CY233" i="2" s="1"/>
  <c r="CN233" i="2"/>
  <c r="CZ232" i="2"/>
  <c r="CQ232" i="2"/>
  <c r="DA232" i="2" s="1"/>
  <c r="CY232" i="1"/>
  <c r="CV233" i="1"/>
  <c r="CQ233" i="1"/>
  <c r="CP233" i="1"/>
  <c r="CM235" i="1"/>
  <c r="CT234" i="1"/>
  <c r="CX234" i="1" s="1"/>
  <c r="CO234" i="1"/>
  <c r="CN234" i="1"/>
  <c r="EU232" i="10"/>
  <c r="EW232" i="10" s="1"/>
  <c r="EQ232" i="10"/>
  <c r="ES232" i="10" s="1"/>
  <c r="EM232" i="10"/>
  <c r="EJ232" i="10"/>
  <c r="EO232" i="10" s="1"/>
  <c r="EF234" i="10"/>
  <c r="ED234" i="10"/>
  <c r="EC234" i="10"/>
  <c r="EE234" i="10"/>
  <c r="EB234" i="10"/>
  <c r="EH233" i="10"/>
  <c r="EA235" i="10"/>
  <c r="GM231" i="9"/>
  <c r="GF231" i="9"/>
  <c r="GK222" i="9"/>
  <c r="GQ222" i="9" s="1"/>
  <c r="GG222" i="9"/>
  <c r="GS222" i="9"/>
  <c r="GK221" i="9"/>
  <c r="GQ221" i="9" s="1"/>
  <c r="GG221" i="9"/>
  <c r="GS221" i="9"/>
  <c r="GR231" i="9"/>
  <c r="GJ222" i="9"/>
  <c r="FO225" i="9"/>
  <c r="GC225" i="9"/>
  <c r="FU225" i="9"/>
  <c r="FY225" i="9"/>
  <c r="FM228" i="9"/>
  <c r="GB224" i="9"/>
  <c r="FP224" i="9"/>
  <c r="FT224" i="9"/>
  <c r="FX224" i="9"/>
  <c r="FM227" i="9"/>
  <c r="FV227" i="9" s="1"/>
  <c r="EO231" i="9"/>
  <c r="FC231" i="9" s="1"/>
  <c r="EM231" i="9"/>
  <c r="FB231" i="9" s="1"/>
  <c r="FD231" i="9" s="1"/>
  <c r="FE230" i="9"/>
  <c r="FG230" i="9" s="1"/>
  <c r="FF230" i="9"/>
  <c r="EY231" i="9"/>
  <c r="EZ231" i="9"/>
  <c r="FI229" i="9"/>
  <c r="FH229" i="9"/>
  <c r="FJ229" i="9" s="1"/>
  <c r="FW223" i="9"/>
  <c r="FR223" i="9"/>
  <c r="GA223" i="9"/>
  <c r="FQ223" i="9"/>
  <c r="GD223" i="9" s="1"/>
  <c r="FS223" i="9"/>
  <c r="EQ231" i="9"/>
  <c r="ES231" i="9"/>
  <c r="EW231" i="9"/>
  <c r="EU231" i="9"/>
  <c r="EA233" i="9"/>
  <c r="ED232" i="9"/>
  <c r="EC232" i="9"/>
  <c r="GP232" i="9"/>
  <c r="EF232" i="9"/>
  <c r="EI232" i="9"/>
  <c r="EG232" i="9"/>
  <c r="EH232" i="9"/>
  <c r="EE232" i="9"/>
  <c r="EB232" i="9"/>
  <c r="FV226" i="9"/>
  <c r="FN226" i="9"/>
  <c r="FZ226" i="9"/>
  <c r="CX234" i="2" l="1"/>
  <c r="CP234" i="2"/>
  <c r="CN234" i="2"/>
  <c r="CK235" i="2"/>
  <c r="CL234" i="2"/>
  <c r="CO234" i="2" s="1"/>
  <c r="CY234" i="2" s="1"/>
  <c r="CZ233" i="2"/>
  <c r="CQ233" i="2"/>
  <c r="DA233" i="2" s="1"/>
  <c r="CU233" i="1"/>
  <c r="CY233" i="1"/>
  <c r="CR233" i="1"/>
  <c r="CW233" i="1" s="1"/>
  <c r="CV234" i="1"/>
  <c r="CQ234" i="1"/>
  <c r="CP234" i="1"/>
  <c r="CM236" i="1"/>
  <c r="CT235" i="1"/>
  <c r="CX235" i="1" s="1"/>
  <c r="CO235" i="1"/>
  <c r="CN235" i="1"/>
  <c r="EU233" i="10"/>
  <c r="EW233" i="10" s="1"/>
  <c r="EQ233" i="10"/>
  <c r="ES233" i="10" s="1"/>
  <c r="EM233" i="10"/>
  <c r="EJ233" i="10"/>
  <c r="EO233" i="10" s="1"/>
  <c r="EC235" i="10"/>
  <c r="EF235" i="10"/>
  <c r="ED235" i="10"/>
  <c r="EE235" i="10"/>
  <c r="EB235" i="10"/>
  <c r="EH234" i="10"/>
  <c r="EA236" i="10"/>
  <c r="GM232" i="9"/>
  <c r="GR232" i="9" s="1"/>
  <c r="GF232" i="9"/>
  <c r="FT225" i="9"/>
  <c r="FX225" i="9"/>
  <c r="GB225" i="9"/>
  <c r="FP225" i="9"/>
  <c r="FZ227" i="9"/>
  <c r="FN227" i="9"/>
  <c r="FY227" i="9" s="1"/>
  <c r="FZ228" i="9"/>
  <c r="FN228" i="9"/>
  <c r="FV228" i="9"/>
  <c r="FW224" i="9"/>
  <c r="GA224" i="9"/>
  <c r="FQ224" i="9"/>
  <c r="GD224" i="9" s="1"/>
  <c r="FR224" i="9"/>
  <c r="FS224" i="9"/>
  <c r="FY226" i="9"/>
  <c r="GC226" i="9"/>
  <c r="FU226" i="9"/>
  <c r="FO226" i="9"/>
  <c r="FL229" i="9"/>
  <c r="FK229" i="9"/>
  <c r="EQ232" i="9"/>
  <c r="ES232" i="9"/>
  <c r="EO232" i="9"/>
  <c r="FC232" i="9" s="1"/>
  <c r="EM232" i="9"/>
  <c r="FB232" i="9" s="1"/>
  <c r="FD232" i="9" s="1"/>
  <c r="EU232" i="9"/>
  <c r="EW232" i="9"/>
  <c r="EY232" i="9"/>
  <c r="EZ232" i="9"/>
  <c r="EB233" i="9"/>
  <c r="EF233" i="9"/>
  <c r="EI233" i="9"/>
  <c r="EA234" i="9"/>
  <c r="ED233" i="9"/>
  <c r="GP233" i="9"/>
  <c r="EC233" i="9"/>
  <c r="EG233" i="9"/>
  <c r="EH233" i="9"/>
  <c r="EE233" i="9"/>
  <c r="GE223" i="9"/>
  <c r="GH223" i="9" s="1"/>
  <c r="GJ223" i="9"/>
  <c r="FH230" i="9"/>
  <c r="FJ230" i="9" s="1"/>
  <c r="FI230" i="9"/>
  <c r="FF231" i="9"/>
  <c r="FE231" i="9"/>
  <c r="FG231" i="9" s="1"/>
  <c r="CZ234" i="2" l="1"/>
  <c r="CQ234" i="2"/>
  <c r="DA234" i="2" s="1"/>
  <c r="CX235" i="2"/>
  <c r="CP235" i="2"/>
  <c r="CL235" i="2"/>
  <c r="CO235" i="2" s="1"/>
  <c r="CY235" i="2" s="1"/>
  <c r="CN235" i="2"/>
  <c r="CK236" i="2"/>
  <c r="CU234" i="1"/>
  <c r="CY234" i="1"/>
  <c r="CR234" i="1"/>
  <c r="CW234" i="1" s="1"/>
  <c r="CV235" i="1"/>
  <c r="CQ235" i="1"/>
  <c r="CP235" i="1"/>
  <c r="CM237" i="1"/>
  <c r="CT236" i="1"/>
  <c r="CX236" i="1" s="1"/>
  <c r="CO236" i="1"/>
  <c r="CN236" i="1"/>
  <c r="EU234" i="10"/>
  <c r="EW234" i="10" s="1"/>
  <c r="EQ234" i="10"/>
  <c r="ES234" i="10" s="1"/>
  <c r="EM234" i="10"/>
  <c r="EJ234" i="10"/>
  <c r="EO234" i="10" s="1"/>
  <c r="EH235" i="10"/>
  <c r="EC236" i="10"/>
  <c r="EF236" i="10"/>
  <c r="ED236" i="10"/>
  <c r="EB236" i="10"/>
  <c r="EE236" i="10"/>
  <c r="EA237" i="10"/>
  <c r="GM233" i="9"/>
  <c r="GR233" i="9" s="1"/>
  <c r="GF233" i="9"/>
  <c r="GK223" i="9"/>
  <c r="GQ223" i="9" s="1"/>
  <c r="GG223" i="9"/>
  <c r="GS223" i="9"/>
  <c r="FU227" i="9"/>
  <c r="GC227" i="9"/>
  <c r="FO227" i="9"/>
  <c r="FP227" i="9" s="1"/>
  <c r="FS225" i="9"/>
  <c r="FW225" i="9"/>
  <c r="FR225" i="9"/>
  <c r="FQ225" i="9"/>
  <c r="GD225" i="9" s="1"/>
  <c r="GA225" i="9"/>
  <c r="GC228" i="9"/>
  <c r="FU228" i="9"/>
  <c r="FO228" i="9"/>
  <c r="FY228" i="9"/>
  <c r="GJ224" i="9"/>
  <c r="GE224" i="9"/>
  <c r="GH224" i="9" s="1"/>
  <c r="FM229" i="9"/>
  <c r="FV229" i="9" s="1"/>
  <c r="EY233" i="9"/>
  <c r="EZ233" i="9"/>
  <c r="EM233" i="9"/>
  <c r="FB233" i="9" s="1"/>
  <c r="FD233" i="9" s="1"/>
  <c r="EO233" i="9"/>
  <c r="FC233" i="9" s="1"/>
  <c r="EQ233" i="9"/>
  <c r="ES233" i="9"/>
  <c r="FT226" i="9"/>
  <c r="FP226" i="9"/>
  <c r="FX226" i="9"/>
  <c r="GB226" i="9"/>
  <c r="FL230" i="9"/>
  <c r="FK230" i="9"/>
  <c r="EU233" i="9"/>
  <c r="EW233" i="9"/>
  <c r="GP234" i="9"/>
  <c r="EE234" i="9"/>
  <c r="EG234" i="9"/>
  <c r="EH234" i="9"/>
  <c r="EI234" i="9"/>
  <c r="ED234" i="9"/>
  <c r="EC234" i="9"/>
  <c r="EB234" i="9"/>
  <c r="EF234" i="9"/>
  <c r="EA235" i="9"/>
  <c r="FE232" i="9"/>
  <c r="FG232" i="9" s="1"/>
  <c r="FF232" i="9"/>
  <c r="FH231" i="9"/>
  <c r="FJ231" i="9" s="1"/>
  <c r="FI231" i="9"/>
  <c r="CZ235" i="2" l="1"/>
  <c r="CQ235" i="2"/>
  <c r="DA235" i="2" s="1"/>
  <c r="CX236" i="2"/>
  <c r="CP236" i="2"/>
  <c r="CN236" i="2"/>
  <c r="CL236" i="2"/>
  <c r="CO236" i="2" s="1"/>
  <c r="CY236" i="2" s="1"/>
  <c r="CK237" i="2"/>
  <c r="CU235" i="1"/>
  <c r="CY235" i="1"/>
  <c r="CR235" i="1"/>
  <c r="CW235" i="1" s="1"/>
  <c r="CV236" i="1"/>
  <c r="CQ236" i="1"/>
  <c r="CP236" i="1"/>
  <c r="CM238" i="1"/>
  <c r="CT237" i="1"/>
  <c r="CX237" i="1" s="1"/>
  <c r="CO237" i="1"/>
  <c r="CN237" i="1"/>
  <c r="EQ235" i="10"/>
  <c r="ES235" i="10" s="1"/>
  <c r="EU235" i="10"/>
  <c r="EW235" i="10" s="1"/>
  <c r="EM235" i="10"/>
  <c r="EJ235" i="10"/>
  <c r="EO235" i="10" s="1"/>
  <c r="EH236" i="10"/>
  <c r="ED237" i="10"/>
  <c r="EC237" i="10"/>
  <c r="EF237" i="10"/>
  <c r="EE237" i="10"/>
  <c r="EB237" i="10"/>
  <c r="EA238" i="10"/>
  <c r="GM234" i="9"/>
  <c r="GF234" i="9"/>
  <c r="GK224" i="9"/>
  <c r="GQ224" i="9" s="1"/>
  <c r="GG224" i="9"/>
  <c r="GS224" i="9"/>
  <c r="GR234" i="9"/>
  <c r="GB227" i="9"/>
  <c r="FT227" i="9"/>
  <c r="FX227" i="9"/>
  <c r="GJ225" i="9"/>
  <c r="GE225" i="9"/>
  <c r="GH225" i="9" s="1"/>
  <c r="FN229" i="9"/>
  <c r="FY229" i="9" s="1"/>
  <c r="FZ229" i="9"/>
  <c r="GB228" i="9"/>
  <c r="FP228" i="9"/>
  <c r="FX228" i="9"/>
  <c r="FT228" i="9"/>
  <c r="EZ234" i="9"/>
  <c r="EY234" i="9"/>
  <c r="FI232" i="9"/>
  <c r="FH232" i="9"/>
  <c r="FJ232" i="9" s="1"/>
  <c r="EA236" i="9"/>
  <c r="EC235" i="9"/>
  <c r="EF235" i="9"/>
  <c r="EI235" i="9"/>
  <c r="EG235" i="9"/>
  <c r="EH235" i="9"/>
  <c r="EB235" i="9"/>
  <c r="EE235" i="9"/>
  <c r="GP235" i="9"/>
  <c r="ED235" i="9"/>
  <c r="EO234" i="9"/>
  <c r="FC234" i="9" s="1"/>
  <c r="EM234" i="9"/>
  <c r="FB234" i="9" s="1"/>
  <c r="FD234" i="9" s="1"/>
  <c r="FS227" i="9"/>
  <c r="FW227" i="9"/>
  <c r="FR227" i="9"/>
  <c r="GA227" i="9"/>
  <c r="FQ227" i="9"/>
  <c r="ES234" i="9"/>
  <c r="EQ234" i="9"/>
  <c r="FF233" i="9"/>
  <c r="FE233" i="9"/>
  <c r="FG233" i="9" s="1"/>
  <c r="FW226" i="9"/>
  <c r="FS226" i="9"/>
  <c r="FR226" i="9"/>
  <c r="GA226" i="9"/>
  <c r="FQ226" i="9"/>
  <c r="GD226" i="9" s="1"/>
  <c r="EW234" i="9"/>
  <c r="EU234" i="9"/>
  <c r="FL231" i="9"/>
  <c r="FK231" i="9"/>
  <c r="FM230" i="9"/>
  <c r="AI77" i="2"/>
  <c r="CX237" i="2" l="1"/>
  <c r="CP237" i="2"/>
  <c r="CL237" i="2"/>
  <c r="CO237" i="2" s="1"/>
  <c r="CY237" i="2" s="1"/>
  <c r="CN237" i="2"/>
  <c r="CK238" i="2"/>
  <c r="CZ236" i="2"/>
  <c r="CQ236" i="2"/>
  <c r="DA236" i="2" s="1"/>
  <c r="CU236" i="1"/>
  <c r="CY236" i="1"/>
  <c r="CR236" i="1"/>
  <c r="CW236" i="1" s="1"/>
  <c r="CV237" i="1"/>
  <c r="CQ237" i="1"/>
  <c r="CP237" i="1"/>
  <c r="CM239" i="1"/>
  <c r="CT238" i="1"/>
  <c r="CX238" i="1" s="1"/>
  <c r="CO238" i="1"/>
  <c r="CN238" i="1"/>
  <c r="EQ236" i="10"/>
  <c r="ES236" i="10" s="1"/>
  <c r="EU236" i="10"/>
  <c r="EW236" i="10" s="1"/>
  <c r="EM236" i="10"/>
  <c r="EJ236" i="10"/>
  <c r="EO236" i="10" s="1"/>
  <c r="ED238" i="10"/>
  <c r="EC238" i="10"/>
  <c r="EF238" i="10"/>
  <c r="EB238" i="10"/>
  <c r="EE238" i="10"/>
  <c r="EH237" i="10"/>
  <c r="EA239" i="10"/>
  <c r="GM235" i="9"/>
  <c r="GF235" i="9"/>
  <c r="GK225" i="9"/>
  <c r="GQ225" i="9" s="1"/>
  <c r="GG225" i="9"/>
  <c r="GS225" i="9"/>
  <c r="GR235" i="9"/>
  <c r="GD227" i="9"/>
  <c r="GJ227" i="9" s="1"/>
  <c r="GC229" i="9"/>
  <c r="FO229" i="9"/>
  <c r="GB229" i="9" s="1"/>
  <c r="FU229" i="9"/>
  <c r="FQ228" i="9"/>
  <c r="GD228" i="9" s="1"/>
  <c r="FW228" i="9"/>
  <c r="FR228" i="9"/>
  <c r="GA228" i="9"/>
  <c r="FS228" i="9"/>
  <c r="FF234" i="9"/>
  <c r="FE234" i="9"/>
  <c r="FG234" i="9" s="1"/>
  <c r="EW235" i="9"/>
  <c r="EU235" i="9"/>
  <c r="ES235" i="9"/>
  <c r="EQ235" i="9"/>
  <c r="FM231" i="9"/>
  <c r="FH233" i="9"/>
  <c r="FJ233" i="9" s="1"/>
  <c r="FI233" i="9"/>
  <c r="EI236" i="9"/>
  <c r="EF236" i="9"/>
  <c r="EH236" i="9"/>
  <c r="ED236" i="9"/>
  <c r="EE236" i="9"/>
  <c r="EB236" i="9"/>
  <c r="EA237" i="9"/>
  <c r="EC236" i="9"/>
  <c r="EG236" i="9"/>
  <c r="GP236" i="9"/>
  <c r="EZ235" i="9"/>
  <c r="EY235" i="9"/>
  <c r="FK232" i="9"/>
  <c r="FL232" i="9"/>
  <c r="EM235" i="9"/>
  <c r="FB235" i="9" s="1"/>
  <c r="FD235" i="9" s="1"/>
  <c r="EO235" i="9"/>
  <c r="FC235" i="9" s="1"/>
  <c r="FZ230" i="9"/>
  <c r="FN230" i="9"/>
  <c r="FV230" i="9"/>
  <c r="GE226" i="9"/>
  <c r="GH226" i="9" s="1"/>
  <c r="GJ226" i="9"/>
  <c r="CX238" i="2" l="1"/>
  <c r="CP238" i="2"/>
  <c r="CZ238" i="2" s="1"/>
  <c r="CL238" i="2"/>
  <c r="CO238" i="2" s="1"/>
  <c r="CK239" i="2"/>
  <c r="CN238" i="2"/>
  <c r="CZ237" i="2"/>
  <c r="CQ237" i="2"/>
  <c r="DA237" i="2" s="1"/>
  <c r="CU237" i="1"/>
  <c r="CY237" i="1"/>
  <c r="CR237" i="1"/>
  <c r="CW237" i="1" s="1"/>
  <c r="CV238" i="1"/>
  <c r="CQ238" i="1"/>
  <c r="CP238" i="1"/>
  <c r="CM240" i="1"/>
  <c r="CT239" i="1"/>
  <c r="CX239" i="1" s="1"/>
  <c r="CO239" i="1"/>
  <c r="CN239" i="1"/>
  <c r="EU237" i="10"/>
  <c r="EW237" i="10" s="1"/>
  <c r="EQ237" i="10"/>
  <c r="ES237" i="10" s="1"/>
  <c r="EM237" i="10"/>
  <c r="EJ237" i="10"/>
  <c r="EO237" i="10" s="1"/>
  <c r="ED239" i="10"/>
  <c r="EC239" i="10"/>
  <c r="EF239" i="10"/>
  <c r="EE239" i="10"/>
  <c r="EB239" i="10"/>
  <c r="EH238" i="10"/>
  <c r="EA240" i="10"/>
  <c r="GM236" i="9"/>
  <c r="GF236" i="9"/>
  <c r="GK226" i="9"/>
  <c r="GQ226" i="9" s="1"/>
  <c r="GG226" i="9"/>
  <c r="GS226" i="9"/>
  <c r="GR236" i="9"/>
  <c r="GE227" i="9"/>
  <c r="GH227" i="9" s="1"/>
  <c r="FX229" i="9"/>
  <c r="FP229" i="9"/>
  <c r="FR229" i="9" s="1"/>
  <c r="FT229" i="9"/>
  <c r="GJ228" i="9"/>
  <c r="GE228" i="9"/>
  <c r="GH228" i="9" s="1"/>
  <c r="EZ236" i="9"/>
  <c r="EY236" i="9"/>
  <c r="FK233" i="9"/>
  <c r="FL233" i="9"/>
  <c r="EU236" i="9"/>
  <c r="EW236" i="9"/>
  <c r="FN231" i="9"/>
  <c r="FZ231" i="9"/>
  <c r="FV231" i="9"/>
  <c r="FY230" i="9"/>
  <c r="GC230" i="9"/>
  <c r="FU230" i="9"/>
  <c r="FO230" i="9"/>
  <c r="ES236" i="9"/>
  <c r="EQ236" i="9"/>
  <c r="FF235" i="9"/>
  <c r="FE235" i="9"/>
  <c r="FG235" i="9" s="1"/>
  <c r="EF237" i="9"/>
  <c r="EG237" i="9"/>
  <c r="EI237" i="9"/>
  <c r="EH237" i="9"/>
  <c r="EB237" i="9"/>
  <c r="EC237" i="9"/>
  <c r="EA238" i="9"/>
  <c r="EE237" i="9"/>
  <c r="GP237" i="9"/>
  <c r="ED237" i="9"/>
  <c r="FH234" i="9"/>
  <c r="FJ234" i="9" s="1"/>
  <c r="FI234" i="9"/>
  <c r="FM232" i="9"/>
  <c r="EM236" i="9"/>
  <c r="FB236" i="9" s="1"/>
  <c r="FD236" i="9" s="1"/>
  <c r="EO236" i="9"/>
  <c r="FC236" i="9" s="1"/>
  <c r="CX239" i="2" l="1"/>
  <c r="CP239" i="2"/>
  <c r="CK240" i="2"/>
  <c r="CL239" i="2"/>
  <c r="CO239" i="2" s="1"/>
  <c r="CY239" i="2" s="1"/>
  <c r="CN239" i="2"/>
  <c r="CQ238" i="2"/>
  <c r="DA238" i="2" s="1"/>
  <c r="CY238" i="2"/>
  <c r="CU238" i="1"/>
  <c r="CY238" i="1"/>
  <c r="CR238" i="1"/>
  <c r="CW238" i="1" s="1"/>
  <c r="CV239" i="1"/>
  <c r="CQ239" i="1"/>
  <c r="CP239" i="1"/>
  <c r="CM241" i="1"/>
  <c r="CT240" i="1"/>
  <c r="CX240" i="1" s="1"/>
  <c r="CO240" i="1"/>
  <c r="CN240" i="1"/>
  <c r="EU238" i="10"/>
  <c r="EW238" i="10" s="1"/>
  <c r="EQ238" i="10"/>
  <c r="ES238" i="10" s="1"/>
  <c r="EH239" i="10"/>
  <c r="EM238" i="10"/>
  <c r="EJ238" i="10"/>
  <c r="EO238" i="10" s="1"/>
  <c r="ED240" i="10"/>
  <c r="EC240" i="10"/>
  <c r="EF240" i="10"/>
  <c r="EE240" i="10"/>
  <c r="EB240" i="10"/>
  <c r="EA241" i="10"/>
  <c r="GM237" i="9"/>
  <c r="GF237" i="9"/>
  <c r="GK227" i="9"/>
  <c r="GQ227" i="9" s="1"/>
  <c r="GG227" i="9"/>
  <c r="GS227" i="9"/>
  <c r="GK228" i="9"/>
  <c r="GQ228" i="9" s="1"/>
  <c r="GG228" i="9"/>
  <c r="GS228" i="9"/>
  <c r="GR237" i="9"/>
  <c r="FS229" i="9"/>
  <c r="FQ229" i="9"/>
  <c r="GD229" i="9" s="1"/>
  <c r="GJ229" i="9" s="1"/>
  <c r="FW229" i="9"/>
  <c r="GA229" i="9"/>
  <c r="EY237" i="9"/>
  <c r="EZ237" i="9"/>
  <c r="FL234" i="9"/>
  <c r="FK234" i="9"/>
  <c r="EW237" i="9"/>
  <c r="EU237" i="9"/>
  <c r="FH235" i="9"/>
  <c r="FJ235" i="9" s="1"/>
  <c r="FI235" i="9"/>
  <c r="EE238" i="9"/>
  <c r="EA239" i="9"/>
  <c r="EB238" i="9"/>
  <c r="GP238" i="9"/>
  <c r="EC238" i="9"/>
  <c r="EG238" i="9"/>
  <c r="EI238" i="9"/>
  <c r="ED238" i="9"/>
  <c r="EF238" i="9"/>
  <c r="EH238" i="9"/>
  <c r="EQ237" i="9"/>
  <c r="ES237" i="9"/>
  <c r="FE236" i="9"/>
  <c r="FG236" i="9" s="1"/>
  <c r="FU231" i="9"/>
  <c r="GC231" i="9"/>
  <c r="FY231" i="9"/>
  <c r="FO231" i="9"/>
  <c r="FM233" i="9"/>
  <c r="FN232" i="9"/>
  <c r="FV232" i="9"/>
  <c r="FZ232" i="9"/>
  <c r="FF236" i="9"/>
  <c r="EO237" i="9"/>
  <c r="FC237" i="9" s="1"/>
  <c r="EM237" i="9"/>
  <c r="FB237" i="9" s="1"/>
  <c r="FD237" i="9" s="1"/>
  <c r="FT230" i="9"/>
  <c r="FX230" i="9"/>
  <c r="GB230" i="9"/>
  <c r="FP230" i="9"/>
  <c r="CX240" i="2" l="1"/>
  <c r="CP240" i="2"/>
  <c r="CN240" i="2"/>
  <c r="CK241" i="2"/>
  <c r="CL240" i="2"/>
  <c r="CO240" i="2" s="1"/>
  <c r="CY240" i="2" s="1"/>
  <c r="CZ239" i="2"/>
  <c r="CQ239" i="2"/>
  <c r="DA239" i="2" s="1"/>
  <c r="CU239" i="1"/>
  <c r="CY239" i="1"/>
  <c r="CP240" i="1"/>
  <c r="CR239" i="1"/>
  <c r="CW239" i="1" s="1"/>
  <c r="CV240" i="1"/>
  <c r="CQ240" i="1"/>
  <c r="CR240" i="1" s="1"/>
  <c r="CW240" i="1" s="1"/>
  <c r="CM242" i="1"/>
  <c r="CT241" i="1"/>
  <c r="CX241" i="1" s="1"/>
  <c r="CO241" i="1"/>
  <c r="CN241" i="1"/>
  <c r="EQ239" i="10"/>
  <c r="ES239" i="10" s="1"/>
  <c r="EU239" i="10"/>
  <c r="EW239" i="10" s="1"/>
  <c r="EM239" i="10"/>
  <c r="EJ239" i="10"/>
  <c r="EO239" i="10" s="1"/>
  <c r="EH240" i="10"/>
  <c r="EF241" i="10"/>
  <c r="ED241" i="10"/>
  <c r="EC241" i="10"/>
  <c r="EE241" i="10"/>
  <c r="EB241" i="10"/>
  <c r="EA242" i="10"/>
  <c r="GM238" i="9"/>
  <c r="GR238" i="9" s="1"/>
  <c r="GF238" i="9"/>
  <c r="GE229" i="9"/>
  <c r="GH229" i="9" s="1"/>
  <c r="FM234" i="9"/>
  <c r="FV234" i="9" s="1"/>
  <c r="FE237" i="9"/>
  <c r="FG237" i="9" s="1"/>
  <c r="FF237" i="9"/>
  <c r="EW238" i="9"/>
  <c r="EU238" i="9"/>
  <c r="FL235" i="9"/>
  <c r="FK235" i="9"/>
  <c r="FH236" i="9"/>
  <c r="FJ236" i="9" s="1"/>
  <c r="FI236" i="9"/>
  <c r="ES238" i="9"/>
  <c r="EQ238" i="9"/>
  <c r="GA230" i="9"/>
  <c r="FS230" i="9"/>
  <c r="FW230" i="9"/>
  <c r="FQ230" i="9"/>
  <c r="GD230" i="9" s="1"/>
  <c r="FR230" i="9"/>
  <c r="FO232" i="9"/>
  <c r="FU232" i="9"/>
  <c r="GC232" i="9"/>
  <c r="FY232" i="9"/>
  <c r="EO238" i="9"/>
  <c r="FC238" i="9" s="1"/>
  <c r="EM238" i="9"/>
  <c r="FB238" i="9" s="1"/>
  <c r="FD238" i="9" s="1"/>
  <c r="FZ233" i="9"/>
  <c r="FV233" i="9"/>
  <c r="FN233" i="9"/>
  <c r="EB239" i="9"/>
  <c r="ED239" i="9"/>
  <c r="EA240" i="9"/>
  <c r="EC239" i="9"/>
  <c r="EE239" i="9"/>
  <c r="GP239" i="9"/>
  <c r="EF239" i="9"/>
  <c r="EG239" i="9"/>
  <c r="EH239" i="9"/>
  <c r="EI239" i="9"/>
  <c r="FX231" i="9"/>
  <c r="FT231" i="9"/>
  <c r="GB231" i="9"/>
  <c r="FP231" i="9"/>
  <c r="EY238" i="9"/>
  <c r="EZ238" i="9"/>
  <c r="CX241" i="2" l="1"/>
  <c r="CP241" i="2"/>
  <c r="CK242" i="2"/>
  <c r="CN241" i="2"/>
  <c r="CL241" i="2"/>
  <c r="CO241" i="2" s="1"/>
  <c r="CY241" i="2" s="1"/>
  <c r="CZ240" i="2"/>
  <c r="CQ240" i="2"/>
  <c r="DA240" i="2" s="1"/>
  <c r="CU240" i="1"/>
  <c r="CY240" i="1"/>
  <c r="CP241" i="1"/>
  <c r="CV241" i="1"/>
  <c r="CQ241" i="1"/>
  <c r="CM243" i="1"/>
  <c r="CT242" i="1"/>
  <c r="CX242" i="1" s="1"/>
  <c r="CO242" i="1"/>
  <c r="CN242" i="1"/>
  <c r="EQ240" i="10"/>
  <c r="ES240" i="10" s="1"/>
  <c r="EU240" i="10"/>
  <c r="EW240" i="10" s="1"/>
  <c r="EM240" i="10"/>
  <c r="EJ240" i="10"/>
  <c r="EO240" i="10" s="1"/>
  <c r="ED242" i="10"/>
  <c r="EC242" i="10"/>
  <c r="EF242" i="10"/>
  <c r="EB242" i="10"/>
  <c r="EE242" i="10"/>
  <c r="EH241" i="10"/>
  <c r="EA243" i="10"/>
  <c r="GM239" i="9"/>
  <c r="GR239" i="9" s="1"/>
  <c r="GF239" i="9"/>
  <c r="GK229" i="9"/>
  <c r="GQ229" i="9" s="1"/>
  <c r="GG229" i="9"/>
  <c r="GS229" i="9"/>
  <c r="FZ234" i="9"/>
  <c r="FN234" i="9"/>
  <c r="FY234" i="9" s="1"/>
  <c r="FM235" i="9"/>
  <c r="FV235" i="9" s="1"/>
  <c r="EY239" i="9"/>
  <c r="EZ239" i="9"/>
  <c r="GB232" i="9"/>
  <c r="FP232" i="9"/>
  <c r="FT232" i="9"/>
  <c r="FX232" i="9"/>
  <c r="FK236" i="9"/>
  <c r="FL236" i="9"/>
  <c r="EE240" i="9"/>
  <c r="GP240" i="9"/>
  <c r="EC240" i="9"/>
  <c r="EF240" i="9"/>
  <c r="EA241" i="9"/>
  <c r="EG240" i="9"/>
  <c r="EI240" i="9"/>
  <c r="EH240" i="9"/>
  <c r="EB240" i="9"/>
  <c r="ED240" i="9"/>
  <c r="GJ230" i="9"/>
  <c r="GE230" i="9"/>
  <c r="GH230" i="9" s="1"/>
  <c r="EW239" i="9"/>
  <c r="EU239" i="9"/>
  <c r="FF238" i="9"/>
  <c r="FE238" i="9"/>
  <c r="FG238" i="9" s="1"/>
  <c r="ES239" i="9"/>
  <c r="EQ239" i="9"/>
  <c r="EO239" i="9"/>
  <c r="FC239" i="9" s="1"/>
  <c r="EM239" i="9"/>
  <c r="FB239" i="9" s="1"/>
  <c r="FD239" i="9" s="1"/>
  <c r="FO233" i="9"/>
  <c r="FU233" i="9"/>
  <c r="GC233" i="9"/>
  <c r="FY233" i="9"/>
  <c r="FS231" i="9"/>
  <c r="FR231" i="9"/>
  <c r="FQ231" i="9"/>
  <c r="GD231" i="9" s="1"/>
  <c r="FW231" i="9"/>
  <c r="GA231" i="9"/>
  <c r="FI237" i="9"/>
  <c r="FH237" i="9"/>
  <c r="FJ237" i="9" s="1"/>
  <c r="CX242" i="2" l="1"/>
  <c r="CP242" i="2"/>
  <c r="CN242" i="2"/>
  <c r="CK243" i="2"/>
  <c r="CL242" i="2"/>
  <c r="CO242" i="2" s="1"/>
  <c r="CY242" i="2" s="1"/>
  <c r="CZ241" i="2"/>
  <c r="CQ241" i="2"/>
  <c r="DA241" i="2" s="1"/>
  <c r="CU241" i="1"/>
  <c r="CY241" i="1"/>
  <c r="CR241" i="1"/>
  <c r="CW241" i="1" s="1"/>
  <c r="CV242" i="1"/>
  <c r="CQ242" i="1"/>
  <c r="CP242" i="1"/>
  <c r="CM244" i="1"/>
  <c r="CT243" i="1"/>
  <c r="CX243" i="1" s="1"/>
  <c r="CO243" i="1"/>
  <c r="CN243" i="1"/>
  <c r="EU241" i="10"/>
  <c r="EW241" i="10" s="1"/>
  <c r="EQ241" i="10"/>
  <c r="ES241" i="10" s="1"/>
  <c r="EM241" i="10"/>
  <c r="EJ241" i="10"/>
  <c r="EO241" i="10" s="1"/>
  <c r="EH242" i="10"/>
  <c r="ED243" i="10"/>
  <c r="EC243" i="10"/>
  <c r="EF243" i="10"/>
  <c r="EB243" i="10"/>
  <c r="EE243" i="10"/>
  <c r="EA244" i="10"/>
  <c r="GM240" i="9"/>
  <c r="GF240" i="9"/>
  <c r="GK230" i="9"/>
  <c r="GQ230" i="9" s="1"/>
  <c r="GG230" i="9"/>
  <c r="GS230" i="9"/>
  <c r="GR240" i="9"/>
  <c r="GC234" i="9"/>
  <c r="FU234" i="9"/>
  <c r="FO234" i="9"/>
  <c r="FP234" i="9" s="1"/>
  <c r="FZ235" i="9"/>
  <c r="FN235" i="9"/>
  <c r="FF239" i="9"/>
  <c r="FE239" i="9"/>
  <c r="FG239" i="9" s="1"/>
  <c r="FW232" i="9"/>
  <c r="FR232" i="9"/>
  <c r="FQ232" i="9"/>
  <c r="GD232" i="9" s="1"/>
  <c r="FS232" i="9"/>
  <c r="GA232" i="9"/>
  <c r="GE231" i="9"/>
  <c r="GH231" i="9" s="1"/>
  <c r="GJ231" i="9"/>
  <c r="EQ240" i="9"/>
  <c r="ES240" i="9"/>
  <c r="EW240" i="9"/>
  <c r="EU240" i="9"/>
  <c r="EO240" i="9"/>
  <c r="FC240" i="9" s="1"/>
  <c r="EM240" i="9"/>
  <c r="FB240" i="9" s="1"/>
  <c r="FD240" i="9" s="1"/>
  <c r="EY240" i="9"/>
  <c r="EZ240" i="9"/>
  <c r="FI238" i="9"/>
  <c r="FH238" i="9"/>
  <c r="FJ238" i="9" s="1"/>
  <c r="FM236" i="9"/>
  <c r="FK237" i="9"/>
  <c r="FL237" i="9"/>
  <c r="GB233" i="9"/>
  <c r="FP233" i="9"/>
  <c r="FX233" i="9"/>
  <c r="FT233" i="9"/>
  <c r="EH241" i="9"/>
  <c r="EI241" i="9"/>
  <c r="EB241" i="9"/>
  <c r="EC241" i="9"/>
  <c r="EA242" i="9"/>
  <c r="ED241" i="9"/>
  <c r="GP241" i="9"/>
  <c r="EE241" i="9"/>
  <c r="EF241" i="9"/>
  <c r="EG241" i="9"/>
  <c r="CZ242" i="2" l="1"/>
  <c r="CQ242" i="2"/>
  <c r="DA242" i="2" s="1"/>
  <c r="CX243" i="2"/>
  <c r="CP243" i="2"/>
  <c r="CL243" i="2"/>
  <c r="CO243" i="2" s="1"/>
  <c r="CY243" i="2" s="1"/>
  <c r="CN243" i="2"/>
  <c r="CK244" i="2"/>
  <c r="CU242" i="1"/>
  <c r="CY242" i="1"/>
  <c r="CR242" i="1"/>
  <c r="CW242" i="1" s="1"/>
  <c r="CV243" i="1"/>
  <c r="CQ243" i="1"/>
  <c r="CP243" i="1"/>
  <c r="CM245" i="1"/>
  <c r="CT244" i="1"/>
  <c r="CX244" i="1" s="1"/>
  <c r="CO244" i="1"/>
  <c r="CN244" i="1"/>
  <c r="EU242" i="10"/>
  <c r="EW242" i="10" s="1"/>
  <c r="EQ242" i="10"/>
  <c r="ES242" i="10" s="1"/>
  <c r="EM242" i="10"/>
  <c r="EJ242" i="10"/>
  <c r="EO242" i="10" s="1"/>
  <c r="EF244" i="10"/>
  <c r="ED244" i="10"/>
  <c r="EC244" i="10"/>
  <c r="EE244" i="10"/>
  <c r="EB244" i="10"/>
  <c r="EH243" i="10"/>
  <c r="EA245" i="10"/>
  <c r="GM241" i="9"/>
  <c r="GF241" i="9"/>
  <c r="GK231" i="9"/>
  <c r="GQ231" i="9" s="1"/>
  <c r="GG231" i="9"/>
  <c r="GS231" i="9"/>
  <c r="GR241" i="9"/>
  <c r="FT234" i="9"/>
  <c r="FX234" i="9"/>
  <c r="GB234" i="9"/>
  <c r="FM237" i="9"/>
  <c r="FN237" i="9" s="1"/>
  <c r="FY235" i="9"/>
  <c r="FU235" i="9"/>
  <c r="GC235" i="9"/>
  <c r="FO235" i="9"/>
  <c r="EI242" i="9"/>
  <c r="EH242" i="9"/>
  <c r="EB242" i="9"/>
  <c r="EG242" i="9"/>
  <c r="EE242" i="9"/>
  <c r="GP242" i="9"/>
  <c r="EA243" i="9"/>
  <c r="ED242" i="9"/>
  <c r="EC242" i="9"/>
  <c r="EF242" i="9"/>
  <c r="FS234" i="9"/>
  <c r="FW234" i="9"/>
  <c r="FQ234" i="9"/>
  <c r="FR234" i="9"/>
  <c r="GA234" i="9"/>
  <c r="FE240" i="9"/>
  <c r="FG240" i="9" s="1"/>
  <c r="FF240" i="9"/>
  <c r="GE232" i="9"/>
  <c r="GH232" i="9" s="1"/>
  <c r="GJ232" i="9"/>
  <c r="EY241" i="9"/>
  <c r="EZ241" i="9"/>
  <c r="EU241" i="9"/>
  <c r="EW241" i="9"/>
  <c r="GA233" i="9"/>
  <c r="FW233" i="9"/>
  <c r="FR233" i="9"/>
  <c r="FQ233" i="9"/>
  <c r="GD233" i="9" s="1"/>
  <c r="FS233" i="9"/>
  <c r="FN236" i="9"/>
  <c r="FV236" i="9"/>
  <c r="FZ236" i="9"/>
  <c r="FK238" i="9"/>
  <c r="FL238" i="9"/>
  <c r="FH239" i="9"/>
  <c r="FJ239" i="9" s="1"/>
  <c r="FI239" i="9"/>
  <c r="ES241" i="9"/>
  <c r="EQ241" i="9"/>
  <c r="EO241" i="9"/>
  <c r="FC241" i="9" s="1"/>
  <c r="EM241" i="9"/>
  <c r="FB241" i="9" s="1"/>
  <c r="FD241" i="9" s="1"/>
  <c r="CX244" i="2" l="1"/>
  <c r="CP244" i="2"/>
  <c r="CL244" i="2"/>
  <c r="CN244" i="2"/>
  <c r="CK245" i="2"/>
  <c r="CZ243" i="2"/>
  <c r="CQ243" i="2"/>
  <c r="DA243" i="2" s="1"/>
  <c r="CU243" i="1"/>
  <c r="CY243" i="1"/>
  <c r="CP244" i="1"/>
  <c r="CR243" i="1"/>
  <c r="CW243" i="1" s="1"/>
  <c r="CV244" i="1"/>
  <c r="CQ244" i="1"/>
  <c r="CR244" i="1" s="1"/>
  <c r="CW244" i="1" s="1"/>
  <c r="CM246" i="1"/>
  <c r="CT245" i="1"/>
  <c r="CX245" i="1" s="1"/>
  <c r="CO245" i="1"/>
  <c r="CN245" i="1"/>
  <c r="EU243" i="10"/>
  <c r="EW243" i="10" s="1"/>
  <c r="EQ243" i="10"/>
  <c r="ES243" i="10" s="1"/>
  <c r="EM243" i="10"/>
  <c r="EJ243" i="10"/>
  <c r="EO243" i="10" s="1"/>
  <c r="EC245" i="10"/>
  <c r="ED245" i="10"/>
  <c r="EF245" i="10"/>
  <c r="EB245" i="10"/>
  <c r="EE245" i="10"/>
  <c r="EH244" i="10"/>
  <c r="EA246" i="10"/>
  <c r="GM242" i="9"/>
  <c r="GR242" i="9" s="1"/>
  <c r="GF242" i="9"/>
  <c r="GK232" i="9"/>
  <c r="GQ232" i="9" s="1"/>
  <c r="GG232" i="9"/>
  <c r="GS232" i="9"/>
  <c r="FV237" i="9"/>
  <c r="FZ237" i="9"/>
  <c r="GD234" i="9"/>
  <c r="GE234" i="9" s="1"/>
  <c r="GH234" i="9" s="1"/>
  <c r="FX235" i="9"/>
  <c r="FT235" i="9"/>
  <c r="GB235" i="9"/>
  <c r="FP235" i="9"/>
  <c r="FI240" i="9"/>
  <c r="FH240" i="9"/>
  <c r="FJ240" i="9" s="1"/>
  <c r="EW242" i="9"/>
  <c r="EU242" i="9"/>
  <c r="EA244" i="9"/>
  <c r="ED243" i="9"/>
  <c r="EE243" i="9"/>
  <c r="EG243" i="9"/>
  <c r="EH243" i="9"/>
  <c r="EB243" i="9"/>
  <c r="GP243" i="9"/>
  <c r="EC243" i="9"/>
  <c r="EI243" i="9"/>
  <c r="EF243" i="9"/>
  <c r="FK239" i="9"/>
  <c r="FL239" i="9"/>
  <c r="FO236" i="9"/>
  <c r="FY236" i="9"/>
  <c r="FU236" i="9"/>
  <c r="GC236" i="9"/>
  <c r="EY242" i="9"/>
  <c r="EZ242" i="9"/>
  <c r="GE233" i="9"/>
  <c r="GH233" i="9" s="1"/>
  <c r="GJ233" i="9"/>
  <c r="EO242" i="9"/>
  <c r="FC242" i="9" s="1"/>
  <c r="EM242" i="9"/>
  <c r="FB242" i="9" s="1"/>
  <c r="FD242" i="9" s="1"/>
  <c r="FE241" i="9"/>
  <c r="FG241" i="9" s="1"/>
  <c r="FH241" i="9" s="1"/>
  <c r="FJ241" i="9" s="1"/>
  <c r="FF241" i="9"/>
  <c r="FY237" i="9"/>
  <c r="GC237" i="9"/>
  <c r="FO237" i="9"/>
  <c r="FU237" i="9"/>
  <c r="FM238" i="9"/>
  <c r="ES242" i="9"/>
  <c r="EQ242" i="9"/>
  <c r="CX245" i="2" l="1"/>
  <c r="CP245" i="2"/>
  <c r="CK246" i="2"/>
  <c r="CL245" i="2"/>
  <c r="CO245" i="2" s="1"/>
  <c r="CY245" i="2" s="1"/>
  <c r="CN245" i="2"/>
  <c r="CO244" i="2"/>
  <c r="CY244" i="2" s="1"/>
  <c r="CZ244" i="2"/>
  <c r="CU244" i="1"/>
  <c r="CY244" i="1"/>
  <c r="CP245" i="1"/>
  <c r="CV245" i="1"/>
  <c r="CQ245" i="1"/>
  <c r="CM247" i="1"/>
  <c r="CT246" i="1"/>
  <c r="CX246" i="1" s="1"/>
  <c r="CO246" i="1"/>
  <c r="CN246" i="1"/>
  <c r="EU244" i="10"/>
  <c r="EW244" i="10" s="1"/>
  <c r="EQ244" i="10"/>
  <c r="ES244" i="10" s="1"/>
  <c r="EM244" i="10"/>
  <c r="EJ244" i="10"/>
  <c r="EO244" i="10" s="1"/>
  <c r="EF246" i="10"/>
  <c r="ED246" i="10"/>
  <c r="EC246" i="10"/>
  <c r="EB246" i="10"/>
  <c r="EE246" i="10"/>
  <c r="EH245" i="10"/>
  <c r="EA247" i="10"/>
  <c r="GM243" i="9"/>
  <c r="GF243" i="9"/>
  <c r="GK233" i="9"/>
  <c r="GQ233" i="9" s="1"/>
  <c r="GG233" i="9"/>
  <c r="GS233" i="9"/>
  <c r="GK234" i="9"/>
  <c r="GQ234" i="9" s="1"/>
  <c r="GG234" i="9"/>
  <c r="GS234" i="9"/>
  <c r="GR243" i="9"/>
  <c r="GJ234" i="9"/>
  <c r="FS235" i="9"/>
  <c r="FW235" i="9"/>
  <c r="FQ235" i="9"/>
  <c r="GD235" i="9" s="1"/>
  <c r="FR235" i="9"/>
  <c r="GA235" i="9"/>
  <c r="FI241" i="9"/>
  <c r="FM239" i="9"/>
  <c r="EY243" i="9"/>
  <c r="EZ243" i="9"/>
  <c r="EU243" i="9"/>
  <c r="EW243" i="9"/>
  <c r="FK241" i="9"/>
  <c r="FL241" i="9"/>
  <c r="EI244" i="9"/>
  <c r="EH244" i="9"/>
  <c r="EF244" i="9"/>
  <c r="EG244" i="9"/>
  <c r="ED244" i="9"/>
  <c r="EC244" i="9"/>
  <c r="EB244" i="9"/>
  <c r="EE244" i="9"/>
  <c r="EA245" i="9"/>
  <c r="GP244" i="9"/>
  <c r="FE242" i="9"/>
  <c r="FG242" i="9" s="1"/>
  <c r="FF242" i="9"/>
  <c r="ES243" i="9"/>
  <c r="EQ243" i="9"/>
  <c r="FV238" i="9"/>
  <c r="FN238" i="9"/>
  <c r="FZ238" i="9"/>
  <c r="EO243" i="9"/>
  <c r="FC243" i="9" s="1"/>
  <c r="EM243" i="9"/>
  <c r="FB243" i="9" s="1"/>
  <c r="FD243" i="9" s="1"/>
  <c r="FK240" i="9"/>
  <c r="FL240" i="9"/>
  <c r="FT237" i="9"/>
  <c r="FP237" i="9"/>
  <c r="GB237" i="9"/>
  <c r="FX237" i="9"/>
  <c r="FP236" i="9"/>
  <c r="FT236" i="9"/>
  <c r="GB236" i="9"/>
  <c r="FX236" i="9"/>
  <c r="CQ244" i="2" l="1"/>
  <c r="DA244" i="2" s="1"/>
  <c r="CX246" i="2"/>
  <c r="CP246" i="2"/>
  <c r="CZ246" i="2" s="1"/>
  <c r="CN246" i="2"/>
  <c r="CL246" i="2"/>
  <c r="CO246" i="2" s="1"/>
  <c r="CK247" i="2"/>
  <c r="CZ245" i="2"/>
  <c r="CQ245" i="2"/>
  <c r="DA245" i="2" s="1"/>
  <c r="CU245" i="1"/>
  <c r="CY245" i="1"/>
  <c r="CR245" i="1"/>
  <c r="CW245" i="1" s="1"/>
  <c r="CV246" i="1"/>
  <c r="CQ246" i="1"/>
  <c r="CP246" i="1"/>
  <c r="CM248" i="1"/>
  <c r="CT247" i="1"/>
  <c r="CX247" i="1" s="1"/>
  <c r="CO247" i="1"/>
  <c r="CN247" i="1"/>
  <c r="EQ245" i="10"/>
  <c r="ES245" i="10" s="1"/>
  <c r="EU245" i="10"/>
  <c r="EW245" i="10" s="1"/>
  <c r="EM245" i="10"/>
  <c r="EJ245" i="10"/>
  <c r="EO245" i="10" s="1"/>
  <c r="EH246" i="10"/>
  <c r="ED247" i="10"/>
  <c r="EF247" i="10"/>
  <c r="EC247" i="10"/>
  <c r="EE247" i="10"/>
  <c r="EB247" i="10"/>
  <c r="EA248" i="10"/>
  <c r="GM244" i="9"/>
  <c r="GF244" i="9"/>
  <c r="GR244" i="9"/>
  <c r="GE235" i="9"/>
  <c r="GH235" i="9" s="1"/>
  <c r="GJ235" i="9"/>
  <c r="FM241" i="9"/>
  <c r="FZ241" i="9" s="1"/>
  <c r="EE245" i="9"/>
  <c r="EH245" i="9"/>
  <c r="EA246" i="9"/>
  <c r="ED245" i="9"/>
  <c r="EF245" i="9"/>
  <c r="GP245" i="9"/>
  <c r="EC245" i="9"/>
  <c r="EG245" i="9"/>
  <c r="EI245" i="9"/>
  <c r="EB245" i="9"/>
  <c r="GC238" i="9"/>
  <c r="FY238" i="9"/>
  <c r="FU238" i="9"/>
  <c r="FO238" i="9"/>
  <c r="EZ244" i="9"/>
  <c r="EY244" i="9"/>
  <c r="FS237" i="9"/>
  <c r="FR237" i="9"/>
  <c r="FW237" i="9"/>
  <c r="FQ237" i="9"/>
  <c r="GD237" i="9" s="1"/>
  <c r="GA237" i="9"/>
  <c r="EO244" i="9"/>
  <c r="FC244" i="9" s="1"/>
  <c r="EM244" i="9"/>
  <c r="FB244" i="9" s="1"/>
  <c r="FD244" i="9" s="1"/>
  <c r="EQ244" i="9"/>
  <c r="ES244" i="9"/>
  <c r="FM240" i="9"/>
  <c r="EW244" i="9"/>
  <c r="EU244" i="9"/>
  <c r="FF243" i="9"/>
  <c r="FE243" i="9"/>
  <c r="FG243" i="9" s="1"/>
  <c r="FH243" i="9" s="1"/>
  <c r="FJ243" i="9" s="1"/>
  <c r="FH242" i="9"/>
  <c r="FJ242" i="9" s="1"/>
  <c r="FI242" i="9"/>
  <c r="FR236" i="9"/>
  <c r="FS236" i="9"/>
  <c r="GA236" i="9"/>
  <c r="FW236" i="9"/>
  <c r="FQ236" i="9"/>
  <c r="GD236" i="9" s="1"/>
  <c r="FV239" i="9"/>
  <c r="FZ239" i="9"/>
  <c r="FN239" i="9"/>
  <c r="CX247" i="2" l="1"/>
  <c r="CP247" i="2"/>
  <c r="CL247" i="2"/>
  <c r="CO247" i="2" s="1"/>
  <c r="CY247" i="2" s="1"/>
  <c r="CN247" i="2"/>
  <c r="CK248" i="2"/>
  <c r="CQ246" i="2"/>
  <c r="DA246" i="2" s="1"/>
  <c r="CY246" i="2"/>
  <c r="CU246" i="1"/>
  <c r="CY246" i="1"/>
  <c r="CR246" i="1"/>
  <c r="CW246" i="1" s="1"/>
  <c r="CV247" i="1"/>
  <c r="CQ247" i="1"/>
  <c r="CP247" i="1"/>
  <c r="CM249" i="1"/>
  <c r="CT248" i="1"/>
  <c r="CX248" i="1" s="1"/>
  <c r="CO248" i="1"/>
  <c r="CN248" i="1"/>
  <c r="EU246" i="10"/>
  <c r="EW246" i="10" s="1"/>
  <c r="EQ246" i="10"/>
  <c r="ES246" i="10" s="1"/>
  <c r="EH247" i="10"/>
  <c r="EM246" i="10"/>
  <c r="EJ246" i="10"/>
  <c r="EO246" i="10" s="1"/>
  <c r="EC248" i="10"/>
  <c r="ED248" i="10"/>
  <c r="EF248" i="10"/>
  <c r="EB248" i="10"/>
  <c r="EE248" i="10"/>
  <c r="EA249" i="10"/>
  <c r="GM245" i="9"/>
  <c r="GR245" i="9" s="1"/>
  <c r="GF245" i="9"/>
  <c r="GK235" i="9"/>
  <c r="GQ235" i="9" s="1"/>
  <c r="GG235" i="9"/>
  <c r="GS235" i="9"/>
  <c r="FV241" i="9"/>
  <c r="FN241" i="9"/>
  <c r="FO241" i="9" s="1"/>
  <c r="FI243" i="9"/>
  <c r="GJ236" i="9"/>
  <c r="GE236" i="9"/>
  <c r="GH236" i="9" s="1"/>
  <c r="EQ245" i="9"/>
  <c r="ES245" i="9"/>
  <c r="GB238" i="9"/>
  <c r="FP238" i="9"/>
  <c r="FX238" i="9"/>
  <c r="FT238" i="9"/>
  <c r="GE237" i="9"/>
  <c r="GH237" i="9" s="1"/>
  <c r="GJ237" i="9"/>
  <c r="FZ240" i="9"/>
  <c r="FN240" i="9"/>
  <c r="FV240" i="9"/>
  <c r="EW245" i="9"/>
  <c r="EU245" i="9"/>
  <c r="GP246" i="9"/>
  <c r="ED246" i="9"/>
  <c r="EG246" i="9"/>
  <c r="EB246" i="9"/>
  <c r="EE246" i="9"/>
  <c r="EF246" i="9"/>
  <c r="EH246" i="9"/>
  <c r="EI246" i="9"/>
  <c r="EC246" i="9"/>
  <c r="EA247" i="9"/>
  <c r="FL242" i="9"/>
  <c r="FK242" i="9"/>
  <c r="EO245" i="9"/>
  <c r="FC245" i="9" s="1"/>
  <c r="EM245" i="9"/>
  <c r="FB245" i="9" s="1"/>
  <c r="FD245" i="9" s="1"/>
  <c r="FU239" i="9"/>
  <c r="GC239" i="9"/>
  <c r="FY239" i="9"/>
  <c r="FO239" i="9"/>
  <c r="FF244" i="9"/>
  <c r="FE244" i="9"/>
  <c r="FG244" i="9" s="1"/>
  <c r="FL243" i="9"/>
  <c r="FK243" i="9"/>
  <c r="EY245" i="9"/>
  <c r="EZ245" i="9"/>
  <c r="CX248" i="2" l="1"/>
  <c r="CP248" i="2"/>
  <c r="CL248" i="2"/>
  <c r="CO248" i="2" s="1"/>
  <c r="CY248" i="2" s="1"/>
  <c r="CN248" i="2"/>
  <c r="CK249" i="2"/>
  <c r="CZ247" i="2"/>
  <c r="CQ247" i="2"/>
  <c r="DA247" i="2" s="1"/>
  <c r="CU247" i="1"/>
  <c r="CY247" i="1"/>
  <c r="CR247" i="1"/>
  <c r="CW247" i="1" s="1"/>
  <c r="CP248" i="1"/>
  <c r="CV248" i="1"/>
  <c r="CQ248" i="1"/>
  <c r="CM250" i="1"/>
  <c r="CT249" i="1"/>
  <c r="CX249" i="1" s="1"/>
  <c r="CO249" i="1"/>
  <c r="CN249" i="1"/>
  <c r="EU247" i="10"/>
  <c r="EW247" i="10" s="1"/>
  <c r="EQ247" i="10"/>
  <c r="ES247" i="10" s="1"/>
  <c r="EH248" i="10"/>
  <c r="EM247" i="10"/>
  <c r="EJ247" i="10"/>
  <c r="EO247" i="10" s="1"/>
  <c r="EC249" i="10"/>
  <c r="EF249" i="10"/>
  <c r="ED249" i="10"/>
  <c r="EE249" i="10"/>
  <c r="EB249" i="10"/>
  <c r="EA250" i="10"/>
  <c r="GM246" i="9"/>
  <c r="GR246" i="9" s="1"/>
  <c r="GF246" i="9"/>
  <c r="GK236" i="9"/>
  <c r="GQ236" i="9" s="1"/>
  <c r="GG236" i="9"/>
  <c r="GS236" i="9"/>
  <c r="GK237" i="9"/>
  <c r="GQ237" i="9" s="1"/>
  <c r="GG237" i="9"/>
  <c r="GS237" i="9"/>
  <c r="GC241" i="9"/>
  <c r="FY241" i="9"/>
  <c r="FU241" i="9"/>
  <c r="FM243" i="9"/>
  <c r="FV243" i="9" s="1"/>
  <c r="EZ246" i="9"/>
  <c r="EY246" i="9"/>
  <c r="FH244" i="9"/>
  <c r="FJ244" i="9" s="1"/>
  <c r="FI244" i="9"/>
  <c r="FM242" i="9"/>
  <c r="FW238" i="9"/>
  <c r="FQ238" i="9"/>
  <c r="GD238" i="9" s="1"/>
  <c r="FR238" i="9"/>
  <c r="FS238" i="9"/>
  <c r="GA238" i="9"/>
  <c r="FP239" i="9"/>
  <c r="GB239" i="9"/>
  <c r="FT239" i="9"/>
  <c r="FX239" i="9"/>
  <c r="EB247" i="9"/>
  <c r="GP247" i="9"/>
  <c r="EC247" i="9"/>
  <c r="EE247" i="9"/>
  <c r="EF247" i="9"/>
  <c r="EI247" i="9"/>
  <c r="EH247" i="9"/>
  <c r="EA248" i="9"/>
  <c r="EG247" i="9"/>
  <c r="ED247" i="9"/>
  <c r="EU246" i="9"/>
  <c r="EW246" i="9"/>
  <c r="EQ246" i="9"/>
  <c r="ES246" i="9"/>
  <c r="FO240" i="9"/>
  <c r="GC240" i="9"/>
  <c r="FU240" i="9"/>
  <c r="FY240" i="9"/>
  <c r="FX241" i="9"/>
  <c r="FP241" i="9"/>
  <c r="GB241" i="9"/>
  <c r="FT241" i="9"/>
  <c r="EO246" i="9"/>
  <c r="FC246" i="9" s="1"/>
  <c r="EM246" i="9"/>
  <c r="FB246" i="9" s="1"/>
  <c r="FD246" i="9" s="1"/>
  <c r="FE245" i="9"/>
  <c r="FG245" i="9" s="1"/>
  <c r="FF245" i="9"/>
  <c r="CX249" i="2" l="1"/>
  <c r="CP249" i="2"/>
  <c r="CN249" i="2"/>
  <c r="CL249" i="2"/>
  <c r="CO249" i="2" s="1"/>
  <c r="CY249" i="2" s="1"/>
  <c r="CK250" i="2"/>
  <c r="CZ248" i="2"/>
  <c r="CQ248" i="2"/>
  <c r="DA248" i="2" s="1"/>
  <c r="CU248" i="1"/>
  <c r="CY248" i="1"/>
  <c r="CR248" i="1"/>
  <c r="CW248" i="1" s="1"/>
  <c r="CV249" i="1"/>
  <c r="CQ249" i="1"/>
  <c r="CP249" i="1"/>
  <c r="CM251" i="1"/>
  <c r="CT250" i="1"/>
  <c r="CX250" i="1" s="1"/>
  <c r="CO250" i="1"/>
  <c r="CN250" i="1"/>
  <c r="EQ248" i="10"/>
  <c r="ES248" i="10" s="1"/>
  <c r="EU248" i="10"/>
  <c r="EW248" i="10" s="1"/>
  <c r="EH249" i="10"/>
  <c r="EM248" i="10"/>
  <c r="EJ248" i="10"/>
  <c r="EO248" i="10" s="1"/>
  <c r="EC250" i="10"/>
  <c r="ED250" i="10"/>
  <c r="EF250" i="10"/>
  <c r="EB250" i="10"/>
  <c r="EE250" i="10"/>
  <c r="GM247" i="9"/>
  <c r="GF247" i="9"/>
  <c r="GR247" i="9"/>
  <c r="FN243" i="9"/>
  <c r="FO243" i="9" s="1"/>
  <c r="FZ243" i="9"/>
  <c r="FF246" i="9"/>
  <c r="FE246" i="9"/>
  <c r="FG246" i="9" s="1"/>
  <c r="EU247" i="9"/>
  <c r="EW247" i="9"/>
  <c r="FH245" i="9"/>
  <c r="FJ245" i="9" s="1"/>
  <c r="FI245" i="9"/>
  <c r="EO247" i="9"/>
  <c r="FC247" i="9" s="1"/>
  <c r="EM247" i="9"/>
  <c r="FB247" i="9" s="1"/>
  <c r="FD247" i="9" s="1"/>
  <c r="GJ238" i="9"/>
  <c r="GE238" i="9"/>
  <c r="GH238" i="9" s="1"/>
  <c r="EG248" i="9"/>
  <c r="EI248" i="9"/>
  <c r="EH248" i="9"/>
  <c r="ED248" i="9"/>
  <c r="EF248" i="9"/>
  <c r="EC248" i="9"/>
  <c r="GP248" i="9"/>
  <c r="EB248" i="9"/>
  <c r="EE248" i="9"/>
  <c r="EA249" i="9"/>
  <c r="GA241" i="9"/>
  <c r="FW241" i="9"/>
  <c r="FR241" i="9"/>
  <c r="FQ241" i="9"/>
  <c r="GD241" i="9" s="1"/>
  <c r="FS241" i="9"/>
  <c r="FT240" i="9"/>
  <c r="FP240" i="9"/>
  <c r="GB240" i="9"/>
  <c r="FX240" i="9"/>
  <c r="FN242" i="9"/>
  <c r="FZ242" i="9"/>
  <c r="FV242" i="9"/>
  <c r="GA239" i="9"/>
  <c r="FQ239" i="9"/>
  <c r="GD239" i="9" s="1"/>
  <c r="FR239" i="9"/>
  <c r="FS239" i="9"/>
  <c r="FW239" i="9"/>
  <c r="FK244" i="9"/>
  <c r="FL244" i="9"/>
  <c r="EZ247" i="9"/>
  <c r="EY247" i="9"/>
  <c r="ES247" i="9"/>
  <c r="EQ247" i="9"/>
  <c r="CX250" i="2" l="1"/>
  <c r="CP250" i="2"/>
  <c r="CN250" i="2"/>
  <c r="CL250" i="2"/>
  <c r="CO250" i="2" s="1"/>
  <c r="CY250" i="2" s="1"/>
  <c r="CZ249" i="2"/>
  <c r="CQ249" i="2"/>
  <c r="DA249" i="2" s="1"/>
  <c r="CU249" i="1"/>
  <c r="CY249" i="1"/>
  <c r="CR249" i="1"/>
  <c r="CW249" i="1" s="1"/>
  <c r="CV250" i="1"/>
  <c r="CQ250" i="1"/>
  <c r="CP250" i="1"/>
  <c r="CT251" i="1"/>
  <c r="CX251" i="1" s="1"/>
  <c r="CO251" i="1"/>
  <c r="CN251" i="1"/>
  <c r="EM249" i="10"/>
  <c r="EU249" i="10"/>
  <c r="EW249" i="10" s="1"/>
  <c r="EQ249" i="10"/>
  <c r="ES249" i="10" s="1"/>
  <c r="EJ249" i="10"/>
  <c r="EO249" i="10" s="1"/>
  <c r="EH250" i="10"/>
  <c r="GM248" i="9"/>
  <c r="GR248" i="9" s="1"/>
  <c r="GF248" i="9"/>
  <c r="GK238" i="9"/>
  <c r="GQ238" i="9" s="1"/>
  <c r="GG238" i="9"/>
  <c r="GS238" i="9"/>
  <c r="GC243" i="9"/>
  <c r="FY243" i="9"/>
  <c r="FU243" i="9"/>
  <c r="FF247" i="9"/>
  <c r="FM244" i="9"/>
  <c r="FZ244" i="9" s="1"/>
  <c r="FE247" i="9"/>
  <c r="FG247" i="9" s="1"/>
  <c r="GJ241" i="9"/>
  <c r="GE241" i="9"/>
  <c r="GH241" i="9" s="1"/>
  <c r="EQ248" i="9"/>
  <c r="ES248" i="9"/>
  <c r="FU242" i="9"/>
  <c r="GC242" i="9"/>
  <c r="FO242" i="9"/>
  <c r="FY242" i="9"/>
  <c r="EW248" i="9"/>
  <c r="EU248" i="9"/>
  <c r="FL245" i="9"/>
  <c r="FK245" i="9"/>
  <c r="EA250" i="9"/>
  <c r="EB249" i="9"/>
  <c r="EF249" i="9"/>
  <c r="EH249" i="9"/>
  <c r="EE249" i="9"/>
  <c r="EI249" i="9"/>
  <c r="ED249" i="9"/>
  <c r="GP249" i="9"/>
  <c r="EC249" i="9"/>
  <c r="EG249" i="9"/>
  <c r="GJ239" i="9"/>
  <c r="GE239" i="9"/>
  <c r="GH239" i="9" s="1"/>
  <c r="FR240" i="9"/>
  <c r="FQ240" i="9"/>
  <c r="GD240" i="9" s="1"/>
  <c r="FW240" i="9"/>
  <c r="FS240" i="9"/>
  <c r="GA240" i="9"/>
  <c r="EZ248" i="9"/>
  <c r="EY248" i="9"/>
  <c r="EO248" i="9"/>
  <c r="FC248" i="9" s="1"/>
  <c r="EM248" i="9"/>
  <c r="FB248" i="9" s="1"/>
  <c r="FD248" i="9" s="1"/>
  <c r="FH246" i="9"/>
  <c r="FJ246" i="9" s="1"/>
  <c r="FI246" i="9"/>
  <c r="FT243" i="9"/>
  <c r="FX243" i="9"/>
  <c r="GB243" i="9"/>
  <c r="FP243" i="9"/>
  <c r="CZ250" i="2" l="1"/>
  <c r="CQ250" i="2"/>
  <c r="DA250" i="2" s="1"/>
  <c r="CU250" i="1"/>
  <c r="CY250" i="1"/>
  <c r="CR250" i="1"/>
  <c r="CW250" i="1" s="1"/>
  <c r="CV251" i="1"/>
  <c r="CQ251" i="1"/>
  <c r="CP251" i="1"/>
  <c r="EU250" i="10"/>
  <c r="EW250" i="10" s="1"/>
  <c r="EQ250" i="10"/>
  <c r="ES250" i="10" s="1"/>
  <c r="EM250" i="10"/>
  <c r="EJ250" i="10"/>
  <c r="EO250" i="10" s="1"/>
  <c r="GM249" i="9"/>
  <c r="GF249" i="9"/>
  <c r="GK241" i="9"/>
  <c r="GQ241" i="9" s="1"/>
  <c r="GG241" i="9"/>
  <c r="GS241" i="9"/>
  <c r="GK239" i="9"/>
  <c r="GQ239" i="9" s="1"/>
  <c r="GG239" i="9"/>
  <c r="GS239" i="9"/>
  <c r="GR249" i="9"/>
  <c r="FI247" i="9"/>
  <c r="FH247" i="9"/>
  <c r="FJ247" i="9" s="1"/>
  <c r="FL247" i="9" s="1"/>
  <c r="FV244" i="9"/>
  <c r="FN244" i="9"/>
  <c r="EO249" i="9"/>
  <c r="FC249" i="9" s="1"/>
  <c r="EM249" i="9"/>
  <c r="FB249" i="9" s="1"/>
  <c r="FD249" i="9" s="1"/>
  <c r="EQ249" i="9"/>
  <c r="ES249" i="9"/>
  <c r="EE250" i="9"/>
  <c r="EG250" i="9"/>
  <c r="EC250" i="9"/>
  <c r="GP250" i="9"/>
  <c r="ED250" i="9"/>
  <c r="EF250" i="9"/>
  <c r="EI250" i="9"/>
  <c r="EH250" i="9"/>
  <c r="EB250" i="9"/>
  <c r="FL246" i="9"/>
  <c r="FK246" i="9"/>
  <c r="EW249" i="9"/>
  <c r="EU249" i="9"/>
  <c r="FM245" i="9"/>
  <c r="GE240" i="9"/>
  <c r="GH240" i="9" s="1"/>
  <c r="GJ240" i="9"/>
  <c r="FE248" i="9"/>
  <c r="FG248" i="9" s="1"/>
  <c r="FF248" i="9"/>
  <c r="EY249" i="9"/>
  <c r="EZ249" i="9"/>
  <c r="GA243" i="9"/>
  <c r="FQ243" i="9"/>
  <c r="GD243" i="9" s="1"/>
  <c r="FR243" i="9"/>
  <c r="FS243" i="9"/>
  <c r="FW243" i="9"/>
  <c r="GB242" i="9"/>
  <c r="FP242" i="9"/>
  <c r="FT242" i="9"/>
  <c r="FX242" i="9"/>
  <c r="CU251" i="1" l="1"/>
  <c r="CY251" i="1"/>
  <c r="CR251" i="1"/>
  <c r="CW251" i="1" s="1"/>
  <c r="GM250" i="9"/>
  <c r="GF250" i="9"/>
  <c r="GK240" i="9"/>
  <c r="GQ240" i="9" s="1"/>
  <c r="GG240" i="9"/>
  <c r="GS240" i="9"/>
  <c r="GR250" i="9"/>
  <c r="FK247" i="9"/>
  <c r="FM247" i="9" s="1"/>
  <c r="FY244" i="9"/>
  <c r="FO244" i="9"/>
  <c r="FU244" i="9"/>
  <c r="GC244" i="9"/>
  <c r="FM246" i="9"/>
  <c r="FN246" i="9" s="1"/>
  <c r="FY246" i="9" s="1"/>
  <c r="FH248" i="9"/>
  <c r="FJ248" i="9" s="1"/>
  <c r="FI248" i="9"/>
  <c r="EQ250" i="9"/>
  <c r="ES250" i="9"/>
  <c r="EO250" i="9"/>
  <c r="FC250" i="9" s="1"/>
  <c r="EM250" i="9"/>
  <c r="FB250" i="9" s="1"/>
  <c r="FD250" i="9" s="1"/>
  <c r="EZ250" i="9"/>
  <c r="EY250" i="9"/>
  <c r="GE243" i="9"/>
  <c r="GH243" i="9" s="1"/>
  <c r="GJ243" i="9"/>
  <c r="FN245" i="9"/>
  <c r="FV245" i="9"/>
  <c r="FZ245" i="9"/>
  <c r="FE249" i="9"/>
  <c r="FG249" i="9" s="1"/>
  <c r="FF249" i="9"/>
  <c r="GA242" i="9"/>
  <c r="FQ242" i="9"/>
  <c r="GD242" i="9" s="1"/>
  <c r="FR242" i="9"/>
  <c r="FW242" i="9"/>
  <c r="FS242" i="9"/>
  <c r="EU250" i="9"/>
  <c r="EW250" i="9"/>
  <c r="GK243" i="9" l="1"/>
  <c r="GQ243" i="9" s="1"/>
  <c r="GG243" i="9"/>
  <c r="GS243" i="9"/>
  <c r="FV246" i="9"/>
  <c r="FO246" i="9"/>
  <c r="GB246" i="9" s="1"/>
  <c r="GC246" i="9"/>
  <c r="FU246" i="9"/>
  <c r="GB244" i="9"/>
  <c r="FT244" i="9"/>
  <c r="FP244" i="9"/>
  <c r="FX244" i="9"/>
  <c r="FZ246" i="9"/>
  <c r="FI249" i="9"/>
  <c r="FH249" i="9"/>
  <c r="FJ249" i="9" s="1"/>
  <c r="FF250" i="9"/>
  <c r="FE250" i="9"/>
  <c r="FG250" i="9" s="1"/>
  <c r="FH250" i="9" s="1"/>
  <c r="FJ250" i="9" s="1"/>
  <c r="GC245" i="9"/>
  <c r="FY245" i="9"/>
  <c r="FU245" i="9"/>
  <c r="FO245" i="9"/>
  <c r="GE242" i="9"/>
  <c r="GH242" i="9" s="1"/>
  <c r="GJ242" i="9"/>
  <c r="FZ247" i="9"/>
  <c r="FV247" i="9"/>
  <c r="FN247" i="9"/>
  <c r="FK248" i="9"/>
  <c r="FL248" i="9"/>
  <c r="AJ77" i="3"/>
  <c r="GK242" i="9" l="1"/>
  <c r="GQ242" i="9" s="1"/>
  <c r="GG242" i="9"/>
  <c r="GS242" i="9"/>
  <c r="FX246" i="9"/>
  <c r="FP246" i="9"/>
  <c r="FW246" i="9" s="1"/>
  <c r="FT246" i="9"/>
  <c r="FQ244" i="9"/>
  <c r="GD244" i="9" s="1"/>
  <c r="FR244" i="9"/>
  <c r="FS244" i="9"/>
  <c r="FW244" i="9"/>
  <c r="GA244" i="9"/>
  <c r="FM248" i="9"/>
  <c r="FV248" i="9" s="1"/>
  <c r="FP245" i="9"/>
  <c r="FT245" i="9"/>
  <c r="GB245" i="9"/>
  <c r="FX245" i="9"/>
  <c r="FU247" i="9"/>
  <c r="FY247" i="9"/>
  <c r="GC247" i="9"/>
  <c r="FO247" i="9"/>
  <c r="FK250" i="9"/>
  <c r="FL250" i="9"/>
  <c r="FI250" i="9"/>
  <c r="FL249" i="9"/>
  <c r="FK249" i="9"/>
  <c r="GA246" i="9" l="1"/>
  <c r="FQ246" i="9"/>
  <c r="GD246" i="9" s="1"/>
  <c r="FS246" i="9"/>
  <c r="FR246" i="9"/>
  <c r="FZ248" i="9"/>
  <c r="FN248" i="9"/>
  <c r="FU248" i="9" s="1"/>
  <c r="GE244" i="9"/>
  <c r="GH244" i="9" s="1"/>
  <c r="GJ244" i="9"/>
  <c r="FM249" i="9"/>
  <c r="FN249" i="9" s="1"/>
  <c r="FM250" i="9"/>
  <c r="FX247" i="9"/>
  <c r="FP247" i="9"/>
  <c r="FT247" i="9"/>
  <c r="GB247" i="9"/>
  <c r="FQ245" i="9"/>
  <c r="GD245" i="9" s="1"/>
  <c r="GA245" i="9"/>
  <c r="FS245" i="9"/>
  <c r="FW245" i="9"/>
  <c r="FR245" i="9"/>
  <c r="GK244" i="9" l="1"/>
  <c r="GQ244" i="9" s="1"/>
  <c r="GG244" i="9"/>
  <c r="GS244" i="9"/>
  <c r="GJ246" i="9"/>
  <c r="GE246" i="9"/>
  <c r="GH246" i="9" s="1"/>
  <c r="GC248" i="9"/>
  <c r="FY248" i="9"/>
  <c r="FO248" i="9"/>
  <c r="FV249" i="9"/>
  <c r="FZ249" i="9"/>
  <c r="FV250" i="9"/>
  <c r="FN250" i="9"/>
  <c r="FZ250" i="9"/>
  <c r="FR247" i="9"/>
  <c r="FS247" i="9"/>
  <c r="FQ247" i="9"/>
  <c r="GD247" i="9" s="1"/>
  <c r="GA247" i="9"/>
  <c r="FW247" i="9"/>
  <c r="GJ245" i="9"/>
  <c r="GE245" i="9"/>
  <c r="GH245" i="9" s="1"/>
  <c r="GC249" i="9"/>
  <c r="FO249" i="9"/>
  <c r="FU249" i="9"/>
  <c r="FY249" i="9"/>
  <c r="AA77" i="1"/>
  <c r="GK246" i="9" l="1"/>
  <c r="GQ246" i="9" s="1"/>
  <c r="GG246" i="9"/>
  <c r="GS246" i="9"/>
  <c r="GK245" i="9"/>
  <c r="GQ245" i="9" s="1"/>
  <c r="GG245" i="9"/>
  <c r="GS245" i="9"/>
  <c r="GB248" i="9"/>
  <c r="FT248" i="9"/>
  <c r="FP248" i="9"/>
  <c r="FX248" i="9"/>
  <c r="GJ247" i="9"/>
  <c r="GE247" i="9"/>
  <c r="GH247" i="9" s="1"/>
  <c r="FX249" i="9"/>
  <c r="GB249" i="9"/>
  <c r="FP249" i="9"/>
  <c r="FT249" i="9"/>
  <c r="FU250" i="9"/>
  <c r="GC250" i="9"/>
  <c r="FY250" i="9"/>
  <c r="FO250" i="9"/>
  <c r="GK247" i="9" l="1"/>
  <c r="GQ247" i="9" s="1"/>
  <c r="GG247" i="9"/>
  <c r="GS247" i="9"/>
  <c r="FR248" i="9"/>
  <c r="FW248" i="9"/>
  <c r="FQ248" i="9"/>
  <c r="GD248" i="9" s="1"/>
  <c r="FS248" i="9"/>
  <c r="GA248" i="9"/>
  <c r="FQ249" i="9"/>
  <c r="GD249" i="9" s="1"/>
  <c r="FR249" i="9"/>
  <c r="FW249" i="9"/>
  <c r="FS249" i="9"/>
  <c r="GA249" i="9"/>
  <c r="GB250" i="9"/>
  <c r="FT250" i="9"/>
  <c r="FX250" i="9"/>
  <c r="FP250" i="9"/>
  <c r="GJ248" i="9" l="1"/>
  <c r="GE248" i="9"/>
  <c r="GH248" i="9" s="1"/>
  <c r="FW250" i="9"/>
  <c r="FQ250" i="9"/>
  <c r="GD250" i="9" s="1"/>
  <c r="FR250" i="9"/>
  <c r="FS250" i="9"/>
  <c r="GA250" i="9"/>
  <c r="GE249" i="9"/>
  <c r="GH249" i="9" s="1"/>
  <c r="GJ249" i="9"/>
  <c r="JE6" i="9"/>
  <c r="GK249" i="9" l="1"/>
  <c r="GQ249" i="9" s="1"/>
  <c r="GG249" i="9"/>
  <c r="GS249" i="9"/>
  <c r="GK248" i="9"/>
  <c r="GQ248" i="9" s="1"/>
  <c r="GG248" i="9"/>
  <c r="GS248" i="9"/>
  <c r="GJ250" i="9"/>
  <c r="GE250" i="9"/>
  <c r="GH250" i="9" s="1"/>
  <c r="GK250" i="9" l="1"/>
  <c r="GQ250" i="9" s="1"/>
  <c r="GG250" i="9"/>
  <c r="GS250"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<sst xmlns="http://schemas.openxmlformats.org/spreadsheetml/2006/main" count="2297" uniqueCount="747">
  <si>
    <t>X</t>
  </si>
  <si>
    <t>PO Box 942</t>
  </si>
  <si>
    <t>HARM #</t>
  </si>
  <si>
    <t xml:space="preserve"> </t>
  </si>
  <si>
    <t>Saratoga Springs, NY 12866</t>
  </si>
  <si>
    <t>518.369.7589</t>
  </si>
  <si>
    <t>Harmonic Filter Design / Notch Type</t>
  </si>
  <si>
    <t>📐 DESIGN VERIFICATION</t>
  </si>
  <si>
    <t>📜 PROJECT DETAILS</t>
  </si>
  <si>
    <t>Capacitor Design Ratings Versus Duty Rating</t>
  </si>
  <si>
    <t>Design Values</t>
  </si>
  <si>
    <t>Project Name:</t>
  </si>
  <si>
    <t>Enter Project Name</t>
  </si>
  <si>
    <t>VarStec SO #:</t>
  </si>
  <si>
    <t>Enter SO Number</t>
  </si>
  <si>
    <t>At Nominal
Voltage</t>
  </si>
  <si>
    <t>Customer PO #:</t>
  </si>
  <si>
    <t xml:space="preserve">Enter Customer PO # </t>
  </si>
  <si>
    <t>Revision #:</t>
  </si>
  <si>
    <t>Rev 1</t>
  </si>
  <si>
    <t>Design Parameter</t>
  </si>
  <si>
    <t>Rated Duty</t>
  </si>
  <si>
    <t>Tag #:</t>
  </si>
  <si>
    <t>Enter Tag Number</t>
  </si>
  <si>
    <t>Stage/Branch:</t>
  </si>
  <si>
    <t>Stage 1</t>
  </si>
  <si>
    <t>% RATED VOLTS:</t>
  </si>
  <si>
    <t>% CREST VOLTAGE:</t>
  </si>
  <si>
    <t>🧮 SPECIFICATION DETAILS</t>
  </si>
  <si>
    <t>Key Filter Ratings</t>
  </si>
  <si>
    <r>
      <t xml:space="preserve">DF </t>
    </r>
    <r>
      <rPr>
        <sz val="11"/>
        <color theme="1"/>
        <rFont val="Calibri"/>
        <family val="2"/>
        <scheme val="minor"/>
      </rPr>
      <t>(Damping Factor of High-Pass Filter):</t>
    </r>
  </si>
  <si>
    <r>
      <t>kV</t>
    </r>
    <r>
      <rPr>
        <b/>
        <vertAlign val="subscript"/>
        <sz val="11"/>
        <color theme="1"/>
        <rFont val="Calibri"/>
        <family val="2"/>
        <scheme val="minor"/>
      </rPr>
      <t xml:space="preserve">LLsys </t>
    </r>
    <r>
      <rPr>
        <sz val="11"/>
        <color theme="1"/>
        <rFont val="Calibri"/>
        <family val="2"/>
        <scheme val="minor"/>
      </rPr>
      <t>(System Line-to-Line Voltage Rating):</t>
    </r>
  </si>
  <si>
    <t>kV</t>
  </si>
  <si>
    <r>
      <t>X</t>
    </r>
    <r>
      <rPr>
        <b/>
        <vertAlign val="subscript"/>
        <sz val="11"/>
        <color theme="1"/>
        <rFont val="Calibri"/>
        <family val="2"/>
        <scheme val="minor"/>
      </rPr>
      <t xml:space="preserve">eff </t>
    </r>
    <r>
      <rPr>
        <sz val="11"/>
        <color theme="1"/>
        <rFont val="Calibri"/>
        <family val="2"/>
        <scheme val="minor"/>
      </rPr>
      <t>Filter Effective Reactance)</t>
    </r>
    <r>
      <rPr>
        <b/>
        <sz val="11"/>
        <color theme="1"/>
        <rFont val="Calibri"/>
        <family val="2"/>
        <scheme val="minor"/>
      </rPr>
      <t>:</t>
    </r>
  </si>
  <si>
    <t>Ohms</t>
  </si>
  <si>
    <t>High-Pass Resistor Losses:</t>
  </si>
  <si>
    <r>
      <t>Q</t>
    </r>
    <r>
      <rPr>
        <b/>
        <vertAlign val="subscript"/>
        <sz val="11"/>
        <color theme="1"/>
        <rFont val="Calibri"/>
        <family val="2"/>
        <scheme val="minor"/>
      </rPr>
      <t>eff</t>
    </r>
    <r>
      <rPr>
        <vertAlign val="subscript"/>
        <sz val="11"/>
        <color theme="1"/>
        <rFont val="Calibri"/>
        <family val="2"/>
        <scheme val="minor"/>
      </rPr>
      <t xml:space="preserve"> </t>
    </r>
    <r>
      <rPr>
        <sz val="11"/>
        <color theme="1"/>
        <rFont val="Calibri"/>
        <family val="2"/>
        <scheme val="minor"/>
      </rPr>
      <t>(3-Phase Output Rating of Filter):</t>
    </r>
  </si>
  <si>
    <t>kvar</t>
  </si>
  <si>
    <r>
      <t>I</t>
    </r>
    <r>
      <rPr>
        <b/>
        <vertAlign val="subscript"/>
        <sz val="11"/>
        <color theme="1"/>
        <rFont val="Calibri"/>
        <family val="2"/>
        <scheme val="minor"/>
      </rPr>
      <t>CAP</t>
    </r>
    <r>
      <rPr>
        <sz val="11"/>
        <color theme="1"/>
        <rFont val="Calibri"/>
        <family val="2"/>
        <scheme val="minor"/>
      </rPr>
      <t xml:space="preserve"> (Fundamental Current per Capacitor</t>
    </r>
    <r>
      <rPr>
        <b/>
        <sz val="11"/>
        <color theme="1"/>
        <rFont val="Calibri"/>
        <family val="2"/>
        <scheme val="minor"/>
      </rPr>
      <t>):</t>
    </r>
  </si>
  <si>
    <t>amps</t>
  </si>
  <si>
    <t>Capacitive Reactance (per can):</t>
  </si>
  <si>
    <r>
      <t>h</t>
    </r>
    <r>
      <rPr>
        <b/>
        <vertAlign val="subscript"/>
        <sz val="11"/>
        <color theme="1"/>
        <rFont val="Calibri"/>
        <family val="2"/>
        <scheme val="minor"/>
      </rPr>
      <t>n</t>
    </r>
    <r>
      <rPr>
        <b/>
        <sz val="11"/>
        <color theme="1"/>
        <rFont val="Calibri"/>
        <family val="2"/>
        <scheme val="minor"/>
      </rPr>
      <t xml:space="preserve"> </t>
    </r>
    <r>
      <rPr>
        <sz val="11"/>
        <color theme="1"/>
        <rFont val="Calibri"/>
        <family val="2"/>
        <scheme val="minor"/>
      </rPr>
      <t>(Tuning Point of Filter):</t>
    </r>
  </si>
  <si>
    <t>(harmonic number)</t>
  </si>
  <si>
    <r>
      <t>h</t>
    </r>
    <r>
      <rPr>
        <vertAlign val="subscript"/>
        <sz val="11"/>
        <color theme="1"/>
        <rFont val="Calibri"/>
        <family val="2"/>
        <scheme val="minor"/>
      </rPr>
      <t xml:space="preserve">f </t>
    </r>
    <r>
      <rPr>
        <sz val="11"/>
        <color theme="1"/>
        <rFont val="Calibri"/>
        <family val="2"/>
        <scheme val="minor"/>
      </rPr>
      <t>:</t>
    </r>
  </si>
  <si>
    <t>Hz</t>
  </si>
  <si>
    <r>
      <t>I</t>
    </r>
    <r>
      <rPr>
        <b/>
        <vertAlign val="subscript"/>
        <sz val="11"/>
        <color theme="1"/>
        <rFont val="Calibri"/>
        <family val="2"/>
        <scheme val="minor"/>
      </rPr>
      <t xml:space="preserve"> CAP FUSE</t>
    </r>
    <r>
      <rPr>
        <b/>
        <sz val="11"/>
        <color theme="1"/>
        <rFont val="Calibri"/>
        <family val="2"/>
        <scheme val="minor"/>
      </rPr>
      <t xml:space="preserve"> </t>
    </r>
    <r>
      <rPr>
        <sz val="11"/>
        <color theme="1"/>
        <rFont val="Calibri"/>
        <family val="2"/>
        <scheme val="minor"/>
      </rPr>
      <t>(Minimum Fuse Rating):</t>
    </r>
  </si>
  <si>
    <t>Capacitance (per can):</t>
  </si>
  <si>
    <r>
      <rPr>
        <sz val="11"/>
        <color theme="1"/>
        <rFont val="Calibri"/>
        <family val="2"/>
      </rPr>
      <t>µ</t>
    </r>
    <r>
      <rPr>
        <sz val="11"/>
        <color theme="1"/>
        <rFont val="Calibri"/>
        <family val="2"/>
        <scheme val="minor"/>
      </rPr>
      <t>F</t>
    </r>
  </si>
  <si>
    <r>
      <t xml:space="preserve">f </t>
    </r>
    <r>
      <rPr>
        <sz val="11"/>
        <color theme="1"/>
        <rFont val="Calibri"/>
        <family val="2"/>
        <scheme val="minor"/>
      </rPr>
      <t>(System Frequency):</t>
    </r>
  </si>
  <si>
    <t>(HZ)</t>
  </si>
  <si>
    <r>
      <t>I</t>
    </r>
    <r>
      <rPr>
        <b/>
        <vertAlign val="subscript"/>
        <sz val="11"/>
        <color theme="1"/>
        <rFont val="Calibri"/>
        <family val="2"/>
        <scheme val="minor"/>
      </rPr>
      <t>RATED FUNDAMENTAL</t>
    </r>
    <r>
      <rPr>
        <b/>
        <sz val="11"/>
        <color theme="1"/>
        <rFont val="Calibri"/>
        <family val="2"/>
        <scheme val="minor"/>
      </rPr>
      <t>:</t>
    </r>
  </si>
  <si>
    <r>
      <t>V</t>
    </r>
    <r>
      <rPr>
        <b/>
        <vertAlign val="subscript"/>
        <sz val="11"/>
        <color theme="1"/>
        <rFont val="Calibri"/>
        <family val="2"/>
        <scheme val="minor"/>
      </rPr>
      <t>CAP FUNDAMENTAL VOLTAGE</t>
    </r>
    <r>
      <rPr>
        <b/>
        <sz val="11"/>
        <color theme="1"/>
        <rFont val="Calibri"/>
        <family val="2"/>
        <scheme val="minor"/>
      </rPr>
      <t>:</t>
    </r>
  </si>
  <si>
    <r>
      <t>I</t>
    </r>
    <r>
      <rPr>
        <b/>
        <vertAlign val="subscript"/>
        <sz val="11"/>
        <color theme="1"/>
        <rFont val="Calibri"/>
        <family val="2"/>
        <scheme val="minor"/>
      </rPr>
      <t>FILTER RMS CURRENT</t>
    </r>
    <r>
      <rPr>
        <b/>
        <sz val="11"/>
        <color theme="1"/>
        <rFont val="Calibri"/>
        <family val="2"/>
        <scheme val="minor"/>
      </rPr>
      <t>:</t>
    </r>
  </si>
  <si>
    <r>
      <t>V</t>
    </r>
    <r>
      <rPr>
        <b/>
        <vertAlign val="subscript"/>
        <sz val="11"/>
        <color theme="1"/>
        <rFont val="Calibri"/>
        <family val="2"/>
        <scheme val="minor"/>
      </rPr>
      <t>CAP RMS VOLTAGE</t>
    </r>
    <r>
      <rPr>
        <b/>
        <sz val="11"/>
        <color theme="1"/>
        <rFont val="Calibri"/>
        <family val="2"/>
        <scheme val="minor"/>
      </rPr>
      <t>:</t>
    </r>
  </si>
  <si>
    <r>
      <t>V</t>
    </r>
    <r>
      <rPr>
        <b/>
        <vertAlign val="subscript"/>
        <sz val="11"/>
        <color theme="1"/>
        <rFont val="Calibri"/>
        <family val="2"/>
        <scheme val="minor"/>
      </rPr>
      <t>CAP, PEAK CAP VOLTAGE</t>
    </r>
    <r>
      <rPr>
        <b/>
        <sz val="11"/>
        <color theme="1"/>
        <rFont val="Calibri"/>
        <family val="2"/>
        <scheme val="minor"/>
      </rPr>
      <t>:</t>
    </r>
  </si>
  <si>
    <t>Expected Harmonic Current (amps) Into Line Side of Filter of Filter Branch/Stage</t>
  </si>
  <si>
    <r>
      <t>I</t>
    </r>
    <r>
      <rPr>
        <b/>
        <vertAlign val="subscript"/>
        <sz val="11"/>
        <color theme="1"/>
        <rFont val="Calibri"/>
        <family val="2"/>
        <scheme val="minor"/>
      </rPr>
      <t>CAP RMS CURRENT</t>
    </r>
    <r>
      <rPr>
        <b/>
        <sz val="11"/>
        <color theme="1"/>
        <rFont val="Calibri"/>
        <family val="2"/>
        <scheme val="minor"/>
      </rPr>
      <t>:</t>
    </r>
  </si>
  <si>
    <r>
      <t xml:space="preserve"> (</t>
    </r>
    <r>
      <rPr>
        <b/>
        <i/>
        <sz val="11"/>
        <color theme="1"/>
        <rFont val="Calibri"/>
        <family val="2"/>
        <scheme val="minor"/>
      </rPr>
      <t>n</t>
    </r>
    <r>
      <rPr>
        <b/>
        <sz val="11"/>
        <color theme="1"/>
        <rFont val="Calibri"/>
        <family val="2"/>
        <scheme val="minor"/>
      </rPr>
      <t xml:space="preserve">) </t>
    </r>
    <r>
      <rPr>
        <sz val="11"/>
        <color theme="1"/>
        <rFont val="Calibri"/>
        <family val="2"/>
        <scheme val="minor"/>
      </rPr>
      <t>Harmonic:</t>
    </r>
  </si>
  <si>
    <r>
      <t>Q</t>
    </r>
    <r>
      <rPr>
        <b/>
        <vertAlign val="subscript"/>
        <sz val="11"/>
        <color theme="1"/>
        <rFont val="Calibri"/>
        <family val="2"/>
        <scheme val="minor"/>
      </rPr>
      <t>CAPACITOR (1-phase)</t>
    </r>
    <r>
      <rPr>
        <b/>
        <sz val="11"/>
        <color theme="1"/>
        <rFont val="Calibri"/>
        <family val="2"/>
        <scheme val="minor"/>
      </rPr>
      <t>:</t>
    </r>
  </si>
  <si>
    <r>
      <t>(I</t>
    </r>
    <r>
      <rPr>
        <b/>
        <i/>
        <vertAlign val="subscript"/>
        <sz val="11"/>
        <color theme="1"/>
        <rFont val="Calibri"/>
        <family val="2"/>
        <scheme val="minor"/>
      </rPr>
      <t>n</t>
    </r>
    <r>
      <rPr>
        <b/>
        <sz val="11"/>
        <color theme="1"/>
        <rFont val="Calibri"/>
        <family val="2"/>
        <scheme val="minor"/>
      </rPr>
      <t xml:space="preserve">) </t>
    </r>
    <r>
      <rPr>
        <sz val="11"/>
        <color theme="1"/>
        <rFont val="Calibri"/>
        <family val="2"/>
        <scheme val="minor"/>
      </rPr>
      <t>Filter current</t>
    </r>
    <r>
      <rPr>
        <b/>
        <sz val="11"/>
        <color theme="1"/>
        <rFont val="Calibri"/>
        <family val="2"/>
        <scheme val="minor"/>
      </rPr>
      <t>:</t>
    </r>
  </si>
  <si>
    <t xml:space="preserve"> Capacitor Rating Details</t>
  </si>
  <si>
    <r>
      <t>V</t>
    </r>
    <r>
      <rPr>
        <b/>
        <vertAlign val="subscript"/>
        <sz val="11"/>
        <color theme="1"/>
        <rFont val="Calibri"/>
        <family val="2"/>
        <scheme val="minor"/>
      </rPr>
      <t>CAP RATING</t>
    </r>
    <r>
      <rPr>
        <b/>
        <sz val="11"/>
        <color theme="1"/>
        <rFont val="Calibri"/>
        <family val="2"/>
        <scheme val="minor"/>
      </rPr>
      <t xml:space="preserve"> </t>
    </r>
    <r>
      <rPr>
        <sz val="11"/>
        <color theme="1"/>
        <rFont val="Calibri"/>
        <family val="2"/>
        <scheme val="minor"/>
      </rPr>
      <t>(Voltage Rating of Capacitor):</t>
    </r>
  </si>
  <si>
    <t>Individual Capacitor Rating:</t>
  </si>
  <si>
    <r>
      <t xml:space="preserve">N </t>
    </r>
    <r>
      <rPr>
        <sz val="11"/>
        <color theme="1"/>
        <rFont val="Calibri"/>
        <family val="2"/>
        <scheme val="minor"/>
      </rPr>
      <t>(Number of Capacitors Per Phase)</t>
    </r>
    <r>
      <rPr>
        <b/>
        <sz val="11"/>
        <color theme="1"/>
        <rFont val="Calibri"/>
        <family val="2"/>
        <scheme val="minor"/>
      </rPr>
      <t>:</t>
    </r>
  </si>
  <si>
    <r>
      <t>Q</t>
    </r>
    <r>
      <rPr>
        <b/>
        <vertAlign val="subscript"/>
        <sz val="11"/>
        <color theme="1"/>
        <rFont val="Calibri"/>
        <family val="2"/>
        <scheme val="minor"/>
      </rPr>
      <t xml:space="preserve"> RATED PER PHASE</t>
    </r>
    <r>
      <rPr>
        <b/>
        <sz val="11"/>
        <color theme="1"/>
        <rFont val="Calibri"/>
        <family val="2"/>
        <scheme val="minor"/>
      </rPr>
      <t>:</t>
    </r>
  </si>
  <si>
    <r>
      <t>X</t>
    </r>
    <r>
      <rPr>
        <b/>
        <vertAlign val="subscript"/>
        <sz val="11"/>
        <color theme="1"/>
        <rFont val="Calibri"/>
        <family val="2"/>
        <scheme val="minor"/>
      </rPr>
      <t>C</t>
    </r>
    <r>
      <rPr>
        <b/>
        <sz val="11"/>
        <color theme="1"/>
        <rFont val="Calibri"/>
        <family val="2"/>
        <scheme val="minor"/>
      </rPr>
      <t>:</t>
    </r>
  </si>
  <si>
    <t xml:space="preserve"> Capacitor Capacitance (per phase):</t>
  </si>
  <si>
    <t>𝜇F/Phase</t>
  </si>
  <si>
    <t>Tuning Reactor</t>
  </si>
  <si>
    <r>
      <rPr>
        <b/>
        <sz val="11"/>
        <color theme="1"/>
        <rFont val="Calibri"/>
        <family val="2"/>
        <scheme val="minor"/>
      </rPr>
      <t>X/R</t>
    </r>
    <r>
      <rPr>
        <b/>
        <vertAlign val="subscript"/>
        <sz val="11"/>
        <color theme="1"/>
        <rFont val="Calibri"/>
        <family val="2"/>
        <scheme val="minor"/>
      </rPr>
      <t>ratio</t>
    </r>
    <r>
      <rPr>
        <sz val="11"/>
        <color theme="1"/>
        <rFont val="Calibri"/>
        <family val="2"/>
        <scheme val="minor"/>
      </rPr>
      <t xml:space="preserve"> (Tuning Reactor at System Frequency):</t>
    </r>
  </si>
  <si>
    <r>
      <rPr>
        <b/>
        <sz val="11"/>
        <color theme="1"/>
        <rFont val="Calibri"/>
        <family val="2"/>
        <scheme val="minor"/>
      </rPr>
      <t>X</t>
    </r>
    <r>
      <rPr>
        <b/>
        <vertAlign val="subscript"/>
        <sz val="11"/>
        <color theme="1"/>
        <rFont val="Calibri"/>
        <family val="2"/>
        <scheme val="minor"/>
      </rPr>
      <t>L</t>
    </r>
    <r>
      <rPr>
        <vertAlign val="subscript"/>
        <sz val="11"/>
        <color theme="1"/>
        <rFont val="Calibri"/>
        <family val="2"/>
        <scheme val="minor"/>
      </rPr>
      <t xml:space="preserve">  </t>
    </r>
    <r>
      <rPr>
        <sz val="11"/>
        <color theme="1"/>
        <rFont val="Calibri"/>
        <family val="2"/>
        <scheme val="minor"/>
      </rPr>
      <t>(Inductive Reactance):</t>
    </r>
  </si>
  <si>
    <t>ohms</t>
  </si>
  <si>
    <t>Enter Fundamental Current Design Margin:</t>
  </si>
  <si>
    <r>
      <t>H</t>
    </r>
    <r>
      <rPr>
        <b/>
        <vertAlign val="subscript"/>
        <sz val="11"/>
        <color theme="1"/>
        <rFont val="Calibri"/>
        <family val="2"/>
        <scheme val="minor"/>
      </rPr>
      <t>L</t>
    </r>
    <r>
      <rPr>
        <b/>
        <sz val="11"/>
        <color theme="1"/>
        <rFont val="Calibri"/>
        <family val="2"/>
        <scheme val="minor"/>
      </rPr>
      <t xml:space="preserve"> </t>
    </r>
    <r>
      <rPr>
        <sz val="11"/>
        <color theme="1"/>
        <rFont val="Calibri"/>
        <family val="2"/>
        <scheme val="minor"/>
      </rPr>
      <t>(Inductance)</t>
    </r>
    <r>
      <rPr>
        <b/>
        <sz val="11"/>
        <color theme="1"/>
        <rFont val="Calibri"/>
        <family val="2"/>
        <scheme val="minor"/>
      </rPr>
      <t>:</t>
    </r>
  </si>
  <si>
    <t>mH</t>
  </si>
  <si>
    <t>High-Pass Resistor</t>
  </si>
  <si>
    <t>Enter Harmonic Current Design Margin:</t>
  </si>
  <si>
    <r>
      <t>Rw</t>
    </r>
    <r>
      <rPr>
        <sz val="11"/>
        <color theme="1"/>
        <rFont val="Calibri"/>
        <family val="2"/>
        <scheme val="minor"/>
      </rPr>
      <t xml:space="preserve"> (Resistor KW/Phase - Specified)</t>
    </r>
    <r>
      <rPr>
        <b/>
        <sz val="11"/>
        <color theme="1"/>
        <rFont val="Calibri"/>
        <family val="2"/>
        <scheme val="minor"/>
      </rPr>
      <t>:</t>
    </r>
  </si>
  <si>
    <t>kW/Phase</t>
  </si>
  <si>
    <r>
      <t>I</t>
    </r>
    <r>
      <rPr>
        <b/>
        <vertAlign val="subscript"/>
        <sz val="14"/>
        <color theme="1"/>
        <rFont val="Calibri"/>
        <family val="2"/>
        <scheme val="minor"/>
      </rPr>
      <t>fundamental resistor current (actual)</t>
    </r>
    <r>
      <rPr>
        <b/>
        <sz val="11"/>
        <color theme="1"/>
        <rFont val="Calibri"/>
        <family val="2"/>
        <scheme val="minor"/>
      </rPr>
      <t>:</t>
    </r>
  </si>
  <si>
    <r>
      <t xml:space="preserve">R </t>
    </r>
    <r>
      <rPr>
        <sz val="11"/>
        <color theme="1"/>
        <rFont val="Calibri"/>
        <family val="2"/>
        <scheme val="minor"/>
      </rPr>
      <t>(Resistor Ohm rating/phase)</t>
    </r>
    <r>
      <rPr>
        <b/>
        <sz val="11"/>
        <color theme="1"/>
        <rFont val="Calibri"/>
        <family val="2"/>
        <scheme val="minor"/>
      </rPr>
      <t>:</t>
    </r>
  </si>
  <si>
    <r>
      <t>I</t>
    </r>
    <r>
      <rPr>
        <vertAlign val="subscript"/>
        <sz val="14"/>
        <color theme="1"/>
        <rFont val="Calibri"/>
        <family val="2"/>
        <scheme val="minor"/>
      </rPr>
      <t>fundamental resistor current (specified)</t>
    </r>
    <r>
      <rPr>
        <b/>
        <sz val="11"/>
        <color theme="1"/>
        <rFont val="Calibri"/>
        <family val="2"/>
        <scheme val="minor"/>
      </rPr>
      <t>:</t>
    </r>
  </si>
  <si>
    <r>
      <t>(R</t>
    </r>
    <r>
      <rPr>
        <b/>
        <vertAlign val="subscript"/>
        <sz val="11"/>
        <color theme="1"/>
        <rFont val="Calibri"/>
        <family val="2"/>
        <scheme val="minor"/>
      </rPr>
      <t>w</t>
    </r>
    <r>
      <rPr>
        <b/>
        <sz val="11"/>
        <color theme="1"/>
        <rFont val="Calibri"/>
        <family val="2"/>
        <scheme val="minor"/>
      </rPr>
      <t xml:space="preserve">) </t>
    </r>
    <r>
      <rPr>
        <sz val="11"/>
        <color theme="1"/>
        <rFont val="Calibri"/>
        <family val="2"/>
        <scheme val="minor"/>
      </rPr>
      <t>(Resistor KW/phase, actual)</t>
    </r>
    <r>
      <rPr>
        <b/>
        <sz val="11"/>
        <color theme="1"/>
        <rFont val="Calibri"/>
        <family val="2"/>
        <scheme val="minor"/>
      </rPr>
      <t>:</t>
    </r>
  </si>
  <si>
    <r>
      <t>I</t>
    </r>
    <r>
      <rPr>
        <b/>
        <vertAlign val="subscript"/>
        <sz val="11"/>
        <color theme="1"/>
        <rFont val="Calibri"/>
        <family val="2"/>
        <scheme val="minor"/>
      </rPr>
      <t xml:space="preserve">RESISTOR CURRENT  </t>
    </r>
    <r>
      <rPr>
        <b/>
        <sz val="11"/>
        <color theme="1"/>
        <rFont val="Calibri"/>
        <family val="2"/>
        <scheme val="minor"/>
      </rPr>
      <t>(amps)</t>
    </r>
  </si>
  <si>
    <t>Info@VarStec.com</t>
  </si>
  <si>
    <t>Rev Date: 12-26-2025</t>
  </si>
  <si>
    <t>2 | P a g e</t>
  </si>
  <si>
    <t>Table of Currents and Voltages</t>
  </si>
  <si>
    <t>📐 SIMPLIFIED ONE-LINE DIAGRAM</t>
  </si>
  <si>
    <t>(In) Filter Current</t>
  </si>
  <si>
    <t>Calculated Reactor Current</t>
  </si>
  <si>
    <t>VarStec Reactor Rating</t>
  </si>
  <si>
    <r>
      <t>I</t>
    </r>
    <r>
      <rPr>
        <b/>
        <vertAlign val="subscript"/>
        <sz val="11"/>
        <color theme="1"/>
        <rFont val="Calibri"/>
        <family val="2"/>
        <scheme val="minor"/>
      </rPr>
      <t xml:space="preserve">REACTOR CURRENT  </t>
    </r>
    <r>
      <rPr>
        <b/>
        <sz val="11"/>
        <color theme="1"/>
        <rFont val="Calibri"/>
        <family val="2"/>
        <scheme val="minor"/>
      </rPr>
      <t>(amps)</t>
    </r>
  </si>
  <si>
    <r>
      <t>(I</t>
    </r>
    <r>
      <rPr>
        <b/>
        <i/>
        <vertAlign val="subscript"/>
        <sz val="11"/>
        <color theme="1"/>
        <rFont val="Calibri"/>
        <family val="2"/>
        <scheme val="minor"/>
      </rPr>
      <t>n</t>
    </r>
    <r>
      <rPr>
        <b/>
        <sz val="11"/>
        <color theme="1"/>
        <rFont val="Calibri"/>
        <family val="2"/>
        <scheme val="minor"/>
      </rPr>
      <t>) Filter Current (amps):</t>
    </r>
  </si>
  <si>
    <r>
      <t>V</t>
    </r>
    <r>
      <rPr>
        <b/>
        <vertAlign val="subscript"/>
        <sz val="11"/>
        <color theme="1"/>
        <rFont val="Calibri"/>
        <family val="2"/>
        <scheme val="minor"/>
      </rPr>
      <t xml:space="preserve">CAP 
</t>
    </r>
    <r>
      <rPr>
        <b/>
        <sz val="11"/>
        <color theme="1"/>
        <rFont val="Calibri"/>
        <family val="2"/>
        <scheme val="minor"/>
      </rPr>
      <t xml:space="preserve"> Voltage
(volts)</t>
    </r>
  </si>
  <si>
    <r>
      <t>Harmonic #: (</t>
    </r>
    <r>
      <rPr>
        <b/>
        <i/>
        <sz val="11"/>
        <color theme="1"/>
        <rFont val="Calibri"/>
        <family val="2"/>
        <scheme val="minor"/>
      </rPr>
      <t>n</t>
    </r>
    <r>
      <rPr>
        <b/>
        <sz val="11"/>
        <color theme="1"/>
        <rFont val="Calibri"/>
        <family val="2"/>
        <scheme val="minor"/>
      </rPr>
      <t>)</t>
    </r>
  </si>
  <si>
    <t>Voltage Distortion*</t>
  </si>
  <si>
    <t>RMS</t>
  </si>
  <si>
    <t>* Voltage distortion at filter incoming based on specified harmonic currents in rows 24 and 25 of page 1.</t>
  </si>
  <si>
    <t>3 | P a g e</t>
  </si>
  <si>
    <t>4 | P a g e</t>
  </si>
  <si>
    <t>🧮 VENDOR SPECIFICATIONS</t>
  </si>
  <si>
    <t>🧮 3-PHASE LOSS ESTIMATES</t>
  </si>
  <si>
    <t>Reactor Specification</t>
  </si>
  <si>
    <t>60 Hertz Losses</t>
  </si>
  <si>
    <t>Filter Type:</t>
  </si>
  <si>
    <t>Notch Tuned</t>
  </si>
  <si>
    <t xml:space="preserve">Return Quote to: </t>
  </si>
  <si>
    <t>VarStec Power Solutions</t>
  </si>
  <si>
    <t>Capacitor Losses:</t>
  </si>
  <si>
    <t>Capacitor Fuse Losses:</t>
  </si>
  <si>
    <t>Tuning Point:</t>
  </si>
  <si>
    <t>Iron-Core Reactor Losses, 60 Hertz:</t>
  </si>
  <si>
    <t>Current Spectrum</t>
  </si>
  <si>
    <t xml:space="preserve">Tuning Reactor Details </t>
  </si>
  <si>
    <t>Harm #</t>
  </si>
  <si>
    <t>Amps</t>
  </si>
  <si>
    <t>Quantity:</t>
  </si>
  <si>
    <t>Number of Phases:</t>
  </si>
  <si>
    <t>Harmonic Losses Based on Specified Harmonics</t>
  </si>
  <si>
    <t>System Voltage:</t>
  </si>
  <si>
    <t>Iron-Core Reactor Losses:</t>
  </si>
  <si>
    <t>BIL Rating:</t>
  </si>
  <si>
    <t>Total Harmonic Losses:</t>
  </si>
  <si>
    <t>60 Second Withstand Voltage:</t>
  </si>
  <si>
    <t>Fundamental Frequency:</t>
  </si>
  <si>
    <t>Total Losses - All:</t>
  </si>
  <si>
    <t>Inductance:</t>
  </si>
  <si>
    <t>Reactance at 60Hz:</t>
  </si>
  <si>
    <t>Taps:</t>
  </si>
  <si>
    <t>None</t>
  </si>
  <si>
    <t>Insulation Type:</t>
  </si>
  <si>
    <t>Nomex</t>
  </si>
  <si>
    <t>Ambient:</t>
  </si>
  <si>
    <t>60C</t>
  </si>
  <si>
    <t>🧮 HARMONIC FILTER DESIGN METHODOLOGY</t>
  </si>
  <si>
    <t>Temperature Rise:</t>
  </si>
  <si>
    <t>115C Rise over Ambient</t>
  </si>
  <si>
    <t>Winding Type:</t>
  </si>
  <si>
    <t>CU/AL - Based On Price</t>
  </si>
  <si>
    <t>Tack Winding to Core:</t>
  </si>
  <si>
    <t>Yes</t>
  </si>
  <si>
    <t>Enclosure:</t>
  </si>
  <si>
    <t>None/Open Construction</t>
  </si>
  <si>
    <t>RMS:</t>
  </si>
  <si>
    <t>Capacitor Specification</t>
  </si>
  <si>
    <t>Notch | High-Pass | C-High-Pass Filter Design Considerations</t>
  </si>
  <si>
    <t xml:space="preserve">The notch type harmonic filter is the most economical design and provides harmonic filtering, power factor correction, and suppression of resonance above its tuning point (providing there are no other capacitors on the system). It precludes resonances at its tuning frequency and also filters at its tuning frequency and at frequencies above (to a lesser degree as you get further from the tuning point). It does not include a damping resistor. Because of cost and complexity, only consider High Pass or C High Pass filter when interharmonic producing loads are present, on systems with significant stray capacitance (renewable power plants or large industrial systems), and on systems where a damped filter is being employed with a shunt power capacitor bank to reduce cost. </t>
  </si>
  <si>
    <t>5 | P a g e</t>
  </si>
  <si>
    <t>6 | P a g e</t>
  </si>
  <si>
    <t>Nomenclature and Parameter Definitions for Harmonic Filter Design</t>
  </si>
  <si>
    <r>
      <t>X</t>
    </r>
    <r>
      <rPr>
        <b/>
        <vertAlign val="subscript"/>
        <sz val="11"/>
        <color theme="1"/>
        <rFont val="Calibri"/>
        <family val="2"/>
        <scheme val="minor"/>
      </rPr>
      <t>eff</t>
    </r>
    <r>
      <rPr>
        <b/>
        <sz val="11"/>
        <color theme="1"/>
        <rFont val="Calibri"/>
        <family val="2"/>
        <scheme val="minor"/>
      </rPr>
      <t>:</t>
    </r>
  </si>
  <si>
    <t>Effective reactance of the harmonic filter</t>
  </si>
  <si>
    <r>
      <t>Q</t>
    </r>
    <r>
      <rPr>
        <b/>
        <vertAlign val="subscript"/>
        <sz val="11"/>
        <color theme="1"/>
        <rFont val="Calibri"/>
        <family val="2"/>
        <scheme val="minor"/>
      </rPr>
      <t>eff</t>
    </r>
    <r>
      <rPr>
        <b/>
        <sz val="11"/>
        <color theme="1"/>
        <rFont val="Calibri"/>
        <family val="2"/>
        <scheme val="minor"/>
      </rPr>
      <t>:</t>
    </r>
  </si>
  <si>
    <t>Effective reactive power output of the harmonic filter (considering fundamental current only)</t>
  </si>
  <si>
    <r>
      <t>Q</t>
    </r>
    <r>
      <rPr>
        <b/>
        <vertAlign val="subscript"/>
        <sz val="11"/>
        <color theme="1"/>
        <rFont val="Calibri"/>
        <family val="2"/>
        <scheme val="minor"/>
      </rPr>
      <t>RATED PER PHASE</t>
    </r>
    <r>
      <rPr>
        <b/>
        <sz val="11"/>
        <color theme="1"/>
        <rFont val="Calibri"/>
        <family val="2"/>
        <scheme val="minor"/>
      </rPr>
      <t>:</t>
    </r>
  </si>
  <si>
    <t>kvar rating of main capacitor group at their rated voltage (not the application voltage)</t>
  </si>
  <si>
    <r>
      <t>V</t>
    </r>
    <r>
      <rPr>
        <b/>
        <vertAlign val="subscript"/>
        <sz val="11"/>
        <color theme="1"/>
        <rFont val="Calibri"/>
        <family val="2"/>
        <scheme val="minor"/>
      </rPr>
      <t>LLSYS</t>
    </r>
    <r>
      <rPr>
        <b/>
        <sz val="11"/>
        <color theme="1"/>
        <rFont val="Calibri"/>
        <family val="2"/>
        <scheme val="minor"/>
      </rPr>
      <t>:</t>
    </r>
  </si>
  <si>
    <t>Nominal system line-to-line voltage</t>
  </si>
  <si>
    <t>Capacitive reactance of the harmonic filter capacitor at fundamental frequency</t>
  </si>
  <si>
    <r>
      <t>X</t>
    </r>
    <r>
      <rPr>
        <b/>
        <vertAlign val="subscript"/>
        <sz val="11"/>
        <color theme="1"/>
        <rFont val="Calibri"/>
        <family val="2"/>
        <scheme val="minor"/>
      </rPr>
      <t>L</t>
    </r>
    <r>
      <rPr>
        <b/>
        <sz val="11"/>
        <color theme="1"/>
        <rFont val="Calibri"/>
        <family val="2"/>
        <scheme val="minor"/>
      </rPr>
      <t>:</t>
    </r>
  </si>
  <si>
    <t>Inductive reactance of the harmonic filter reactor at fundamental frequency</t>
  </si>
  <si>
    <r>
      <t>h</t>
    </r>
    <r>
      <rPr>
        <b/>
        <vertAlign val="subscript"/>
        <sz val="11"/>
        <color theme="1"/>
        <rFont val="Calibri"/>
        <family val="2"/>
        <scheme val="minor"/>
      </rPr>
      <t>n</t>
    </r>
    <r>
      <rPr>
        <b/>
        <sz val="11"/>
        <color theme="1"/>
        <rFont val="Calibri"/>
        <family val="2"/>
        <scheme val="minor"/>
      </rPr>
      <t>:</t>
    </r>
  </si>
  <si>
    <t>harmonic number of filter tuning point</t>
  </si>
  <si>
    <r>
      <t>h</t>
    </r>
    <r>
      <rPr>
        <b/>
        <vertAlign val="subscript"/>
        <sz val="11"/>
        <color theme="1"/>
        <rFont val="Calibri"/>
        <family val="2"/>
        <scheme val="minor"/>
      </rPr>
      <t>f</t>
    </r>
    <r>
      <rPr>
        <b/>
        <sz val="11"/>
        <color theme="1"/>
        <rFont val="Calibri"/>
        <family val="2"/>
        <scheme val="minor"/>
      </rPr>
      <t>:</t>
    </r>
  </si>
  <si>
    <t>harmonic frequency of filter tuning point in Hertz</t>
  </si>
  <si>
    <t>f:</t>
  </si>
  <si>
    <t>frequency</t>
  </si>
  <si>
    <r>
      <t>H</t>
    </r>
    <r>
      <rPr>
        <b/>
        <vertAlign val="subscript"/>
        <sz val="11"/>
        <color theme="1"/>
        <rFont val="Calibri"/>
        <family val="2"/>
        <scheme val="minor"/>
      </rPr>
      <t>L</t>
    </r>
    <r>
      <rPr>
        <b/>
        <sz val="11"/>
        <color theme="1"/>
        <rFont val="Calibri"/>
        <family val="2"/>
        <scheme val="minor"/>
      </rPr>
      <t>:</t>
    </r>
  </si>
  <si>
    <r>
      <t>I</t>
    </r>
    <r>
      <rPr>
        <b/>
        <vertAlign val="subscript"/>
        <sz val="11"/>
        <color theme="1"/>
        <rFont val="Calibri"/>
        <family val="2"/>
        <scheme val="minor"/>
      </rPr>
      <t xml:space="preserve">RATED FUNDAMENTAL </t>
    </r>
    <r>
      <rPr>
        <b/>
        <sz val="11"/>
        <color theme="1"/>
        <rFont val="Calibri"/>
        <family val="2"/>
        <scheme val="minor"/>
      </rPr>
      <t>:</t>
    </r>
  </si>
  <si>
    <t>Fundamental current rating of filter bank</t>
  </si>
  <si>
    <t>Fundamental voltage drop across capacitor</t>
  </si>
  <si>
    <r>
      <t>V</t>
    </r>
    <r>
      <rPr>
        <b/>
        <vertAlign val="subscript"/>
        <sz val="11"/>
        <color theme="1"/>
        <rFont val="Calibri"/>
        <family val="2"/>
        <scheme val="minor"/>
      </rPr>
      <t>CAP HARMONIC VOLTAGE</t>
    </r>
    <r>
      <rPr>
        <b/>
        <sz val="11"/>
        <color theme="1"/>
        <rFont val="Calibri"/>
        <family val="2"/>
        <scheme val="minor"/>
      </rPr>
      <t>:</t>
    </r>
  </si>
  <si>
    <t>Harmonic voltage drop across capacitor</t>
  </si>
  <si>
    <t>🧮 FORMULAS</t>
  </si>
  <si>
    <t>Capacitor RMS voltage (fundamental voltage + harmonic voltages)</t>
  </si>
  <si>
    <r>
      <t>V</t>
    </r>
    <r>
      <rPr>
        <b/>
        <vertAlign val="subscript"/>
        <sz val="11"/>
        <color theme="1"/>
        <rFont val="Calibri"/>
        <family val="2"/>
        <scheme val="minor"/>
      </rPr>
      <t>PEAK CAP VOLTAGE</t>
    </r>
    <r>
      <rPr>
        <b/>
        <sz val="11"/>
        <color theme="1"/>
        <rFont val="Calibri"/>
        <family val="2"/>
        <scheme val="minor"/>
      </rPr>
      <t>:</t>
    </r>
  </si>
  <si>
    <t>Capacitor voltage assuming or harmonics are coincident</t>
  </si>
  <si>
    <r>
      <t>V</t>
    </r>
    <r>
      <rPr>
        <b/>
        <vertAlign val="subscript"/>
        <sz val="11"/>
        <color theme="1"/>
        <rFont val="Calibri"/>
        <family val="2"/>
        <scheme val="minor"/>
      </rPr>
      <t>CAP MAIN RMS VOLTAGE</t>
    </r>
    <r>
      <rPr>
        <b/>
        <sz val="11"/>
        <color theme="1"/>
        <rFont val="Calibri"/>
        <family val="2"/>
        <scheme val="minor"/>
      </rPr>
      <t>:</t>
    </r>
  </si>
  <si>
    <r>
      <t>V</t>
    </r>
    <r>
      <rPr>
        <b/>
        <vertAlign val="subscript"/>
        <sz val="11"/>
        <color theme="1"/>
        <rFont val="Calibri"/>
        <family val="2"/>
        <scheme val="minor"/>
      </rPr>
      <t>CAP MAIN, PEAK CAP VOLTAGE</t>
    </r>
    <r>
      <rPr>
        <b/>
        <sz val="11"/>
        <color theme="1"/>
        <rFont val="Calibri"/>
        <family val="2"/>
        <scheme val="minor"/>
      </rPr>
      <t>:</t>
    </r>
  </si>
  <si>
    <t>N:</t>
  </si>
  <si>
    <t>Number of capacitors per phase</t>
  </si>
  <si>
    <r>
      <t>V</t>
    </r>
    <r>
      <rPr>
        <b/>
        <vertAlign val="subscript"/>
        <sz val="11"/>
        <color theme="1"/>
        <rFont val="Calibri"/>
        <family val="2"/>
        <scheme val="minor"/>
      </rPr>
      <t>CAP VAR RATING</t>
    </r>
    <r>
      <rPr>
        <b/>
        <sz val="11"/>
        <color theme="1"/>
        <rFont val="Calibri"/>
        <family val="2"/>
        <scheme val="minor"/>
      </rPr>
      <t>:</t>
    </r>
  </si>
  <si>
    <t>Capacitor can var rating (in Kvar)</t>
  </si>
  <si>
    <t>RMS current seen by capacitor (amps rms)</t>
  </si>
  <si>
    <t>RMS current into filter branch (amps rms)</t>
  </si>
  <si>
    <r>
      <t>I</t>
    </r>
    <r>
      <rPr>
        <b/>
        <vertAlign val="subscript"/>
        <sz val="11"/>
        <color theme="1"/>
        <rFont val="Calibri"/>
        <family val="2"/>
        <scheme val="minor"/>
      </rPr>
      <t>n</t>
    </r>
  </si>
  <si>
    <t>Current in amps at each harmonic</t>
  </si>
  <si>
    <t xml:space="preserve">One-Line Diagram
Notch Type Filter Design Parameters
</t>
  </si>
  <si>
    <t>7 | P a g e</t>
  </si>
  <si>
    <t>8 | P a g e</t>
  </si>
  <si>
    <t>Resistor RMS Amps</t>
  </si>
  <si>
    <t>Total Filter RMS Amps</t>
  </si>
  <si>
    <t>High-Pass</t>
  </si>
  <si>
    <t>If the watt losses in an HP filter resistor become excessive due to a low damping factor, VarStec recommends switching to a C-HP filter design, especially for tuning at or below the 5th harmonic. As a guideline, when resistor losses exceed roughly 100 kW per phase, a C-HP design should be strongly considered. C-HP filters exhibit near-zero losses at 60 Hz and permit very low damping factors, providing significantly improved resonance damping.</t>
  </si>
  <si>
    <t>DF:</t>
  </si>
  <si>
    <t>R</t>
  </si>
  <si>
    <t>Resistance of high-pass damping resistor</t>
  </si>
  <si>
    <t xml:space="preserve">One-Line Diagram
High-Pass Filter Design Parameters
</t>
  </si>
  <si>
    <t>Main Capacitor Group Design Ratings Versus Duty Rating</t>
  </si>
  <si>
    <r>
      <t>I</t>
    </r>
    <r>
      <rPr>
        <b/>
        <vertAlign val="subscript"/>
        <sz val="11"/>
        <color theme="1"/>
        <rFont val="Calibri"/>
        <family val="2"/>
        <scheme val="minor"/>
      </rPr>
      <t>CAP MAIN</t>
    </r>
    <r>
      <rPr>
        <sz val="11"/>
        <color theme="1"/>
        <rFont val="Calibri"/>
        <family val="2"/>
        <scheme val="minor"/>
      </rPr>
      <t xml:space="preserve"> (Fundamental Current per Capacitor</t>
    </r>
    <r>
      <rPr>
        <b/>
        <sz val="11"/>
        <color theme="1"/>
        <rFont val="Calibri"/>
        <family val="2"/>
        <scheme val="minor"/>
      </rPr>
      <t>):</t>
    </r>
  </si>
  <si>
    <r>
      <t>V</t>
    </r>
    <r>
      <rPr>
        <b/>
        <vertAlign val="subscript"/>
        <sz val="11"/>
        <color theme="1"/>
        <rFont val="Calibri"/>
        <family val="2"/>
        <scheme val="minor"/>
      </rPr>
      <t>CAP MAIN FUNDAMENTAL VOLTAGE</t>
    </r>
    <r>
      <rPr>
        <b/>
        <sz val="11"/>
        <color theme="1"/>
        <rFont val="Calibri"/>
        <family val="2"/>
        <scheme val="minor"/>
      </rPr>
      <t>:</t>
    </r>
  </si>
  <si>
    <r>
      <t>I</t>
    </r>
    <r>
      <rPr>
        <b/>
        <vertAlign val="subscript"/>
        <sz val="11"/>
        <color theme="1"/>
        <rFont val="Calibri"/>
        <family val="2"/>
        <scheme val="minor"/>
      </rPr>
      <t>MAIN CAP RMS CURRENT</t>
    </r>
    <r>
      <rPr>
        <b/>
        <sz val="11"/>
        <color theme="1"/>
        <rFont val="Calibri"/>
        <family val="2"/>
        <scheme val="minor"/>
      </rPr>
      <t>:</t>
    </r>
  </si>
  <si>
    <r>
      <t>Q</t>
    </r>
    <r>
      <rPr>
        <b/>
        <vertAlign val="subscript"/>
        <sz val="11"/>
        <color theme="1"/>
        <rFont val="Calibri"/>
        <family val="2"/>
        <scheme val="minor"/>
      </rPr>
      <t>MAIN CAPACITOR (1-phase)</t>
    </r>
    <r>
      <rPr>
        <b/>
        <sz val="11"/>
        <color theme="1"/>
        <rFont val="Calibri"/>
        <family val="2"/>
        <scheme val="minor"/>
      </rPr>
      <t>:</t>
    </r>
  </si>
  <si>
    <t>Main Capacitor Group Rating Details</t>
  </si>
  <si>
    <r>
      <t>V</t>
    </r>
    <r>
      <rPr>
        <b/>
        <vertAlign val="subscript"/>
        <sz val="11"/>
        <color theme="1"/>
        <rFont val="Calibri"/>
        <family val="2"/>
        <scheme val="minor"/>
      </rPr>
      <t>CAP MAIN RATING</t>
    </r>
    <r>
      <rPr>
        <b/>
        <sz val="11"/>
        <color theme="1"/>
        <rFont val="Calibri"/>
        <family val="2"/>
        <scheme val="minor"/>
      </rPr>
      <t xml:space="preserve"> </t>
    </r>
    <r>
      <rPr>
        <sz val="11"/>
        <color theme="1"/>
        <rFont val="Calibri"/>
        <family val="2"/>
        <scheme val="minor"/>
      </rPr>
      <t>(Voltage Rating of Main Capacitor):</t>
    </r>
  </si>
  <si>
    <r>
      <t>N</t>
    </r>
    <r>
      <rPr>
        <b/>
        <vertAlign val="subscript"/>
        <sz val="11"/>
        <color theme="1"/>
        <rFont val="Calibri"/>
        <family val="2"/>
        <scheme val="minor"/>
      </rPr>
      <t>MAIN</t>
    </r>
    <r>
      <rPr>
        <b/>
        <sz val="11"/>
        <color theme="1"/>
        <rFont val="Calibri"/>
        <family val="2"/>
        <scheme val="minor"/>
      </rPr>
      <t xml:space="preserve"> </t>
    </r>
    <r>
      <rPr>
        <sz val="11"/>
        <color theme="1"/>
        <rFont val="Calibri"/>
        <family val="2"/>
        <scheme val="minor"/>
      </rPr>
      <t>(Number of Main Capacitors Per Phase)</t>
    </r>
    <r>
      <rPr>
        <b/>
        <sz val="11"/>
        <color theme="1"/>
        <rFont val="Calibri"/>
        <family val="2"/>
        <scheme val="minor"/>
      </rPr>
      <t>:</t>
    </r>
  </si>
  <si>
    <r>
      <t>Q</t>
    </r>
    <r>
      <rPr>
        <b/>
        <vertAlign val="subscript"/>
        <sz val="11"/>
        <color theme="1"/>
        <rFont val="Calibri"/>
        <family val="2"/>
        <scheme val="minor"/>
      </rPr>
      <t>MAIN RATED PER PHASE</t>
    </r>
    <r>
      <rPr>
        <b/>
        <sz val="11"/>
        <color theme="1"/>
        <rFont val="Calibri"/>
        <family val="2"/>
        <scheme val="minor"/>
      </rPr>
      <t>:</t>
    </r>
  </si>
  <si>
    <r>
      <t>X</t>
    </r>
    <r>
      <rPr>
        <b/>
        <vertAlign val="subscript"/>
        <sz val="11"/>
        <color theme="1"/>
        <rFont val="Calibri"/>
        <family val="2"/>
        <scheme val="minor"/>
      </rPr>
      <t>C-MAIN</t>
    </r>
    <r>
      <rPr>
        <b/>
        <sz val="11"/>
        <color theme="1"/>
        <rFont val="Calibri"/>
        <family val="2"/>
        <scheme val="minor"/>
      </rPr>
      <t>:</t>
    </r>
  </si>
  <si>
    <t>Main Cap Capacitance (per phase):</t>
  </si>
  <si>
    <r>
      <t>V</t>
    </r>
    <r>
      <rPr>
        <b/>
        <vertAlign val="subscript"/>
        <sz val="11"/>
        <color theme="1"/>
        <rFont val="Calibri"/>
        <family val="2"/>
        <scheme val="minor"/>
      </rPr>
      <t>CAP AUX RATING</t>
    </r>
    <r>
      <rPr>
        <vertAlign val="subscript"/>
        <sz val="11"/>
        <color theme="1"/>
        <rFont val="Calibri"/>
        <family val="2"/>
        <scheme val="minor"/>
      </rPr>
      <t xml:space="preserve"> </t>
    </r>
    <r>
      <rPr>
        <sz val="11"/>
        <color theme="1"/>
        <rFont val="Calibri"/>
        <family val="2"/>
        <scheme val="minor"/>
      </rPr>
      <t>(Voltage Rating of Aux Capacitor):</t>
    </r>
  </si>
  <si>
    <r>
      <t>Q</t>
    </r>
    <r>
      <rPr>
        <b/>
        <vertAlign val="subscript"/>
        <sz val="11"/>
        <color theme="1"/>
        <rFont val="Calibri"/>
        <family val="2"/>
        <scheme val="minor"/>
      </rPr>
      <t>AUX RATED PER PHASE</t>
    </r>
    <r>
      <rPr>
        <b/>
        <sz val="11"/>
        <color theme="1"/>
        <rFont val="Calibri"/>
        <family val="2"/>
        <scheme val="minor"/>
      </rPr>
      <t>:</t>
    </r>
  </si>
  <si>
    <r>
      <t>I</t>
    </r>
    <r>
      <rPr>
        <b/>
        <vertAlign val="subscript"/>
        <sz val="11"/>
        <color theme="1"/>
        <rFont val="Calibri"/>
        <family val="2"/>
        <scheme val="minor"/>
      </rPr>
      <t>CAP AUX</t>
    </r>
    <r>
      <rPr>
        <sz val="11"/>
        <color theme="1"/>
        <rFont val="Calibri"/>
        <family val="2"/>
        <scheme val="minor"/>
      </rPr>
      <t xml:space="preserve"> (Fundamental Amps Each Aux Capacitor)</t>
    </r>
    <r>
      <rPr>
        <b/>
        <sz val="11"/>
        <color theme="1"/>
        <rFont val="Calibri"/>
        <family val="2"/>
        <scheme val="minor"/>
      </rPr>
      <t>:</t>
    </r>
  </si>
  <si>
    <r>
      <t>X</t>
    </r>
    <r>
      <rPr>
        <b/>
        <vertAlign val="subscript"/>
        <sz val="11"/>
        <color theme="1"/>
        <rFont val="Calibri"/>
        <family val="2"/>
        <scheme val="minor"/>
      </rPr>
      <t>C-AUX</t>
    </r>
    <r>
      <rPr>
        <b/>
        <sz val="11"/>
        <color theme="1"/>
        <rFont val="Calibri"/>
        <family val="2"/>
        <scheme val="minor"/>
      </rPr>
      <t>:</t>
    </r>
  </si>
  <si>
    <r>
      <t>I</t>
    </r>
    <r>
      <rPr>
        <b/>
        <vertAlign val="subscript"/>
        <sz val="11"/>
        <color theme="1"/>
        <rFont val="Calibri"/>
        <family val="2"/>
        <scheme val="minor"/>
      </rPr>
      <t>AUX FUSE</t>
    </r>
    <r>
      <rPr>
        <b/>
        <sz val="11"/>
        <color theme="1"/>
        <rFont val="Calibri"/>
        <family val="2"/>
        <scheme val="minor"/>
      </rPr>
      <t xml:space="preserve"> </t>
    </r>
    <r>
      <rPr>
        <sz val="11"/>
        <color theme="1"/>
        <rFont val="Calibri"/>
        <family val="2"/>
        <scheme val="minor"/>
      </rPr>
      <t>(Minimum Fuse Rating):</t>
    </r>
  </si>
  <si>
    <t>Aux Cap Capacitance (per phase):</t>
  </si>
  <si>
    <r>
      <t>V</t>
    </r>
    <r>
      <rPr>
        <b/>
        <vertAlign val="subscript"/>
        <sz val="11"/>
        <color theme="1"/>
        <rFont val="Calibri"/>
        <family val="2"/>
        <scheme val="minor"/>
      </rPr>
      <t>CAP AUX FUNDAMENTAL VOLTAGE</t>
    </r>
    <r>
      <rPr>
        <b/>
        <sz val="11"/>
        <color theme="1"/>
        <rFont val="Calibri"/>
        <family val="2"/>
        <scheme val="minor"/>
      </rPr>
      <t>:</t>
    </r>
  </si>
  <si>
    <r>
      <rPr>
        <sz val="11"/>
        <color theme="1"/>
        <rFont val="Calibri"/>
        <family val="2"/>
      </rPr>
      <t>µ</t>
    </r>
    <r>
      <rPr>
        <sz val="11"/>
        <color theme="1"/>
        <rFont val="Calibri"/>
        <family val="2"/>
        <scheme val="minor"/>
      </rPr>
      <t>f</t>
    </r>
  </si>
  <si>
    <r>
      <t>V</t>
    </r>
    <r>
      <rPr>
        <b/>
        <vertAlign val="subscript"/>
        <sz val="11"/>
        <color theme="1"/>
        <rFont val="Calibri"/>
        <family val="2"/>
        <scheme val="minor"/>
      </rPr>
      <t>CAP AUX RMS VOLTAGE</t>
    </r>
    <r>
      <rPr>
        <b/>
        <sz val="11"/>
        <color theme="1"/>
        <rFont val="Calibri"/>
        <family val="2"/>
        <scheme val="minor"/>
      </rPr>
      <t>:</t>
    </r>
  </si>
  <si>
    <r>
      <t>V</t>
    </r>
    <r>
      <rPr>
        <b/>
        <vertAlign val="subscript"/>
        <sz val="11"/>
        <color theme="1"/>
        <rFont val="Calibri"/>
        <family val="2"/>
        <scheme val="minor"/>
      </rPr>
      <t>CAP AUX PEAK CAP VOLTAGE</t>
    </r>
    <r>
      <rPr>
        <b/>
        <sz val="11"/>
        <color theme="1"/>
        <rFont val="Calibri"/>
        <family val="2"/>
        <scheme val="minor"/>
      </rPr>
      <t>:</t>
    </r>
  </si>
  <si>
    <r>
      <t>I</t>
    </r>
    <r>
      <rPr>
        <b/>
        <vertAlign val="subscript"/>
        <sz val="11"/>
        <color theme="1"/>
        <rFont val="Calibri"/>
        <family val="2"/>
        <scheme val="minor"/>
      </rPr>
      <t>CAP AUX RMS CURRENT</t>
    </r>
    <r>
      <rPr>
        <b/>
        <sz val="11"/>
        <color theme="1"/>
        <rFont val="Calibri"/>
        <family val="2"/>
        <scheme val="minor"/>
      </rPr>
      <t>:</t>
    </r>
  </si>
  <si>
    <r>
      <t>I</t>
    </r>
    <r>
      <rPr>
        <b/>
        <vertAlign val="subscript"/>
        <sz val="11"/>
        <color theme="1"/>
        <rFont val="Calibri"/>
        <family val="2"/>
        <scheme val="minor"/>
      </rPr>
      <t xml:space="preserve">aux Capacitor
</t>
    </r>
    <r>
      <rPr>
        <b/>
        <sz val="11"/>
        <color theme="1"/>
        <rFont val="Calibri"/>
        <family val="2"/>
        <scheme val="minor"/>
      </rPr>
      <t xml:space="preserve"> and
I</t>
    </r>
    <r>
      <rPr>
        <b/>
        <vertAlign val="subscript"/>
        <sz val="11"/>
        <color theme="1"/>
        <rFont val="Calibri"/>
        <family val="2"/>
        <scheme val="minor"/>
      </rPr>
      <t xml:space="preserve">REACTOR CURRENT  </t>
    </r>
    <r>
      <rPr>
        <b/>
        <sz val="11"/>
        <color theme="1"/>
        <rFont val="Calibri"/>
        <family val="2"/>
        <scheme val="minor"/>
      </rPr>
      <t>(amps)</t>
    </r>
  </si>
  <si>
    <r>
      <t>V</t>
    </r>
    <r>
      <rPr>
        <b/>
        <vertAlign val="subscript"/>
        <sz val="11"/>
        <color theme="1"/>
        <rFont val="Calibri"/>
        <family val="2"/>
        <scheme val="minor"/>
      </rPr>
      <t xml:space="preserve">CAP MAIN 
</t>
    </r>
    <r>
      <rPr>
        <b/>
        <sz val="11"/>
        <color theme="1"/>
        <rFont val="Calibri"/>
        <family val="2"/>
        <scheme val="minor"/>
      </rPr>
      <t xml:space="preserve"> Voltage
(volts)</t>
    </r>
  </si>
  <si>
    <r>
      <t>V</t>
    </r>
    <r>
      <rPr>
        <b/>
        <vertAlign val="subscript"/>
        <sz val="11"/>
        <color theme="1"/>
        <rFont val="Calibri"/>
        <family val="2"/>
        <scheme val="minor"/>
      </rPr>
      <t xml:space="preserve">CAP AUX 
</t>
    </r>
    <r>
      <rPr>
        <b/>
        <sz val="11"/>
        <color theme="1"/>
        <rFont val="Calibri"/>
        <family val="2"/>
        <scheme val="minor"/>
      </rPr>
      <t xml:space="preserve"> Voltage
(volts)</t>
    </r>
  </si>
  <si>
    <r>
      <t>I</t>
    </r>
    <r>
      <rPr>
        <b/>
        <vertAlign val="subscript"/>
        <sz val="11"/>
        <color theme="1"/>
        <rFont val="Calibri"/>
        <family val="2"/>
        <scheme val="minor"/>
      </rPr>
      <t xml:space="preserve">RESISTOR CURRENT 
 </t>
    </r>
    <r>
      <rPr>
        <b/>
        <sz val="11"/>
        <color theme="1"/>
        <rFont val="Calibri"/>
        <family val="2"/>
        <scheme val="minor"/>
      </rPr>
      <t>(amps)</t>
    </r>
  </si>
  <si>
    <t>C-High-Pass</t>
  </si>
  <si>
    <t>Main Capacitor Losses:</t>
  </si>
  <si>
    <t>Main Capacitor Fuse Losses:</t>
  </si>
  <si>
    <t>Aux Capacitor Losses :</t>
  </si>
  <si>
    <t>Aux Capacitor Fuse Losses:</t>
  </si>
  <si>
    <t>Main Capacitor Group Specification</t>
  </si>
  <si>
    <t>Main capacitor RMS voltage (fundamental voltage + harmonic voltages)</t>
  </si>
  <si>
    <r>
      <t>X</t>
    </r>
    <r>
      <rPr>
        <b/>
        <vertAlign val="subscript"/>
        <sz val="11"/>
        <color theme="1"/>
        <rFont val="Calibri"/>
        <family val="2"/>
        <scheme val="minor"/>
      </rPr>
      <t>CA</t>
    </r>
  </si>
  <si>
    <r>
      <t>X</t>
    </r>
    <r>
      <rPr>
        <b/>
        <vertAlign val="subscript"/>
        <sz val="11"/>
        <color theme="1"/>
        <rFont val="Calibri"/>
        <family val="2"/>
        <scheme val="minor"/>
      </rPr>
      <t>CM</t>
    </r>
  </si>
  <si>
    <t>Capacitive reactance of main capacitor group (ohm/phase)</t>
  </si>
  <si>
    <t>One-Line Diagram
C-High-Pass Filter Design Parameters</t>
  </si>
  <si>
    <t>Notch Filter Reverse Filter Calculator Tool</t>
  </si>
  <si>
    <t>📜 PURPOSE OF REVERSE CALCULATORS</t>
  </si>
  <si>
    <t>VarStec uses the Notch Filter reverse filter calculator tool to back into filter designs when only inductance (L) and capacitance (C) are specified. A reverse calculator provides the more usual filter rating details to allow for a complete filter design where reactive power (kvar), tuning point (h), and system voltage (kVLLSYS) are specified.</t>
  </si>
  <si>
    <t>📜 REVERSE CALCULATOR</t>
  </si>
  <si>
    <t>HP Filter Reverse Calculation Using C and L</t>
  </si>
  <si>
    <r>
      <rPr>
        <b/>
        <sz val="11"/>
        <color theme="1"/>
        <rFont val="Calibri"/>
        <family val="2"/>
        <scheme val="minor"/>
      </rPr>
      <t>C</t>
    </r>
    <r>
      <rPr>
        <sz val="11"/>
        <color theme="1"/>
        <rFont val="Calibri"/>
        <family val="2"/>
        <scheme val="minor"/>
      </rPr>
      <t xml:space="preserve"> (Capacitance - Main Group):</t>
    </r>
  </si>
  <si>
    <t>(µf)/Phase)</t>
  </si>
  <si>
    <r>
      <t>H</t>
    </r>
    <r>
      <rPr>
        <b/>
        <vertAlign val="subscript"/>
        <sz val="11"/>
        <color theme="1"/>
        <rFont val="Calibri"/>
        <family val="2"/>
        <scheme val="minor"/>
      </rPr>
      <t>L</t>
    </r>
    <r>
      <rPr>
        <b/>
        <sz val="11"/>
        <color theme="1"/>
        <rFont val="Calibri"/>
        <family val="2"/>
        <scheme val="minor"/>
      </rPr>
      <t xml:space="preserve"> </t>
    </r>
    <r>
      <rPr>
        <sz val="11"/>
        <color theme="1"/>
        <rFont val="Calibri"/>
        <family val="2"/>
        <scheme val="minor"/>
      </rPr>
      <t>(Inductance of tuning reactor)</t>
    </r>
    <r>
      <rPr>
        <b/>
        <sz val="11"/>
        <color theme="1"/>
        <rFont val="Calibri"/>
        <family val="2"/>
        <scheme val="minor"/>
      </rPr>
      <t>:</t>
    </r>
  </si>
  <si>
    <r>
      <t>X</t>
    </r>
    <r>
      <rPr>
        <b/>
        <vertAlign val="subscript"/>
        <sz val="12"/>
        <color theme="1"/>
        <rFont val="Calibri"/>
        <family val="2"/>
        <scheme val="minor"/>
      </rPr>
      <t>L</t>
    </r>
    <r>
      <rPr>
        <b/>
        <sz val="12"/>
        <color theme="1"/>
        <rFont val="Calibri"/>
        <family val="2"/>
        <scheme val="minor"/>
      </rPr>
      <t xml:space="preserve"> </t>
    </r>
    <r>
      <rPr>
        <sz val="12"/>
        <color theme="1"/>
        <rFont val="Calibri"/>
        <family val="2"/>
        <scheme val="minor"/>
      </rPr>
      <t>(Inductive Reactance)</t>
    </r>
    <r>
      <rPr>
        <b/>
        <sz val="12"/>
        <color theme="1"/>
        <rFont val="Calibri"/>
        <family val="2"/>
        <scheme val="minor"/>
      </rPr>
      <t>:</t>
    </r>
  </si>
  <si>
    <t>Ohms/phase</t>
  </si>
  <si>
    <r>
      <t xml:space="preserve">h </t>
    </r>
    <r>
      <rPr>
        <sz val="12"/>
        <color theme="1"/>
        <rFont val="Calibri"/>
        <family val="2"/>
        <scheme val="minor"/>
      </rPr>
      <t>(Tuning Point)</t>
    </r>
    <r>
      <rPr>
        <b/>
        <sz val="12"/>
        <color theme="1"/>
        <rFont val="Calibri"/>
        <family val="2"/>
        <scheme val="minor"/>
      </rPr>
      <t>:</t>
    </r>
  </si>
  <si>
    <r>
      <t>Q</t>
    </r>
    <r>
      <rPr>
        <b/>
        <vertAlign val="subscript"/>
        <sz val="12"/>
        <color theme="1"/>
        <rFont val="Calibri"/>
        <family val="2"/>
        <scheme val="minor"/>
      </rPr>
      <t>eff</t>
    </r>
    <r>
      <rPr>
        <sz val="12"/>
        <color theme="1"/>
        <rFont val="Calibri"/>
        <family val="2"/>
        <scheme val="minor"/>
      </rPr>
      <t>(3-Phase Reactive Power Output of Filter):</t>
    </r>
  </si>
  <si>
    <t>MVAR (3-phase)</t>
  </si>
  <si>
    <t>Notch Filter One-Line</t>
  </si>
  <si>
    <t>VarStec uses the High-Pass reverse filter calculator tool to back into filter designs when only inductance (L) and capacitance (C) are specified. A reverse calculator provides the more usual filter rating details to allow for a complete filter design where reactive power (kvar), tuning point (h), and system voltage (kVLLSYS) are specified.</t>
  </si>
  <si>
    <t>R (High-Pass Resistor Resistance):</t>
  </si>
  <si>
    <r>
      <t xml:space="preserve">DF </t>
    </r>
    <r>
      <rPr>
        <sz val="12"/>
        <color theme="1"/>
        <rFont val="Calibri"/>
        <family val="2"/>
        <scheme val="minor"/>
      </rPr>
      <t>(Damping Factor):</t>
    </r>
  </si>
  <si>
    <t>High-Pass Filter One-Line</t>
  </si>
  <si>
    <r>
      <t>VarStec uses the C-High-Pass reverse filter calculator tool to back into filter designs when only inductance (L) and capacitances (C</t>
    </r>
    <r>
      <rPr>
        <vertAlign val="subscript"/>
        <sz val="11"/>
        <color theme="1"/>
        <rFont val="Calibri"/>
        <family val="2"/>
        <scheme val="minor"/>
      </rPr>
      <t>AUX</t>
    </r>
    <r>
      <rPr>
        <sz val="11"/>
        <color theme="1"/>
        <rFont val="Calibri"/>
        <family val="2"/>
        <scheme val="minor"/>
      </rPr>
      <t xml:space="preserve"> and C</t>
    </r>
    <r>
      <rPr>
        <vertAlign val="subscript"/>
        <sz val="11"/>
        <color theme="1"/>
        <rFont val="Calibri"/>
        <family val="2"/>
        <scheme val="minor"/>
      </rPr>
      <t>MAIN</t>
    </r>
    <r>
      <rPr>
        <sz val="11"/>
        <color theme="1"/>
        <rFont val="Calibri"/>
        <family val="2"/>
        <scheme val="minor"/>
      </rPr>
      <t>) are specified. A reverse calculator provides the more usual filter rating details to allow for a complete filter design where reactive power (kvar), tuning point (h), and system voltage (kVLLSYS) are specified.</t>
    </r>
  </si>
  <si>
    <r>
      <t>C-HP Filter Reverse Calculation Using C</t>
    </r>
    <r>
      <rPr>
        <vertAlign val="subscript"/>
        <sz val="16"/>
        <color rgb="FF0E9ED9"/>
        <rFont val="Calibri"/>
        <family val="2"/>
        <scheme val="minor"/>
      </rPr>
      <t>AUX</t>
    </r>
    <r>
      <rPr>
        <sz val="16"/>
        <color rgb="FF0E9ED9"/>
        <rFont val="Calibri"/>
        <family val="2"/>
        <scheme val="minor"/>
      </rPr>
      <t>, C</t>
    </r>
    <r>
      <rPr>
        <vertAlign val="subscript"/>
        <sz val="16"/>
        <color rgb="FF0E9ED9"/>
        <rFont val="Calibri"/>
        <family val="2"/>
        <scheme val="minor"/>
      </rPr>
      <t>MAIN</t>
    </r>
    <r>
      <rPr>
        <sz val="16"/>
        <color rgb="FF0E9ED9"/>
        <rFont val="Calibri"/>
        <family val="2"/>
        <scheme val="minor"/>
      </rPr>
      <t>, and L</t>
    </r>
  </si>
  <si>
    <r>
      <rPr>
        <b/>
        <sz val="11"/>
        <color theme="1"/>
        <rFont val="Calibri"/>
        <family val="2"/>
        <scheme val="minor"/>
      </rPr>
      <t>C</t>
    </r>
    <r>
      <rPr>
        <b/>
        <vertAlign val="subscript"/>
        <sz val="11"/>
        <color theme="1"/>
        <rFont val="Calibri"/>
        <family val="2"/>
        <scheme val="minor"/>
      </rPr>
      <t>MAIN</t>
    </r>
    <r>
      <rPr>
        <sz val="11"/>
        <color theme="1"/>
        <rFont val="Calibri"/>
        <family val="2"/>
        <scheme val="minor"/>
      </rPr>
      <t xml:space="preserve"> (Capacitance - Main Group):</t>
    </r>
  </si>
  <si>
    <r>
      <t>X</t>
    </r>
    <r>
      <rPr>
        <b/>
        <vertAlign val="subscript"/>
        <sz val="12"/>
        <color theme="1"/>
        <rFont val="Calibri"/>
        <family val="2"/>
        <scheme val="minor"/>
      </rPr>
      <t xml:space="preserve">C-AUX </t>
    </r>
    <r>
      <rPr>
        <sz val="12"/>
        <color theme="1"/>
        <rFont val="Calibri"/>
        <family val="2"/>
        <scheme val="minor"/>
      </rPr>
      <t>(Capacitive Reactance, Aux Group)</t>
    </r>
    <r>
      <rPr>
        <b/>
        <sz val="12"/>
        <color theme="1"/>
        <rFont val="Calibri"/>
        <family val="2"/>
        <scheme val="minor"/>
      </rPr>
      <t>:</t>
    </r>
  </si>
  <si>
    <t>C-High-Pass Filter One-Line</t>
  </si>
  <si>
    <t>Damping Factor is R/XLn at the tuning harmonic number (hn), where XLn=XL x hn</t>
  </si>
  <si>
    <t>Harmonic Filter Design Workbook Overview and Purpose</t>
  </si>
  <si>
    <t>High-Pass
Filter</t>
  </si>
  <si>
    <t>Notch
Filter</t>
  </si>
  <si>
    <t>C-High-Pass
Filter</t>
  </si>
  <si>
    <t>Harmonic Filter Design Workbook, Overview and Purpose</t>
  </si>
  <si>
    <t>Disclaimer and Use Limitation</t>
  </si>
  <si>
    <t>This spreadsheet is provided for preliminary engineering evaluation only. The calculations are based on simplified, steady-state models and user-supplied input data and are intended to support initial screening, comparative analysis, and conceptual design.  It is intended for use only by qualified technical professionals and should not be used as a substitute for detailed engineering studies, manufacturer-validated analyses, or final design verification. VarStec Power Solutions, LLC makes no representations or warranties, express or implied, and assumes no responsibility or liability for decisions or actions taken based on use of this tool.</t>
  </si>
  <si>
    <t xml:space="preserve">Rev 1 - </t>
  </si>
  <si>
    <t>Xc</t>
  </si>
  <si>
    <t>SD - Standard Duty Capacitors</t>
  </si>
  <si>
    <t>HD- Heavy Duty Capacitors</t>
  </si>
  <si>
    <t>EXD - Extreme Duty Capacitors</t>
  </si>
  <si>
    <t>HD- Heavy Duty Capacitor</t>
  </si>
  <si>
    <r>
      <t>Q</t>
    </r>
    <r>
      <rPr>
        <b/>
        <vertAlign val="subscript"/>
        <sz val="11"/>
        <color theme="1"/>
        <rFont val="Calibri"/>
        <family val="2"/>
        <scheme val="minor"/>
      </rPr>
      <t>AUX CAPACITOR (1-phase)</t>
    </r>
    <r>
      <rPr>
        <b/>
        <sz val="11"/>
        <color theme="1"/>
        <rFont val="Calibri"/>
        <family val="2"/>
        <scheme val="minor"/>
      </rPr>
      <t>:</t>
    </r>
  </si>
  <si>
    <t>Auxiliary Capacitor Group Design Ratings Versus Duty Rating</t>
  </si>
  <si>
    <t>Auxiliary Capacitor Group Rating Details</t>
  </si>
  <si>
    <t>Auxiliary Capacitor Group Specification</t>
  </si>
  <si>
    <t>Capacitive reactance of auxiliary capacitor group (ohms/phase)</t>
  </si>
  <si>
    <t>Harmonic Filter Design / High-Pass (HP) Type</t>
  </si>
  <si>
    <t>Harmonic Filter Design / C-High-Pass (C-HP) Type</t>
  </si>
  <si>
    <t>VarStec Power Solutions, Inc.</t>
  </si>
  <si>
    <t>CAUX (Capacitance - Auxiliary Group):</t>
  </si>
  <si>
    <t>NAUX (Number of Auxiliary Capacitors Per Phase):</t>
  </si>
  <si>
    <t>XC (capacitive Reactance, Main Group):</t>
  </si>
  <si>
    <t>XC-MAIN (capacitive Reactance, Main Group):</t>
  </si>
  <si>
    <t>Capacitor RMS voltage including harmonics</t>
  </si>
  <si>
    <t>Capacitor peak voltage, including harmonics, and assuming peaks are in phase.</t>
  </si>
  <si>
    <t>Capacitor (main group) RMS voltage including harmonics</t>
  </si>
  <si>
    <t>Capacitor (main group) peak voltage, including harmonics, and assuming peaks are in phase.</t>
  </si>
  <si>
    <t>High-Pass Resistor specification</t>
  </si>
  <si>
    <r>
      <t>I</t>
    </r>
    <r>
      <rPr>
        <vertAlign val="subscript"/>
        <sz val="11"/>
        <color theme="1"/>
        <rFont val="Calibri"/>
        <family val="2"/>
        <scheme val="minor"/>
      </rPr>
      <t>MAIN FUSE</t>
    </r>
    <r>
      <rPr>
        <b/>
        <sz val="11"/>
        <color theme="1"/>
        <rFont val="Calibri"/>
        <family val="2"/>
        <scheme val="minor"/>
      </rPr>
      <t xml:space="preserve"> </t>
    </r>
    <r>
      <rPr>
        <sz val="11"/>
        <color theme="1"/>
        <rFont val="Calibri"/>
        <family val="2"/>
        <scheme val="minor"/>
      </rPr>
      <t>(Minimum Fuse Rating):</t>
    </r>
  </si>
  <si>
    <t>Reactor Henry rating (millihenries)</t>
  </si>
  <si>
    <t>Tuning Reactor Henry rating (millihenries)</t>
  </si>
  <si>
    <t>The below shows how a 1000 kvar 13.8kV 4.7th tuned HP Filter Design is computed manually and is the basis this spreadsheet.</t>
  </si>
  <si>
    <t>The below shows how a 1000 kvar 13.8kV 4.7th tuned C-HP Filter Design is computed manually and is the basis this spreadsheet.</t>
  </si>
  <si>
    <t>The below shows how a 1000 kvar 13.8kV 4.7th tuned Notch Type Filter Design is computed manually and is the basis this spreadsheet.</t>
  </si>
  <si>
    <t>C-High-Pass (C-HP) Reverse Filter Calculator Tool</t>
  </si>
  <si>
    <t>High-Pass (HP) Reverse Filter Calculator Tool</t>
  </si>
  <si>
    <t>Harmonic Filter Design /4-Stage H-Filter Type</t>
  </si>
  <si>
    <t>Effective kvar</t>
  </si>
  <si>
    <t>Tuning Point</t>
  </si>
  <si>
    <t xml:space="preserve">
X
Effective
(Ohms)</t>
  </si>
  <si>
    <t>Rated Current
(amps)</t>
  </si>
  <si>
    <t>L
(mH)</t>
  </si>
  <si>
    <r>
      <t xml:space="preserve">
X</t>
    </r>
    <r>
      <rPr>
        <b/>
        <vertAlign val="subscript"/>
        <sz val="11"/>
        <color theme="1"/>
        <rFont val="Calibri"/>
        <family val="2"/>
        <scheme val="minor"/>
      </rPr>
      <t>C</t>
    </r>
    <r>
      <rPr>
        <b/>
        <sz val="11"/>
        <color theme="1"/>
        <rFont val="Calibri"/>
        <family val="2"/>
        <scheme val="minor"/>
      </rPr>
      <t xml:space="preserve">
Effective
(Ohms)</t>
    </r>
  </si>
  <si>
    <t>Damping Resistor Ratings 
(ohms)</t>
  </si>
  <si>
    <r>
      <t>R</t>
    </r>
    <r>
      <rPr>
        <vertAlign val="subscript"/>
        <sz val="11"/>
        <color theme="1"/>
        <rFont val="Calibri"/>
        <family val="2"/>
        <scheme val="minor"/>
      </rPr>
      <t>12</t>
    </r>
    <r>
      <rPr>
        <sz val="11"/>
        <color theme="1"/>
        <rFont val="Calibri"/>
        <family val="2"/>
        <scheme val="minor"/>
      </rPr>
      <t>:</t>
    </r>
  </si>
  <si>
    <r>
      <t>R</t>
    </r>
    <r>
      <rPr>
        <vertAlign val="subscript"/>
        <sz val="11"/>
        <color theme="1"/>
        <rFont val="Calibri"/>
        <family val="2"/>
        <scheme val="minor"/>
      </rPr>
      <t>23</t>
    </r>
    <r>
      <rPr>
        <sz val="11"/>
        <color theme="1"/>
        <rFont val="Calibri"/>
        <family val="2"/>
        <scheme val="minor"/>
      </rPr>
      <t>:</t>
    </r>
  </si>
  <si>
    <r>
      <t>R</t>
    </r>
    <r>
      <rPr>
        <vertAlign val="subscript"/>
        <sz val="11"/>
        <color theme="1"/>
        <rFont val="Calibri"/>
        <family val="2"/>
        <scheme val="minor"/>
      </rPr>
      <t>34</t>
    </r>
    <r>
      <rPr>
        <sz val="11"/>
        <color theme="1"/>
        <rFont val="Calibri"/>
        <family val="2"/>
        <scheme val="minor"/>
      </rPr>
      <t>:</t>
    </r>
  </si>
  <si>
    <t>YL1</t>
  </si>
  <si>
    <t>YL2</t>
  </si>
  <si>
    <t>YL3</t>
  </si>
  <si>
    <t>YL4</t>
  </si>
  <si>
    <t>YC1</t>
  </si>
  <si>
    <t>YC2</t>
  </si>
  <si>
    <t>YC3</t>
  </si>
  <si>
    <t>YC4</t>
  </si>
  <si>
    <t>YR12</t>
  </si>
  <si>
    <t>YR23</t>
  </si>
  <si>
    <t>YR34</t>
  </si>
  <si>
    <t>calculating the a, b, c, and d coefficients.</t>
  </si>
  <si>
    <t>b1</t>
  </si>
  <si>
    <t>c1</t>
  </si>
  <si>
    <t>d1</t>
  </si>
  <si>
    <t>a2</t>
  </si>
  <si>
    <t>b2</t>
  </si>
  <si>
    <t>c2</t>
  </si>
  <si>
    <t>d2</t>
  </si>
  <si>
    <t>a3</t>
  </si>
  <si>
    <t>b3</t>
  </si>
  <si>
    <t>c3</t>
  </si>
  <si>
    <t>d3</t>
  </si>
  <si>
    <t>a4</t>
  </si>
  <si>
    <t>b4</t>
  </si>
  <si>
    <t>d4</t>
  </si>
  <si>
    <t>Vs:</t>
  </si>
  <si>
    <t>B1</t>
  </si>
  <si>
    <t>D1</t>
  </si>
  <si>
    <t>m2</t>
  </si>
  <si>
    <t>B2</t>
  </si>
  <si>
    <t>D2</t>
  </si>
  <si>
    <t>m3</t>
  </si>
  <si>
    <t>B3</t>
  </si>
  <si>
    <t>D3</t>
  </si>
  <si>
    <t>m4</t>
  </si>
  <si>
    <t>B4</t>
  </si>
  <si>
    <t>D4</t>
  </si>
  <si>
    <t>V4</t>
  </si>
  <si>
    <t>V3</t>
  </si>
  <si>
    <t>V2</t>
  </si>
  <si>
    <t>V1</t>
  </si>
  <si>
    <t>IL1</t>
  </si>
  <si>
    <t>IC1</t>
  </si>
  <si>
    <t>IR12</t>
  </si>
  <si>
    <t>IL2</t>
  </si>
  <si>
    <t>IL3</t>
  </si>
  <si>
    <t>IL4</t>
  </si>
  <si>
    <t>IC2</t>
  </si>
  <si>
    <t>IC3</t>
  </si>
  <si>
    <t>IC4</t>
  </si>
  <si>
    <t>IR23</t>
  </si>
  <si>
    <t>IR34</t>
  </si>
  <si>
    <t>ITOTAL</t>
  </si>
  <si>
    <t>ZTOTAL</t>
  </si>
  <si>
    <t>ITotalMag</t>
  </si>
  <si>
    <t>ZTotalMag</t>
  </si>
  <si>
    <t>x</t>
  </si>
  <si>
    <t>IMPEDANCE TABLE TO CALCULATE THE IMPEDANCE CURVE FOR THE FILTER NETWORK PLUS THE FUNDAMENTAL CURRENT AND VOLTAGE FOR EACH OF THE NETWORK ELEMENTS</t>
  </si>
  <si>
    <t>For Plotting Data</t>
  </si>
  <si>
    <t>H</t>
  </si>
  <si>
    <t>Vs here is the voltage of the filter at the harmonic current injection point</t>
  </si>
  <si>
    <t>Harm#</t>
  </si>
  <si>
    <t>I Injection</t>
  </si>
  <si>
    <t>Vs (complex)</t>
  </si>
  <si>
    <t>Vs(mag)</t>
  </si>
  <si>
    <t>Vthd(%)</t>
  </si>
  <si>
    <t>VC1</t>
  </si>
  <si>
    <t>VC2</t>
  </si>
  <si>
    <t>VC3</t>
  </si>
  <si>
    <t>VC4</t>
  </si>
  <si>
    <t>amps rms</t>
  </si>
  <si>
    <t>V rms</t>
  </si>
  <si>
    <t>Vs=voltage across filter based on current injection</t>
  </si>
  <si>
    <t>Branch 1</t>
  </si>
  <si>
    <t>Branch 2</t>
  </si>
  <si>
    <t>Branch 3</t>
  </si>
  <si>
    <t>Branch 4</t>
  </si>
  <si>
    <t>At Nominal 110% Voltage</t>
  </si>
  <si>
    <r>
      <t>I</t>
    </r>
    <r>
      <rPr>
        <b/>
        <vertAlign val="subscript"/>
        <sz val="11"/>
        <color theme="1"/>
        <rFont val="Calibri"/>
        <family val="2"/>
        <scheme val="minor"/>
      </rPr>
      <t>CAPACITOR UNIT CURRENT</t>
    </r>
    <r>
      <rPr>
        <b/>
        <sz val="11"/>
        <color theme="1"/>
        <rFont val="Calibri"/>
        <family val="2"/>
        <scheme val="minor"/>
      </rPr>
      <t>:</t>
    </r>
  </si>
  <si>
    <r>
      <t>I</t>
    </r>
    <r>
      <rPr>
        <b/>
        <vertAlign val="subscript"/>
        <sz val="11"/>
        <color theme="1"/>
        <rFont val="Calibri"/>
        <family val="2"/>
        <scheme val="minor"/>
      </rPr>
      <t xml:space="preserve"> MINIMUM CAPACITOR FUSE RATING</t>
    </r>
    <r>
      <rPr>
        <sz val="11"/>
        <color theme="1"/>
        <rFont val="Calibri"/>
        <family val="2"/>
        <scheme val="minor"/>
      </rPr>
      <t>:</t>
    </r>
  </si>
  <si>
    <t>Capacitor Voltage Rating (kV)</t>
  </si>
  <si>
    <t>Number of Capacitor Per Phase</t>
  </si>
  <si>
    <r>
      <t>Capacitance Per Phase (</t>
    </r>
    <r>
      <rPr>
        <b/>
        <sz val="11"/>
        <color theme="1"/>
        <rFont val="Calibri"/>
        <family val="2"/>
      </rPr>
      <t>µF)</t>
    </r>
  </si>
  <si>
    <t>Branch 1:</t>
  </si>
  <si>
    <t>Branch 2:</t>
  </si>
  <si>
    <t>Branch 3:</t>
  </si>
  <si>
    <t>Branch 4:</t>
  </si>
  <si>
    <t>kvar per Phase (kvar)</t>
  </si>
  <si>
    <t>Individual Capacitor Rating (kvar)</t>
  </si>
  <si>
    <t>Expected Harmonic Current (amps) Into Line Side of Filter</t>
  </si>
  <si>
    <t>Capacitor / Damping Resistor Data</t>
  </si>
  <si>
    <t>Total:</t>
  </si>
  <si>
    <r>
      <t>X</t>
    </r>
    <r>
      <rPr>
        <b/>
        <vertAlign val="subscript"/>
        <sz val="11"/>
        <color theme="1"/>
        <rFont val="Calibri"/>
        <family val="2"/>
        <scheme val="minor"/>
      </rPr>
      <t>L</t>
    </r>
    <r>
      <rPr>
        <b/>
        <sz val="11"/>
        <color theme="1"/>
        <rFont val="Calibri"/>
        <family val="2"/>
        <scheme val="minor"/>
      </rPr>
      <t xml:space="preserve">
Effective
(Ohms)</t>
    </r>
  </si>
  <si>
    <t>Branch Details</t>
  </si>
  <si>
    <r>
      <t xml:space="preserve">Resistor Loading </t>
    </r>
    <r>
      <rPr>
        <b/>
        <sz val="10"/>
        <color theme="1"/>
        <rFont val="Calibri"/>
        <family val="2"/>
        <scheme val="minor"/>
      </rPr>
      <t>(KW/Phase)</t>
    </r>
  </si>
  <si>
    <t>Branch Ratings</t>
  </si>
  <si>
    <t>Vthd/RMS</t>
  </si>
  <si>
    <r>
      <t>I</t>
    </r>
    <r>
      <rPr>
        <b/>
        <vertAlign val="subscript"/>
        <sz val="11"/>
        <color theme="1"/>
        <rFont val="Calibri"/>
        <family val="2"/>
        <scheme val="minor"/>
      </rPr>
      <t>CAPACITOR FUNDAMENTAL UNIT CURRENT</t>
    </r>
    <r>
      <rPr>
        <b/>
        <sz val="11"/>
        <color theme="1"/>
        <rFont val="Calibri"/>
        <family val="2"/>
        <scheme val="minor"/>
      </rPr>
      <t>:</t>
    </r>
  </si>
  <si>
    <t>C1 VARS</t>
  </si>
  <si>
    <t>C2 VARS</t>
  </si>
  <si>
    <t>C3 VAR</t>
  </si>
  <si>
    <t>C4 VARS</t>
  </si>
  <si>
    <t>kvars</t>
  </si>
  <si>
    <t>At 110% System Voltage</t>
  </si>
  <si>
    <t>Peak Volts (nominal):</t>
  </si>
  <si>
    <t>Peak Volts 110% Fundamental):</t>
  </si>
  <si>
    <t>RMS Voltage (110% Fundamental):</t>
  </si>
  <si>
    <t>at 10% over voltage</t>
  </si>
  <si>
    <t>volts</t>
  </si>
  <si>
    <t>%</t>
  </si>
  <si>
    <t>Total RMS</t>
  </si>
  <si>
    <t>Table of Currents and Voltages*</t>
  </si>
  <si>
    <t>H-Type</t>
  </si>
  <si>
    <t>Reactor L1</t>
  </si>
  <si>
    <t>Reactor L2</t>
  </si>
  <si>
    <t>Reactor L3</t>
  </si>
  <si>
    <t>Reactor L4</t>
  </si>
  <si>
    <t>Reactor #:</t>
  </si>
  <si>
    <t>Inductance (mH):</t>
  </si>
  <si>
    <t>Reactance (ohms):</t>
  </si>
  <si>
    <t>Ambient Temperature:</t>
  </si>
  <si>
    <t>Tack winding to Core:</t>
  </si>
  <si>
    <t>kA</t>
  </si>
  <si>
    <t>3-Phase Short Circuit Current Level at Filter Bank:</t>
  </si>
  <si>
    <t>X/R  Ratio:</t>
  </si>
  <si>
    <t>short Circuit Impedance:</t>
  </si>
  <si>
    <t>R:</t>
  </si>
  <si>
    <t>X:</t>
  </si>
  <si>
    <t>Z-Source (complex)</t>
  </si>
  <si>
    <t>Zfilter</t>
  </si>
  <si>
    <t>Zsource</t>
  </si>
  <si>
    <t>Ztotal</t>
  </si>
  <si>
    <t>Rev Date: 5-24-2026</t>
  </si>
  <si>
    <t xml:space="preserve">Other: </t>
  </si>
  <si>
    <t>source current in per unit of injection</t>
  </si>
  <si>
    <t>9 | P a g e</t>
  </si>
  <si>
    <t>10 | P a g e</t>
  </si>
  <si>
    <r>
      <t>I</t>
    </r>
    <r>
      <rPr>
        <b/>
        <vertAlign val="subscript"/>
        <sz val="14"/>
        <color theme="1"/>
        <rFont val="Calibri"/>
        <family val="2"/>
        <scheme val="minor"/>
      </rPr>
      <t>L2</t>
    </r>
  </si>
  <si>
    <r>
      <t>I</t>
    </r>
    <r>
      <rPr>
        <b/>
        <vertAlign val="subscript"/>
        <sz val="14"/>
        <color theme="1"/>
        <rFont val="Calibri"/>
        <family val="2"/>
        <scheme val="minor"/>
      </rPr>
      <t>L3</t>
    </r>
  </si>
  <si>
    <r>
      <t>I</t>
    </r>
    <r>
      <rPr>
        <b/>
        <vertAlign val="subscript"/>
        <sz val="14"/>
        <color theme="1"/>
        <rFont val="Calibri"/>
        <family val="2"/>
        <scheme val="minor"/>
      </rPr>
      <t>L4</t>
    </r>
  </si>
  <si>
    <r>
      <t>I</t>
    </r>
    <r>
      <rPr>
        <b/>
        <vertAlign val="subscript"/>
        <sz val="14"/>
        <color theme="1"/>
        <rFont val="Calibri"/>
        <family val="2"/>
        <scheme val="minor"/>
      </rPr>
      <t>C1</t>
    </r>
  </si>
  <si>
    <r>
      <t>V</t>
    </r>
    <r>
      <rPr>
        <b/>
        <vertAlign val="subscript"/>
        <sz val="14"/>
        <color theme="1"/>
        <rFont val="Calibri"/>
        <family val="2"/>
        <scheme val="minor"/>
      </rPr>
      <t>C1</t>
    </r>
  </si>
  <si>
    <r>
      <t>I</t>
    </r>
    <r>
      <rPr>
        <b/>
        <vertAlign val="subscript"/>
        <sz val="14"/>
        <color theme="1"/>
        <rFont val="Calibri"/>
        <family val="2"/>
        <scheme val="minor"/>
      </rPr>
      <t>C2</t>
    </r>
  </si>
  <si>
    <r>
      <t>V</t>
    </r>
    <r>
      <rPr>
        <b/>
        <vertAlign val="subscript"/>
        <sz val="14"/>
        <color theme="1"/>
        <rFont val="Calibri"/>
        <family val="2"/>
        <scheme val="minor"/>
      </rPr>
      <t>C2</t>
    </r>
  </si>
  <si>
    <r>
      <t>I</t>
    </r>
    <r>
      <rPr>
        <b/>
        <vertAlign val="subscript"/>
        <sz val="14"/>
        <color theme="1"/>
        <rFont val="Calibri"/>
        <family val="2"/>
        <scheme val="minor"/>
      </rPr>
      <t xml:space="preserve">C3 </t>
    </r>
  </si>
  <si>
    <r>
      <t>V</t>
    </r>
    <r>
      <rPr>
        <b/>
        <vertAlign val="subscript"/>
        <sz val="14"/>
        <color theme="1"/>
        <rFont val="Calibri"/>
        <family val="2"/>
        <scheme val="minor"/>
      </rPr>
      <t>C3</t>
    </r>
  </si>
  <si>
    <r>
      <t>I</t>
    </r>
    <r>
      <rPr>
        <b/>
        <vertAlign val="subscript"/>
        <sz val="14"/>
        <color theme="1"/>
        <rFont val="Calibri"/>
        <family val="2"/>
        <scheme val="minor"/>
      </rPr>
      <t>C4</t>
    </r>
  </si>
  <si>
    <r>
      <t>V</t>
    </r>
    <r>
      <rPr>
        <b/>
        <vertAlign val="subscript"/>
        <sz val="14"/>
        <color theme="1"/>
        <rFont val="Calibri"/>
        <family val="2"/>
        <scheme val="minor"/>
      </rPr>
      <t>C4</t>
    </r>
  </si>
  <si>
    <r>
      <t>I</t>
    </r>
    <r>
      <rPr>
        <b/>
        <vertAlign val="subscript"/>
        <sz val="14"/>
        <color theme="1"/>
        <rFont val="Calibri"/>
        <family val="2"/>
        <scheme val="minor"/>
      </rPr>
      <t>R23</t>
    </r>
  </si>
  <si>
    <r>
      <t>I</t>
    </r>
    <r>
      <rPr>
        <b/>
        <vertAlign val="subscript"/>
        <sz val="14"/>
        <color theme="1"/>
        <rFont val="Calibri"/>
        <family val="2"/>
        <scheme val="minor"/>
      </rPr>
      <t>R34</t>
    </r>
  </si>
  <si>
    <r>
      <t>V</t>
    </r>
    <r>
      <rPr>
        <b/>
        <vertAlign val="subscript"/>
        <sz val="14"/>
        <color theme="1"/>
        <rFont val="Calibri"/>
        <family val="2"/>
        <scheme val="minor"/>
      </rPr>
      <t>filter</t>
    </r>
  </si>
  <si>
    <r>
      <t>I</t>
    </r>
    <r>
      <rPr>
        <b/>
        <vertAlign val="subscript"/>
        <sz val="14"/>
        <color theme="1"/>
        <rFont val="Calibri"/>
        <family val="2"/>
        <scheme val="minor"/>
      </rPr>
      <t xml:space="preserve">filter </t>
    </r>
  </si>
  <si>
    <r>
      <t>I</t>
    </r>
    <r>
      <rPr>
        <b/>
        <vertAlign val="subscript"/>
        <sz val="14"/>
        <color theme="1"/>
        <rFont val="Calibri"/>
        <family val="2"/>
        <scheme val="minor"/>
      </rPr>
      <t>R12</t>
    </r>
  </si>
  <si>
    <t>Resistor Calculation Losses - Harmonic Only</t>
  </si>
  <si>
    <t>Reactor Harmonic Loss Calculation</t>
  </si>
  <si>
    <t>Enter Fundamental Current Design Margin for Iron-Core Reactors:</t>
  </si>
  <si>
    <t>Enter Harmonic Current Design Margin for Iron-Core Reactors:</t>
  </si>
  <si>
    <t>The capacitors listed on page 1 in accordance with the system BIL and fundamental frequency shall be provided. The capacitors shall be all-film, low-loss, double-bushing capacitors designed, manufactured, and tested to applicable IEEE/ANSI and IEC standards, supplied by Cooper, GE, or Hitachi (no others). The capacitors shall be connected unground-wye and shall have applicable over-voltage and blown-fuse protection.</t>
  </si>
  <si>
    <t>The resistors listed on Page 1 shall be provided. Where ratings permit, resistors shall be stainless steel grid type. Each resistor shall have the per-phase ohmic value shown on Page 1, a continuous power rating not less than the value shown on Page 1, and an RMS current rating not less than the value shown. A minimum engineering margin of 1.5 times the calculated continuous watt loss should be considered when selecting the continuous power rating.
The resistor elements shall be divided into appropriate series groups to provide adequate voltage withstand capability during switching transients. The overall resistor assembly BIL rating shall be coordinated with the system BIL level.
If the watt losses in a high-pass filter resistor become excessive, VarStec recommends considering a C-type high-pass filter design, particularly for filters tuned at or below the 5th harmonic. As a general guideline, when resistor losses exceed approximately 100 kW per phase, a C-type high-pass design should be strongly considered. C-type high-pass filters exhibit near-zero losses at fundamental frequency and allow low effective damping factors, providing improved resonance damping with substantially lower resistor losses.</t>
  </si>
  <si>
    <t>* Voltage distortion at filter incoming based on specified harmonic currents in rows 20 and 21 of page 1. This data is typically obtained through harmonic studies or can be a worst case total harmonic current injection based on the summation of all harmonic injections on the load bus.</t>
  </si>
  <si>
    <t>Appendix A</t>
  </si>
  <si>
    <t xml:space="preserve">The chart on page 10 illustrates the predicted source harmonic current response for a 1 amp harmonic current injection applied at the harmonic filter terminals. The analysis is performed from the 1st through the 50th harmonic and provides insight into how harmonic currents injected at the filter terminals (representing harmonic current produced by VFDs and other non-linear plant loads) divide between the utility source and the harmonic filter network. The plotted quantity represents the ratio of harmonic current flowing toward the utility source to the injected harmonic current at each harmonic order. In this analysis, the injected harmonic current is fixed at 1 amp for each harmonic order evaluated. The resulting value therefore indicates how much harmonic current will flow toward the utility source for every 1 amp of harmonic current injected at the filter bus.
For example: A value of 0.20 indicates that 20% of the injected harmonic current flows toward the source while approximately 80% is absorbed by the filter network. A value of 1.0 indicates no mitigation benefit, meaning essentially all injected harmonic current flows toward the source. Values greater than 1.0 indicate harmonic current magnification caused by resonance between the filter system and the utility source impedance.
This behavior is important because harmonic filters do not operate as ideal current sinks. The filter capacitors interact with the utility system inductance and create resonant conditions whose frequency and damping characteristics depend on: utility short-circuit strength and X/R ratio, harmonic filter tuning, filter effective reactive power rating, damping resistor ohmic value (if present), filter topology (C-HP, Notch, HP, H-Type), and number of filter branches.
 </t>
  </si>
  <si>
    <r>
      <t xml:space="preserve">Near parallel resonance conditions (peaks in the chart), injected harmonic current can produce amplified source harmonic current levels. In these regions, the source current may exceed the injected harmonic current magnitude, producing source currents greater than 1 amp. This is not an error in the calculation. It is a real system phenomenon associated with resonant energy exchange between the source inductance and filter capacitance.
This effect is one of the primary reasons damping resistors are incorporated into high-pass, C-high-pass, and H-filter harmonic filter designs. Proper damping resistor selection reduces resonance magnification, broadens attenuation bandwidth, and stabilizes filter performance across varying system conditions.
The response curve therefore serves three purposes:
</t>
    </r>
    <r>
      <rPr>
        <b/>
        <sz val="11"/>
        <color theme="1"/>
        <rFont val="Calibri"/>
        <family val="2"/>
        <scheme val="minor"/>
      </rPr>
      <t>Mitigation Assessment</t>
    </r>
    <r>
      <rPr>
        <sz val="11"/>
        <color theme="1"/>
        <rFont val="Calibri"/>
        <family val="2"/>
        <scheme val="minor"/>
      </rPr>
      <t xml:space="preserve">
Identifies frequencies where harmonic current is effectively diverted into the filter network rather than propagated toward the utility source.
</t>
    </r>
    <r>
      <rPr>
        <b/>
        <sz val="11"/>
        <color theme="1"/>
        <rFont val="Calibri"/>
        <family val="2"/>
        <scheme val="minor"/>
      </rPr>
      <t>Resonance and Magnification Assessment</t>
    </r>
    <r>
      <rPr>
        <sz val="11"/>
        <color theme="1"/>
        <rFont val="Calibri"/>
        <family val="2"/>
        <scheme val="minor"/>
      </rPr>
      <t xml:space="preserve">
Identifies frequencies where filter-to-system interaction may amplify harmonic current flow toward the source, potentially resulting in IEEE 519 limits being exceeded.</t>
    </r>
  </si>
  <si>
    <t>11 | P a g e</t>
  </si>
  <si>
    <t>12 | P a g e</t>
  </si>
  <si>
    <t>Filter Current</t>
  </si>
  <si>
    <r>
      <t xml:space="preserve">The chart on page 10 illustrates the predicted source harmonic current response for a 1 amp harmonic current injection applied at the harmonic filter terminals. The analysis is performed from the 1st through the 50th harmonic and provides insight into how harmonic currents injected at the filter terminals (representing harmonic current produced by VFDs and other non-linear plant loads) divide between the utility source and the harmonic filter network. The plotted quantity represents the ratio of harmonic current flowing toward the utility source to the injected harmonic current at each harmonic order. In this analysis, the injected harmonic current is fixed at 1 amp for each harmonic order evaluated. The resulting value therefore indicates how much harmonic current will flow toward the utility source for every 1 amp of harmonic current injected at the filter bus.
For example: A value of 0.20 indicates that 20% of the injected harmonic current flows toward the source while approximately 80% is absorbed by the filter network. A value of 1.0 indicates no mitigation benefit, meaning essentially all injected harmonic current flows toward the source. Values greater than 1.0 indicate harmonic current magnification caused by resonance between the filter system and the utility source impedance.
This behavior is important because harmonic filters do not operate as ideal current sinks. The filter capacitors interact with the utility system inductance and create resonant conditions whose frequency and damping characteristics depend on: utility short-circuit strength and X/R ratio, harmonic filter tuning, filter effective reactive power rating, damping resistor ohmic value (if present), filter topology (C-HP, Notch, HP, H-Type), and number of filter branches.
Near parallel resonance conditions (peaks in the chart), injected harmonic current can produce amplified source harmonic current levels. In these regions, the source current may exceed the injected harmonic current magnitude, producing source currents greater than 1 amp. This is not an error in the calculation. It is a real system phenomenon associated with resonant energy exchange between the source inductance and filter capacitance.
This effect is one of the primary reasons damping resistors are incorporated into high-pass, C-high-pass, and H-filter harmonic filter designs. Proper damping resistor selection reduces resonance magnification, broadens attenuation bandwidth, and stabilizes filter performance across varying system conditions.
The response curve therefore serves three purposes:
</t>
    </r>
    <r>
      <rPr>
        <b/>
        <sz val="11"/>
        <color theme="1"/>
        <rFont val="Calibri"/>
        <family val="2"/>
        <scheme val="minor"/>
      </rPr>
      <t>Mitigation Assessment</t>
    </r>
    <r>
      <rPr>
        <sz val="11"/>
        <color theme="1"/>
        <rFont val="Calibri"/>
        <family val="2"/>
        <scheme val="minor"/>
      </rPr>
      <t xml:space="preserve">
Identifies frequencies where harmonic current is effectively diverted into the filter network rather than propagated toward the utility source.
 </t>
    </r>
  </si>
  <si>
    <r>
      <rPr>
        <b/>
        <sz val="11"/>
        <color theme="1"/>
        <rFont val="Calibri"/>
        <family val="2"/>
        <scheme val="minor"/>
      </rPr>
      <t>Resonance and Magnification Assessment</t>
    </r>
    <r>
      <rPr>
        <sz val="11"/>
        <color theme="1"/>
        <rFont val="Calibri"/>
        <family val="2"/>
        <scheme val="minor"/>
      </rPr>
      <t xml:space="preserve">
Identifies frequencies where filter-to-system interaction may amplify harmonic current flow toward the source, potentially resulting in IEEE 519 limits being exceeded.
</t>
    </r>
    <r>
      <rPr>
        <b/>
        <sz val="11"/>
        <color theme="1"/>
        <rFont val="Calibri"/>
        <family val="2"/>
        <scheme val="minor"/>
      </rPr>
      <t>Filter Performance Assessment</t>
    </r>
    <r>
      <rPr>
        <sz val="11"/>
        <color theme="1"/>
        <rFont val="Calibri"/>
        <family val="2"/>
        <scheme val="minor"/>
      </rPr>
      <t xml:space="preserve">
Using expected harmonic current injections, the expected harmonic current flow into the utility network can be quickly evaluated.
The calculations are based on the modeled utility short-circuit strength at the point of interconnection together with the cumulative filter capacitance and impedance characteristics of the filter network. The utility source is represented as an equivalent Thevenin impedance derived from the available short-circuit current.
In a similar manner, a corresponding plot for harmonic current flow into the filter can also be developed. This curve helps identify concerns related to filter component ratings and assists in properly rating filter components when harmonic load is added to the system. See the plot on page 11.</t>
    </r>
  </si>
  <si>
    <r>
      <rPr>
        <b/>
        <sz val="11"/>
        <color theme="1"/>
        <rFont val="Calibri"/>
        <family val="2"/>
        <scheme val="minor"/>
      </rPr>
      <t>Filter Performance Assessment</t>
    </r>
    <r>
      <rPr>
        <sz val="11"/>
        <color theme="1"/>
        <rFont val="Calibri"/>
        <family val="2"/>
        <scheme val="minor"/>
      </rPr>
      <t xml:space="preserve">
Using expected harmonic current injections, the expected harmonic current flow into the utility network can be quickly evaluated.
The calculations are based on the modeled utility short-circuit strength at the point of interconnection together with the cumulative filter capacitance and impedance characteristics of the filter network. The utility source is represented as an equivalent Thevenin impedance derived from the available short-circuit current.
In a similar manner, a corresponding plot (see below) for harmonic current flow into the filter can also be developed. This curve helps identify concerns related to filter component ratings and assists in properly rating filter components when harmonic load is added to the system.</t>
    </r>
  </si>
  <si>
    <t>Filter and Source Harmonic Current Injection Response</t>
  </si>
  <si>
    <t>Driving Point Impedance Scans</t>
  </si>
  <si>
    <t xml:space="preserve">A driving point harmonic impedance scan as shown on page 12 and also on page 4 shows system impedance versus harmonic number or frequency. Impedance magnitude, in ohms, is plotted on the vertical axis, with harmonic number on the horizontal axis. The scan is used to evaluate how the system responds to harmonic current at different frequencies.
This scan includes the filter impedance, source impedance, and total system impedance. For each harmonic, the impedance represents the voltage that would result from a 1-amp current injection at that point. Since impedance equals voltage divided by current, the voltage produced by a 1-amp injection is numerically equal to the impedance.
The program uses the provided short-circuit level and X/R ratio to develop the source impedance curve, often used as a reference line. This provides a practical approximation of source behavior for harmonic analysis, especially where the transformer dominates the source impedance, typical for medium-voltage and industrial applications. </t>
  </si>
  <si>
    <t xml:space="preserve">The scan is used to:
     - Evaluate harmonic filter performance.
     - Estimate harmonic current division between the filter and source.
     - Identify resonant points in the system.
     - Determine whether resonance occurs near a harmonic where significant current is injected.
When filter impedance is lower than source impedance, more harmonic current flows into the filter. When filter impedance is higher than source impedance, more current flows into the source. When the two impedances are approximately equal, the current divides roughly 50/50.
A resonance below the filter tuning point should be reviewed carefully, especially if it coincides with a significant harmonic current source. In that case, the scan may indicate a potential problem condition.
Overall, this impedance scan provides a simplified but practical representation of system behavior based on the supplied source short-circuit MVA and X/R ratio and filter characteristics for the project.
</t>
  </si>
  <si>
    <t>Driving Point Harmonic Impedance Scan Overview</t>
  </si>
  <si>
    <t xml:space="preserve">A driving point harmonic impedance scan shows system impedance versus harmonic number or frequency. Impedance magnitude is plotted in ohms and is used to evaluate how the system responds to harmonic current injection.
The scan provided for this project includes the filter impedance, source impedance, and total system impedance. For a 1-amp harmonic current injection, the resulting voltage is numerically equal to the impedance at that harmonic.
The program uses the supplied short-circuit level and X/R ratio to create a source impedance curve. This provides a practical reference for evaluating harmonic current division, filter performance, and resonant conditions.
When filter impedance is lower than source impedance, more harmonic current flows into the filter. When filter impedance is higher, more current flows into the source. When the two are approximately equal, current divides roughly 50/50.
Resonant points, especially those below the filter tuning point, should be reviewed to determine whether they coincide with significant harmonic current injection. If they do, the scan may indicate a potential problem condition.
Overall, the scan provides a practical approximation of system behavior, especially in industrial systems where the transformer dominates the source impedance.
I need </t>
  </si>
  <si>
    <t>Branch 5:</t>
  </si>
  <si>
    <t>Resistor Ohms</t>
  </si>
  <si>
    <t>High-Pass Filter Damping Factor</t>
  </si>
  <si>
    <t>Harmonic Filter Design / 5-Stage HP Filters</t>
  </si>
  <si>
    <t>Harmonic Filter Design - 5-Branch Harmonic Filter System</t>
  </si>
  <si>
    <r>
      <t>I</t>
    </r>
    <r>
      <rPr>
        <b/>
        <vertAlign val="subscript"/>
        <sz val="14"/>
        <color theme="1"/>
        <rFont val="Calibri"/>
        <family val="2"/>
        <scheme val="minor"/>
      </rPr>
      <t>L1</t>
    </r>
  </si>
  <si>
    <r>
      <t>I</t>
    </r>
    <r>
      <rPr>
        <b/>
        <vertAlign val="subscript"/>
        <sz val="14"/>
        <color theme="1"/>
        <rFont val="Calibri"/>
        <family val="2"/>
        <scheme val="minor"/>
      </rPr>
      <t>R1</t>
    </r>
  </si>
  <si>
    <r>
      <t>I</t>
    </r>
    <r>
      <rPr>
        <b/>
        <vertAlign val="subscript"/>
        <sz val="14"/>
        <color theme="1"/>
        <rFont val="Calibri"/>
        <family val="2"/>
        <scheme val="minor"/>
      </rPr>
      <t>R2</t>
    </r>
  </si>
  <si>
    <r>
      <t>I</t>
    </r>
    <r>
      <rPr>
        <b/>
        <vertAlign val="subscript"/>
        <sz val="14"/>
        <color theme="1"/>
        <rFont val="Calibri"/>
        <family val="2"/>
        <scheme val="minor"/>
      </rPr>
      <t>R3</t>
    </r>
  </si>
  <si>
    <r>
      <t>I</t>
    </r>
    <r>
      <rPr>
        <b/>
        <vertAlign val="subscript"/>
        <sz val="14"/>
        <color theme="1"/>
        <rFont val="Calibri"/>
        <family val="2"/>
        <scheme val="minor"/>
      </rPr>
      <t>R4</t>
    </r>
  </si>
  <si>
    <t>Harm
#</t>
  </si>
  <si>
    <t>Branch 5</t>
  </si>
  <si>
    <t>Complex Impedances of Branches 1 through 5 and Total Impedance</t>
  </si>
  <si>
    <t>Z Filter Magnitude</t>
  </si>
  <si>
    <t>Source Impedance</t>
  </si>
  <si>
    <t>Source Impedance + Filter Impedance</t>
  </si>
  <si>
    <t>Total Impeance</t>
  </si>
  <si>
    <t>Magnitude Values for Driving Point Impedance Plots</t>
  </si>
  <si>
    <t>Source Attentuation Plot</t>
  </si>
  <si>
    <t>Source Current for 1 Amp Injection</t>
  </si>
  <si>
    <t>Source Current</t>
  </si>
  <si>
    <t>Filter Current for 1 Amp Injection</t>
  </si>
  <si>
    <t>Filter Attentuation Plot</t>
  </si>
  <si>
    <t>Harm #:</t>
  </si>
  <si>
    <t>Branch Impedances</t>
  </si>
  <si>
    <t>Whole Filter Current Injection (amps)</t>
  </si>
  <si>
    <t>Whole Filter Current Check</t>
  </si>
  <si>
    <t>Vs</t>
  </si>
  <si>
    <t>VS (mag) Volts Line to Neutral</t>
  </si>
  <si>
    <t>Voltage at terminals of the filter</t>
  </si>
  <si>
    <t>Current Magnitude Check</t>
  </si>
  <si>
    <t>Current Magnitude for each branch based on current injection on page 1</t>
  </si>
  <si>
    <t>branch 1</t>
  </si>
  <si>
    <t>branch 2</t>
  </si>
  <si>
    <t>branch 3</t>
  </si>
  <si>
    <t>branch 4</t>
  </si>
  <si>
    <t>branch 5</t>
  </si>
  <si>
    <r>
      <t>I</t>
    </r>
    <r>
      <rPr>
        <b/>
        <vertAlign val="subscript"/>
        <sz val="14"/>
        <color theme="1"/>
        <rFont val="Calibri"/>
        <family val="2"/>
        <scheme val="minor"/>
      </rPr>
      <t>L5</t>
    </r>
    <r>
      <rPr>
        <sz val="11"/>
        <color theme="1"/>
        <rFont val="Calibri"/>
        <family val="2"/>
        <scheme val="minor"/>
      </rPr>
      <t/>
    </r>
  </si>
  <si>
    <r>
      <t>I</t>
    </r>
    <r>
      <rPr>
        <b/>
        <vertAlign val="subscript"/>
        <sz val="14"/>
        <color theme="1"/>
        <rFont val="Calibri"/>
        <family val="2"/>
        <scheme val="minor"/>
      </rPr>
      <t>R5</t>
    </r>
  </si>
  <si>
    <r>
      <t>I</t>
    </r>
    <r>
      <rPr>
        <b/>
        <vertAlign val="subscript"/>
        <sz val="14"/>
        <color theme="1"/>
        <rFont val="Calibri"/>
        <family val="2"/>
        <scheme val="minor"/>
      </rPr>
      <t>C3</t>
    </r>
  </si>
  <si>
    <r>
      <t>I</t>
    </r>
    <r>
      <rPr>
        <b/>
        <vertAlign val="subscript"/>
        <sz val="14"/>
        <color theme="1"/>
        <rFont val="Calibri"/>
        <family val="2"/>
        <scheme val="minor"/>
      </rPr>
      <t>C5</t>
    </r>
  </si>
  <si>
    <t>Total Injected Filter Current</t>
  </si>
  <si>
    <t>Filter Impedance (all 5 branches together)</t>
  </si>
  <si>
    <t>Reactor X1 Current</t>
  </si>
  <si>
    <t>Resistor R1 Current</t>
  </si>
  <si>
    <t xml:space="preserve">X1 </t>
  </si>
  <si>
    <t>Current</t>
  </si>
  <si>
    <t xml:space="preserve">R1 </t>
  </si>
  <si>
    <t>Reactor X2 Current</t>
  </si>
  <si>
    <t>Resistor R2 Current</t>
  </si>
  <si>
    <t>X2</t>
  </si>
  <si>
    <t>R2</t>
  </si>
  <si>
    <t>Reactor X3 Current</t>
  </si>
  <si>
    <t>Resistor R3 Current</t>
  </si>
  <si>
    <t>X3</t>
  </si>
  <si>
    <t>R3</t>
  </si>
  <si>
    <t>Per Unit Current based on 1 amp</t>
  </si>
  <si>
    <t>Reactor X4 Current</t>
  </si>
  <si>
    <t>Resistor R4 Current</t>
  </si>
  <si>
    <t>X4</t>
  </si>
  <si>
    <t>R4</t>
  </si>
  <si>
    <t>Reactor X5 Current</t>
  </si>
  <si>
    <t>Resistor R5 Current</t>
  </si>
  <si>
    <t>X5</t>
  </si>
  <si>
    <t>R5</t>
  </si>
  <si>
    <t>Voltage at Incoming Bus</t>
  </si>
  <si>
    <r>
      <t>V</t>
    </r>
    <r>
      <rPr>
        <b/>
        <vertAlign val="subscript"/>
        <sz val="14"/>
        <color theme="1"/>
        <rFont val="Calibri"/>
        <family val="2"/>
        <scheme val="minor"/>
      </rPr>
      <t>C5</t>
    </r>
  </si>
  <si>
    <r>
      <t>V</t>
    </r>
    <r>
      <rPr>
        <b/>
        <vertAlign val="subscript"/>
        <sz val="14"/>
        <color theme="1"/>
        <rFont val="Calibri"/>
        <family val="2"/>
        <scheme val="minor"/>
      </rPr>
      <t>L1</t>
    </r>
  </si>
  <si>
    <r>
      <t>V</t>
    </r>
    <r>
      <rPr>
        <b/>
        <vertAlign val="subscript"/>
        <sz val="14"/>
        <color theme="1"/>
        <rFont val="Calibri"/>
        <family val="2"/>
        <scheme val="minor"/>
      </rPr>
      <t>L2</t>
    </r>
  </si>
  <si>
    <r>
      <t>V</t>
    </r>
    <r>
      <rPr>
        <b/>
        <vertAlign val="subscript"/>
        <sz val="14"/>
        <color theme="1"/>
        <rFont val="Calibri"/>
        <family val="2"/>
        <scheme val="minor"/>
      </rPr>
      <t>L3</t>
    </r>
  </si>
  <si>
    <r>
      <t>V</t>
    </r>
    <r>
      <rPr>
        <b/>
        <vertAlign val="subscript"/>
        <sz val="14"/>
        <color theme="1"/>
        <rFont val="Calibri"/>
        <family val="2"/>
        <scheme val="minor"/>
      </rPr>
      <t>L4</t>
    </r>
  </si>
  <si>
    <r>
      <t>V</t>
    </r>
    <r>
      <rPr>
        <b/>
        <vertAlign val="subscript"/>
        <sz val="14"/>
        <color theme="1"/>
        <rFont val="Calibri"/>
        <family val="2"/>
        <scheme val="minor"/>
      </rPr>
      <t>L5</t>
    </r>
  </si>
  <si>
    <r>
      <t>V</t>
    </r>
    <r>
      <rPr>
        <b/>
        <vertAlign val="subscript"/>
        <sz val="14"/>
        <color theme="1"/>
        <rFont val="Calibri"/>
        <family val="2"/>
        <scheme val="minor"/>
      </rPr>
      <t>R1</t>
    </r>
  </si>
  <si>
    <r>
      <t>V</t>
    </r>
    <r>
      <rPr>
        <b/>
        <vertAlign val="subscript"/>
        <sz val="14"/>
        <color theme="1"/>
        <rFont val="Calibri"/>
        <family val="2"/>
        <scheme val="minor"/>
      </rPr>
      <t>R2</t>
    </r>
  </si>
  <si>
    <r>
      <t>V</t>
    </r>
    <r>
      <rPr>
        <b/>
        <vertAlign val="subscript"/>
        <sz val="14"/>
        <color theme="1"/>
        <rFont val="Calibri"/>
        <family val="2"/>
        <scheme val="minor"/>
      </rPr>
      <t>R3</t>
    </r>
  </si>
  <si>
    <r>
      <t>V</t>
    </r>
    <r>
      <rPr>
        <b/>
        <vertAlign val="subscript"/>
        <sz val="14"/>
        <color theme="1"/>
        <rFont val="Calibri"/>
        <family val="2"/>
        <scheme val="minor"/>
      </rPr>
      <t>R4</t>
    </r>
  </si>
  <si>
    <r>
      <t>V</t>
    </r>
    <r>
      <rPr>
        <b/>
        <vertAlign val="subscript"/>
        <sz val="14"/>
        <color theme="1"/>
        <rFont val="Calibri"/>
        <family val="2"/>
        <scheme val="minor"/>
      </rPr>
      <t>R5</t>
    </r>
  </si>
  <si>
    <t>Calculation of Qcapacitor(1-phase)</t>
  </si>
  <si>
    <t>Summation</t>
  </si>
  <si>
    <t>Capacitor RMS voltage at 10% fundamental overvoltage</t>
  </si>
  <si>
    <t>RMS Current at 110% Voltage</t>
  </si>
  <si>
    <t>Crest Voltage + 10% on Fundamental</t>
  </si>
  <si>
    <t>Calculation of Qcapacitor(1-phase) with 10% over on fundamental</t>
  </si>
  <si>
    <t>Table of Currents*</t>
  </si>
  <si>
    <t>Table of Voltages**</t>
  </si>
  <si>
    <t>13 | P a g e</t>
  </si>
  <si>
    <t>14 | P a g e</t>
  </si>
  <si>
    <t>High-Pass (HP) Type</t>
  </si>
  <si>
    <t>Reactor L5</t>
  </si>
  <si>
    <t>Resistor R1</t>
  </si>
  <si>
    <t>Resistor R2</t>
  </si>
  <si>
    <t>Resistor R3</t>
  </si>
  <si>
    <t>Resistor R4</t>
  </si>
  <si>
    <t>Resistor R5</t>
  </si>
  <si>
    <t>RMS Current</t>
  </si>
  <si>
    <t>Fundamental Current Design Margin for Reactors:</t>
  </si>
  <si>
    <t>Harmonic Current Design Margin for Reactors:</t>
  </si>
  <si>
    <t>RMS Current Design Margin for Resistors:</t>
  </si>
  <si>
    <t>The resistors listed on Page 6 shall be provided. Where ratings permit, resistors shall be stainless steel grid type. Each resistor shall have the per-phase ohmic value shown on Page 1, a continuous power rating not less than the value shown on Page 1, and an RMS current rating not less than the value shown. A minimum engineering margin of 1.5 times the calculated continuous watt loss should be considered when selecting the continuous power rating. This value is specified on page 1.
The resistor elements shall be divided into appropriate series groups to provide adequate voltage withstand capability during switching transients. The overall resistor assembly BIL rating shall be coordinated with the system BIL level.
If the watt losses in a high-pass filter resistor become excessive, VarStec recommends considering a C-type high-pass filter design, particularly for filters tuned at or below the 5th harmonic. As a general guideline, when resistor losses exceed approximately 100 kW per phase, a C-type high-pass design should be strongly considered. C-type high-pass filters exhibit near-zero losses at fundamental frequency and allow low effective damping factors, providing improved resonance damping with substantially lower resistor losses. In terms of performance, their impedance profile exactly matches the HP type filter.</t>
  </si>
  <si>
    <t>Reactor R</t>
  </si>
  <si>
    <t>1st losses</t>
  </si>
  <si>
    <t>harm losses</t>
  </si>
  <si>
    <t>R of reactor</t>
  </si>
  <si>
    <t>Reactor Losses</t>
  </si>
  <si>
    <t>Total</t>
  </si>
  <si>
    <t>Appendix B</t>
  </si>
  <si>
    <t>Appendix C</t>
  </si>
  <si>
    <t>Expected Performance Assuming Linear Source Impedance</t>
  </si>
  <si>
    <r>
      <t>(I</t>
    </r>
    <r>
      <rPr>
        <b/>
        <i/>
        <vertAlign val="subscript"/>
        <sz val="11"/>
        <color theme="1"/>
        <rFont val="Calibri"/>
        <family val="2"/>
        <scheme val="minor"/>
      </rPr>
      <t>n</t>
    </r>
    <r>
      <rPr>
        <b/>
        <sz val="11"/>
        <color theme="1"/>
        <rFont val="Calibri"/>
        <family val="2"/>
        <scheme val="minor"/>
      </rPr>
      <t>) Injected:</t>
    </r>
  </si>
  <si>
    <t>Branch Currents, Current Divider Principle</t>
  </si>
  <si>
    <t>Below this line the filter performanc is calculated based on the source short circuit level and the filter impedance</t>
  </si>
  <si>
    <t>Resistor Losss</t>
  </si>
  <si>
    <t>Reactor 1</t>
  </si>
  <si>
    <t>Reactor 2</t>
  </si>
  <si>
    <t>Reactor 3</t>
  </si>
  <si>
    <t>Reactor 4</t>
  </si>
  <si>
    <t>Reactor 5</t>
  </si>
  <si>
    <t>Resistor 1</t>
  </si>
  <si>
    <t>Resistor 2</t>
  </si>
  <si>
    <t>Resistor 3</t>
  </si>
  <si>
    <t>Resistor 4</t>
  </si>
  <si>
    <t>Resistor 5</t>
  </si>
  <si>
    <t>Current Magnitude for each branch based on current injection on page 14</t>
  </si>
  <si>
    <t>Volts</t>
  </si>
  <si>
    <t>%Vthd</t>
  </si>
  <si>
    <t>n/a</t>
  </si>
  <si>
    <t>To the right is the per unit current based on 1 amp injection for the reactor and the resistor. That value is then multiplied by the current for the branches to come up with the acutal current of each filter branch.</t>
  </si>
  <si>
    <t>Harmonic Injection into Filter/Source Impedance (i.e., Nonlinear Load Current Injection)</t>
  </si>
  <si>
    <t>15 | P a g e</t>
  </si>
  <si>
    <t>16 | P a g e</t>
  </si>
  <si>
    <t>17 | P a g e</t>
  </si>
  <si>
    <t>18 | P a g e</t>
  </si>
  <si>
    <t>Source Current Flow</t>
  </si>
  <si>
    <t>Source</t>
  </si>
  <si>
    <t>Ithd</t>
  </si>
  <si>
    <t>Voltage and Current Distortion in Percent at the Filter Bus</t>
  </si>
  <si>
    <t>Enter the Total Demand In Amps at the Filter Bus Voltage:</t>
  </si>
  <si>
    <r>
      <t>V</t>
    </r>
    <r>
      <rPr>
        <b/>
        <vertAlign val="subscript"/>
        <sz val="11"/>
        <color theme="1"/>
        <rFont val="Calibri"/>
        <family val="2"/>
        <scheme val="minor"/>
      </rPr>
      <t>THD</t>
    </r>
  </si>
  <si>
    <r>
      <t>I</t>
    </r>
    <r>
      <rPr>
        <b/>
        <vertAlign val="subscript"/>
        <sz val="11"/>
        <color theme="1"/>
        <rFont val="Calibri"/>
        <family val="2"/>
        <scheme val="minor"/>
      </rPr>
      <t>INJECTED</t>
    </r>
  </si>
  <si>
    <r>
      <t>I</t>
    </r>
    <r>
      <rPr>
        <b/>
        <vertAlign val="subscript"/>
        <sz val="11"/>
        <color theme="1"/>
        <rFont val="Calibri"/>
        <family val="2"/>
        <scheme val="minor"/>
      </rPr>
      <t>PCC</t>
    </r>
  </si>
  <si>
    <r>
      <t>I</t>
    </r>
    <r>
      <rPr>
        <b/>
        <vertAlign val="subscript"/>
        <sz val="11"/>
        <color theme="1"/>
        <rFont val="Calibri"/>
        <family val="2"/>
        <scheme val="minor"/>
      </rPr>
      <t>FILTER</t>
    </r>
  </si>
  <si>
    <t>∑ 5 Branches</t>
  </si>
  <si>
    <t xml:space="preserve">Branch Current Magnification Factor for the drive injected harmonics into source + filter </t>
  </si>
  <si>
    <t>BCMF</t>
  </si>
  <si>
    <t>Current Into Filter Incoming</t>
  </si>
  <si>
    <t>Utilization Factor</t>
  </si>
  <si>
    <t>I Branch,2 - Current Flow</t>
  </si>
  <si>
    <t>I Branch,1 - Current Flow</t>
  </si>
  <si>
    <t>I Branch,3 - Current Flow</t>
  </si>
  <si>
    <t>I Branch,4 - Current Flow</t>
  </si>
  <si>
    <t>I Branch,5 - Current Flow</t>
  </si>
  <si>
    <t>* Current values are based on harmonic current injections as specified in rows 20 and 21 of page 1. This data is typically obtained through harmonic studies or can be calculated using Appendix C of this spreadsheet. The values noted here assume no current flow into the source impedance and that all currents specified in rows 20 and 21 on page 1 flow into the filter.</t>
  </si>
  <si>
    <t>** Calculated voltage is current injection multiplied by filter impedance at each harmonic (does not include source impedance).</t>
  </si>
  <si>
    <t>a)</t>
  </si>
  <si>
    <r>
      <t>Reactor Specifications</t>
    </r>
    <r>
      <rPr>
        <b/>
        <vertAlign val="superscript"/>
        <sz val="14"/>
        <color rgb="FF0E9ED9"/>
        <rFont val="Calibri"/>
        <family val="2"/>
        <scheme val="minor"/>
      </rPr>
      <t>a</t>
    </r>
  </si>
  <si>
    <r>
      <rPr>
        <i/>
        <sz val="11"/>
        <color theme="1"/>
        <rFont val="Calibri"/>
        <family val="2"/>
        <scheme val="minor"/>
      </rPr>
      <t>b</t>
    </r>
    <r>
      <rPr>
        <sz val="11"/>
        <color theme="1"/>
        <rFont val="Calibri"/>
        <family val="2"/>
        <scheme val="minor"/>
      </rPr>
      <t>)</t>
    </r>
  </si>
  <si>
    <r>
      <t>Resistor Specification</t>
    </r>
    <r>
      <rPr>
        <b/>
        <i/>
        <vertAlign val="superscript"/>
        <sz val="14"/>
        <color rgb="FF0E9ED9"/>
        <rFont val="Calibri"/>
        <family val="2"/>
        <scheme val="minor"/>
      </rPr>
      <t>b</t>
    </r>
  </si>
  <si>
    <t xml:space="preserve">The chart on page 11 illustrates the predicted source harmonic current (based on source impedance data entered on page 5, row 124) for a 1 amp harmonic current injection applied at the harmonic filter bus. The analysis is performed from the 1st through the 50th harmonic and provides insight into how harmonic currents injected at the filter terminals (representing harmonic current produced by VFDs and other non-linear plant loads) divide between the utility source and the harmonic filter network. The plotted quantity represents the ratio of harmonic current flowing toward the utility source to the injected harmonic current at each harmonic order. In this analysis, the injected harmonic current is fixed at 1 amp for each harmonic order evaluated. The resulting value therefore indicates how much harmonic current will flow toward the utility source for every 1 amp of harmonic current injected at the filter bus.
For example: A value of 0.20 indicates that 20% of the injected harmonic current flows toward the source. A value of 1.0 indicates no mitigation benefit, meaning essentially all injected harmonic current flows toward the source. Values greater than 1.0 indicate harmonic current magnification caused by resonance between the filter system and the utility source impedance. A value of above 1 indicates the current was magnified and that the filter is actually amplifying the currents from the non-linear load.
This behavior is important because harmonic filters do not operate as ideal current sinks. The filter capacitors interact with the utility system inductance and create resonant conditions whose frequency and damping characteristics depend on: utility short-circuit strength and X/R ratio, harmonic filter tuning, filter effective reactive power rating, damping resistor ohmic value (if present), filter topology (C-HP, Notch, HP, H-Type), and number of filter branches.
Parallel and near parallel resonance conditions (peaks in the chart) can amplify injected harmonics to the source (often referred to as the PCC) and to the harmonic filter (see page 12). In these regions, the source current may exceed the injected harmonic current magnitude, producing source currents greater than 1 amp. This is not an error in the calculation. It is a real system phenomenon associated with resonant energy exchange between the source inductance and filter effective impedance.
 </t>
  </si>
  <si>
    <r>
      <t xml:space="preserve">This effect is one of the primary reasons damping resistors are incorporated into high-pass, C-high-pass, and H-filter harmonic filter (see tab on H-filter design for further details) designs. Proper damping resistor selection reduces resonance magnification, broadens attenuation bandwidth, and stabilizes filter performance across varying system conditions.
The response curve therefore serves three purposes:
</t>
    </r>
    <r>
      <rPr>
        <b/>
        <sz val="11"/>
        <color theme="1"/>
        <rFont val="Calibri"/>
        <family val="2"/>
        <scheme val="minor"/>
      </rPr>
      <t>Mitigation Assessment</t>
    </r>
    <r>
      <rPr>
        <sz val="11"/>
        <color theme="1"/>
        <rFont val="Calibri"/>
        <family val="2"/>
        <scheme val="minor"/>
      </rPr>
      <t xml:space="preserve">
Identifies frequencies where harmonic current is effectively diverted into the filter network rather than propagated toward the utility source.
</t>
    </r>
    <r>
      <rPr>
        <b/>
        <sz val="11"/>
        <color theme="1"/>
        <rFont val="Calibri"/>
        <family val="2"/>
        <scheme val="minor"/>
      </rPr>
      <t>Resonance and Magnification Assessment</t>
    </r>
    <r>
      <rPr>
        <sz val="11"/>
        <color theme="1"/>
        <rFont val="Calibri"/>
        <family val="2"/>
        <scheme val="minor"/>
      </rPr>
      <t xml:space="preserve">
Identifies frequencies where filter-to-system interaction may amplify harmonic current flow toward the source, potentially resulting in IEEE 519 limits being exceeded.
</t>
    </r>
    <r>
      <rPr>
        <b/>
        <sz val="11"/>
        <color theme="1"/>
        <rFont val="Calibri"/>
        <family val="2"/>
        <scheme val="minor"/>
      </rPr>
      <t>Filter Performance Assessment</t>
    </r>
    <r>
      <rPr>
        <sz val="11"/>
        <color theme="1"/>
        <rFont val="Calibri"/>
        <family val="2"/>
        <scheme val="minor"/>
      </rPr>
      <t xml:space="preserve">
The chart below helps assess the level of harmonic current the filter is expected to carry. At the tuning point, when the filter branch is lightly damped, which is typical when the damping factor is high (high damping resistance), nearly all of the injected harmonic current may flow into the filter. This can result in filter overload.</t>
    </r>
  </si>
  <si>
    <t>Adding damping resistors, thereby lowering the damping factor, reduces the duty on the filter reactor and helps broaden the filtering response of the filter branch. However, reducing the damping factor too much, meaning using a low resistance value for the HP resistor, increases losses in the HP resistors. In such cases, when necessary, and especially at lower tuning points, C-HP filters should be employed. In such cases, when necessary, and especially at lower tuning points, C-HP filters, which share identical filter impedance characteristics with HP filters, should be employed. See the C-HP Filter Design tab for additional information and to assist with C-HP filter design.
Finally, when the harmonic current flow diagram shows a high peak, and interharmonics or harmonics are present near that peak, additional damping may be required. Alternatively, moving the filter tuning point closer to that location may be necessary to prevent resonance and eliminate amplification. This is often why multi-tuned notch filters are used. The addition of a filter branch removes the possibility of resonances (precludes resonances) at the filter tuning point.</t>
  </si>
  <si>
    <t xml:space="preserve">A driving point harmonic impedance scan shows system impedance versus harmonic number or frequency. Impedance magnitude is plotted in ohms and is used to evaluate how the system responds to harmonic current injection. The scan provided below includes the filter impedance, source impedance, and total system impedance based on short circuit informatoin provided on page 5. 
The  source impedance plot (red curve in plot below) is a straight line based on the reactance and resistance of the source. This provides a practical reference for evaluating harmonic current division, filter performance, and resonant conditions. When filter impedance is lower than source impedance, more harmonic current flow is expected to flow toward the filter. When filter impedance is higher, more current flow is expected to flow toward the. When the two are approximately equal, current divides roughly 50/50. Resonant points, especially those below the filter tuning point, should be reviewed to determine whether they coincide with significant harmonic current injection. If they do, the scan may indicate a potential problem condition. The amplification/attentuation plots in Appendix A helps to identify these resonances.  Overall, the scan provides a practical approximation of system behavior, especially in industrial systems where the step-down transformer dominates the source impedance. </t>
  </si>
  <si>
    <r>
      <t>Expected Harmonic Filter Banch Currents</t>
    </r>
    <r>
      <rPr>
        <b/>
        <i/>
        <vertAlign val="superscript"/>
        <sz val="11"/>
        <color theme="1"/>
        <rFont val="Calibri"/>
        <family val="2"/>
        <scheme val="minor"/>
      </rPr>
      <t>c</t>
    </r>
  </si>
  <si>
    <r>
      <rPr>
        <i/>
        <sz val="11"/>
        <color theme="1"/>
        <rFont val="Calibri"/>
        <family val="2"/>
        <scheme val="minor"/>
      </rPr>
      <t>c</t>
    </r>
    <r>
      <rPr>
        <sz val="11"/>
        <color theme="1"/>
        <rFont val="Calibri"/>
        <family val="2"/>
        <scheme val="minor"/>
      </rPr>
      <t>) Use the above values as injection data in the individual filter tabs using copy paste special - values only to do indivdual filter design data sheets. Use the Total Filter Current Flow values as the filter injection data on page 1 to check filter duty ratings.</t>
    </r>
  </si>
  <si>
    <t>The filter system performance is evaluated using the short-circuit data entered on page 5, row 124. This data is used to calculate the source impedance, assuming no supply-side capacitors other than those entered on page 1. The source impedance, filter/capacitor impedance, and harmonic current injection data are then analyzed together to determine the actual filter performance.</t>
  </si>
  <si>
    <r>
      <rPr>
        <i/>
        <sz val="11"/>
        <color theme="1"/>
        <rFont val="Calibri"/>
        <family val="2"/>
        <scheme val="minor"/>
      </rPr>
      <t>d</t>
    </r>
    <r>
      <rPr>
        <sz val="11"/>
        <color theme="1"/>
        <rFont val="Calibri"/>
        <family val="2"/>
        <scheme val="minor"/>
      </rPr>
      <t>)</t>
    </r>
  </si>
  <si>
    <t>The values and analysis in Appendix C are based on the filter parameter data specified on page 1, the source short-circuit current data specified on page 5, and the non-linear load harmonic data specified on page 14.
The model and calculation results assume an ideal source represented by a straight-line impedance characteristic, with no source-side capacitance. If capacitors are present on the line side of the step-down transformer, the actual results may differ significantly, and a more advanced analysis should be performed.</t>
  </si>
  <si>
    <t>Calculation of Voltage and Current Distortion at PCC</t>
  </si>
  <si>
    <t>The voltage and current distortion at the PCC is shown in the plot on the next page. In order to plot the current distortion it is necessary to know the plants total demand distortion or the plants fundamental current. VarStec recommends using values at maximum demand. Enter those values below.</t>
  </si>
  <si>
    <t>I Filter Input (h)</t>
  </si>
  <si>
    <t>BCMF(h) - Branch Current Magnification Factor (h)</t>
  </si>
  <si>
    <t>CBCMI(%) - Cumulative Branch Current Magnification Index</t>
  </si>
  <si>
    <t>CBMCI (%):</t>
  </si>
  <si>
    <t>Single Stage
Design</t>
  </si>
  <si>
    <t>2 to 4 Branch
H-Filter 
Design</t>
  </si>
  <si>
    <t>1 to 5 Branch/Stage HP, Notch, or Parallel Capacitor Bank Design. 
Model includes Soure Impact</t>
  </si>
  <si>
    <t>This spreadsheets provided in this workbook are for preliminary engineering evaluation only. The calculations are based on simplified, steady-state models and user-supplied input data and are intended to support initial screening, comparative analysis, and conceptual design.  It is intended for use only by qualified technical professionals and should not be used as a substitute for detailed engineering studies, manufacturer-validated analyses, or final design verification. VarStec Power Solutions, LLC makes no representations or warranties, express or implied, and assumes no responsibility or liability for decisions or actions taken based on use of this tool.</t>
  </si>
  <si>
    <t>Sheet Rev Date: 6-1-2026</t>
  </si>
  <si>
    <t>Rev Date: 6-1-2026</t>
  </si>
  <si>
    <t>Reactor</t>
  </si>
  <si>
    <t>Capacitor</t>
  </si>
  <si>
    <t>Total Z</t>
  </si>
  <si>
    <t>Calculation of voltages due to injection</t>
  </si>
  <si>
    <t>Vs (mag)</t>
  </si>
  <si>
    <t>Vcap</t>
  </si>
  <si>
    <t>Vcap at 110% V</t>
  </si>
  <si>
    <t>Vcap Crest Voltage</t>
  </si>
  <si>
    <t>at 110% voltage</t>
  </si>
  <si>
    <t>at 110% V</t>
  </si>
  <si>
    <t>kvar at 110% V</t>
  </si>
  <si>
    <t>Filter Impedance</t>
  </si>
  <si>
    <t>Source R:</t>
  </si>
  <si>
    <t>Source X:</t>
  </si>
  <si>
    <t>Zmag:</t>
  </si>
  <si>
    <t>source impedance</t>
  </si>
  <si>
    <t>Source+Filter Impedance</t>
  </si>
  <si>
    <t>Source+Filter</t>
  </si>
  <si>
    <t>I^2 R of reactor</t>
  </si>
  <si>
    <t>Reactor Impedance</t>
  </si>
  <si>
    <t>Resistor</t>
  </si>
  <si>
    <t>Total Impedance of Filter</t>
  </si>
  <si>
    <t>I x Z (volts mag)</t>
  </si>
  <si>
    <t>Resistor Current</t>
  </si>
  <si>
    <t>Reactor Current</t>
  </si>
  <si>
    <t>Capacitor Voltage</t>
  </si>
  <si>
    <t>Capacitor Voltage Plus 10% Fund</t>
  </si>
  <si>
    <t>Capacitor Peak Voltage</t>
  </si>
  <si>
    <t>Capacitor Peak Voltage at 110% Fundamental</t>
  </si>
  <si>
    <t>peak</t>
  </si>
  <si>
    <t>Capacitor Current+10%  Fundamental</t>
  </si>
  <si>
    <t>kvar of capacitor +10%</t>
  </si>
  <si>
    <t>kvar of capacitor fundamental</t>
  </si>
  <si>
    <t>Resistor Losses (watts)</t>
  </si>
  <si>
    <r>
      <t>I</t>
    </r>
    <r>
      <rPr>
        <b/>
        <vertAlign val="subscript"/>
        <sz val="14"/>
        <color theme="1"/>
        <rFont val="Calibri"/>
        <family val="2"/>
        <scheme val="minor"/>
      </rPr>
      <t>resistor current (actual)</t>
    </r>
    <r>
      <rPr>
        <b/>
        <sz val="11"/>
        <color theme="1"/>
        <rFont val="Calibri"/>
        <family val="2"/>
        <scheme val="minor"/>
      </rPr>
      <t>:</t>
    </r>
  </si>
  <si>
    <r>
      <t>I</t>
    </r>
    <r>
      <rPr>
        <b/>
        <vertAlign val="subscript"/>
        <sz val="14"/>
        <color theme="1"/>
        <rFont val="Calibri"/>
        <family val="2"/>
        <scheme val="minor"/>
      </rPr>
      <t>fundamental resistor current (specified)</t>
    </r>
    <r>
      <rPr>
        <b/>
        <sz val="11"/>
        <color theme="1"/>
        <rFont val="Calibri"/>
        <family val="2"/>
        <scheme val="minor"/>
      </rPr>
      <t>:</t>
    </r>
  </si>
  <si>
    <t>(watts)</t>
  </si>
  <si>
    <t>Zmag</t>
  </si>
  <si>
    <t>Injection</t>
  </si>
  <si>
    <t>VarStec Rating</t>
  </si>
  <si>
    <t>Total Impedance</t>
  </si>
  <si>
    <t>Harm#:</t>
  </si>
  <si>
    <t>Z short circuit</t>
  </si>
  <si>
    <t>Total Filter Impedance</t>
  </si>
  <si>
    <t>source + filter</t>
  </si>
  <si>
    <t>Attenuation Plot (Filter Current)</t>
  </si>
  <si>
    <t>Attenuation Plot (Source Current)</t>
  </si>
  <si>
    <t>Injected Amps</t>
  </si>
  <si>
    <t>Aux Capacitor Impedance</t>
  </si>
  <si>
    <t>HP Resistor Impedance</t>
  </si>
  <si>
    <t>Main Cap Impedance</t>
  </si>
  <si>
    <t>Aux Cap+Reactor</t>
  </si>
  <si>
    <t>Aux Cap &amp; Reactor
// HP Resistor</t>
  </si>
  <si>
    <t>Whole Filter Impedance</t>
  </si>
  <si>
    <t>Whole Filter Impedance Mag</t>
  </si>
  <si>
    <t>Filter Terminal Voltage</t>
  </si>
  <si>
    <t>Resistor Watts</t>
  </si>
  <si>
    <t>Reactor Watts</t>
  </si>
  <si>
    <t>Main Cap</t>
  </si>
  <si>
    <t>Peak</t>
  </si>
  <si>
    <t>Peak V</t>
  </si>
  <si>
    <t>Main Cap + 10% 1st</t>
  </si>
  <si>
    <t>RMS V</t>
  </si>
  <si>
    <t>+10% 1st</t>
  </si>
  <si>
    <t>rms</t>
  </si>
  <si>
    <t xml:space="preserve">Q Main </t>
  </si>
  <si>
    <t>Vars</t>
  </si>
  <si>
    <t>Q Main +10% 1st</t>
  </si>
  <si>
    <t>Aux Cap</t>
  </si>
  <si>
    <t>Voltage</t>
  </si>
  <si>
    <t>Aux Cap +10% 1st</t>
  </si>
  <si>
    <t>Aux cap peak</t>
  </si>
  <si>
    <t>voltage</t>
  </si>
  <si>
    <t>PEAK</t>
  </si>
  <si>
    <t>Reactor Current at 10% + Fundamental</t>
  </si>
  <si>
    <t>Q vars aux</t>
  </si>
  <si>
    <t xml:space="preserve">+10% 1st </t>
  </si>
  <si>
    <t>vars</t>
  </si>
  <si>
    <t>tuning Reactor Curretn Comparison plot</t>
  </si>
  <si>
    <t>Injected Current</t>
  </si>
  <si>
    <t>Attenuation Plot (Filter)</t>
  </si>
  <si>
    <t>Attenuation Plot (Source)</t>
  </si>
  <si>
    <t xml:space="preserve">Enter Project Name - </t>
  </si>
  <si>
    <t>Rev Date: 7-18-2026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</si>
</sst>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
    <numFmt numFmtId="165" formatCode="0.0"/>
    <numFmt numFmtId="166" formatCode="0.0%"/>
    <numFmt numFmtId="167" formatCode="0.0000"/>
    <numFmt numFmtId="168" formatCode="0.0000000000"/>
    <numFmt numFmtId="169" formatCode="0.000000000"/>
    <numFmt numFmtId="170" formatCode="[&gt;=10000]&quot;n/a&quot;;0.000"/>
  </numFmts>
  <fonts count="43" x14ac:knownFonts="1">
    <font>
      <sz val="11"/>
      <color theme="1"/>
      <name val="Calibri"/>
      <family val="2"/>
      <scheme val="minor"/>
    </font>
    <font>
      <sz val="11"/>
      <color theme="1"/>
      <name val="Calibri"/>
      <family val="2"/>
      <scheme val="minor"/>
    </font>
    <font>
      <b/>
      <sz val="11"/>
      <color theme="1"/>
      <name val="Calibri"/>
      <family val="2"/>
      <scheme val="minor"/>
    </font>
    <font>
      <b/>
      <sz val="11"/>
      <color rgb="FF0E9ED9"/>
      <name val="Calibri"/>
      <family val="2"/>
      <scheme val="minor"/>
    </font>
    <font>
      <b/>
      <sz val="14"/>
      <color rgb="FF0E9ED9"/>
      <name val="Calibri"/>
      <family val="2"/>
      <scheme val="minor"/>
    </font>
    <font>
      <b/>
      <sz val="14"/>
      <color theme="1"/>
      <name val="Calibri"/>
      <family val="2"/>
      <scheme val="minor"/>
    </font>
    <font>
      <sz val="16"/>
      <color theme="1"/>
      <name val="Calibri"/>
      <family val="2"/>
      <scheme val="minor"/>
    </font>
    <font>
      <sz val="11"/>
      <color rgb="FF0E9ED9"/>
      <name val="Calibri"/>
      <family val="2"/>
      <scheme val="minor"/>
    </font>
    <font>
      <b/>
      <vertAlign val="subscript"/>
      <sz val="11"/>
      <color theme="1"/>
      <name val="Calibri"/>
      <family val="2"/>
      <scheme val="minor"/>
    </font>
    <font>
      <vertAlign val="subscript"/>
      <sz val="11"/>
      <color theme="1"/>
      <name val="Calibri"/>
      <family val="2"/>
      <scheme val="minor"/>
    </font>
    <font>
      <sz val="11"/>
      <color theme="1"/>
      <name val="Calibri"/>
      <family val="2"/>
    </font>
    <font>
      <sz val="11"/>
      <name val="Calibri"/>
      <family val="2"/>
      <scheme val="minor"/>
    </font>
    <font>
      <b/>
      <i/>
      <sz val="11"/>
      <color theme="1"/>
      <name val="Calibri"/>
      <family val="2"/>
      <scheme val="minor"/>
    </font>
    <font>
      <b/>
      <i/>
      <vertAlign val="subscript"/>
      <sz val="11"/>
      <color theme="1"/>
      <name val="Calibri"/>
      <family val="2"/>
      <scheme val="minor"/>
    </font>
    <font>
      <b/>
      <sz val="12"/>
      <color rgb="FF0E9ED9"/>
      <name val="Calibri"/>
      <family val="2"/>
      <scheme val="minor"/>
    </font>
    <font>
      <b/>
      <vertAlign val="subscript"/>
      <sz val="14"/>
      <color theme="1"/>
      <name val="Calibri"/>
      <family val="2"/>
      <scheme val="minor"/>
    </font>
    <font>
      <vertAlign val="subscript"/>
      <sz val="14"/>
      <color theme="1"/>
      <name val="Calibri"/>
      <family val="2"/>
      <scheme val="minor"/>
    </font>
    <font>
      <u/>
      <sz val="11"/>
      <color theme="10"/>
      <name val="Calibri"/>
      <family val="2"/>
      <scheme val="minor"/>
    </font>
    <font>
      <sz val="11"/>
      <color theme="0" tint="-0.14999847407452621"/>
      <name val="Calibri"/>
      <family val="2"/>
      <scheme val="minor"/>
    </font>
    <font>
      <b/>
      <sz val="16"/>
      <color theme="1"/>
      <name val="Calibri"/>
      <family val="2"/>
      <scheme val="minor"/>
    </font>
    <font>
      <b/>
      <vertAlign val="subscript"/>
      <sz val="12"/>
      <color theme="1"/>
      <name val="Calibri"/>
      <family val="2"/>
      <scheme val="minor"/>
    </font>
    <font>
      <b/>
      <sz val="12"/>
      <color theme="1"/>
      <name val="Calibri"/>
      <family val="2"/>
      <scheme val="minor"/>
    </font>
    <font>
      <sz val="12"/>
      <color theme="1"/>
      <name val="Calibri"/>
      <family val="2"/>
      <scheme val="minor"/>
    </font>
    <font>
      <sz val="16"/>
      <color rgb="FF0E9ED9"/>
      <name val="Calibri"/>
      <family val="2"/>
      <scheme val="minor"/>
    </font>
    <font>
      <vertAlign val="subscript"/>
      <sz val="16"/>
      <color rgb="FF0E9ED9"/>
      <name val="Calibri"/>
      <family val="2"/>
      <scheme val="minor"/>
    </font>
    <font>
      <b/>
      <sz val="16"/>
      <color rgb="FF0E9ED9"/>
      <name val="Calibri"/>
      <family val="2"/>
      <scheme val="minor"/>
    </font>
    <font>
      <i/>
      <sz val="10"/>
      <color theme="0" tint="-0.14999847407452621"/>
      <name val="Calibri"/>
      <family val="2"/>
      <scheme val="minor"/>
    </font>
    <font>
      <b/>
      <sz val="14"/>
      <color rgb="FF00B0F0"/>
      <name val="Calibri"/>
      <family val="2"/>
      <scheme val="minor"/>
    </font>
    <font>
      <sz val="10"/>
      <color theme="1"/>
      <name val="Calibri"/>
      <family val="2"/>
      <scheme val="minor"/>
    </font>
    <font>
      <sz val="10"/>
      <color theme="1"/>
      <name val="Arial Unicode MS"/>
      <family val="2"/>
    </font>
    <font>
      <b/>
      <sz val="11"/>
      <color theme="1"/>
      <name val="Calibri"/>
      <family val="2"/>
    </font>
    <font>
      <b/>
      <sz val="10"/>
      <color theme="1"/>
      <name val="Calibri"/>
      <family val="2"/>
      <scheme val="minor"/>
    </font>
    <font>
      <sz val="11"/>
      <color rgb="FFFF0000"/>
      <name val="Calibri"/>
      <family val="2"/>
      <scheme val="minor"/>
    </font>
    <font>
      <sz val="9"/>
      <color theme="1"/>
      <name val="Calibri"/>
      <family val="2"/>
      <scheme val="minor"/>
    </font>
    <font>
      <b/>
      <sz val="9"/>
      <color theme="1"/>
      <name val="Calibri"/>
      <family val="2"/>
      <scheme val="minor"/>
    </font>
    <font>
      <b/>
      <sz val="11"/>
      <color rgb="FFFF0000"/>
      <name val="Calibri"/>
      <family val="2"/>
      <scheme val="minor"/>
    </font>
    <font>
      <sz val="8"/>
      <name val="Calibri"/>
      <family val="2"/>
      <scheme val="minor"/>
    </font>
    <font>
      <sz val="11"/>
      <color theme="1"/>
      <name val="Aptos Narrow"/>
      <family val="2"/>
    </font>
    <font>
      <i/>
      <sz val="11"/>
      <color theme="1"/>
      <name val="Calibri"/>
      <family val="2"/>
      <scheme val="minor"/>
    </font>
    <font>
      <b/>
      <vertAlign val="superscript"/>
      <sz val="14"/>
      <color rgb="FF0E9ED9"/>
      <name val="Calibri"/>
      <family val="2"/>
      <scheme val="minor"/>
    </font>
    <font>
      <b/>
      <i/>
      <vertAlign val="superscript"/>
      <sz val="14"/>
      <color rgb="FF0E9ED9"/>
      <name val="Calibri"/>
      <family val="2"/>
      <scheme val="minor"/>
    </font>
    <font>
      <b/>
      <i/>
      <vertAlign val="superscript"/>
      <sz val="11"/>
      <color theme="1"/>
      <name val="Calibri"/>
      <family val="2"/>
      <scheme val="minor"/>
    </font>
    <font>
      <b/>
      <sz val="14"/>
      <color rgb="FF0070C0"/>
      <name val="Calibri"/>
      <family val="2"/>
      <scheme val="minor"/>
    </font>
  </fonts>
  <fills count="12">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rgb="FFB8E7FA"/>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4" tint="0.7999816888943144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2"/>
        <bgColor indexed="64"/>
      </patternFill>
    </fill>
  </fills>
  <borders count="41">
    <border>
      <left/>
      <right/>
      <top/>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C00000"/>
      </left>
      <right/>
      <top style="thin">
        <color rgb="FFC00000"/>
      </top>
      <bottom/>
      <diagonal/>
    </border>
    <border>
      <left/>
      <right/>
      <top style="thin">
        <color rgb="FFC00000"/>
      </top>
      <bottom/>
      <diagonal/>
    </border>
    <border>
      <left/>
      <right style="thin">
        <color rgb="FFC00000"/>
      </right>
      <top style="thin">
        <color rgb="FFC00000"/>
      </top>
      <bottom/>
      <diagonal/>
    </border>
    <border>
      <left style="thin">
        <color rgb="FFC00000"/>
      </left>
      <right/>
      <top/>
      <bottom/>
      <diagonal/>
    </border>
    <border>
      <left/>
      <right style="thin">
        <color rgb="FFC00000"/>
      </right>
      <top/>
      <bottom/>
      <diagonal/>
    </border>
    <border>
      <left/>
      <right/>
      <top/>
      <bottom style="medium">
        <color rgb="FFC00000"/>
      </bottom>
      <diagonal/>
    </border>
    <border>
      <left/>
      <right/>
      <top style="medium">
        <color rgb="FFC00000"/>
      </top>
      <bottom/>
      <diagonal/>
    </border>
    <border>
      <left/>
      <right/>
      <top/>
      <bottom style="thin">
        <color rgb="FFC00000"/>
      </bottom>
      <diagonal/>
    </border>
    <border>
      <left style="thin">
        <color rgb="FFB2B2B2"/>
      </left>
      <right/>
      <top style="thin">
        <color rgb="FFB2B2B2"/>
      </top>
      <bottom style="thin">
        <color rgb="FFB2B2B2"/>
      </bottom>
      <diagonal/>
    </border>
    <border>
      <left/>
      <right/>
      <top style="thin">
        <color rgb="FFB2B2B2"/>
      </top>
      <bottom style="thin">
        <color rgb="FFB2B2B2"/>
      </bottom>
      <diagonal/>
    </border>
    <border>
      <left/>
      <right style="thin">
        <color rgb="FFB2B2B2"/>
      </right>
      <top style="thin">
        <color rgb="FFB2B2B2"/>
      </top>
      <bottom style="thin">
        <color rgb="FFB2B2B2"/>
      </bottom>
      <diagonal/>
    </border>
    <border>
      <left/>
      <right style="thin">
        <color rgb="FFB2B2B2"/>
      </right>
      <top/>
      <bottom/>
      <diagonal/>
    </border>
    <border>
      <left style="thin">
        <color rgb="FFB2B2B2"/>
      </left>
      <right/>
      <top style="thin">
        <color rgb="FFC00000"/>
      </top>
      <bottom style="thin">
        <color rgb="FFB2B2B2"/>
      </bottom>
      <diagonal/>
    </border>
    <border>
      <left/>
      <right/>
      <top style="thin">
        <color rgb="FFC00000"/>
      </top>
      <bottom style="thin">
        <color rgb="FFB2B2B2"/>
      </bottom>
      <diagonal/>
    </border>
    <border>
      <left/>
      <right style="thin">
        <color rgb="FFB2B2B2"/>
      </right>
      <top style="thin">
        <color rgb="FFC00000"/>
      </top>
      <bottom style="thin">
        <color rgb="FFB2B2B2"/>
      </bottom>
      <diagonal/>
    </border>
    <border>
      <left style="thin">
        <color rgb="FFB2B2B2"/>
      </left>
      <right style="thin">
        <color rgb="FFB2B2B2"/>
      </right>
      <top/>
      <bottom style="thin">
        <color rgb="FFB2B2B2"/>
      </bottom>
      <diagonal/>
    </border>
    <border>
      <left style="thin">
        <color rgb="FFB2B2B2"/>
      </left>
      <right/>
      <top/>
      <bottom style="thin">
        <color rgb="FFB2B2B2"/>
      </bottom>
      <diagonal/>
    </border>
    <border>
      <left/>
      <right/>
      <top/>
      <bottom style="thin">
        <color rgb="FFB2B2B2"/>
      </bottom>
      <diagonal/>
    </border>
    <border>
      <left/>
      <right style="thin">
        <color rgb="FFB2B2B2"/>
      </right>
      <top/>
      <bottom style="thin">
        <color rgb="FFB2B2B2"/>
      </bottom>
      <diagonal/>
    </border>
    <border>
      <left style="thin">
        <color rgb="FFC00000"/>
      </left>
      <right/>
      <top/>
      <bottom style="thin">
        <color rgb="FFC00000"/>
      </bottom>
      <diagonal/>
    </border>
    <border>
      <left/>
      <right style="thin">
        <color rgb="FFC00000"/>
      </right>
      <top/>
      <bottom style="thin">
        <color rgb="FFC00000"/>
      </bottom>
      <diagonal/>
    </border>
    <border>
      <left/>
      <right/>
      <top/>
      <bottom style="double">
        <color rgb="FFC00000"/>
      </bottom>
      <diagonal/>
    </border>
    <border>
      <left/>
      <right/>
      <top style="double">
        <color rgb="FFC00000"/>
      </top>
      <bottom/>
      <diagonal/>
    </border>
    <border>
      <left/>
      <right/>
      <top style="thin">
        <color rgb="FFC00000"/>
      </top>
      <bottom style="thin">
        <color rgb="FFC00000"/>
      </bottom>
      <diagonal/>
    </border>
    <border>
      <left style="thin">
        <color rgb="FFC00000"/>
      </left>
      <right/>
      <top style="thin">
        <color rgb="FFC00000"/>
      </top>
      <bottom style="thin">
        <color rgb="FFC00000"/>
      </bottom>
      <diagonal/>
    </border>
    <border>
      <left/>
      <right style="thin">
        <color rgb="FFC00000"/>
      </right>
      <top style="thin">
        <color rgb="FFC00000"/>
      </top>
      <bottom style="thin">
        <color rgb="FFC00000"/>
      </bottom>
      <diagonal/>
    </border>
    <border>
      <left/>
      <right/>
      <top/>
      <bottom style="thin">
        <color indexed="64"/>
      </bottom>
      <diagonal/>
    </border>
    <border>
      <left/>
      <right/>
      <top style="thin">
        <color indexed="64"/>
      </top>
      <bottom/>
      <diagonal/>
    </border>
    <border>
      <left/>
      <right/>
      <top/>
      <bottom style="double">
        <color indexed="64"/>
      </bottom>
      <diagonal/>
    </border>
    <border>
      <left/>
      <right/>
      <top style="double">
        <color indexed="64"/>
      </top>
      <bottom/>
      <diagonal/>
    </border>
    <border>
      <left style="thin">
        <color rgb="FFB2B2B2"/>
      </left>
      <right style="thin">
        <color rgb="FFB2B2B2"/>
      </right>
      <top style="thin">
        <color rgb="FFB2B2B2"/>
      </top>
      <bottom style="double">
        <color indexed="64"/>
      </bottom>
      <diagonal/>
    </border>
    <border>
      <left style="thin">
        <color indexed="64"/>
      </left>
      <right style="thin">
        <color rgb="FFB2B2B2"/>
      </right>
      <top style="thin">
        <color indexed="64"/>
      </top>
      <bottom style="thin">
        <color indexed="64"/>
      </bottom>
      <diagonal/>
    </border>
    <border>
      <left style="thin">
        <color rgb="FFB2B2B2"/>
      </left>
      <right style="thin">
        <color rgb="FFB2B2B2"/>
      </right>
      <top style="thin">
        <color indexed="64"/>
      </top>
      <bottom style="thin">
        <color indexed="64"/>
      </bottom>
      <diagonal/>
    </border>
    <border>
      <left style="thin">
        <color rgb="FFB2B2B2"/>
      </left>
      <right style="thin">
        <color indexed="64"/>
      </right>
      <top style="thin">
        <color indexed="64"/>
      </top>
      <bottom style="thin">
        <color indexed="64"/>
      </bottom>
      <diagonal/>
    </border>
    <border>
      <left style="thin">
        <color rgb="FFB2B2B2"/>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rgb="FFB2B2B2"/>
      </top>
      <bottom style="thin">
        <color indexed="64"/>
      </bottom>
      <diagonal/>
    </border>
  </borders>
  <cellStyleXfs count="7">
    <xf numFmtId="0" fontId="0" fillId="0" borderId="0"/>
    <xf numFmtId="9" fontId="1" fillId="0" borderId="0" applyFont="0" applyFill="0" applyBorder="0" applyAlignment="0" applyProtection="0"/>
    <xf numFmtId="0" fontId="1" fillId="2" borderId="1" applyNumberFormat="0" applyFont="0" applyAlignment="0" applyProtection="0"/>
    <xf numFmtId="0" fontId="2" fillId="0" borderId="2" applyNumberFormat="0" applyFill="0" applyAlignment="0" applyProtection="0"/>
    <xf numFmtId="0" fontId="1" fillId="3" borderId="0" applyNumberFormat="0" applyBorder="0" applyAlignment="0" applyProtection="0"/>
    <xf numFmtId="0" fontId="1" fillId="0" borderId="0"/>
    <xf numFmtId="0" fontId="17" fillId="0" borderId="0" applyNumberFormat="0" applyFill="0" applyBorder="0" applyAlignment="0" applyProtection="0"/>
  </cellStyleXfs>
  <cellXfs count="404">
    <xf numFmtId="0" fontId="0" fillId="0" borderId="0" xfId="0"/>
    <xf numFmtId="0" fontId="0" fillId="0" borderId="0" xfId="0" applyProtection="1">
      <protection hidden="1"/>
    </xf>
    <xf numFmtId="0" fontId="0" fillId="0" borderId="0" xfId="0" applyAlignment="1" applyProtection="1">
      <alignment horizontal="center"/>
      <protection hidden="1"/>
    </xf>
    <xf numFmtId="0" fontId="0" fillId="0" borderId="3" xfId="0" applyBorder="1" applyProtection="1">
      <protection hidden="1"/>
    </xf>
    <xf numFmtId="0" fontId="0" fillId="0" borderId="4" xfId="0" applyBorder="1" applyProtection="1">
      <protection hidden="1"/>
    </xf>
    <xf numFmtId="0" fontId="0" fillId="0" borderId="5" xfId="0" applyBorder="1" applyProtection="1">
      <protection hidden="1"/>
    </xf>
    <xf numFmtId="0" fontId="0" fillId="0" borderId="6" xfId="0" applyBorder="1" applyProtection="1">
      <protection hidden="1"/>
    </xf>
    <xf numFmtId="0" fontId="3" fillId="0" borderId="0" xfId="0" applyFont="1" applyAlignment="1" applyProtection="1">
      <alignment horizontal="right" vertical="center"/>
      <protection hidden="1"/>
    </xf>
    <xf numFmtId="0" fontId="0" fillId="0" borderId="7" xfId="0" applyBorder="1" applyProtection="1">
      <protection hidden="1"/>
    </xf>
    <xf numFmtId="0" fontId="0" fillId="0" borderId="0" xfId="0" applyAlignment="1" applyProtection="1">
      <alignment horizontal="right" vertical="center"/>
      <protection hidden="1"/>
    </xf>
    <xf numFmtId="0" fontId="0" fillId="0" borderId="8" xfId="0" applyBorder="1" applyProtection="1">
      <protection hidden="1"/>
    </xf>
    <xf numFmtId="0" fontId="0" fillId="0" borderId="8" xfId="0" applyBorder="1" applyAlignment="1" applyProtection="1">
      <alignment horizontal="right" vertical="center"/>
      <protection hidden="1"/>
    </xf>
    <xf numFmtId="164" fontId="0" fillId="0" borderId="0" xfId="0" applyNumberFormat="1" applyProtection="1">
      <protection hidden="1"/>
    </xf>
    <xf numFmtId="164" fontId="0" fillId="0" borderId="0" xfId="0" applyNumberFormat="1" applyAlignment="1" applyProtection="1">
      <alignment horizontal="center"/>
      <protection hidden="1"/>
    </xf>
    <xf numFmtId="165" fontId="0" fillId="0" borderId="0" xfId="0" applyNumberFormat="1" applyAlignment="1" applyProtection="1">
      <alignment horizontal="center"/>
      <protection hidden="1"/>
    </xf>
    <xf numFmtId="1" fontId="0" fillId="0" borderId="0" xfId="0" applyNumberFormat="1" applyProtection="1">
      <protection hidden="1"/>
    </xf>
    <xf numFmtId="0" fontId="4" fillId="0" borderId="0" xfId="0" applyFont="1" applyAlignment="1" applyProtection="1">
      <alignment vertical="center"/>
      <protection hidden="1"/>
    </xf>
    <xf numFmtId="0" fontId="5" fillId="0" borderId="0" xfId="0" applyFont="1" applyAlignment="1" applyProtection="1">
      <alignment vertical="center"/>
      <protection hidden="1"/>
    </xf>
    <xf numFmtId="0" fontId="2" fillId="0" borderId="0" xfId="0" applyFont="1" applyProtection="1">
      <protection hidden="1"/>
    </xf>
    <xf numFmtId="0" fontId="6" fillId="0" borderId="0" xfId="0" applyFont="1" applyProtection="1">
      <protection hidden="1"/>
    </xf>
    <xf numFmtId="0" fontId="7" fillId="0" borderId="6" xfId="0" applyFont="1" applyBorder="1" applyAlignment="1" applyProtection="1">
      <alignment vertical="center"/>
      <protection hidden="1"/>
    </xf>
    <xf numFmtId="0" fontId="3" fillId="0" borderId="0" xfId="0" applyFont="1" applyProtection="1">
      <protection hidden="1"/>
    </xf>
    <xf numFmtId="0" fontId="3" fillId="0" borderId="0" xfId="0" applyFont="1" applyAlignment="1" applyProtection="1">
      <alignment vertical="center"/>
      <protection hidden="1"/>
    </xf>
    <xf numFmtId="0" fontId="2" fillId="0" borderId="0" xfId="0" applyFont="1" applyAlignment="1" applyProtection="1">
      <alignment vertical="center"/>
      <protection hidden="1"/>
    </xf>
    <xf numFmtId="0" fontId="0" fillId="0" borderId="0" xfId="0" applyAlignment="1" applyProtection="1">
      <alignment vertical="center"/>
      <protection hidden="1"/>
    </xf>
    <xf numFmtId="14" fontId="0" fillId="0" borderId="0" xfId="0" applyNumberFormat="1" applyAlignment="1" applyProtection="1">
      <alignment vertical="center"/>
      <protection hidden="1"/>
    </xf>
    <xf numFmtId="14" fontId="0" fillId="0" borderId="0" xfId="0" applyNumberFormat="1" applyAlignment="1" applyProtection="1">
      <alignment horizontal="right" vertical="center"/>
      <protection hidden="1"/>
    </xf>
    <xf numFmtId="0" fontId="4" fillId="0" borderId="7" xfId="0" applyFont="1" applyBorder="1" applyAlignment="1" applyProtection="1">
      <alignment vertical="center"/>
      <protection hidden="1"/>
    </xf>
    <xf numFmtId="0" fontId="0" fillId="0" borderId="6" xfId="0" applyBorder="1" applyAlignment="1" applyProtection="1">
      <alignment vertical="center"/>
      <protection hidden="1"/>
    </xf>
    <xf numFmtId="0" fontId="0" fillId="0" borderId="0" xfId="0" applyAlignment="1" applyProtection="1">
      <alignment horizontal="right"/>
      <protection hidden="1"/>
    </xf>
    <xf numFmtId="0" fontId="4" fillId="0" borderId="0" xfId="0" applyFont="1" applyProtection="1">
      <protection hidden="1"/>
    </xf>
    <xf numFmtId="0" fontId="7" fillId="0" borderId="0" xfId="0" applyFont="1" applyProtection="1">
      <protection hidden="1"/>
    </xf>
    <xf numFmtId="0" fontId="2" fillId="0" borderId="0" xfId="0" applyFont="1" applyAlignment="1" applyProtection="1">
      <alignment horizontal="right" vertical="center"/>
      <protection hidden="1"/>
    </xf>
    <xf numFmtId="0" fontId="0" fillId="0" borderId="0" xfId="0" applyAlignment="1" applyProtection="1">
      <alignment horizontal="left" vertical="center"/>
      <protection hidden="1"/>
    </xf>
    <xf numFmtId="2" fontId="0" fillId="0" borderId="0" xfId="0" applyNumberFormat="1" applyAlignment="1" applyProtection="1">
      <alignment horizontal="center"/>
      <protection hidden="1"/>
    </xf>
    <xf numFmtId="0" fontId="2" fillId="0" borderId="0" xfId="0" applyFont="1" applyAlignment="1" applyProtection="1">
      <alignment horizontal="right"/>
      <protection hidden="1"/>
    </xf>
    <xf numFmtId="0" fontId="0" fillId="0" borderId="0" xfId="2" applyFont="1" applyFill="1" applyBorder="1" applyAlignment="1" applyProtection="1">
      <alignment horizontal="left" vertical="center"/>
      <protection hidden="1"/>
    </xf>
    <xf numFmtId="0" fontId="0" fillId="0" borderId="0" xfId="2" applyFont="1" applyFill="1" applyBorder="1" applyAlignment="1" applyProtection="1">
      <alignment vertical="center"/>
      <protection hidden="1"/>
    </xf>
    <xf numFmtId="0" fontId="0" fillId="0" borderId="0" xfId="0" applyAlignment="1" applyProtection="1">
      <alignment horizontal="left"/>
      <protection hidden="1"/>
    </xf>
    <xf numFmtId="1" fontId="11" fillId="0" borderId="0" xfId="0" applyNumberFormat="1" applyFont="1" applyAlignment="1" applyProtection="1">
      <alignment vertical="center"/>
      <protection hidden="1"/>
    </xf>
    <xf numFmtId="0" fontId="14" fillId="0" borderId="0" xfId="0" applyFont="1" applyAlignment="1" applyProtection="1">
      <alignment horizontal="center" vertical="center"/>
      <protection hidden="1"/>
    </xf>
    <xf numFmtId="0" fontId="1" fillId="0" borderId="0" xfId="5" applyAlignment="1" applyProtection="1">
      <alignment vertical="center"/>
      <protection hidden="1"/>
    </xf>
    <xf numFmtId="0" fontId="0" fillId="0" borderId="7" xfId="0" applyBorder="1" applyAlignment="1" applyProtection="1">
      <alignment vertical="center"/>
      <protection hidden="1"/>
    </xf>
    <xf numFmtId="0" fontId="17" fillId="0" borderId="0" xfId="6" quotePrefix="1" applyBorder="1" applyProtection="1">
      <protection hidden="1"/>
    </xf>
    <xf numFmtId="0" fontId="18" fillId="0" borderId="0" xfId="0" applyFont="1" applyAlignment="1" applyProtection="1">
      <alignment horizontal="right"/>
      <protection hidden="1"/>
    </xf>
    <xf numFmtId="0" fontId="0" fillId="0" borderId="22" xfId="0" applyBorder="1" applyProtection="1">
      <protection hidden="1"/>
    </xf>
    <xf numFmtId="0" fontId="0" fillId="0" borderId="10" xfId="0" applyBorder="1" applyProtection="1">
      <protection hidden="1"/>
    </xf>
    <xf numFmtId="0" fontId="0" fillId="0" borderId="23" xfId="0" applyBorder="1" applyProtection="1">
      <protection hidden="1"/>
    </xf>
    <xf numFmtId="0" fontId="2" fillId="0" borderId="0" xfId="0" applyFont="1" applyAlignment="1" applyProtection="1">
      <alignment wrapText="1"/>
      <protection hidden="1"/>
    </xf>
    <xf numFmtId="165" fontId="0" fillId="0" borderId="0" xfId="0" applyNumberFormat="1" applyAlignment="1" applyProtection="1">
      <alignment vertical="center"/>
      <protection hidden="1"/>
    </xf>
    <xf numFmtId="164" fontId="0" fillId="0" borderId="0" xfId="0" applyNumberFormat="1" applyAlignment="1" applyProtection="1">
      <alignment horizontal="left" vertical="center"/>
      <protection hidden="1"/>
    </xf>
    <xf numFmtId="165" fontId="0" fillId="0" borderId="0" xfId="0" applyNumberFormat="1" applyAlignment="1" applyProtection="1">
      <alignment horizontal="centerContinuous" vertical="center"/>
      <protection hidden="1"/>
    </xf>
    <xf numFmtId="165" fontId="0" fillId="0" borderId="0" xfId="0" applyNumberFormat="1" applyProtection="1">
      <protection hidden="1"/>
    </xf>
    <xf numFmtId="0" fontId="0" fillId="0" borderId="0" xfId="0" applyAlignment="1" applyProtection="1">
      <alignment horizontal="left" indent="1"/>
      <protection hidden="1"/>
    </xf>
    <xf numFmtId="0" fontId="0" fillId="0" borderId="0" xfId="2" applyFont="1" applyFill="1" applyBorder="1" applyAlignment="1" applyProtection="1">
      <protection hidden="1"/>
    </xf>
    <xf numFmtId="0" fontId="19" fillId="0" borderId="0" xfId="0" applyFont="1" applyProtection="1">
      <protection hidden="1"/>
    </xf>
    <xf numFmtId="2" fontId="0" fillId="0" borderId="0" xfId="0" applyNumberFormat="1" applyProtection="1">
      <protection hidden="1"/>
    </xf>
    <xf numFmtId="0" fontId="0" fillId="0" borderId="8" xfId="0" applyBorder="1" applyAlignment="1" applyProtection="1">
      <alignment vertical="top"/>
      <protection hidden="1"/>
    </xf>
    <xf numFmtId="168" fontId="0" fillId="0" borderId="0" xfId="0" applyNumberFormat="1" applyProtection="1">
      <protection hidden="1"/>
    </xf>
    <xf numFmtId="169" fontId="0" fillId="0" borderId="0" xfId="0" applyNumberFormat="1" applyProtection="1">
      <protection hidden="1"/>
    </xf>
    <xf numFmtId="0" fontId="0" fillId="0" borderId="29" xfId="0" applyBorder="1" applyProtection="1">
      <protection hidden="1"/>
    </xf>
    <xf numFmtId="4" fontId="0" fillId="0" borderId="0" xfId="0" applyNumberFormat="1" applyAlignment="1" applyProtection="1">
      <alignment horizontal="center"/>
      <protection hidden="1"/>
    </xf>
    <xf numFmtId="0" fontId="0" fillId="0" borderId="0" xfId="0" applyAlignment="1" applyProtection="1">
      <alignment vertical="top" wrapText="1"/>
      <protection hidden="1"/>
    </xf>
    <xf numFmtId="0" fontId="21" fillId="0" borderId="0" xfId="0" applyFont="1" applyAlignment="1" applyProtection="1">
      <alignment horizontal="right"/>
      <protection hidden="1"/>
    </xf>
    <xf numFmtId="0" fontId="4" fillId="0" borderId="9" xfId="0" applyFont="1" applyBorder="1" applyAlignment="1" applyProtection="1">
      <alignment vertical="center" wrapText="1"/>
      <protection hidden="1"/>
    </xf>
    <xf numFmtId="0" fontId="4" fillId="0" borderId="0" xfId="0" applyFont="1" applyAlignment="1" applyProtection="1">
      <alignment vertical="center" wrapText="1"/>
      <protection hidden="1"/>
    </xf>
    <xf numFmtId="0" fontId="4" fillId="0" borderId="7" xfId="0" applyFont="1" applyBorder="1" applyProtection="1">
      <protection hidden="1"/>
    </xf>
    <xf numFmtId="0" fontId="26" fillId="0" borderId="10" xfId="0" applyFont="1" applyBorder="1" applyProtection="1">
      <protection hidden="1"/>
    </xf>
    <xf numFmtId="0" fontId="2" fillId="0" borderId="8" xfId="0" applyFont="1" applyBorder="1" applyProtection="1">
      <protection hidden="1"/>
    </xf>
    <xf numFmtId="1" fontId="0" fillId="0" borderId="0" xfId="0" applyNumberFormat="1" applyAlignment="1" applyProtection="1">
      <alignment horizontal="center"/>
      <protection hidden="1"/>
    </xf>
    <xf numFmtId="0" fontId="0" fillId="0" borderId="29" xfId="0" applyBorder="1" applyAlignment="1" applyProtection="1">
      <alignment horizontal="center"/>
      <protection hidden="1"/>
    </xf>
    <xf numFmtId="0" fontId="2" fillId="0" borderId="0" xfId="0" applyFont="1" applyAlignment="1" applyProtection="1">
      <alignment horizontal="right" indent="1"/>
      <protection hidden="1"/>
    </xf>
    <xf numFmtId="0" fontId="0" fillId="6" borderId="0" xfId="0" applyFill="1" applyProtection="1">
      <protection hidden="1"/>
    </xf>
    <xf numFmtId="10" fontId="0" fillId="0" borderId="0" xfId="0" applyNumberFormat="1" applyProtection="1">
      <protection hidden="1"/>
    </xf>
    <xf numFmtId="0" fontId="0" fillId="7" borderId="0" xfId="0" applyFill="1" applyProtection="1">
      <protection hidden="1"/>
    </xf>
    <xf numFmtId="0" fontId="0" fillId="8" borderId="0" xfId="0" applyFill="1" applyProtection="1">
      <protection hidden="1"/>
    </xf>
    <xf numFmtId="0" fontId="0" fillId="9" borderId="0" xfId="0" applyFill="1" applyProtection="1">
      <protection hidden="1"/>
    </xf>
    <xf numFmtId="10" fontId="0" fillId="0" borderId="0" xfId="1" applyNumberFormat="1" applyFont="1" applyAlignment="1" applyProtection="1">
      <alignment horizontal="center"/>
      <protection hidden="1"/>
    </xf>
    <xf numFmtId="165" fontId="0" fillId="0" borderId="0" xfId="1" applyNumberFormat="1" applyFont="1" applyAlignment="1" applyProtection="1">
      <alignment horizontal="center"/>
      <protection hidden="1"/>
    </xf>
    <xf numFmtId="166" fontId="0" fillId="0" borderId="0" xfId="1" applyNumberFormat="1" applyFont="1" applyFill="1" applyBorder="1" applyAlignment="1" applyProtection="1">
      <protection hidden="1"/>
    </xf>
    <xf numFmtId="166" fontId="0" fillId="0" borderId="0" xfId="1" applyNumberFormat="1" applyFont="1" applyAlignment="1" applyProtection="1">
      <protection hidden="1"/>
    </xf>
    <xf numFmtId="166" fontId="0" fillId="0" borderId="0" xfId="1" applyNumberFormat="1" applyFont="1" applyBorder="1" applyAlignment="1" applyProtection="1">
      <protection hidden="1"/>
    </xf>
    <xf numFmtId="166" fontId="0" fillId="0" borderId="0" xfId="0" applyNumberFormat="1" applyProtection="1">
      <protection hidden="1"/>
    </xf>
    <xf numFmtId="166" fontId="0" fillId="0" borderId="0" xfId="1" applyNumberFormat="1" applyFont="1" applyFill="1" applyAlignment="1" applyProtection="1">
      <protection hidden="1"/>
    </xf>
    <xf numFmtId="0" fontId="0" fillId="0" borderId="0" xfId="0" applyAlignment="1" applyProtection="1">
      <alignment horizontal="right" indent="1"/>
      <protection hidden="1"/>
    </xf>
    <xf numFmtId="1" fontId="28" fillId="0" borderId="7" xfId="0" applyNumberFormat="1" applyFont="1" applyBorder="1" applyProtection="1">
      <protection hidden="1"/>
    </xf>
    <xf numFmtId="0" fontId="0" fillId="5" borderId="0" xfId="0" applyFill="1" applyProtection="1">
      <protection hidden="1"/>
    </xf>
    <xf numFmtId="0" fontId="0" fillId="0" borderId="0" xfId="0" applyAlignment="1" applyProtection="1">
      <alignment horizontal="right" wrapText="1"/>
      <protection hidden="1"/>
    </xf>
    <xf numFmtId="0" fontId="0" fillId="4" borderId="0" xfId="0" applyFill="1" applyProtection="1">
      <protection hidden="1"/>
    </xf>
    <xf numFmtId="0" fontId="32" fillId="11" borderId="0" xfId="0" applyFont="1" applyFill="1" applyProtection="1">
      <protection hidden="1"/>
    </xf>
    <xf numFmtId="0" fontId="5" fillId="0" borderId="0" xfId="0" applyFont="1" applyProtection="1">
      <protection hidden="1"/>
    </xf>
    <xf numFmtId="0" fontId="0" fillId="0" borderId="0" xfId="0" applyAlignment="1" applyProtection="1">
      <alignment vertical="top"/>
      <protection hidden="1"/>
    </xf>
    <xf numFmtId="0" fontId="29" fillId="0" borderId="0" xfId="0" applyFont="1" applyAlignment="1" applyProtection="1">
      <alignment vertical="center"/>
      <protection hidden="1"/>
    </xf>
    <xf numFmtId="0" fontId="29" fillId="9" borderId="0" xfId="0" applyFont="1" applyFill="1" applyAlignment="1" applyProtection="1">
      <alignment vertical="center"/>
      <protection hidden="1"/>
    </xf>
    <xf numFmtId="0" fontId="29" fillId="6" borderId="0" xfId="0" applyFont="1" applyFill="1" applyAlignment="1" applyProtection="1">
      <alignment vertical="center"/>
      <protection hidden="1"/>
    </xf>
    <xf numFmtId="0" fontId="0" fillId="0" borderId="0" xfId="0" applyAlignment="1" applyProtection="1">
      <alignment vertical="top"/>
      <protection locked="0"/>
    </xf>
    <xf numFmtId="1" fontId="0" fillId="0" borderId="0" xfId="0" applyNumberFormat="1" applyAlignment="1" applyProtection="1">
      <alignment horizontal="center" vertical="center"/>
      <protection hidden="1"/>
    </xf>
    <xf numFmtId="0" fontId="2" fillId="0" borderId="0" xfId="0" applyFont="1" applyAlignment="1" applyProtection="1">
      <alignment horizontal="center"/>
      <protection hidden="1"/>
    </xf>
    <xf numFmtId="165" fontId="0" fillId="0" borderId="0" xfId="0" applyNumberFormat="1" applyAlignment="1" applyProtection="1">
      <alignment horizontal="center" vertical="center"/>
      <protection hidden="1"/>
    </xf>
    <xf numFmtId="0" fontId="2" fillId="0" borderId="29" xfId="0" applyFont="1" applyBorder="1" applyAlignment="1" applyProtection="1">
      <alignment horizontal="center"/>
      <protection hidden="1"/>
    </xf>
    <xf numFmtId="0" fontId="0" fillId="0" borderId="0" xfId="0" applyAlignment="1" applyProtection="1">
      <alignment horizontal="center" vertical="center"/>
      <protection hidden="1"/>
    </xf>
    <xf numFmtId="164" fontId="0" fillId="5" borderId="0" xfId="0" applyNumberFormat="1" applyFill="1" applyAlignment="1" applyProtection="1">
      <alignment horizontal="left" vertical="center"/>
      <protection hidden="1"/>
    </xf>
    <xf numFmtId="0" fontId="5" fillId="5" borderId="0" xfId="0" applyFont="1" applyFill="1" applyAlignment="1" applyProtection="1">
      <alignment vertical="center"/>
      <protection hidden="1"/>
    </xf>
    <xf numFmtId="0" fontId="0" fillId="5" borderId="0" xfId="0" applyFill="1" applyAlignment="1" applyProtection="1">
      <alignment horizontal="left"/>
      <protection hidden="1"/>
    </xf>
    <xf numFmtId="0" fontId="0" fillId="0" borderId="8" xfId="0" quotePrefix="1" applyBorder="1" applyProtection="1">
      <protection hidden="1"/>
    </xf>
    <xf numFmtId="0" fontId="0" fillId="4" borderId="0" xfId="0" applyFill="1" applyAlignment="1" applyProtection="1">
      <alignment horizontal="center"/>
      <protection hidden="1"/>
    </xf>
    <xf numFmtId="165" fontId="2" fillId="0" borderId="29" xfId="0" applyNumberFormat="1" applyFont="1" applyBorder="1" applyAlignment="1" applyProtection="1">
      <alignment horizontal="center"/>
      <protection hidden="1"/>
    </xf>
    <xf numFmtId="0" fontId="2" fillId="4" borderId="0" xfId="0" applyFont="1" applyFill="1" applyAlignment="1" applyProtection="1">
      <alignment horizontal="center"/>
      <protection hidden="1"/>
    </xf>
    <xf numFmtId="0" fontId="2" fillId="4" borderId="29" xfId="0" applyFont="1" applyFill="1" applyBorder="1" applyAlignment="1" applyProtection="1">
      <alignment horizontal="center"/>
      <protection hidden="1"/>
    </xf>
    <xf numFmtId="2" fontId="0" fillId="4" borderId="0" xfId="0" applyNumberFormat="1" applyFill="1" applyProtection="1">
      <protection hidden="1"/>
    </xf>
    <xf numFmtId="1" fontId="0" fillId="4" borderId="0" xfId="0" applyNumberFormat="1" applyFill="1" applyProtection="1">
      <protection hidden="1"/>
    </xf>
    <xf numFmtId="165" fontId="0" fillId="0" borderId="29" xfId="0" applyNumberFormat="1" applyBorder="1" applyAlignment="1" applyProtection="1">
      <alignment horizontal="center"/>
      <protection hidden="1"/>
    </xf>
    <xf numFmtId="0" fontId="0" fillId="0" borderId="29" xfId="0" applyBorder="1" applyAlignment="1" applyProtection="1">
      <alignment horizontal="center" vertical="center"/>
      <protection hidden="1"/>
    </xf>
    <xf numFmtId="0" fontId="2" fillId="0" borderId="0" xfId="0" applyFont="1" applyAlignment="1" applyProtection="1">
      <alignment horizontal="center" vertical="center"/>
      <protection hidden="1"/>
    </xf>
    <xf numFmtId="0" fontId="0" fillId="0" borderId="0" xfId="0" applyAlignment="1" applyProtection="1">
      <alignment horizontal="center" vertical="center" wrapText="1"/>
      <protection hidden="1"/>
    </xf>
    <xf numFmtId="0" fontId="0" fillId="0" borderId="29" xfId="0" applyBorder="1" applyAlignment="1" applyProtection="1">
      <alignment horizontal="center" vertical="center" wrapText="1"/>
      <protection hidden="1"/>
    </xf>
    <xf numFmtId="0" fontId="34" fillId="0" borderId="29" xfId="0" applyFont="1" applyBorder="1" applyProtection="1">
      <protection hidden="1"/>
    </xf>
    <xf numFmtId="165" fontId="33" fillId="10" borderId="0" xfId="0" applyNumberFormat="1" applyFont="1" applyFill="1" applyProtection="1">
      <protection hidden="1"/>
    </xf>
    <xf numFmtId="165" fontId="33" fillId="0" borderId="0" xfId="0" applyNumberFormat="1" applyFont="1" applyProtection="1">
      <protection hidden="1"/>
    </xf>
    <xf numFmtId="165" fontId="33" fillId="10" borderId="31" xfId="0" applyNumberFormat="1" applyFont="1" applyFill="1" applyBorder="1" applyProtection="1">
      <protection hidden="1"/>
    </xf>
    <xf numFmtId="0" fontId="0" fillId="10" borderId="0" xfId="0" applyFill="1" applyAlignment="1" applyProtection="1">
      <alignment horizontal="center" vertical="center"/>
      <protection hidden="1"/>
    </xf>
    <xf numFmtId="164" fontId="0" fillId="10" borderId="0" xfId="0" applyNumberFormat="1" applyFill="1" applyAlignment="1" applyProtection="1">
      <alignment horizontal="center"/>
      <protection hidden="1"/>
    </xf>
    <xf numFmtId="0" fontId="2" fillId="10" borderId="0" xfId="0" applyFont="1" applyFill="1" applyAlignment="1" applyProtection="1">
      <alignment horizontal="center" vertical="center"/>
      <protection hidden="1"/>
    </xf>
    <xf numFmtId="0" fontId="0" fillId="10" borderId="0" xfId="0" applyFill="1" applyProtection="1">
      <protection hidden="1"/>
    </xf>
    <xf numFmtId="1" fontId="0" fillId="0" borderId="32" xfId="0" applyNumberFormat="1" applyBorder="1" applyAlignment="1" applyProtection="1">
      <alignment vertical="center"/>
      <protection hidden="1"/>
    </xf>
    <xf numFmtId="1" fontId="0" fillId="0" borderId="0" xfId="0" applyNumberFormat="1" applyAlignment="1" applyProtection="1">
      <alignment vertical="center"/>
      <protection hidden="1"/>
    </xf>
    <xf numFmtId="4" fontId="0" fillId="0" borderId="0" xfId="1" applyNumberFormat="1" applyFont="1" applyAlignment="1" applyProtection="1">
      <alignment horizontal="center"/>
      <protection hidden="1"/>
    </xf>
    <xf numFmtId="0" fontId="0" fillId="6" borderId="0" xfId="0" applyFill="1" applyAlignment="1" applyProtection="1">
      <alignment horizontal="center" vertical="center"/>
      <protection hidden="1"/>
    </xf>
    <xf numFmtId="0" fontId="0" fillId="6" borderId="0" xfId="0" applyFill="1" applyAlignment="1" applyProtection="1">
      <alignment horizontal="left" vertical="center"/>
      <protection hidden="1"/>
    </xf>
    <xf numFmtId="166" fontId="0" fillId="0" borderId="0" xfId="1" applyNumberFormat="1" applyFont="1" applyAlignment="1" applyProtection="1">
      <alignment horizontal="center"/>
      <protection hidden="1"/>
    </xf>
    <xf numFmtId="9" fontId="0" fillId="0" borderId="0" xfId="1" applyFont="1" applyProtection="1">
      <protection hidden="1"/>
    </xf>
    <xf numFmtId="166" fontId="0" fillId="0" borderId="0" xfId="1" applyNumberFormat="1" applyFont="1" applyProtection="1">
      <protection hidden="1"/>
    </xf>
    <xf numFmtId="10" fontId="0" fillId="0" borderId="0" xfId="1" applyNumberFormat="1" applyFont="1" applyProtection="1">
      <protection hidden="1"/>
    </xf>
    <xf numFmtId="0" fontId="37" fillId="0" borderId="0" xfId="0" applyFont="1" applyAlignment="1" applyProtection="1">
      <alignment horizontal="center"/>
      <protection hidden="1"/>
    </xf>
    <xf numFmtId="165" fontId="0" fillId="5" borderId="0" xfId="0" applyNumberFormat="1" applyFill="1" applyProtection="1">
      <protection hidden="1"/>
    </xf>
    <xf numFmtId="0" fontId="38" fillId="0" borderId="0" xfId="0" applyFont="1" applyProtection="1">
      <protection hidden="1"/>
    </xf>
    <xf numFmtId="0" fontId="0" fillId="0" borderId="0" xfId="0" applyAlignment="1" applyProtection="1">
      <alignment horizontal="center" wrapText="1"/>
      <protection hidden="1"/>
    </xf>
    <xf numFmtId="0" fontId="0" fillId="6" borderId="0" xfId="0" applyFill="1" applyAlignment="1" applyProtection="1">
      <alignment horizontal="center" wrapText="1"/>
      <protection hidden="1"/>
    </xf>
    <xf numFmtId="0" fontId="35" fillId="0" borderId="0" xfId="0" applyFont="1" applyProtection="1">
      <protection hidden="1"/>
    </xf>
    <xf numFmtId="0" fontId="35" fillId="0" borderId="0" xfId="0" applyFont="1" applyAlignment="1" applyProtection="1">
      <alignment horizontal="right"/>
      <protection hidden="1"/>
    </xf>
    <xf numFmtId="0" fontId="0" fillId="0" borderId="0" xfId="0" applyAlignment="1" applyProtection="1">
      <alignment wrapText="1"/>
      <protection hidden="1"/>
    </xf>
    <xf numFmtId="0" fontId="0" fillId="6" borderId="0" xfId="0" applyFill="1" applyAlignment="1" applyProtection="1">
      <alignment horizontal="right"/>
      <protection hidden="1"/>
    </xf>
    <xf numFmtId="0" fontId="0" fillId="6" borderId="0" xfId="0" applyFill="1" applyAlignment="1" applyProtection="1">
      <alignment horizontal="center"/>
      <protection hidden="1"/>
    </xf>
    <xf numFmtId="167" fontId="0" fillId="6" borderId="0" xfId="0" applyNumberFormat="1" applyFill="1" applyAlignment="1" applyProtection="1">
      <alignment horizontal="center"/>
      <protection hidden="1"/>
    </xf>
    <xf numFmtId="0" fontId="0" fillId="0" borderId="0" xfId="0" applyAlignment="1">
      <alignment horizontal="center"/>
    </xf>
    <xf numFmtId="165" fontId="0" fillId="0" borderId="0" xfId="0" applyNumberFormat="1" applyAlignment="1">
      <alignment horizontal="center"/>
    </xf>
    <xf numFmtId="0" fontId="0" fillId="0" borderId="0" xfId="0" quotePrefix="1" applyAlignment="1" applyProtection="1">
      <alignment horizontal="center" wrapText="1"/>
      <protection hidden="1"/>
    </xf>
    <xf numFmtId="1" fontId="0" fillId="0" borderId="0" xfId="0" applyNumberFormat="1" applyAlignment="1">
      <alignment horizontal="center"/>
    </xf>
    <xf numFmtId="0" fontId="0" fillId="0" borderId="0" xfId="0" quotePrefix="1" applyProtection="1">
      <protection hidden="1"/>
    </xf>
    <xf numFmtId="0" fontId="0" fillId="0" borderId="38" xfId="0" applyBorder="1" applyAlignment="1" applyProtection="1">
      <alignment horizontal="center"/>
      <protection hidden="1"/>
    </xf>
    <xf numFmtId="0" fontId="0" fillId="0" borderId="39" xfId="0" applyBorder="1" applyAlignment="1" applyProtection="1">
      <alignment horizontal="center"/>
      <protection hidden="1"/>
    </xf>
    <xf numFmtId="164" fontId="0" fillId="0" borderId="0" xfId="0" applyNumberFormat="1" applyAlignment="1">
      <alignment horizontal="center"/>
    </xf>
    <xf numFmtId="165" fontId="0" fillId="0" borderId="0" xfId="0" applyNumberFormat="1"/>
    <xf numFmtId="0" fontId="0" fillId="0" borderId="0" xfId="0" applyAlignment="1" applyProtection="1">
      <alignment horizontal="left" vertical="top" wrapText="1"/>
      <protection hidden="1"/>
    </xf>
    <xf numFmtId="0" fontId="4" fillId="0" borderId="10" xfId="0" applyFont="1" applyBorder="1" applyAlignment="1" applyProtection="1">
      <alignment horizontal="center"/>
      <protection hidden="1"/>
    </xf>
    <xf numFmtId="0" fontId="0" fillId="0" borderId="0" xfId="0" applyAlignment="1" applyProtection="1">
      <alignment horizontal="center" wrapText="1"/>
      <protection hidden="1"/>
    </xf>
    <xf numFmtId="0" fontId="0" fillId="4" borderId="1" xfId="2" applyFont="1" applyFill="1" applyAlignment="1" applyProtection="1">
      <alignment horizontal="center"/>
      <protection locked="0"/>
    </xf>
    <xf numFmtId="0" fontId="0" fillId="0" borderId="37" xfId="0" applyBorder="1" applyAlignment="1" applyProtection="1">
      <alignment horizontal="center"/>
      <protection hidden="1"/>
    </xf>
    <xf numFmtId="0" fontId="0" fillId="0" borderId="0" xfId="0" applyAlignment="1" applyProtection="1">
      <alignment horizontal="center"/>
      <protection hidden="1"/>
    </xf>
    <xf numFmtId="0" fontId="2" fillId="0" borderId="0" xfId="0" applyFont="1" applyAlignment="1" applyProtection="1">
      <alignment horizontal="right" indent="1"/>
      <protection hidden="1"/>
    </xf>
    <xf numFmtId="0" fontId="2" fillId="0" borderId="14" xfId="0" applyFont="1" applyBorder="1" applyAlignment="1" applyProtection="1">
      <alignment horizontal="right" indent="1"/>
      <protection hidden="1"/>
    </xf>
    <xf numFmtId="1" fontId="1" fillId="5" borderId="1" xfId="2" applyNumberFormat="1" applyFont="1" applyFill="1" applyAlignment="1" applyProtection="1">
      <alignment horizontal="center" vertical="center"/>
      <protection hidden="1"/>
    </xf>
    <xf numFmtId="0" fontId="4" fillId="0" borderId="0" xfId="0" applyFont="1" applyAlignment="1" applyProtection="1">
      <alignment horizontal="center" vertical="center"/>
      <protection hidden="1"/>
    </xf>
    <xf numFmtId="0" fontId="0" fillId="0" borderId="0" xfId="0" applyAlignment="1" applyProtection="1">
      <alignment horizontal="left" vertical="center" wrapText="1"/>
      <protection hidden="1"/>
    </xf>
    <xf numFmtId="0" fontId="0" fillId="0" borderId="8" xfId="0" applyBorder="1" applyAlignment="1" applyProtection="1">
      <alignment horizontal="left" vertical="center" wrapText="1"/>
      <protection hidden="1"/>
    </xf>
    <xf numFmtId="1" fontId="1" fillId="5" borderId="11" xfId="2" applyNumberFormat="1" applyFont="1" applyFill="1" applyBorder="1" applyAlignment="1" applyProtection="1">
      <alignment horizontal="center" vertical="center"/>
      <protection hidden="1"/>
    </xf>
    <xf numFmtId="1" fontId="1" fillId="5" borderId="12" xfId="2" applyNumberFormat="1" applyFont="1" applyFill="1" applyBorder="1" applyAlignment="1" applyProtection="1">
      <alignment horizontal="center" vertical="center"/>
      <protection hidden="1"/>
    </xf>
    <xf numFmtId="1" fontId="1" fillId="0" borderId="11" xfId="2" applyNumberFormat="1" applyFont="1" applyFill="1" applyBorder="1" applyAlignment="1" applyProtection="1">
      <alignment horizontal="center" vertical="center"/>
      <protection hidden="1"/>
    </xf>
    <xf numFmtId="1" fontId="1" fillId="0" borderId="13" xfId="2" applyNumberFormat="1" applyFont="1" applyFill="1" applyBorder="1" applyAlignment="1" applyProtection="1">
      <alignment horizontal="center" vertical="center"/>
      <protection hidden="1"/>
    </xf>
    <xf numFmtId="1" fontId="1" fillId="4" borderId="11" xfId="2" applyNumberFormat="1" applyFont="1" applyFill="1" applyBorder="1" applyAlignment="1" applyProtection="1">
      <alignment horizontal="center" vertical="center"/>
      <protection locked="0"/>
    </xf>
    <xf numFmtId="1" fontId="1" fillId="4" borderId="12" xfId="2" applyNumberFormat="1" applyFont="1" applyFill="1" applyBorder="1" applyAlignment="1" applyProtection="1">
      <alignment horizontal="center" vertical="center"/>
      <protection locked="0"/>
    </xf>
    <xf numFmtId="1" fontId="1" fillId="4" borderId="13" xfId="2" applyNumberFormat="1" applyFont="1" applyFill="1" applyBorder="1" applyAlignment="1" applyProtection="1">
      <alignment horizontal="center" vertical="center"/>
      <protection locked="0"/>
    </xf>
    <xf numFmtId="0" fontId="2" fillId="0" borderId="10" xfId="0" applyFont="1" applyBorder="1" applyAlignment="1" applyProtection="1">
      <alignment horizontal="center"/>
      <protection hidden="1"/>
    </xf>
    <xf numFmtId="2" fontId="0" fillId="5" borderId="34" xfId="2" applyNumberFormat="1" applyFont="1" applyFill="1" applyBorder="1" applyAlignment="1" applyProtection="1">
      <alignment horizontal="center"/>
      <protection hidden="1"/>
    </xf>
    <xf numFmtId="2" fontId="0" fillId="5" borderId="35" xfId="2" applyNumberFormat="1" applyFont="1" applyFill="1" applyBorder="1" applyAlignment="1" applyProtection="1">
      <alignment horizontal="center"/>
      <protection hidden="1"/>
    </xf>
    <xf numFmtId="2" fontId="0" fillId="5" borderId="36" xfId="2" applyNumberFormat="1" applyFont="1" applyFill="1" applyBorder="1" applyAlignment="1" applyProtection="1">
      <alignment horizontal="center"/>
      <protection hidden="1"/>
    </xf>
    <xf numFmtId="0" fontId="2" fillId="0" borderId="0" xfId="0" applyFont="1" applyAlignment="1" applyProtection="1">
      <alignment horizontal="center" vertical="top" wrapText="1"/>
      <protection hidden="1"/>
    </xf>
    <xf numFmtId="0" fontId="2" fillId="0" borderId="0" xfId="0" applyFont="1" applyAlignment="1" applyProtection="1">
      <alignment horizontal="right" vertical="center"/>
      <protection hidden="1"/>
    </xf>
    <xf numFmtId="0" fontId="4" fillId="0" borderId="10" xfId="0" applyFont="1" applyBorder="1" applyAlignment="1" applyProtection="1">
      <alignment horizontal="center" vertical="center"/>
      <protection hidden="1"/>
    </xf>
    <xf numFmtId="0" fontId="0" fillId="0" borderId="0" xfId="0" applyAlignment="1" applyProtection="1">
      <alignment horizontal="left" vertical="top"/>
      <protection hidden="1"/>
    </xf>
    <xf numFmtId="0" fontId="2" fillId="0" borderId="0" xfId="0" applyFont="1" applyAlignment="1" applyProtection="1">
      <alignment horizontal="right"/>
      <protection hidden="1"/>
    </xf>
    <xf numFmtId="165" fontId="0" fillId="5" borderId="1" xfId="2" applyNumberFormat="1" applyFont="1" applyFill="1" applyAlignment="1" applyProtection="1">
      <alignment horizontal="center"/>
      <protection hidden="1"/>
    </xf>
    <xf numFmtId="1" fontId="0" fillId="8" borderId="0" xfId="0" applyNumberFormat="1" applyFill="1" applyAlignment="1" applyProtection="1">
      <alignment horizontal="center" vertical="center"/>
      <protection hidden="1"/>
    </xf>
    <xf numFmtId="1" fontId="2" fillId="0" borderId="29" xfId="0" applyNumberFormat="1" applyFont="1" applyBorder="1" applyAlignment="1" applyProtection="1">
      <alignment horizontal="center" vertical="center"/>
      <protection hidden="1"/>
    </xf>
    <xf numFmtId="170" fontId="0" fillId="5" borderId="1" xfId="2" applyNumberFormat="1" applyFont="1" applyFill="1" applyAlignment="1" applyProtection="1">
      <alignment horizontal="center"/>
      <protection hidden="1"/>
    </xf>
    <xf numFmtId="1" fontId="0" fillId="0" borderId="0" xfId="0" applyNumberFormat="1" applyAlignment="1" applyProtection="1">
      <alignment horizontal="center" vertical="center"/>
      <protection hidden="1"/>
    </xf>
    <xf numFmtId="0" fontId="2" fillId="0" borderId="29" xfId="0" applyFont="1" applyBorder="1" applyAlignment="1" applyProtection="1">
      <alignment horizontal="center"/>
      <protection hidden="1"/>
    </xf>
    <xf numFmtId="2" fontId="0" fillId="5" borderId="0" xfId="2" applyNumberFormat="1" applyFont="1" applyFill="1" applyBorder="1" applyAlignment="1" applyProtection="1">
      <alignment horizontal="center"/>
      <protection hidden="1"/>
    </xf>
    <xf numFmtId="1" fontId="33" fillId="10" borderId="0" xfId="0" applyNumberFormat="1" applyFont="1" applyFill="1" applyAlignment="1" applyProtection="1">
      <alignment horizontal="center"/>
      <protection hidden="1"/>
    </xf>
    <xf numFmtId="164" fontId="33" fillId="0" borderId="0" xfId="0" applyNumberFormat="1" applyFont="1" applyAlignment="1" applyProtection="1">
      <alignment horizontal="center"/>
      <protection hidden="1"/>
    </xf>
    <xf numFmtId="0" fontId="33" fillId="0" borderId="0" xfId="0" applyFont="1" applyAlignment="1" applyProtection="1">
      <alignment horizontal="center"/>
      <protection hidden="1"/>
    </xf>
    <xf numFmtId="165" fontId="33" fillId="0" borderId="0" xfId="0" applyNumberFormat="1" applyFont="1" applyAlignment="1" applyProtection="1">
      <alignment horizontal="center"/>
      <protection hidden="1"/>
    </xf>
    <xf numFmtId="165" fontId="33" fillId="10" borderId="0" xfId="0" applyNumberFormat="1" applyFont="1" applyFill="1" applyAlignment="1" applyProtection="1">
      <alignment horizontal="center"/>
      <protection hidden="1"/>
    </xf>
    <xf numFmtId="0" fontId="33" fillId="10" borderId="0" xfId="0" applyFont="1" applyFill="1" applyAlignment="1" applyProtection="1">
      <alignment horizontal="center"/>
      <protection hidden="1"/>
    </xf>
    <xf numFmtId="1" fontId="33" fillId="0" borderId="0" xfId="0" applyNumberFormat="1" applyFont="1" applyAlignment="1" applyProtection="1">
      <alignment horizontal="center"/>
      <protection hidden="1"/>
    </xf>
    <xf numFmtId="0" fontId="2" fillId="0" borderId="0" xfId="0" applyFont="1" applyAlignment="1" applyProtection="1">
      <alignment horizontal="center"/>
      <protection hidden="1"/>
    </xf>
    <xf numFmtId="2" fontId="0" fillId="5" borderId="1" xfId="2" applyNumberFormat="1" applyFont="1" applyFill="1" applyAlignment="1" applyProtection="1">
      <alignment horizontal="center"/>
      <protection hidden="1"/>
    </xf>
    <xf numFmtId="2" fontId="0" fillId="4" borderId="1" xfId="2" applyNumberFormat="1" applyFont="1" applyFill="1" applyAlignment="1" applyProtection="1">
      <alignment horizontal="center"/>
      <protection locked="0"/>
    </xf>
    <xf numFmtId="1" fontId="0" fillId="0" borderId="30" xfId="0" applyNumberFormat="1" applyBorder="1" applyAlignment="1" applyProtection="1">
      <alignment horizontal="center" vertical="center"/>
      <protection hidden="1"/>
    </xf>
    <xf numFmtId="1" fontId="0" fillId="0" borderId="0" xfId="0" applyNumberFormat="1" applyAlignment="1" applyProtection="1">
      <alignment horizontal="center"/>
      <protection hidden="1"/>
    </xf>
    <xf numFmtId="0" fontId="2" fillId="0" borderId="30" xfId="0" applyFont="1" applyBorder="1" applyAlignment="1" applyProtection="1">
      <alignment horizontal="center" wrapText="1"/>
      <protection hidden="1"/>
    </xf>
    <xf numFmtId="0" fontId="2" fillId="0" borderId="10" xfId="0" applyFont="1" applyBorder="1" applyAlignment="1" applyProtection="1">
      <alignment horizontal="center" wrapText="1"/>
      <protection hidden="1"/>
    </xf>
    <xf numFmtId="166" fontId="0" fillId="0" borderId="0" xfId="1" applyNumberFormat="1" applyFont="1" applyBorder="1" applyAlignment="1" applyProtection="1">
      <alignment horizontal="center"/>
      <protection hidden="1"/>
    </xf>
    <xf numFmtId="9" fontId="0" fillId="0" borderId="0" xfId="1" applyFont="1" applyFill="1" applyBorder="1" applyAlignment="1" applyProtection="1">
      <alignment horizontal="center"/>
      <protection hidden="1"/>
    </xf>
    <xf numFmtId="166" fontId="0" fillId="0" borderId="0" xfId="1" applyNumberFormat="1" applyFont="1" applyFill="1" applyBorder="1" applyAlignment="1" applyProtection="1">
      <alignment horizontal="center"/>
      <protection hidden="1"/>
    </xf>
    <xf numFmtId="164" fontId="33" fillId="10" borderId="0" xfId="0" applyNumberFormat="1" applyFont="1" applyFill="1" applyAlignment="1" applyProtection="1">
      <alignment horizontal="center"/>
      <protection hidden="1"/>
    </xf>
    <xf numFmtId="1" fontId="34" fillId="10" borderId="0" xfId="0" applyNumberFormat="1" applyFont="1" applyFill="1" applyAlignment="1" applyProtection="1">
      <alignment horizontal="center"/>
      <protection hidden="1"/>
    </xf>
    <xf numFmtId="0" fontId="34" fillId="10" borderId="0" xfId="0" applyFont="1" applyFill="1" applyAlignment="1" applyProtection="1">
      <alignment horizontal="center"/>
      <protection hidden="1"/>
    </xf>
    <xf numFmtId="2" fontId="2" fillId="0" borderId="0" xfId="0" applyNumberFormat="1" applyFont="1" applyAlignment="1" applyProtection="1">
      <alignment horizontal="right" vertical="center" wrapText="1"/>
      <protection hidden="1"/>
    </xf>
    <xf numFmtId="166" fontId="0" fillId="0" borderId="4" xfId="1" applyNumberFormat="1" applyFont="1" applyFill="1" applyBorder="1" applyAlignment="1" applyProtection="1">
      <alignment horizontal="center"/>
      <protection hidden="1"/>
    </xf>
    <xf numFmtId="9" fontId="0" fillId="0" borderId="4" xfId="1" applyFont="1" applyFill="1" applyBorder="1" applyAlignment="1" applyProtection="1">
      <alignment horizontal="center"/>
      <protection hidden="1"/>
    </xf>
    <xf numFmtId="2" fontId="0" fillId="0" borderId="0" xfId="0" applyNumberFormat="1" applyAlignment="1" applyProtection="1">
      <alignment horizontal="center" vertical="center"/>
      <protection hidden="1"/>
    </xf>
    <xf numFmtId="166" fontId="0" fillId="0" borderId="0" xfId="1" applyNumberFormat="1" applyFont="1" applyAlignment="1" applyProtection="1">
      <alignment horizontal="center"/>
      <protection hidden="1"/>
    </xf>
    <xf numFmtId="9" fontId="0" fillId="0" borderId="0" xfId="1" applyFont="1" applyFill="1" applyAlignment="1" applyProtection="1">
      <alignment horizontal="center"/>
      <protection hidden="1"/>
    </xf>
    <xf numFmtId="0" fontId="5" fillId="0" borderId="0" xfId="0" applyFont="1" applyAlignment="1" applyProtection="1">
      <alignment horizontal="center"/>
      <protection hidden="1"/>
    </xf>
    <xf numFmtId="0" fontId="27"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28" fillId="0" borderId="0" xfId="0" applyFont="1" applyAlignment="1" applyProtection="1">
      <alignment horizontal="left" vertical="top" wrapText="1"/>
      <protection hidden="1"/>
    </xf>
    <xf numFmtId="0" fontId="2" fillId="0" borderId="6" xfId="0" applyFont="1" applyBorder="1" applyAlignment="1" applyProtection="1">
      <alignment horizontal="right"/>
      <protection hidden="1"/>
    </xf>
    <xf numFmtId="170" fontId="0" fillId="0" borderId="0" xfId="0" applyNumberFormat="1" applyAlignment="1" applyProtection="1">
      <alignment horizontal="center"/>
      <protection hidden="1"/>
    </xf>
    <xf numFmtId="2" fontId="0" fillId="0" borderId="31" xfId="0" applyNumberFormat="1" applyBorder="1" applyAlignment="1" applyProtection="1">
      <alignment horizontal="center"/>
      <protection hidden="1"/>
    </xf>
    <xf numFmtId="1" fontId="34" fillId="0" borderId="0" xfId="0" applyNumberFormat="1" applyFont="1" applyAlignment="1" applyProtection="1">
      <alignment horizontal="center"/>
      <protection hidden="1"/>
    </xf>
    <xf numFmtId="0" fontId="34" fillId="0" borderId="0" xfId="0" applyFont="1" applyAlignment="1" applyProtection="1">
      <alignment horizontal="center"/>
      <protection hidden="1"/>
    </xf>
    <xf numFmtId="1" fontId="2" fillId="0" borderId="0" xfId="0" applyNumberFormat="1" applyFont="1" applyAlignment="1" applyProtection="1">
      <alignment horizontal="center" vertical="center"/>
      <protection hidden="1"/>
    </xf>
    <xf numFmtId="1" fontId="0" fillId="0" borderId="25" xfId="0" applyNumberFormat="1" applyBorder="1" applyAlignment="1" applyProtection="1">
      <alignment horizontal="center"/>
      <protection hidden="1"/>
    </xf>
    <xf numFmtId="2" fontId="2" fillId="0" borderId="0" xfId="0" applyNumberFormat="1" applyFont="1" applyAlignment="1" applyProtection="1">
      <alignment horizontal="right" wrapText="1"/>
      <protection hidden="1"/>
    </xf>
    <xf numFmtId="1" fontId="0" fillId="0" borderId="4" xfId="0" applyNumberFormat="1" applyBorder="1" applyAlignment="1" applyProtection="1">
      <alignment horizontal="center"/>
      <protection hidden="1"/>
    </xf>
    <xf numFmtId="1" fontId="0" fillId="0" borderId="24" xfId="0" applyNumberFormat="1" applyBorder="1" applyAlignment="1" applyProtection="1">
      <alignment horizontal="center"/>
      <protection hidden="1"/>
    </xf>
    <xf numFmtId="1" fontId="0" fillId="8" borderId="31" xfId="0" applyNumberFormat="1" applyFill="1" applyBorder="1" applyAlignment="1" applyProtection="1">
      <alignment horizontal="center"/>
      <protection hidden="1"/>
    </xf>
    <xf numFmtId="1" fontId="0" fillId="8" borderId="31" xfId="0" applyNumberFormat="1" applyFill="1" applyBorder="1" applyAlignment="1" applyProtection="1">
      <alignment horizontal="center" vertical="center"/>
      <protection hidden="1"/>
    </xf>
    <xf numFmtId="9" fontId="0" fillId="0" borderId="0" xfId="1" applyFont="1" applyAlignment="1" applyProtection="1">
      <alignment horizontal="left" vertical="top" wrapText="1"/>
      <protection hidden="1"/>
    </xf>
    <xf numFmtId="0" fontId="0" fillId="4" borderId="1" xfId="2" applyFont="1" applyFill="1" applyAlignment="1" applyProtection="1">
      <alignment horizontal="left"/>
      <protection locked="0"/>
    </xf>
    <xf numFmtId="0" fontId="2" fillId="0" borderId="0" xfId="0" applyFont="1" applyAlignment="1" applyProtection="1">
      <alignment horizontal="right" wrapText="1"/>
      <protection hidden="1"/>
    </xf>
    <xf numFmtId="0" fontId="0" fillId="0" borderId="4" xfId="0" applyBorder="1" applyAlignment="1" applyProtection="1">
      <alignment horizontal="left" vertical="top" wrapText="1"/>
      <protection hidden="1"/>
    </xf>
    <xf numFmtId="0" fontId="0" fillId="4" borderId="1" xfId="2" applyFont="1" applyFill="1" applyAlignment="1" applyProtection="1">
      <alignment horizontal="left" vertical="center"/>
      <protection locked="0"/>
    </xf>
    <xf numFmtId="1" fontId="0" fillId="0" borderId="32" xfId="0" applyNumberFormat="1" applyBorder="1" applyAlignment="1" applyProtection="1">
      <alignment horizontal="center" vertical="center"/>
      <protection hidden="1"/>
    </xf>
    <xf numFmtId="0" fontId="0" fillId="5" borderId="1" xfId="2" applyFont="1" applyFill="1" applyAlignment="1" applyProtection="1">
      <alignment horizontal="left"/>
      <protection hidden="1"/>
    </xf>
    <xf numFmtId="1" fontId="34" fillId="10" borderId="31" xfId="0" applyNumberFormat="1" applyFont="1" applyFill="1" applyBorder="1" applyAlignment="1" applyProtection="1">
      <alignment horizontal="center"/>
      <protection hidden="1"/>
    </xf>
    <xf numFmtId="0" fontId="34" fillId="10" borderId="31" xfId="0" applyFont="1" applyFill="1" applyBorder="1" applyAlignment="1" applyProtection="1">
      <alignment horizontal="center"/>
      <protection hidden="1"/>
    </xf>
    <xf numFmtId="0" fontId="2" fillId="0" borderId="32" xfId="0" applyFont="1" applyBorder="1" applyAlignment="1" applyProtection="1">
      <alignment horizontal="center" wrapText="1"/>
      <protection hidden="1"/>
    </xf>
    <xf numFmtId="0" fontId="2" fillId="0" borderId="0" xfId="0" applyFont="1" applyAlignment="1" applyProtection="1">
      <alignment horizontal="center" wrapText="1"/>
      <protection hidden="1"/>
    </xf>
    <xf numFmtId="0" fontId="34" fillId="0" borderId="29" xfId="0" applyFont="1" applyBorder="1" applyAlignment="1" applyProtection="1">
      <alignment horizontal="center"/>
      <protection hidden="1"/>
    </xf>
    <xf numFmtId="0" fontId="34" fillId="0" borderId="0" xfId="0" applyFont="1" applyAlignment="1" applyProtection="1">
      <alignment horizontal="center" wrapText="1"/>
      <protection hidden="1"/>
    </xf>
    <xf numFmtId="0" fontId="34" fillId="0" borderId="29" xfId="0" applyFont="1" applyBorder="1" applyAlignment="1" applyProtection="1">
      <alignment horizontal="center" wrapText="1"/>
      <protection hidden="1"/>
    </xf>
    <xf numFmtId="0" fontId="34" fillId="0" borderId="30" xfId="0" applyFont="1" applyBorder="1" applyAlignment="1" applyProtection="1">
      <alignment horizontal="center"/>
      <protection hidden="1"/>
    </xf>
    <xf numFmtId="2" fontId="2" fillId="0" borderId="30" xfId="0" applyNumberFormat="1" applyFont="1" applyBorder="1" applyAlignment="1" applyProtection="1">
      <alignment horizontal="right" vertical="center" wrapText="1"/>
      <protection hidden="1"/>
    </xf>
    <xf numFmtId="1" fontId="33" fillId="0" borderId="30" xfId="0" applyNumberFormat="1" applyFont="1" applyBorder="1" applyAlignment="1" applyProtection="1">
      <alignment horizontal="center"/>
      <protection hidden="1"/>
    </xf>
    <xf numFmtId="0" fontId="0" fillId="4" borderId="1" xfId="2" applyFont="1" applyFill="1" applyAlignment="1" applyProtection="1">
      <alignment horizontal="center" vertical="center"/>
      <protection locked="0"/>
    </xf>
    <xf numFmtId="165" fontId="0" fillId="0" borderId="0" xfId="0" applyNumberFormat="1" applyAlignment="1" applyProtection="1">
      <alignment horizontal="center" vertical="center"/>
      <protection hidden="1"/>
    </xf>
    <xf numFmtId="2" fontId="0" fillId="0" borderId="0" xfId="0" applyNumberFormat="1" applyAlignment="1" applyProtection="1">
      <alignment horizontal="center"/>
      <protection hidden="1"/>
    </xf>
    <xf numFmtId="2" fontId="2" fillId="0" borderId="0" xfId="0" applyNumberFormat="1" applyFont="1" applyAlignment="1" applyProtection="1">
      <alignment horizontal="center"/>
      <protection hidden="1"/>
    </xf>
    <xf numFmtId="0" fontId="0" fillId="0" borderId="8" xfId="0" applyBorder="1" applyAlignment="1" applyProtection="1">
      <alignment horizontal="left"/>
      <protection hidden="1"/>
    </xf>
    <xf numFmtId="0" fontId="2" fillId="0" borderId="29" xfId="0" applyFont="1" applyBorder="1" applyAlignment="1" applyProtection="1">
      <alignment horizontal="center" wrapText="1"/>
      <protection hidden="1"/>
    </xf>
    <xf numFmtId="2" fontId="0" fillId="0" borderId="30" xfId="0" applyNumberFormat="1" applyBorder="1" applyAlignment="1" applyProtection="1">
      <alignment horizontal="center" vertical="center"/>
      <protection hidden="1"/>
    </xf>
    <xf numFmtId="0" fontId="0" fillId="0" borderId="30" xfId="0" applyBorder="1" applyAlignment="1" applyProtection="1">
      <alignment horizontal="center"/>
      <protection hidden="1"/>
    </xf>
    <xf numFmtId="1" fontId="0" fillId="5" borderId="1" xfId="2" applyNumberFormat="1" applyFont="1" applyFill="1" applyAlignment="1" applyProtection="1">
      <alignment horizontal="center"/>
      <protection hidden="1"/>
    </xf>
    <xf numFmtId="1" fontId="0" fillId="4" borderId="33" xfId="2" applyNumberFormat="1" applyFont="1" applyFill="1" applyBorder="1" applyAlignment="1" applyProtection="1">
      <alignment horizontal="center"/>
      <protection locked="0"/>
    </xf>
    <xf numFmtId="0" fontId="2" fillId="0" borderId="4" xfId="0" applyFont="1" applyBorder="1" applyAlignment="1" applyProtection="1">
      <alignment horizontal="center" wrapText="1"/>
      <protection hidden="1"/>
    </xf>
    <xf numFmtId="1" fontId="0" fillId="4" borderId="1" xfId="2" applyNumberFormat="1" applyFont="1" applyFill="1" applyAlignment="1" applyProtection="1">
      <alignment horizontal="center"/>
      <protection locked="0"/>
    </xf>
    <xf numFmtId="0" fontId="0" fillId="4" borderId="1" xfId="2" applyFont="1" applyFill="1" applyAlignment="1" applyProtection="1">
      <alignment horizontal="right"/>
      <protection hidden="1"/>
    </xf>
    <xf numFmtId="0" fontId="0" fillId="4" borderId="18" xfId="2" applyFont="1" applyFill="1" applyBorder="1" applyAlignment="1" applyProtection="1">
      <alignment horizontal="center"/>
      <protection locked="0"/>
    </xf>
    <xf numFmtId="0" fontId="0" fillId="0" borderId="0" xfId="0" applyAlignment="1" applyProtection="1">
      <alignment horizontal="right" wrapText="1"/>
      <protection hidden="1"/>
    </xf>
    <xf numFmtId="0" fontId="4" fillId="0" borderId="9" xfId="0" applyFont="1" applyBorder="1" applyAlignment="1" applyProtection="1">
      <alignment horizontal="center" vertical="center"/>
      <protection hidden="1"/>
    </xf>
    <xf numFmtId="0" fontId="0" fillId="4" borderId="1" xfId="2" applyFont="1" applyFill="1" applyAlignment="1" applyProtection="1">
      <alignment horizontal="left" vertical="center" indent="1"/>
      <protection locked="0"/>
    </xf>
    <xf numFmtId="1" fontId="35" fillId="0" borderId="0" xfId="0" applyNumberFormat="1" applyFont="1" applyAlignment="1" applyProtection="1">
      <alignment horizontal="center"/>
      <protection hidden="1"/>
    </xf>
    <xf numFmtId="0" fontId="35" fillId="0" borderId="0" xfId="0" applyFont="1" applyAlignment="1" applyProtection="1">
      <alignment horizontal="center"/>
      <protection hidden="1"/>
    </xf>
    <xf numFmtId="0" fontId="0" fillId="0" borderId="29" xfId="0" applyBorder="1" applyAlignment="1" applyProtection="1">
      <alignment horizontal="center" wrapText="1"/>
      <protection hidden="1"/>
    </xf>
    <xf numFmtId="0" fontId="0" fillId="0" borderId="0" xfId="0" applyAlignment="1" applyProtection="1">
      <alignment horizontal="center" vertical="center" wrapText="1"/>
      <protection hidden="1"/>
    </xf>
    <xf numFmtId="0" fontId="0" fillId="0" borderId="29" xfId="0" applyBorder="1" applyAlignment="1" applyProtection="1">
      <alignment horizontal="center" vertical="center" wrapText="1"/>
      <protection hidden="1"/>
    </xf>
    <xf numFmtId="0" fontId="0" fillId="4" borderId="11" xfId="2" applyFont="1" applyFill="1" applyBorder="1" applyAlignment="1" applyProtection="1">
      <alignment horizontal="left" vertical="center" indent="1"/>
      <protection locked="0"/>
    </xf>
    <xf numFmtId="0" fontId="0" fillId="4" borderId="12" xfId="2" applyFont="1" applyFill="1" applyBorder="1" applyAlignment="1" applyProtection="1">
      <alignment horizontal="left" vertical="center" indent="1"/>
      <protection locked="0"/>
    </xf>
    <xf numFmtId="0" fontId="0" fillId="4" borderId="13" xfId="2" applyFont="1" applyFill="1" applyBorder="1" applyAlignment="1" applyProtection="1">
      <alignment horizontal="left" vertical="center" indent="1"/>
      <protection locked="0"/>
    </xf>
    <xf numFmtId="0" fontId="2" fillId="0" borderId="14" xfId="0" applyFont="1" applyBorder="1" applyAlignment="1" applyProtection="1">
      <alignment horizontal="right" vertical="center"/>
      <protection hidden="1"/>
    </xf>
    <xf numFmtId="165" fontId="35" fillId="0" borderId="0" xfId="0" applyNumberFormat="1" applyFont="1" applyAlignment="1" applyProtection="1">
      <alignment horizontal="center"/>
      <protection hidden="1"/>
    </xf>
    <xf numFmtId="0" fontId="35" fillId="0" borderId="0" xfId="0" applyFont="1" applyAlignment="1" applyProtection="1">
      <alignment horizontal="center" wrapText="1"/>
      <protection hidden="1"/>
    </xf>
    <xf numFmtId="10" fontId="33" fillId="10" borderId="0" xfId="1" applyNumberFormat="1" applyFont="1" applyFill="1" applyAlignment="1" applyProtection="1">
      <alignment horizontal="center"/>
      <protection hidden="1"/>
    </xf>
    <xf numFmtId="10" fontId="33" fillId="0" borderId="0" xfId="1" applyNumberFormat="1" applyFont="1" applyFill="1" applyAlignment="1" applyProtection="1">
      <alignment horizontal="center"/>
      <protection hidden="1"/>
    </xf>
    <xf numFmtId="0" fontId="0" fillId="6" borderId="0" xfId="0" applyFill="1" applyAlignment="1" applyProtection="1">
      <alignment horizontal="center" wrapText="1"/>
      <protection hidden="1"/>
    </xf>
    <xf numFmtId="165" fontId="33" fillId="10" borderId="31" xfId="0" applyNumberFormat="1" applyFont="1" applyFill="1" applyBorder="1" applyAlignment="1" applyProtection="1">
      <alignment horizontal="center"/>
      <protection hidden="1"/>
    </xf>
    <xf numFmtId="9" fontId="35" fillId="0" borderId="0" xfId="0" applyNumberFormat="1" applyFont="1" applyAlignment="1" applyProtection="1">
      <alignment horizontal="center"/>
      <protection hidden="1"/>
    </xf>
    <xf numFmtId="0" fontId="35" fillId="0" borderId="0" xfId="0" applyFont="1" applyAlignment="1" applyProtection="1">
      <alignment horizontal="center" vertical="center" wrapText="1"/>
      <protection hidden="1"/>
    </xf>
    <xf numFmtId="0" fontId="0" fillId="0" borderId="0" xfId="0" applyAlignment="1" applyProtection="1">
      <alignment horizontal="right"/>
      <protection hidden="1"/>
    </xf>
    <xf numFmtId="10" fontId="0" fillId="0" borderId="32" xfId="1" applyNumberFormat="1" applyFont="1" applyBorder="1" applyAlignment="1" applyProtection="1">
      <alignment horizontal="center" vertical="center"/>
      <protection hidden="1"/>
    </xf>
    <xf numFmtId="10" fontId="0" fillId="0" borderId="0" xfId="1" applyNumberFormat="1" applyFont="1" applyBorder="1" applyAlignment="1" applyProtection="1">
      <alignment horizontal="center" vertical="center"/>
      <protection hidden="1"/>
    </xf>
    <xf numFmtId="0" fontId="34" fillId="0" borderId="4" xfId="0" applyFont="1" applyBorder="1" applyAlignment="1" applyProtection="1">
      <alignment horizontal="center" wrapText="1"/>
      <protection hidden="1"/>
    </xf>
    <xf numFmtId="9" fontId="33" fillId="0" borderId="30" xfId="1" applyFont="1" applyBorder="1" applyAlignment="1" applyProtection="1">
      <alignment horizontal="center"/>
      <protection hidden="1"/>
    </xf>
    <xf numFmtId="0" fontId="4" fillId="0" borderId="0" xfId="0" applyFont="1" applyAlignment="1" applyProtection="1">
      <alignment horizontal="center" vertical="center" wrapText="1"/>
      <protection hidden="1"/>
    </xf>
    <xf numFmtId="0" fontId="42" fillId="0" borderId="0" xfId="0" applyFont="1" applyAlignment="1" applyProtection="1">
      <alignment horizontal="center" vertical="top" wrapText="1"/>
      <protection hidden="1"/>
    </xf>
    <xf numFmtId="0" fontId="0" fillId="0" borderId="0" xfId="0" applyAlignment="1">
      <alignment horizontal="center" vertical="center"/>
    </xf>
    <xf numFmtId="0" fontId="28" fillId="0" borderId="0" xfId="0" applyFont="1" applyAlignment="1">
      <alignment horizontal="left" vertical="top" wrapText="1"/>
    </xf>
    <xf numFmtId="0" fontId="25" fillId="0" borderId="0" xfId="0" applyFont="1" applyAlignment="1" applyProtection="1">
      <alignment horizontal="center" vertical="center" wrapText="1"/>
      <protection hidden="1"/>
    </xf>
    <xf numFmtId="165" fontId="0" fillId="0" borderId="30" xfId="0" applyNumberFormat="1" applyBorder="1" applyAlignment="1" applyProtection="1">
      <alignment horizontal="center"/>
      <protection hidden="1"/>
    </xf>
    <xf numFmtId="165" fontId="0" fillId="0" borderId="0" xfId="0" applyNumberFormat="1" applyAlignment="1" applyProtection="1">
      <alignment horizontal="center"/>
      <protection hidden="1"/>
    </xf>
    <xf numFmtId="0" fontId="0" fillId="4" borderId="1" xfId="2" applyFont="1" applyFill="1" applyAlignment="1" applyProtection="1">
      <alignment horizontal="right"/>
      <protection locked="0"/>
    </xf>
    <xf numFmtId="1" fontId="0" fillId="5" borderId="0" xfId="0" applyNumberFormat="1" applyFill="1" applyAlignment="1" applyProtection="1">
      <alignment horizontal="center"/>
      <protection hidden="1"/>
    </xf>
    <xf numFmtId="0" fontId="34" fillId="5" borderId="0" xfId="0" applyFont="1" applyFill="1" applyAlignment="1" applyProtection="1">
      <alignment horizontal="center"/>
      <protection hidden="1"/>
    </xf>
    <xf numFmtId="9" fontId="33" fillId="0" borderId="0" xfId="1" applyFont="1" applyAlignment="1" applyProtection="1">
      <alignment horizontal="center"/>
      <protection hidden="1"/>
    </xf>
    <xf numFmtId="165" fontId="33" fillId="5" borderId="0" xfId="0" applyNumberFormat="1" applyFont="1" applyFill="1" applyAlignment="1" applyProtection="1">
      <alignment horizontal="center"/>
      <protection hidden="1"/>
    </xf>
    <xf numFmtId="0" fontId="33" fillId="5" borderId="0" xfId="0" applyFont="1" applyFill="1" applyAlignment="1" applyProtection="1">
      <alignment horizontal="center"/>
      <protection hidden="1"/>
    </xf>
    <xf numFmtId="0" fontId="33" fillId="10" borderId="31" xfId="0" applyFont="1" applyFill="1" applyBorder="1" applyAlignment="1" applyProtection="1">
      <alignment horizontal="center"/>
      <protection hidden="1"/>
    </xf>
    <xf numFmtId="10" fontId="33" fillId="0" borderId="0" xfId="1" applyNumberFormat="1" applyFont="1" applyAlignment="1" applyProtection="1">
      <alignment horizontal="center"/>
      <protection hidden="1"/>
    </xf>
    <xf numFmtId="165" fontId="0" fillId="0" borderId="32" xfId="0" applyNumberFormat="1" applyBorder="1" applyAlignment="1" applyProtection="1">
      <alignment horizontal="center" vertical="center"/>
      <protection hidden="1"/>
    </xf>
    <xf numFmtId="10" fontId="1" fillId="0" borderId="32" xfId="1" applyNumberFormat="1" applyFont="1" applyBorder="1" applyAlignment="1" applyProtection="1">
      <alignment horizontal="center" vertical="center"/>
      <protection hidden="1"/>
    </xf>
    <xf numFmtId="10" fontId="1" fillId="0" borderId="0" xfId="1" applyNumberFormat="1" applyFont="1" applyAlignment="1" applyProtection="1">
      <alignment horizontal="center" vertical="center"/>
      <protection hidden="1"/>
    </xf>
    <xf numFmtId="10" fontId="33" fillId="5" borderId="0" xfId="1" applyNumberFormat="1" applyFont="1" applyFill="1" applyAlignment="1" applyProtection="1">
      <alignment horizontal="center"/>
      <protection hidden="1"/>
    </xf>
    <xf numFmtId="10" fontId="33" fillId="10" borderId="31" xfId="1" applyNumberFormat="1" applyFont="1" applyFill="1" applyBorder="1" applyAlignment="1" applyProtection="1">
      <alignment horizontal="center"/>
      <protection hidden="1"/>
    </xf>
    <xf numFmtId="0" fontId="2" fillId="0" borderId="40" xfId="0" applyFont="1" applyBorder="1" applyAlignment="1" applyProtection="1">
      <alignment horizontal="center"/>
      <protection hidden="1"/>
    </xf>
    <xf numFmtId="1" fontId="1" fillId="0" borderId="32" xfId="0" applyNumberFormat="1" applyFont="1" applyBorder="1" applyAlignment="1" applyProtection="1">
      <alignment horizontal="center" vertical="center"/>
      <protection hidden="1"/>
    </xf>
    <xf numFmtId="1" fontId="1" fillId="0" borderId="0" xfId="0" applyNumberFormat="1" applyFont="1" applyAlignment="1" applyProtection="1">
      <alignment horizontal="center" vertical="center"/>
      <protection hidden="1"/>
    </xf>
    <xf numFmtId="0" fontId="0" fillId="0" borderId="0" xfId="0" applyAlignment="1" applyProtection="1">
      <alignment horizontal="left" vertical="top" wrapText="1"/>
      <protection locked="0"/>
    </xf>
    <xf numFmtId="1" fontId="0" fillId="0" borderId="26" xfId="0" applyNumberFormat="1" applyBorder="1" applyAlignment="1" applyProtection="1">
      <alignment horizontal="center" vertical="center"/>
      <protection hidden="1"/>
    </xf>
    <xf numFmtId="0" fontId="0" fillId="0" borderId="26" xfId="0" applyBorder="1" applyAlignment="1" applyProtection="1">
      <alignment horizontal="center" vertical="center"/>
      <protection hidden="1"/>
    </xf>
    <xf numFmtId="165" fontId="1" fillId="0" borderId="27" xfId="4" applyNumberFormat="1" applyFill="1" applyBorder="1" applyAlignment="1" applyProtection="1">
      <alignment horizontal="center" vertical="center"/>
      <protection hidden="1"/>
    </xf>
    <xf numFmtId="165" fontId="1" fillId="0" borderId="26" xfId="4" applyNumberFormat="1" applyFill="1" applyBorder="1" applyAlignment="1" applyProtection="1">
      <alignment horizontal="center" vertical="center"/>
      <protection hidden="1"/>
    </xf>
    <xf numFmtId="0" fontId="2" fillId="0" borderId="26" xfId="3" applyBorder="1" applyAlignment="1" applyProtection="1">
      <alignment horizontal="center" vertical="center"/>
      <protection hidden="1"/>
    </xf>
    <xf numFmtId="165" fontId="2" fillId="0" borderId="26" xfId="3" applyNumberFormat="1" applyBorder="1" applyAlignment="1" applyProtection="1">
      <alignment horizontal="center" vertical="center"/>
      <protection hidden="1"/>
    </xf>
    <xf numFmtId="2" fontId="0" fillId="5" borderId="1" xfId="2" applyNumberFormat="1" applyFont="1" applyFill="1" applyAlignment="1" applyProtection="1">
      <alignment horizontal="center" vertical="center"/>
      <protection hidden="1"/>
    </xf>
    <xf numFmtId="0" fontId="0" fillId="5" borderId="1" xfId="2" applyFont="1" applyFill="1" applyAlignment="1" applyProtection="1">
      <alignment horizontal="center" vertical="center"/>
      <protection hidden="1"/>
    </xf>
    <xf numFmtId="1" fontId="0" fillId="0" borderId="27" xfId="0" applyNumberFormat="1" applyBorder="1" applyAlignment="1" applyProtection="1">
      <alignment horizontal="center" vertical="center"/>
      <protection hidden="1"/>
    </xf>
    <xf numFmtId="0" fontId="4" fillId="0" borderId="23" xfId="0" applyFont="1" applyBorder="1" applyAlignment="1" applyProtection="1">
      <alignment horizontal="center"/>
      <protection hidden="1"/>
    </xf>
    <xf numFmtId="0" fontId="4" fillId="0" borderId="0" xfId="4" applyFont="1" applyFill="1" applyBorder="1" applyAlignment="1" applyProtection="1">
      <alignment horizontal="center"/>
      <protection hidden="1"/>
    </xf>
    <xf numFmtId="0" fontId="2" fillId="0" borderId="23" xfId="0" applyFont="1" applyBorder="1" applyAlignment="1" applyProtection="1">
      <alignment horizontal="center"/>
      <protection hidden="1"/>
    </xf>
    <xf numFmtId="0" fontId="2" fillId="0" borderId="22" xfId="0" applyFont="1" applyBorder="1" applyAlignment="1" applyProtection="1">
      <alignment horizontal="center"/>
      <protection hidden="1"/>
    </xf>
    <xf numFmtId="2" fontId="0" fillId="0" borderId="0" xfId="0" applyNumberFormat="1" applyAlignment="1" applyProtection="1">
      <alignment horizontal="left" indent="1"/>
      <protection hidden="1"/>
    </xf>
    <xf numFmtId="0" fontId="0" fillId="0" borderId="0" xfId="0" applyAlignment="1" applyProtection="1">
      <alignment horizontal="left" indent="1"/>
      <protection hidden="1"/>
    </xf>
    <xf numFmtId="165" fontId="0" fillId="0" borderId="4" xfId="0" applyNumberFormat="1" applyBorder="1" applyAlignment="1" applyProtection="1">
      <alignment horizontal="center"/>
      <protection hidden="1"/>
    </xf>
    <xf numFmtId="10" fontId="0" fillId="0" borderId="4" xfId="1" applyNumberFormat="1" applyFont="1" applyBorder="1" applyAlignment="1" applyProtection="1">
      <alignment horizontal="center"/>
      <protection hidden="1"/>
    </xf>
    <xf numFmtId="165" fontId="11" fillId="0" borderId="0" xfId="0" applyNumberFormat="1" applyFont="1" applyAlignment="1" applyProtection="1">
      <alignment horizontal="center"/>
      <protection hidden="1"/>
    </xf>
    <xf numFmtId="166" fontId="0" fillId="0" borderId="0" xfId="1" applyNumberFormat="1" applyFont="1" applyAlignment="1" applyProtection="1">
      <alignment horizontal="center" vertical="center"/>
      <protection hidden="1"/>
    </xf>
    <xf numFmtId="165" fontId="0" fillId="0" borderId="10" xfId="0" applyNumberFormat="1" applyBorder="1" applyAlignment="1" applyProtection="1">
      <alignment horizontal="center" vertical="center"/>
      <protection hidden="1"/>
    </xf>
    <xf numFmtId="165" fontId="11" fillId="0" borderId="10" xfId="0" applyNumberFormat="1" applyFont="1" applyBorder="1" applyAlignment="1" applyProtection="1">
      <alignment horizontal="center"/>
      <protection hidden="1"/>
    </xf>
    <xf numFmtId="1" fontId="0" fillId="0" borderId="4" xfId="0" applyNumberFormat="1" applyBorder="1" applyAlignment="1" applyProtection="1">
      <alignment horizontal="center" vertical="center"/>
      <protection hidden="1"/>
    </xf>
    <xf numFmtId="165" fontId="0" fillId="0" borderId="4" xfId="0" applyNumberFormat="1" applyBorder="1" applyAlignment="1" applyProtection="1">
      <alignment horizontal="center" vertical="center"/>
      <protection hidden="1"/>
    </xf>
    <xf numFmtId="165" fontId="11" fillId="0" borderId="4" xfId="0" applyNumberFormat="1" applyFont="1" applyBorder="1" applyAlignment="1" applyProtection="1">
      <alignment horizontal="center"/>
      <protection hidden="1"/>
    </xf>
    <xf numFmtId="9" fontId="0" fillId="0" borderId="4" xfId="1" applyFont="1" applyBorder="1" applyAlignment="1" applyProtection="1">
      <alignment horizontal="center" vertical="center"/>
      <protection hidden="1"/>
    </xf>
    <xf numFmtId="0" fontId="2" fillId="0" borderId="0" xfId="0" applyFont="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4" fillId="0" borderId="0" xfId="0" applyFont="1" applyAlignment="1" applyProtection="1">
      <alignment horizontal="center"/>
      <protection hidden="1"/>
    </xf>
    <xf numFmtId="0" fontId="0" fillId="0" borderId="0" xfId="0" applyAlignment="1" applyProtection="1">
      <alignment horizontal="right" vertical="center"/>
      <protection hidden="1"/>
    </xf>
    <xf numFmtId="0" fontId="0" fillId="0" borderId="14" xfId="0" applyBorder="1" applyAlignment="1" applyProtection="1">
      <alignment horizontal="right" vertical="center"/>
      <protection hidden="1"/>
    </xf>
    <xf numFmtId="165" fontId="0" fillId="4" borderId="18" xfId="2" applyNumberFormat="1" applyFont="1" applyFill="1" applyBorder="1" applyAlignment="1" applyProtection="1">
      <alignment horizontal="center" vertical="center"/>
      <protection locked="0"/>
    </xf>
    <xf numFmtId="0" fontId="0" fillId="0" borderId="0" xfId="0" applyAlignment="1" applyProtection="1">
      <alignment horizontal="right" vertical="center" wrapText="1"/>
      <protection hidden="1"/>
    </xf>
    <xf numFmtId="167" fontId="0" fillId="0" borderId="4" xfId="0" applyNumberFormat="1" applyBorder="1" applyAlignment="1" applyProtection="1">
      <alignment horizontal="center"/>
      <protection hidden="1"/>
    </xf>
    <xf numFmtId="0" fontId="0" fillId="4" borderId="18" xfId="2" applyFont="1" applyFill="1" applyBorder="1" applyAlignment="1" applyProtection="1">
      <alignment horizontal="center" vertical="center"/>
      <protection locked="0"/>
    </xf>
    <xf numFmtId="0" fontId="2" fillId="0" borderId="6" xfId="0" applyFont="1" applyBorder="1" applyAlignment="1" applyProtection="1">
      <alignment horizontal="right" wrapText="1"/>
      <protection hidden="1"/>
    </xf>
    <xf numFmtId="0" fontId="2" fillId="0" borderId="14" xfId="0" applyFont="1" applyBorder="1" applyAlignment="1" applyProtection="1">
      <alignment horizontal="right" wrapText="1"/>
      <protection hidden="1"/>
    </xf>
    <xf numFmtId="1" fontId="1" fillId="4" borderId="15" xfId="2" applyNumberFormat="1" applyFont="1" applyFill="1" applyBorder="1" applyAlignment="1" applyProtection="1">
      <alignment horizontal="center" vertical="center"/>
      <protection locked="0"/>
    </xf>
    <xf numFmtId="1" fontId="1" fillId="4" borderId="16" xfId="2" applyNumberFormat="1" applyFont="1" applyFill="1" applyBorder="1" applyAlignment="1" applyProtection="1">
      <alignment horizontal="center" vertical="center"/>
      <protection locked="0"/>
    </xf>
    <xf numFmtId="1" fontId="1" fillId="4" borderId="17" xfId="2" applyNumberFormat="1" applyFont="1" applyFill="1" applyBorder="1" applyAlignment="1" applyProtection="1">
      <alignment horizontal="center" vertical="center"/>
      <protection locked="0"/>
    </xf>
    <xf numFmtId="164" fontId="0" fillId="0" borderId="0" xfId="0" applyNumberFormat="1" applyAlignment="1" applyProtection="1">
      <alignment horizontal="center"/>
      <protection hidden="1"/>
    </xf>
    <xf numFmtId="0" fontId="2" fillId="0" borderId="14" xfId="0" applyFont="1" applyBorder="1" applyAlignment="1" applyProtection="1">
      <alignment horizontal="right"/>
      <protection hidden="1"/>
    </xf>
    <xf numFmtId="2" fontId="1" fillId="4" borderId="15" xfId="2" applyNumberFormat="1" applyFont="1" applyFill="1" applyBorder="1" applyAlignment="1" applyProtection="1">
      <alignment horizontal="center" vertical="center"/>
      <protection locked="0"/>
    </xf>
    <xf numFmtId="2" fontId="1" fillId="4" borderId="16" xfId="2" applyNumberFormat="1" applyFont="1" applyFill="1" applyBorder="1" applyAlignment="1" applyProtection="1">
      <alignment horizontal="center" vertical="center"/>
      <protection locked="0"/>
    </xf>
    <xf numFmtId="2" fontId="1" fillId="4" borderId="17" xfId="2" applyNumberFormat="1" applyFont="1" applyFill="1" applyBorder="1" applyAlignment="1" applyProtection="1">
      <alignment horizontal="center" vertical="center"/>
      <protection locked="0"/>
    </xf>
    <xf numFmtId="0" fontId="0" fillId="0" borderId="0" xfId="0" applyAlignment="1" applyProtection="1">
      <alignment horizontal="left" vertical="center"/>
      <protection hidden="1"/>
    </xf>
    <xf numFmtId="1" fontId="11" fillId="0" borderId="0" xfId="0" applyNumberFormat="1" applyFont="1" applyAlignment="1" applyProtection="1">
      <alignment horizontal="center"/>
      <protection hidden="1"/>
    </xf>
    <xf numFmtId="166" fontId="0" fillId="0" borderId="0" xfId="1" applyNumberFormat="1" applyFont="1" applyFill="1" applyAlignment="1" applyProtection="1">
      <alignment horizontal="center"/>
      <protection hidden="1"/>
    </xf>
    <xf numFmtId="166" fontId="0" fillId="0" borderId="4" xfId="0" applyNumberFormat="1" applyBorder="1" applyAlignment="1" applyProtection="1">
      <alignment horizontal="center"/>
      <protection hidden="1"/>
    </xf>
    <xf numFmtId="2" fontId="0" fillId="4" borderId="1" xfId="2" applyNumberFormat="1" applyFont="1" applyFill="1" applyAlignment="1" applyProtection="1">
      <alignment horizontal="center" vertical="center"/>
      <protection locked="0"/>
    </xf>
    <xf numFmtId="0" fontId="2" fillId="0" borderId="4" xfId="0" applyFont="1" applyBorder="1" applyAlignment="1" applyProtection="1">
      <alignment horizontal="center"/>
      <protection hidden="1"/>
    </xf>
    <xf numFmtId="166" fontId="0" fillId="0" borderId="0" xfId="0" applyNumberFormat="1" applyAlignment="1" applyProtection="1">
      <alignment horizontal="center"/>
      <protection hidden="1"/>
    </xf>
    <xf numFmtId="2" fontId="0" fillId="0" borderId="4" xfId="0" applyNumberFormat="1" applyBorder="1" applyAlignment="1" applyProtection="1">
      <alignment horizontal="center"/>
      <protection hidden="1"/>
    </xf>
    <xf numFmtId="1" fontId="11" fillId="0" borderId="10" xfId="0" applyNumberFormat="1" applyFont="1" applyBorder="1" applyAlignment="1" applyProtection="1">
      <alignment horizontal="center"/>
      <protection hidden="1"/>
    </xf>
    <xf numFmtId="1" fontId="11" fillId="0" borderId="4" xfId="0" applyNumberFormat="1" applyFont="1" applyBorder="1" applyAlignment="1" applyProtection="1">
      <alignment horizontal="center"/>
      <protection hidden="1"/>
    </xf>
    <xf numFmtId="165" fontId="1" fillId="4" borderId="19" xfId="2" applyNumberFormat="1" applyFont="1" applyFill="1" applyBorder="1" applyAlignment="1" applyProtection="1">
      <alignment horizontal="center" vertical="center"/>
      <protection locked="0"/>
    </xf>
    <xf numFmtId="165" fontId="1" fillId="4" borderId="20" xfId="2" applyNumberFormat="1" applyFont="1" applyFill="1" applyBorder="1" applyAlignment="1" applyProtection="1">
      <alignment horizontal="center" vertical="center"/>
      <protection locked="0"/>
    </xf>
    <xf numFmtId="165" fontId="1" fillId="4" borderId="21" xfId="2" applyNumberFormat="1" applyFont="1" applyFill="1" applyBorder="1" applyAlignment="1" applyProtection="1">
      <alignment horizontal="center" vertical="center"/>
      <protection locked="0"/>
    </xf>
    <xf numFmtId="165" fontId="1" fillId="4" borderId="11" xfId="2" applyNumberFormat="1" applyFont="1" applyFill="1" applyBorder="1" applyAlignment="1" applyProtection="1">
      <alignment horizontal="center" vertical="center"/>
      <protection locked="0"/>
    </xf>
    <xf numFmtId="165" fontId="1" fillId="4" borderId="12" xfId="2" applyNumberFormat="1" applyFont="1" applyFill="1" applyBorder="1" applyAlignment="1" applyProtection="1">
      <alignment horizontal="center" vertical="center"/>
      <protection locked="0"/>
    </xf>
    <xf numFmtId="165" fontId="1" fillId="4" borderId="13" xfId="2" applyNumberFormat="1" applyFont="1" applyFill="1" applyBorder="1" applyAlignment="1" applyProtection="1">
      <alignment horizontal="center" vertical="center"/>
      <protection locked="0"/>
    </xf>
    <xf numFmtId="0" fontId="0" fillId="0" borderId="0" xfId="0" applyAlignment="1">
      <alignment horizontal="center" wrapText="1"/>
    </xf>
    <xf numFmtId="0" fontId="0" fillId="0" borderId="8" xfId="0" applyBorder="1" applyAlignment="1" applyProtection="1">
      <alignment horizontal="left" vertical="top" wrapText="1"/>
      <protection hidden="1"/>
    </xf>
    <xf numFmtId="0" fontId="0" fillId="0" borderId="28" xfId="0" applyBorder="1" applyAlignment="1" applyProtection="1">
      <alignment horizontal="center" vertical="center"/>
      <protection hidden="1"/>
    </xf>
    <xf numFmtId="1" fontId="1" fillId="0" borderId="10" xfId="4" applyNumberFormat="1" applyFill="1" applyBorder="1" applyAlignment="1" applyProtection="1">
      <alignment horizontal="center" vertical="center"/>
      <protection hidden="1"/>
    </xf>
    <xf numFmtId="0" fontId="1" fillId="0" borderId="10" xfId="4" applyFill="1" applyBorder="1" applyAlignment="1" applyProtection="1">
      <alignment horizontal="center" vertical="center"/>
      <protection hidden="1"/>
    </xf>
    <xf numFmtId="1" fontId="2" fillId="0" borderId="26" xfId="3" applyNumberFormat="1" applyBorder="1" applyAlignment="1" applyProtection="1">
      <alignment horizontal="center" vertical="center"/>
      <protection hidden="1"/>
    </xf>
    <xf numFmtId="1" fontId="1" fillId="0" borderId="26" xfId="4" applyNumberFormat="1" applyFill="1" applyBorder="1" applyAlignment="1" applyProtection="1">
      <alignment horizontal="center" vertical="center"/>
      <protection hidden="1"/>
    </xf>
    <xf numFmtId="0" fontId="1" fillId="0" borderId="26" xfId="4" applyFill="1" applyBorder="1" applyAlignment="1" applyProtection="1">
      <alignment horizontal="center" vertical="center"/>
      <protection hidden="1"/>
    </xf>
    <xf numFmtId="0" fontId="1" fillId="0" borderId="28" xfId="4" applyFill="1" applyBorder="1" applyAlignment="1" applyProtection="1">
      <alignment horizontal="center" vertical="center"/>
      <protection hidden="1"/>
    </xf>
    <xf numFmtId="166" fontId="11" fillId="0" borderId="0" xfId="1" applyNumberFormat="1" applyFont="1" applyAlignment="1" applyProtection="1">
      <alignment horizontal="center" vertical="center"/>
      <protection hidden="1"/>
    </xf>
    <xf numFmtId="165" fontId="11" fillId="0" borderId="0" xfId="0" applyNumberFormat="1" applyFont="1" applyAlignment="1" applyProtection="1">
      <alignment horizontal="center" vertical="center"/>
      <protection hidden="1"/>
    </xf>
    <xf numFmtId="165" fontId="11" fillId="0" borderId="4" xfId="0" applyNumberFormat="1" applyFont="1" applyBorder="1" applyAlignment="1" applyProtection="1">
      <alignment horizontal="center" vertical="center"/>
      <protection hidden="1"/>
    </xf>
    <xf numFmtId="0" fontId="2" fillId="0" borderId="14" xfId="0" applyFont="1" applyBorder="1" applyAlignment="1" applyProtection="1">
      <alignment horizontal="center"/>
      <protection hidden="1"/>
    </xf>
    <xf numFmtId="2" fontId="1" fillId="4" borderId="19" xfId="2" applyNumberFormat="1" applyFont="1" applyFill="1" applyBorder="1" applyAlignment="1" applyProtection="1">
      <alignment horizontal="center" vertical="center"/>
      <protection locked="0"/>
    </xf>
    <xf numFmtId="2" fontId="1" fillId="4" borderId="20" xfId="2" applyNumberFormat="1" applyFont="1" applyFill="1" applyBorder="1" applyAlignment="1" applyProtection="1">
      <alignment horizontal="center" vertical="center"/>
      <protection locked="0"/>
    </xf>
    <xf numFmtId="2" fontId="1" fillId="4" borderId="21" xfId="2" applyNumberFormat="1" applyFont="1" applyFill="1" applyBorder="1" applyAlignment="1" applyProtection="1">
      <alignment horizontal="center" vertical="center"/>
      <protection locked="0"/>
    </xf>
    <xf numFmtId="164" fontId="0" fillId="0" borderId="0" xfId="0" applyNumberFormat="1" applyAlignment="1" applyProtection="1">
      <alignment horizontal="left"/>
      <protection hidden="1"/>
    </xf>
    <xf numFmtId="1" fontId="11" fillId="0" borderId="0" xfId="0" applyNumberFormat="1" applyFont="1" applyAlignment="1" applyProtection="1">
      <alignment horizontal="center" vertical="center"/>
      <protection hidden="1"/>
    </xf>
    <xf numFmtId="165" fontId="0" fillId="0" borderId="0" xfId="0" applyNumberFormat="1" applyAlignment="1" applyProtection="1">
      <alignment horizontal="center" wrapText="1"/>
      <protection hidden="1"/>
    </xf>
    <xf numFmtId="0" fontId="23" fillId="0" borderId="10" xfId="0" applyFont="1" applyBorder="1" applyAlignment="1" applyProtection="1">
      <alignment horizontal="center" vertical="center"/>
      <protection hidden="1"/>
    </xf>
    <xf numFmtId="0" fontId="0" fillId="4" borderId="1" xfId="2" applyFont="1" applyFill="1" applyAlignment="1" applyProtection="1">
      <alignment horizontal="center"/>
      <protection hidden="1"/>
    </xf>
    <xf numFmtId="0" fontId="0" fillId="4" borderId="11" xfId="2" applyFont="1" applyFill="1" applyBorder="1" applyAlignment="1" applyProtection="1">
      <alignment horizontal="center"/>
      <protection hidden="1"/>
    </xf>
    <xf numFmtId="0" fontId="0" fillId="4" borderId="12" xfId="2" applyFont="1" applyFill="1" applyBorder="1" applyAlignment="1" applyProtection="1">
      <alignment horizontal="center"/>
      <protection hidden="1"/>
    </xf>
    <xf numFmtId="0" fontId="0" fillId="4" borderId="13" xfId="2" applyFont="1" applyFill="1" applyBorder="1" applyAlignment="1" applyProtection="1">
      <alignment horizontal="center"/>
      <protection hidden="1"/>
    </xf>
    <xf numFmtId="164" fontId="0" fillId="5" borderId="1" xfId="2" applyNumberFormat="1" applyFont="1" applyFill="1" applyAlignment="1" applyProtection="1">
      <alignment horizontal="center"/>
      <protection hidden="1"/>
    </xf>
    <xf numFmtId="0" fontId="14" fillId="0" borderId="0" xfId="0" applyFont="1" applyAlignment="1" applyProtection="1">
      <alignment horizontal="center" vertical="center" wrapText="1"/>
      <protection hidden="1"/>
    </xf>
    <xf numFmtId="167" fontId="0" fillId="5" borderId="1" xfId="2" applyNumberFormat="1" applyFont="1" applyFill="1" applyAlignment="1" applyProtection="1">
      <alignment horizontal="center"/>
      <protection hidden="1"/>
    </xf>
    <xf numFmtId="2" fontId="0" fillId="4" borderId="11" xfId="2" applyNumberFormat="1" applyFont="1" applyFill="1" applyBorder="1" applyAlignment="1" applyProtection="1">
      <alignment horizontal="center"/>
      <protection locked="0"/>
    </xf>
    <xf numFmtId="2" fontId="0" fillId="4" borderId="12" xfId="2" applyNumberFormat="1" applyFont="1" applyFill="1" applyBorder="1" applyAlignment="1" applyProtection="1">
      <alignment horizontal="center"/>
      <protection locked="0"/>
    </xf>
    <xf numFmtId="2" fontId="0" fillId="4" borderId="13" xfId="2" applyNumberFormat="1" applyFont="1" applyFill="1" applyBorder="1" applyAlignment="1" applyProtection="1">
      <alignment horizontal="center"/>
      <protection locked="0"/>
    </xf>
    <xf numFmtId="0" fontId="0" fillId="4" borderId="11" xfId="2" applyFont="1" applyFill="1" applyBorder="1" applyAlignment="1" applyProtection="1">
      <alignment horizontal="center"/>
      <protection locked="0"/>
    </xf>
    <xf numFmtId="0" fontId="0" fillId="4" borderId="12" xfId="2" applyFont="1" applyFill="1" applyBorder="1" applyAlignment="1" applyProtection="1">
      <alignment horizontal="center"/>
      <protection locked="0"/>
    </xf>
    <xf numFmtId="0" fontId="0" fillId="4" borderId="13" xfId="2" applyFont="1" applyFill="1" applyBorder="1" applyAlignment="1" applyProtection="1">
      <alignment horizontal="center"/>
      <protection locked="0"/>
    </xf>
    <xf numFmtId="4" fontId="0" fillId="5" borderId="1" xfId="2" applyNumberFormat="1" applyFont="1" applyFill="1" applyAlignment="1" applyProtection="1">
      <alignment horizontal="center"/>
      <protection hidden="1"/>
    </xf>
  </cellXfs>
  <cellStyles count="7">
    <cellStyle name="20% - Accent1" xfId="4" builtinId="30"/>
    <cellStyle name="Hyperlink" xfId="6" builtinId="8"/>
    <cellStyle name="Normal" xfId="0" builtinId="0"/>
    <cellStyle name="Normal 2" xfId="5" xr:uid="{8BE67EAC-3235-4E53-85BC-4BA4D0B05A95}"/>
    <cellStyle name="Note" xfId="2" builtinId="10"/>
    <cellStyle name="Percent" xfId="1" builtinId="5"/>
    <cellStyle name="Total" xfId="3" builtinId="25"/>
  </cellStyles>
  <dxfs count="261">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B8E7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1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3.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29489700201940766"/>
          <c:y val="3.2246668186279227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Total Filter Impedance</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Design'!$EM$5:$EM$250</c:f>
              <c:numCache>
                <c:formatCode>0.0</c:formatCode>
                <c:ptCount val="246"/>
                <c:pt idx="0">
                  <c:v>12.958615839709745</c:v>
                </c:pt>
                <c:pt idx="1">
                  <c:v>10.707361011015029</c:v>
                </c:pt>
                <c:pt idx="2">
                  <c:v>9.0841524368118751</c:v>
                </c:pt>
                <c:pt idx="3">
                  <c:v>7.8530260828702483</c:v>
                </c:pt>
                <c:pt idx="4">
                  <c:v>6.8827927802425908</c:v>
                </c:pt>
                <c:pt idx="5">
                  <c:v>6.0946320658607256</c:v>
                </c:pt>
                <c:pt idx="6">
                  <c:v>5.4382654839970401</c:v>
                </c:pt>
                <c:pt idx="7">
                  <c:v>4.8800360769790885</c:v>
                </c:pt>
                <c:pt idx="8">
                  <c:v>4.3964804976289624</c:v>
                </c:pt>
                <c:pt idx="9">
                  <c:v>3.9706440487077037</c:v>
                </c:pt>
                <c:pt idx="10">
                  <c:v>3.5898541471082561</c:v>
                </c:pt>
                <c:pt idx="11">
                  <c:v>3.2443084566113756</c:v>
                </c:pt>
                <c:pt idx="12">
                  <c:v>2.9261357707503688</c:v>
                </c:pt>
                <c:pt idx="13">
                  <c:v>2.6287412999757653</c:v>
                </c:pt>
                <c:pt idx="14">
                  <c:v>2.3463399210638309</c:v>
                </c:pt>
                <c:pt idx="15">
                  <c:v>2.073672852491967</c:v>
                </c:pt>
                <c:pt idx="16">
                  <c:v>1.8061116036985723</c:v>
                </c:pt>
                <c:pt idx="17">
                  <c:v>1.541100363634901</c:v>
                </c:pt>
                <c:pt idx="18">
                  <c:v>1.285024504090809</c:v>
                </c:pt>
                <c:pt idx="19">
                  <c:v>1.0823609936371488</c:v>
                </c:pt>
                <c:pt idx="20">
                  <c:v>1.0993553429355551</c:v>
                </c:pt>
                <c:pt idx="21">
                  <c:v>1.580540059248654</c:v>
                </c:pt>
                <c:pt idx="22">
                  <c:v>2.350365890884075</c:v>
                </c:pt>
                <c:pt idx="23">
                  <c:v>2.6123993383827342</c:v>
                </c:pt>
                <c:pt idx="24">
                  <c:v>2.2964986677815906</c:v>
                </c:pt>
                <c:pt idx="25">
                  <c:v>1.8885036124676657</c:v>
                </c:pt>
                <c:pt idx="26">
                  <c:v>1.5361873166713758</c:v>
                </c:pt>
                <c:pt idx="27">
                  <c:v>1.245738825734253</c:v>
                </c:pt>
                <c:pt idx="28">
                  <c:v>1.0141124612257264</c:v>
                </c:pt>
                <c:pt idx="29">
                  <c:v>0.86151150045492464</c:v>
                </c:pt>
                <c:pt idx="30">
                  <c:v>0.84256387129341082</c:v>
                </c:pt>
                <c:pt idx="31">
                  <c:v>1.0120297660163073</c:v>
                </c:pt>
                <c:pt idx="32">
                  <c:v>1.3736680739346279</c:v>
                </c:pt>
                <c:pt idx="33">
                  <c:v>1.9001015666457863</c:v>
                </c:pt>
                <c:pt idx="34">
                  <c:v>2.5080027219260375</c:v>
                </c:pt>
                <c:pt idx="35">
                  <c:v>2.9637522922150294</c:v>
                </c:pt>
                <c:pt idx="36">
                  <c:v>3.021686587744711</c:v>
                </c:pt>
                <c:pt idx="37">
                  <c:v>2.7568622370977556</c:v>
                </c:pt>
                <c:pt idx="38">
                  <c:v>2.3948305543359298</c:v>
                </c:pt>
                <c:pt idx="39">
                  <c:v>2.0539898278767743</c:v>
                </c:pt>
                <c:pt idx="40">
                  <c:v>1.7623359804542722</c:v>
                </c:pt>
                <c:pt idx="41">
                  <c:v>1.5169529866558251</c:v>
                </c:pt>
                <c:pt idx="42">
                  <c:v>1.3089302421870292</c:v>
                </c:pt>
                <c:pt idx="43">
                  <c:v>1.1302062674624929</c:v>
                </c:pt>
                <c:pt idx="44">
                  <c:v>0.97486862020905807</c:v>
                </c:pt>
                <c:pt idx="45">
                  <c:v>0.83917175758078955</c:v>
                </c:pt>
                <c:pt idx="46">
                  <c:v>0.72150399392093889</c:v>
                </c:pt>
                <c:pt idx="47">
                  <c:v>0.62266726058814503</c:v>
                </c:pt>
                <c:pt idx="48">
                  <c:v>0.54648217212128325</c:v>
                </c:pt>
                <c:pt idx="49">
                  <c:v>0.5000164098981853</c:v>
                </c:pt>
                <c:pt idx="50">
                  <c:v>0.49131235041886911</c:v>
                </c:pt>
                <c:pt idx="51">
                  <c:v>0.52313982859406449</c:v>
                </c:pt>
                <c:pt idx="52">
                  <c:v>0.58700447175286019</c:v>
                </c:pt>
                <c:pt idx="53">
                  <c:v>0.6616287916384942</c:v>
                </c:pt>
                <c:pt idx="54">
                  <c:v>0.71513391979091645</c:v>
                </c:pt>
                <c:pt idx="55">
                  <c:v>0.7184452139257046</c:v>
                </c:pt>
                <c:pt idx="56">
                  <c:v>0.66881980861665147</c:v>
                </c:pt>
                <c:pt idx="57">
                  <c:v>0.59116578363498129</c:v>
                </c:pt>
                <c:pt idx="58">
                  <c:v>0.51428634868655076</c:v>
                </c:pt>
                <c:pt idx="59">
                  <c:v>0.45632408025320598</c:v>
                </c:pt>
                <c:pt idx="60">
                  <c:v>0.42479511971733597</c:v>
                </c:pt>
                <c:pt idx="61">
                  <c:v>0.41956984869190089</c:v>
                </c:pt>
                <c:pt idx="62">
                  <c:v>0.43568152022004125</c:v>
                </c:pt>
                <c:pt idx="63">
                  <c:v>0.46661688578213661</c:v>
                </c:pt>
                <c:pt idx="64">
                  <c:v>0.50678156848238387</c:v>
                </c:pt>
                <c:pt idx="65">
                  <c:v>0.55226780283614163</c:v>
                </c:pt>
                <c:pt idx="66">
                  <c:v>0.60061064328451985</c:v>
                </c:pt>
                <c:pt idx="67">
                  <c:v>0.65032379767588233</c:v>
                </c:pt>
                <c:pt idx="68">
                  <c:v>0.70052673729946191</c:v>
                </c:pt>
                <c:pt idx="69">
                  <c:v>0.75070191627335703</c:v>
                </c:pt>
                <c:pt idx="70">
                  <c:v>0.80054797616586915</c:v>
                </c:pt>
                <c:pt idx="71">
                  <c:v>0.84989295509567964</c:v>
                </c:pt>
                <c:pt idx="72">
                  <c:v>0.89864298213833071</c:v>
                </c:pt>
                <c:pt idx="73">
                  <c:v>0.946751660220016</c:v>
                </c:pt>
                <c:pt idx="74">
                  <c:v>0.99420155354796258</c:v>
                </c:pt>
                <c:pt idx="75">
                  <c:v>1.0409928383416793</c:v>
                </c:pt>
                <c:pt idx="76">
                  <c:v>1.0871362578955164</c:v>
                </c:pt>
                <c:pt idx="77">
                  <c:v>1.1326487174860618</c:v>
                </c:pt>
                <c:pt idx="78">
                  <c:v>1.1775505529802603</c:v>
                </c:pt>
                <c:pt idx="79">
                  <c:v>1.2218639006515113</c:v>
                </c:pt>
                <c:pt idx="80">
                  <c:v>1.2656117407881473</c:v>
                </c:pt>
                <c:pt idx="81">
                  <c:v>1.308817194964216</c:v>
                </c:pt>
                <c:pt idx="82">
                  <c:v>1.3515028488775316</c:v>
                </c:pt>
                <c:pt idx="83">
                  <c:v>1.3936902504787154</c:v>
                </c:pt>
                <c:pt idx="84">
                  <c:v>1.4353997510551177</c:v>
                </c:pt>
                <c:pt idx="85">
                  <c:v>1.4766505677900461</c:v>
                </c:pt>
                <c:pt idx="86">
                  <c:v>1.5174608779483123</c:v>
                </c:pt>
                <c:pt idx="87">
                  <c:v>1.5578478786194059</c:v>
                </c:pt>
                <c:pt idx="88">
                  <c:v>1.5978278239106174</c:v>
                </c:pt>
                <c:pt idx="89">
                  <c:v>1.6374160586560536</c:v>
                </c:pt>
                <c:pt idx="90">
                  <c:v>1.6766270564429482</c:v>
                </c:pt>
                <c:pt idx="91">
                  <c:v>1.7154744624353693</c:v>
                </c:pt>
                <c:pt idx="92">
                  <c:v>1.7539711391070403</c:v>
                </c:pt>
                <c:pt idx="93">
                  <c:v>1.7921292128758475</c:v>
                </c:pt>
                <c:pt idx="94">
                  <c:v>1.829960120141267</c:v>
                </c:pt>
                <c:pt idx="95">
                  <c:v>1.8674746517568606</c:v>
                </c:pt>
                <c:pt idx="96">
                  <c:v>1.9046829953747575</c:v>
                </c:pt>
                <c:pt idx="97">
                  <c:v>1.9415947753755252</c:v>
                </c:pt>
                <c:pt idx="98">
                  <c:v>1.978219090275491</c:v>
                </c:pt>
                <c:pt idx="99">
                  <c:v>2.0145645476162404</c:v>
                </c:pt>
                <c:pt idx="100">
                  <c:v>2.0506392964090279</c:v>
                </c:pt>
                <c:pt idx="101">
                  <c:v>2.0864510572464221</c:v>
                </c:pt>
                <c:pt idx="102">
                  <c:v>2.1220071502146571</c:v>
                </c:pt>
                <c:pt idx="103">
                  <c:v>2.1573145207492788</c:v>
                </c:pt>
                <c:pt idx="104">
                  <c:v>2.1923797635782818</c:v>
                </c:pt>
                <c:pt idx="105">
                  <c:v>2.2272091448940206</c:v>
                </c:pt>
                <c:pt idx="106">
                  <c:v>2.2618086228892649</c:v>
                </c:pt>
                <c:pt idx="107">
                  <c:v>2.2961838667852326</c:v>
                </c:pt>
                <c:pt idx="108">
                  <c:v>2.3303402744713613</c:v>
                </c:pt>
                <c:pt idx="109">
                  <c:v>2.3642829888678953</c:v>
                </c:pt>
                <c:pt idx="110">
                  <c:v>2.3980169131142062</c:v>
                </c:pt>
                <c:pt idx="111">
                  <c:v>2.431546724677061</c:v>
                </c:pt>
                <c:pt idx="112">
                  <c:v>2.4648768884662831</c:v>
                </c:pt>
                <c:pt idx="113">
                  <c:v>2.4980116690369685</c:v>
                </c:pt>
                <c:pt idx="114">
                  <c:v>2.5309551419512197</c:v>
                </c:pt>
                <c:pt idx="115">
                  <c:v>2.5637112043663501</c:v>
                </c:pt>
                <c:pt idx="116">
                  <c:v>2.5962835849102053</c:v>
                </c:pt>
                <c:pt idx="117">
                  <c:v>2.6286758528993288</c:v>
                </c:pt>
                <c:pt idx="118">
                  <c:v>2.6608914269511343</c:v>
                </c:pt>
                <c:pt idx="119">
                  <c:v>2.6929335830362175</c:v>
                </c:pt>
                <c:pt idx="120">
                  <c:v>2.7248054620137343</c:v>
                </c:pt>
                <c:pt idx="121">
                  <c:v>2.756510076688572</c:v>
                </c:pt>
                <c:pt idx="122">
                  <c:v>2.7880503184259342</c:v>
                </c:pt>
                <c:pt idx="123">
                  <c:v>2.8194289633561418</c:v>
                </c:pt>
                <c:pt idx="124">
                  <c:v>2.850648678199271</c:v>
                </c:pt>
                <c:pt idx="125">
                  <c:v>2.8817120257374294</c:v>
                </c:pt>
                <c:pt idx="126">
                  <c:v>2.9126214699594204</c:v>
                </c:pt>
                <c:pt idx="127">
                  <c:v>2.9433793809013507</c:v>
                </c:pt>
                <c:pt idx="128">
                  <c:v>2.9739880392040186</c:v>
                </c:pt>
                <c:pt idx="129">
                  <c:v>3.0044496404069689</c:v>
                </c:pt>
                <c:pt idx="130">
                  <c:v>3.0347662989970257</c:v>
                </c:pt>
                <c:pt idx="131">
                  <c:v>3.0649400522279326</c:v>
                </c:pt>
                <c:pt idx="132">
                  <c:v>3.0949728637265204</c:v>
                </c:pt>
                <c:pt idx="133">
                  <c:v>3.1248666268992125</c:v>
                </c:pt>
                <c:pt idx="134">
                  <c:v>3.1546231681522934</c:v>
                </c:pt>
                <c:pt idx="135">
                  <c:v>3.1842442499377461</c:v>
                </c:pt>
                <c:pt idx="136">
                  <c:v>3.213731573635874</c:v>
                </c:pt>
                <c:pt idx="137">
                  <c:v>3.2430867822851099</c:v>
                </c:pt>
                <c:pt idx="138">
                  <c:v>3.2723114631684451</c:v>
                </c:pt>
                <c:pt idx="139">
                  <c:v>3.3014071502654838</c:v>
                </c:pt>
                <c:pt idx="140">
                  <c:v>3.330375326578356</c:v>
                </c:pt>
                <c:pt idx="141">
                  <c:v>3.3592174263391339</c:v>
                </c:pt>
                <c:pt idx="142">
                  <c:v>3.3879348371057314</c:v>
                </c:pt>
                <c:pt idx="143">
                  <c:v>3.4165289017530998</c:v>
                </c:pt>
                <c:pt idx="144">
                  <c:v>3.4450009203659282</c:v>
                </c:pt>
                <c:pt idx="145">
                  <c:v>3.4733521520382444</c:v>
                </c:pt>
                <c:pt idx="146">
                  <c:v>3.5015838165857667</c:v>
                </c:pt>
                <c:pt idx="147">
                  <c:v>3.5296970961755139</c:v>
                </c:pt>
                <c:pt idx="148">
                  <c:v>3.5576931368776932</c:v>
                </c:pt>
                <c:pt idx="149">
                  <c:v>3.5855730501441654</c:v>
                </c:pt>
                <c:pt idx="150">
                  <c:v>3.6133379142173196</c:v>
                </c:pt>
                <c:pt idx="151">
                  <c:v>3.6409887754735544</c:v>
                </c:pt>
                <c:pt idx="152">
                  <c:v>3.6685266497045572</c:v>
                </c:pt>
                <c:pt idx="153">
                  <c:v>3.6959525233400514</c:v>
                </c:pt>
                <c:pt idx="154">
                  <c:v>3.7232673546148214</c:v>
                </c:pt>
                <c:pt idx="155">
                  <c:v>3.7504720746833855</c:v>
                </c:pt>
                <c:pt idx="156">
                  <c:v>3.7775675886845796</c:v>
                </c:pt>
                <c:pt idx="157">
                  <c:v>3.8045547767589336</c:v>
                </c:pt>
                <c:pt idx="158">
                  <c:v>3.8314344950214245</c:v>
                </c:pt>
                <c:pt idx="159">
                  <c:v>3.8582075764914046</c:v>
                </c:pt>
                <c:pt idx="160">
                  <c:v>3.8848748319823985</c:v>
                </c:pt>
                <c:pt idx="161">
                  <c:v>3.9114370509533836</c:v>
                </c:pt>
                <c:pt idx="162">
                  <c:v>3.9378950023235992</c:v>
                </c:pt>
                <c:pt idx="163">
                  <c:v>3.9642494352530573</c:v>
                </c:pt>
                <c:pt idx="164">
                  <c:v>3.9905010798895892</c:v>
                </c:pt>
                <c:pt idx="165">
                  <c:v>4.0166506480849273</c:v>
                </c:pt>
                <c:pt idx="166">
                  <c:v>4.0426988340807615</c:v>
                </c:pt>
                <c:pt idx="167">
                  <c:v>4.0686463151664514</c:v>
                </c:pt>
                <c:pt idx="168">
                  <c:v>4.0944937523097433</c:v>
                </c:pt>
                <c:pt idx="169">
                  <c:v>4.1202417907614253</c:v>
                </c:pt>
                <c:pt idx="170">
                  <c:v>4.1458910606356829</c:v>
                </c:pt>
                <c:pt idx="171">
                  <c:v>4.1714421774668216</c:v>
                </c:pt>
                <c:pt idx="172">
                  <c:v>4.1968957427437088</c:v>
                </c:pt>
                <c:pt idx="173">
                  <c:v>4.2222523444227793</c:v>
                </c:pt>
                <c:pt idx="174">
                  <c:v>4.2475125574206336</c:v>
                </c:pt>
                <c:pt idx="175">
                  <c:v>4.2726769440873298</c:v>
                </c:pt>
                <c:pt idx="176">
                  <c:v>4.2977460546607524</c:v>
                </c:pt>
                <c:pt idx="177">
                  <c:v>4.3227204277035352</c:v>
                </c:pt>
                <c:pt idx="178">
                  <c:v>4.347600590522716</c:v>
                </c:pt>
                <c:pt idx="179">
                  <c:v>4.3723870595733185</c:v>
                </c:pt>
                <c:pt idx="180">
                  <c:v>4.3970803408461752</c:v>
                </c:pt>
                <c:pt idx="181">
                  <c:v>4.4216809302411244</c:v>
                </c:pt>
                <c:pt idx="182">
                  <c:v>4.4461893139256841</c:v>
                </c:pt>
                <c:pt idx="183">
                  <c:v>4.4706059686800845</c:v>
                </c:pt>
                <c:pt idx="184">
                  <c:v>4.4949313622297122</c:v>
                </c:pt>
                <c:pt idx="185">
                  <c:v>4.5191659535641771</c:v>
                </c:pt>
                <c:pt idx="186">
                  <c:v>4.543310193245186</c:v>
                </c:pt>
                <c:pt idx="187">
                  <c:v>4.5673645237024392</c:v>
                </c:pt>
                <c:pt idx="188">
                  <c:v>4.5913293795186307</c:v>
                </c:pt>
                <c:pt idx="189">
                  <c:v>4.6152051877038129</c:v>
                </c:pt>
                <c:pt idx="190">
                  <c:v>4.6389923679597338</c:v>
                </c:pt>
                <c:pt idx="191">
                  <c:v>4.6626913329342896</c:v>
                </c:pt>
                <c:pt idx="192">
                  <c:v>4.686302488466608</c:v>
                </c:pt>
                <c:pt idx="193">
                  <c:v>4.7098262338232484</c:v>
                </c:pt>
                <c:pt idx="194">
                  <c:v>4.7332629619257833</c:v>
                </c:pt>
                <c:pt idx="195">
                  <c:v>4.7566130595700002</c:v>
                </c:pt>
                <c:pt idx="196">
                  <c:v>4.7798769076371475</c:v>
                </c:pt>
                <c:pt idx="197">
                  <c:v>4.8030548812975917</c:v>
                </c:pt>
                <c:pt idx="198">
                  <c:v>4.8261473502071315</c:v>
                </c:pt>
                <c:pt idx="199">
                  <c:v>4.8491546786961264</c:v>
                </c:pt>
                <c:pt idx="200">
                  <c:v>4.8720772259519007</c:v>
                </c:pt>
                <c:pt idx="201">
                  <c:v>4.8949153461945825</c:v>
                </c:pt>
                <c:pt idx="202">
                  <c:v>4.9176693888467353</c:v>
                </c:pt>
                <c:pt idx="203">
                  <c:v>4.9403396986967945</c:v>
                </c:pt>
                <c:pt idx="204">
                  <c:v>4.962926616056718</c:v>
                </c:pt>
                <c:pt idx="205">
                  <c:v>4.9854304769140549</c:v>
                </c:pt>
                <c:pt idx="206">
                  <c:v>5.007851613078639</c:v>
                </c:pt>
                <c:pt idx="207">
                  <c:v>5.030190352324019</c:v>
                </c:pt>
                <c:pt idx="208">
                  <c:v>5.0524470185238641</c:v>
                </c:pt>
                <c:pt idx="209">
                  <c:v>5.0746219317835441</c:v>
                </c:pt>
                <c:pt idx="210">
                  <c:v>5.096715408567194</c:v>
                </c:pt>
                <c:pt idx="211">
                  <c:v>5.1187277618200842</c:v>
                </c:pt>
                <c:pt idx="212">
                  <c:v>5.140659301086786</c:v>
                </c:pt>
                <c:pt idx="213">
                  <c:v>5.1625103326252182</c:v>
                </c:pt>
                <c:pt idx="214">
                  <c:v>5.1842811595166314</c:v>
                </c:pt>
                <c:pt idx="215">
                  <c:v>5.2059720817715149</c:v>
                </c:pt>
                <c:pt idx="216">
                  <c:v>5.2275833964321237</c:v>
                </c:pt>
                <c:pt idx="217">
                  <c:v>5.2491153976712956</c:v>
                </c:pt>
                <c:pt idx="218">
                  <c:v>5.270568376887617</c:v>
                </c:pt>
                <c:pt idx="219">
                  <c:v>5.2919426227973059</c:v>
                </c:pt>
                <c:pt idx="220">
                  <c:v>5.3132384215231054</c:v>
                </c:pt>
                <c:pt idx="221">
                  <c:v>5.3344560566796648</c:v>
                </c:pt>
                <c:pt idx="222">
                  <c:v>5.3555958094562524</c:v>
                </c:pt>
                <c:pt idx="223">
                  <c:v>5.3766579586962404</c:v>
                </c:pt>
                <c:pt idx="224">
                  <c:v>5.3976427809742082</c:v>
                </c:pt>
                <c:pt idx="225">
                  <c:v>5.4185505506697691</c:v>
                </c:pt>
                <c:pt idx="226">
                  <c:v>5.43938154003932</c:v>
                </c:pt>
                <c:pt idx="227">
                  <c:v>5.4601360192850068</c:v>
                </c:pt>
                <c:pt idx="228">
                  <c:v>5.4808142566210973</c:v>
                </c:pt>
                <c:pt idx="229">
                  <c:v>5.5014165183383605</c:v>
                </c:pt>
                <c:pt idx="230">
                  <c:v>5.5219430688659052</c:v>
                </c:pt>
                <c:pt idx="231">
                  <c:v>5.5423941708309181</c:v>
                </c:pt>
                <c:pt idx="232">
                  <c:v>5.5627700851161803</c:v>
                </c:pt>
                <c:pt idx="233">
                  <c:v>5.5830710709156834</c:v>
                </c:pt>
                <c:pt idx="234">
                  <c:v>5.6032973857881041</c:v>
                </c:pt>
                <c:pt idx="235">
                  <c:v>5.6234492857085341</c:v>
                </c:pt>
                <c:pt idx="236">
                  <c:v>5.6435270251180967</c:v>
                </c:pt>
                <c:pt idx="237">
                  <c:v>5.66353085697203</c:v>
                </c:pt>
                <c:pt idx="238">
                  <c:v>5.6834610327859387</c:v>
                </c:pt>
                <c:pt idx="239">
                  <c:v>5.7033178026804023</c:v>
                </c:pt>
                <c:pt idx="240">
                  <c:v>5.7231014154237414</c:v>
                </c:pt>
                <c:pt idx="241">
                  <c:v>5.7428121184736174</c:v>
                </c:pt>
                <c:pt idx="242">
                  <c:v>5.7624501580168577</c:v>
                </c:pt>
                <c:pt idx="243">
                  <c:v>5.7820157790078337</c:v>
                </c:pt>
                <c:pt idx="244">
                  <c:v>5.8015092252054341</c:v>
                </c:pt>
                <c:pt idx="245">
                  <c:v>5.8209307392088059</c:v>
                </c:pt>
              </c:numCache>
            </c:numRef>
          </c:yVal>
          <c:smooth val="1"/>
          <c:extLst>
            <c:ext xmlns:c16="http://schemas.microsoft.com/office/drawing/2014/chart" uri="{C3380CC4-5D6E-409C-BE32-E72D297353CC}">
              <c16:uniqueId val="{00000000-4884-4034-B8EA-8C32D3CFE830}"/>
            </c:ext>
          </c:extLst>
        </c:ser>
        <c:ser>
          <c:idx val="1"/>
          <c:order val="1"/>
          <c:tx>
            <c:v>Source Impedance</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Design'!$EN$5:$EN$250</c:f>
              <c:numCache>
                <c:formatCode>0.0</c:formatCode>
                <c:ptCount val="246"/>
                <c:pt idx="0">
                  <c:v>0.35998845265588925</c:v>
                </c:pt>
                <c:pt idx="1">
                  <c:v>0.43188070239078002</c:v>
                </c:pt>
                <c:pt idx="2">
                  <c:v>0.50378663121934841</c:v>
                </c:pt>
                <c:pt idx="3">
                  <c:v>0.57570111354672515</c:v>
                </c:pt>
                <c:pt idx="4">
                  <c:v>0.64762129993411321</c:v>
                </c:pt>
                <c:pt idx="5">
                  <c:v>0.71954547998272955</c:v>
                </c:pt>
                <c:pt idx="6">
                  <c:v>0.79147256493489149</c:v>
                </c:pt>
                <c:pt idx="7">
                  <c:v>0.86340182879784733</c:v>
                </c:pt>
                <c:pt idx="8">
                  <c:v>0.93533276888182038</c:v>
                </c:pt>
                <c:pt idx="9">
                  <c:v>1.0072650260793423</c:v>
                </c:pt>
                <c:pt idx="10">
                  <c:v>1.0791983370200742</c:v>
                </c:pt>
                <c:pt idx="11">
                  <c:v>1.1511325041614469</c:v>
                </c:pt>
                <c:pt idx="12">
                  <c:v>1.2230673764322746</c:v>
                </c:pt>
                <c:pt idx="13">
                  <c:v>1.29500283632688</c:v>
                </c:pt>
                <c:pt idx="14">
                  <c:v>1.3669387910737587</c:v>
                </c:pt>
                <c:pt idx="15">
                  <c:v>1.4388751664531403</c:v>
                </c:pt>
                <c:pt idx="16">
                  <c:v>1.510811902380548</c:v>
                </c:pt>
                <c:pt idx="17">
                  <c:v>1.5827489496947145</c:v>
                </c:pt>
                <c:pt idx="18">
                  <c:v>1.6546862677832601</c:v>
                </c:pt>
                <c:pt idx="19">
                  <c:v>1.7266238228019191</c:v>
                </c:pt>
                <c:pt idx="20">
                  <c:v>1.7985615863210092</c:v>
                </c:pt>
                <c:pt idx="21">
                  <c:v>1.870499534284302</c:v>
                </c:pt>
                <c:pt idx="22">
                  <c:v>1.9424376461991901</c:v>
                </c:pt>
                <c:pt idx="23">
                  <c:v>2.0143759045003695</c:v>
                </c:pt>
                <c:pt idx="24">
                  <c:v>2.086314294045212</c:v>
                </c:pt>
                <c:pt idx="25">
                  <c:v>2.1582528017099545</c:v>
                </c:pt>
                <c:pt idx="26">
                  <c:v>2.2301914160641321</c:v>
                </c:pt>
                <c:pt idx="27">
                  <c:v>2.3021301271060381</c:v>
                </c:pt>
                <c:pt idx="28">
                  <c:v>2.3740689260462098</c:v>
                </c:pt>
                <c:pt idx="29">
                  <c:v>2.4460078051291987</c:v>
                </c:pt>
                <c:pt idx="30">
                  <c:v>2.5179467574858538</c:v>
                </c:pt>
                <c:pt idx="31">
                  <c:v>2.5898857770102248</c:v>
                </c:pt>
                <c:pt idx="32">
                  <c:v>2.6618248582564656</c:v>
                </c:pt>
                <c:pt idx="33">
                  <c:v>2.7337639963519274</c:v>
                </c:pt>
                <c:pt idx="34">
                  <c:v>2.8057031869237141</c:v>
                </c:pt>
                <c:pt idx="35">
                  <c:v>2.8776424260361919</c:v>
                </c:pt>
                <c:pt idx="36">
                  <c:v>2.949581710137712</c:v>
                </c:pt>
                <c:pt idx="37">
                  <c:v>3.0215210360148372</c:v>
                </c:pt>
                <c:pt idx="38">
                  <c:v>3.0934604007530546</c:v>
                </c:pt>
                <c:pt idx="39">
                  <c:v>3.165399801702792</c:v>
                </c:pt>
                <c:pt idx="40">
                  <c:v>3.2373392364500164</c:v>
                </c:pt>
                <c:pt idx="41">
                  <c:v>3.309278702790579</c:v>
                </c:pt>
                <c:pt idx="42">
                  <c:v>3.3812181987079191</c:v>
                </c:pt>
                <c:pt idx="43">
                  <c:v>3.453157722353513</c:v>
                </c:pt>
                <c:pt idx="44">
                  <c:v>3.5250972720297606</c:v>
                </c:pt>
                <c:pt idx="45">
                  <c:v>3.5970368461748383</c:v>
                </c:pt>
                <c:pt idx="46">
                  <c:v>3.6689764433494272</c:v>
                </c:pt>
                <c:pt idx="47">
                  <c:v>3.7409160622249114</c:v>
                </c:pt>
                <c:pt idx="48">
                  <c:v>3.8128557015729756</c:v>
                </c:pt>
                <c:pt idx="49">
                  <c:v>3.8847953602562613</c:v>
                </c:pt>
                <c:pt idx="50">
                  <c:v>3.9567350372201338</c:v>
                </c:pt>
                <c:pt idx="51">
                  <c:v>4.0286747314852791</c:v>
                </c:pt>
                <c:pt idx="52">
                  <c:v>4.1006144421411355</c:v>
                </c:pt>
                <c:pt idx="53">
                  <c:v>4.1725541683399063</c:v>
                </c:pt>
                <c:pt idx="54">
                  <c:v>4.2444939092912852</c:v>
                </c:pt>
                <c:pt idx="55">
                  <c:v>4.3164336642576409</c:v>
                </c:pt>
                <c:pt idx="56">
                  <c:v>4.388373432549737</c:v>
                </c:pt>
                <c:pt idx="57">
                  <c:v>4.4603132135227783</c:v>
                </c:pt>
                <c:pt idx="58">
                  <c:v>4.5322530065729163</c:v>
                </c:pt>
                <c:pt idx="59">
                  <c:v>4.6041928111340429</c:v>
                </c:pt>
                <c:pt idx="60">
                  <c:v>4.6761326266748773</c:v>
                </c:pt>
                <c:pt idx="61">
                  <c:v>4.7480724526963645</c:v>
                </c:pt>
                <c:pt idx="62">
                  <c:v>4.8200122887292167</c:v>
                </c:pt>
                <c:pt idx="63">
                  <c:v>4.8919521343317625</c:v>
                </c:pt>
                <c:pt idx="64">
                  <c:v>4.9638919890879203</c:v>
                </c:pt>
                <c:pt idx="65">
                  <c:v>5.0358318526054129</c:v>
                </c:pt>
                <c:pt idx="66">
                  <c:v>5.1077717245140386</c:v>
                </c:pt>
                <c:pt idx="67">
                  <c:v>5.1797116044641704</c:v>
                </c:pt>
                <c:pt idx="68">
                  <c:v>5.251651492125327</c:v>
                </c:pt>
                <c:pt idx="69">
                  <c:v>5.3235913871849192</c:v>
                </c:pt>
                <c:pt idx="70">
                  <c:v>5.395531289347006</c:v>
                </c:pt>
                <c:pt idx="71">
                  <c:v>5.4674711983312259</c:v>
                </c:pt>
                <c:pt idx="72">
                  <c:v>5.5394111138717728</c:v>
                </c:pt>
                <c:pt idx="73">
                  <c:v>5.6113510357165026</c:v>
                </c:pt>
                <c:pt idx="74">
                  <c:v>5.6832909636260078</c:v>
                </c:pt>
                <c:pt idx="75">
                  <c:v>5.7552308973728596</c:v>
                </c:pt>
                <c:pt idx="76">
                  <c:v>5.8271708367408523</c:v>
                </c:pt>
                <c:pt idx="77">
                  <c:v>5.8991107815243558</c:v>
                </c:pt>
                <c:pt idx="78">
                  <c:v>5.9710507315276189</c:v>
                </c:pt>
                <c:pt idx="79">
                  <c:v>6.0429906865642229</c:v>
                </c:pt>
                <c:pt idx="80">
                  <c:v>6.1149306464565134</c:v>
                </c:pt>
                <c:pt idx="81">
                  <c:v>6.1868706110351228</c:v>
                </c:pt>
                <c:pt idx="82">
                  <c:v>6.2588105801384488</c:v>
                </c:pt>
                <c:pt idx="83">
                  <c:v>6.3307505536122397</c:v>
                </c:pt>
                <c:pt idx="84">
                  <c:v>6.402690531309176</c:v>
                </c:pt>
                <c:pt idx="85">
                  <c:v>6.4746305130884778</c:v>
                </c:pt>
                <c:pt idx="86">
                  <c:v>6.5465704988155817</c:v>
                </c:pt>
                <c:pt idx="87">
                  <c:v>6.6185104883617454</c:v>
                </c:pt>
                <c:pt idx="88">
                  <c:v>6.6904504816037758</c:v>
                </c:pt>
                <c:pt idx="89">
                  <c:v>6.7623904784237077</c:v>
                </c:pt>
                <c:pt idx="90">
                  <c:v>6.8343304787085764</c:v>
                </c:pt>
                <c:pt idx="91">
                  <c:v>6.9062704823500942</c:v>
                </c:pt>
                <c:pt idx="92">
                  <c:v>6.9782104892444448</c:v>
                </c:pt>
                <c:pt idx="93">
                  <c:v>7.0501504992920463</c:v>
                </c:pt>
                <c:pt idx="94">
                  <c:v>7.122090512397361</c:v>
                </c:pt>
                <c:pt idx="95">
                  <c:v>7.1940305284686517</c:v>
                </c:pt>
                <c:pt idx="96">
                  <c:v>7.2659705474178207</c:v>
                </c:pt>
                <c:pt idx="97">
                  <c:v>7.3379105691602131</c:v>
                </c:pt>
                <c:pt idx="98">
                  <c:v>7.4098505936144932</c:v>
                </c:pt>
                <c:pt idx="99">
                  <c:v>7.4817906207024238</c:v>
                </c:pt>
                <c:pt idx="100">
                  <c:v>7.5537306503487578</c:v>
                </c:pt>
                <c:pt idx="101">
                  <c:v>7.6256706824810774</c:v>
                </c:pt>
                <c:pt idx="102">
                  <c:v>7.6976107170297068</c:v>
                </c:pt>
                <c:pt idx="103">
                  <c:v>7.7695507539275113</c:v>
                </c:pt>
                <c:pt idx="104">
                  <c:v>7.841490793109835</c:v>
                </c:pt>
                <c:pt idx="105">
                  <c:v>7.913430834514366</c:v>
                </c:pt>
                <c:pt idx="106">
                  <c:v>7.9853708780810644</c:v>
                </c:pt>
                <c:pt idx="107">
                  <c:v>8.057310923752004</c:v>
                </c:pt>
                <c:pt idx="108">
                  <c:v>8.1292509714713201</c:v>
                </c:pt>
                <c:pt idx="109">
                  <c:v>8.2011910211850978</c:v>
                </c:pt>
                <c:pt idx="110">
                  <c:v>8.2731310728413288</c:v>
                </c:pt>
                <c:pt idx="111">
                  <c:v>8.345071126389767</c:v>
                </c:pt>
                <c:pt idx="112">
                  <c:v>8.4170111817818949</c:v>
                </c:pt>
                <c:pt idx="113">
                  <c:v>8.488951238970829</c:v>
                </c:pt>
                <c:pt idx="114">
                  <c:v>8.5608912979112901</c:v>
                </c:pt>
                <c:pt idx="115">
                  <c:v>8.6328313585594838</c:v>
                </c:pt>
                <c:pt idx="116">
                  <c:v>8.7047714208730671</c:v>
                </c:pt>
                <c:pt idx="117">
                  <c:v>8.776711484811079</c:v>
                </c:pt>
                <c:pt idx="118">
                  <c:v>8.8486515503339174</c:v>
                </c:pt>
                <c:pt idx="119">
                  <c:v>8.9205916174032325</c:v>
                </c:pt>
                <c:pt idx="120">
                  <c:v>8.9925316859819091</c:v>
                </c:pt>
                <c:pt idx="121">
                  <c:v>9.0644717560340062</c:v>
                </c:pt>
                <c:pt idx="122">
                  <c:v>9.1364118275247126</c:v>
                </c:pt>
                <c:pt idx="123">
                  <c:v>9.2083519004203307</c:v>
                </c:pt>
                <c:pt idx="124">
                  <c:v>9.2802919746881738</c:v>
                </c:pt>
                <c:pt idx="125">
                  <c:v>9.3522320502965801</c:v>
                </c:pt>
                <c:pt idx="126">
                  <c:v>9.4241721272148382</c:v>
                </c:pt>
                <c:pt idx="127">
                  <c:v>9.4961122054131994</c:v>
                </c:pt>
                <c:pt idx="128">
                  <c:v>9.5680522848627767</c:v>
                </c:pt>
                <c:pt idx="129">
                  <c:v>9.6399923655355622</c:v>
                </c:pt>
                <c:pt idx="130">
                  <c:v>9.7119324474043616</c:v>
                </c:pt>
                <c:pt idx="131">
                  <c:v>9.783872530442812</c:v>
                </c:pt>
                <c:pt idx="132">
                  <c:v>9.8558126146252896</c:v>
                </c:pt>
                <c:pt idx="133">
                  <c:v>9.9277526999269234</c:v>
                </c:pt>
                <c:pt idx="134">
                  <c:v>9.9996927863235641</c:v>
                </c:pt>
                <c:pt idx="135">
                  <c:v>10.071632873791771</c:v>
                </c:pt>
                <c:pt idx="136">
                  <c:v>10.14357296230868</c:v>
                </c:pt>
                <c:pt idx="137">
                  <c:v>10.215513051852174</c:v>
                </c:pt>
                <c:pt idx="138">
                  <c:v>10.287453142400716</c:v>
                </c:pt>
                <c:pt idx="139">
                  <c:v>10.359393233933366</c:v>
                </c:pt>
                <c:pt idx="140">
                  <c:v>10.431333326429764</c:v>
                </c:pt>
                <c:pt idx="141">
                  <c:v>10.503273419870107</c:v>
                </c:pt>
                <c:pt idx="142">
                  <c:v>10.575213514235132</c:v>
                </c:pt>
                <c:pt idx="143">
                  <c:v>10.647153609506097</c:v>
                </c:pt>
                <c:pt idx="144">
                  <c:v>10.719093705664754</c:v>
                </c:pt>
                <c:pt idx="145">
                  <c:v>10.791033802693359</c:v>
                </c:pt>
                <c:pt idx="146">
                  <c:v>10.86297390057462</c:v>
                </c:pt>
                <c:pt idx="147">
                  <c:v>10.934913999291815</c:v>
                </c:pt>
                <c:pt idx="148">
                  <c:v>11.006854098828351</c:v>
                </c:pt>
                <c:pt idx="149">
                  <c:v>11.078794199168366</c:v>
                </c:pt>
                <c:pt idx="150">
                  <c:v>11.15073430029631</c:v>
                </c:pt>
                <c:pt idx="151">
                  <c:v>11.222674402197027</c:v>
                </c:pt>
                <c:pt idx="152">
                  <c:v>11.294614504855753</c:v>
                </c:pt>
                <c:pt idx="153">
                  <c:v>11.366554608258097</c:v>
                </c:pt>
                <c:pt idx="154">
                  <c:v>11.438494712390026</c:v>
                </c:pt>
                <c:pt idx="155">
                  <c:v>11.510434817237863</c:v>
                </c:pt>
                <c:pt idx="156">
                  <c:v>11.582374922788265</c:v>
                </c:pt>
                <c:pt idx="157">
                  <c:v>11.654315029028224</c:v>
                </c:pt>
                <c:pt idx="158">
                  <c:v>11.726255135945047</c:v>
                </c:pt>
                <c:pt idx="159">
                  <c:v>11.798195243526353</c:v>
                </c:pt>
                <c:pt idx="160">
                  <c:v>11.87013535176016</c:v>
                </c:pt>
                <c:pt idx="161">
                  <c:v>11.942075460634479</c:v>
                </c:pt>
                <c:pt idx="162">
                  <c:v>12.014015570137902</c:v>
                </c:pt>
                <c:pt idx="163">
                  <c:v>12.085955680259195</c:v>
                </c:pt>
                <c:pt idx="164">
                  <c:v>12.157895790987387</c:v>
                </c:pt>
                <c:pt idx="165">
                  <c:v>12.229835902311773</c:v>
                </c:pt>
                <c:pt idx="166">
                  <c:v>12.30177601422189</c:v>
                </c:pt>
                <c:pt idx="167">
                  <c:v>12.373716126707521</c:v>
                </c:pt>
                <c:pt idx="168">
                  <c:v>12.445656239758687</c:v>
                </c:pt>
                <c:pt idx="169">
                  <c:v>12.51759635336564</c:v>
                </c:pt>
                <c:pt idx="170">
                  <c:v>12.589536467518847</c:v>
                </c:pt>
                <c:pt idx="171">
                  <c:v>12.661476582209001</c:v>
                </c:pt>
                <c:pt idx="172">
                  <c:v>12.733416697427003</c:v>
                </c:pt>
                <c:pt idx="173">
                  <c:v>12.805356813164051</c:v>
                </c:pt>
                <c:pt idx="174">
                  <c:v>12.877296929411255</c:v>
                </c:pt>
                <c:pt idx="175">
                  <c:v>12.949237046160201</c:v>
                </c:pt>
                <c:pt idx="176">
                  <c:v>13.021177163402578</c:v>
                </c:pt>
                <c:pt idx="177">
                  <c:v>13.093117281130256</c:v>
                </c:pt>
                <c:pt idx="178">
                  <c:v>13.165057399335273</c:v>
                </c:pt>
                <c:pt idx="179">
                  <c:v>13.236997518009854</c:v>
                </c:pt>
                <c:pt idx="180">
                  <c:v>13.308937637146375</c:v>
                </c:pt>
                <c:pt idx="181">
                  <c:v>13.380877756737389</c:v>
                </c:pt>
                <c:pt idx="182">
                  <c:v>13.452817876775608</c:v>
                </c:pt>
                <c:pt idx="183">
                  <c:v>13.524757997253893</c:v>
                </c:pt>
                <c:pt idx="184">
                  <c:v>13.596698118165262</c:v>
                </c:pt>
                <c:pt idx="185">
                  <c:v>13.668638239502869</c:v>
                </c:pt>
                <c:pt idx="186">
                  <c:v>13.740578361260029</c:v>
                </c:pt>
                <c:pt idx="187">
                  <c:v>13.81251848343028</c:v>
                </c:pt>
                <c:pt idx="188">
                  <c:v>13.884458606007005</c:v>
                </c:pt>
                <c:pt idx="189">
                  <c:v>13.956398728984016</c:v>
                </c:pt>
                <c:pt idx="190">
                  <c:v>14.028338852355153</c:v>
                </c:pt>
                <c:pt idx="191">
                  <c:v>14.100278976114385</c:v>
                </c:pt>
                <c:pt idx="192">
                  <c:v>14.172219100255802</c:v>
                </c:pt>
                <c:pt idx="193">
                  <c:v>14.244159224773616</c:v>
                </c:pt>
                <c:pt idx="194">
                  <c:v>14.316099349662151</c:v>
                </c:pt>
                <c:pt idx="195">
                  <c:v>14.388039474915843</c:v>
                </c:pt>
                <c:pt idx="196">
                  <c:v>14.459979600529245</c:v>
                </c:pt>
                <c:pt idx="197">
                  <c:v>14.531919726497014</c:v>
                </c:pt>
                <c:pt idx="198">
                  <c:v>14.603859852813914</c:v>
                </c:pt>
                <c:pt idx="199">
                  <c:v>14.675799979474805</c:v>
                </c:pt>
                <c:pt idx="200">
                  <c:v>14.747740106474762</c:v>
                </c:pt>
                <c:pt idx="201">
                  <c:v>14.819680233808644</c:v>
                </c:pt>
                <c:pt idx="202">
                  <c:v>14.891620361471709</c:v>
                </c:pt>
                <c:pt idx="203">
                  <c:v>14.963560489459214</c:v>
                </c:pt>
                <c:pt idx="204">
                  <c:v>15.035500617766495</c:v>
                </c:pt>
                <c:pt idx="205">
                  <c:v>15.107440746388988</c:v>
                </c:pt>
                <c:pt idx="206">
                  <c:v>15.179380875322215</c:v>
                </c:pt>
                <c:pt idx="207">
                  <c:v>15.251321004561769</c:v>
                </c:pt>
                <c:pt idx="208">
                  <c:v>15.323261134103342</c:v>
                </c:pt>
                <c:pt idx="209">
                  <c:v>15.395201263942701</c:v>
                </c:pt>
                <c:pt idx="210">
                  <c:v>15.467141394075687</c:v>
                </c:pt>
                <c:pt idx="211">
                  <c:v>15.539081524498227</c:v>
                </c:pt>
                <c:pt idx="212">
                  <c:v>15.611021655206313</c:v>
                </c:pt>
                <c:pt idx="213">
                  <c:v>15.682961786196117</c:v>
                </c:pt>
                <c:pt idx="214">
                  <c:v>15.754901917463583</c:v>
                </c:pt>
                <c:pt idx="215">
                  <c:v>15.826842049005021</c:v>
                </c:pt>
                <c:pt idx="216">
                  <c:v>15.898782180816712</c:v>
                </c:pt>
                <c:pt idx="217">
                  <c:v>15.970722312895006</c:v>
                </c:pt>
                <c:pt idx="218">
                  <c:v>16.042662445236317</c:v>
                </c:pt>
                <c:pt idx="219">
                  <c:v>16.114602577837115</c:v>
                </c:pt>
                <c:pt idx="220">
                  <c:v>16.186542710693956</c:v>
                </c:pt>
                <c:pt idx="221">
                  <c:v>16.258482843803417</c:v>
                </c:pt>
                <c:pt idx="222">
                  <c:v>16.330422977162179</c:v>
                </c:pt>
                <c:pt idx="223">
                  <c:v>16.402363110766959</c:v>
                </c:pt>
                <c:pt idx="224">
                  <c:v>16.474303244614529</c:v>
                </c:pt>
                <c:pt idx="225">
                  <c:v>16.546243378701725</c:v>
                </c:pt>
                <c:pt idx="226">
                  <c:v>16.618183513025532</c:v>
                </c:pt>
                <c:pt idx="227">
                  <c:v>16.690123647582702</c:v>
                </c:pt>
                <c:pt idx="228">
                  <c:v>16.762063782370312</c:v>
                </c:pt>
                <c:pt idx="229">
                  <c:v>16.834003917385424</c:v>
                </c:pt>
                <c:pt idx="230">
                  <c:v>16.905944052625117</c:v>
                </c:pt>
                <c:pt idx="231">
                  <c:v>16.977884188086556</c:v>
                </c:pt>
                <c:pt idx="232">
                  <c:v>17.049824323766913</c:v>
                </c:pt>
                <c:pt idx="233">
                  <c:v>17.121764459663449</c:v>
                </c:pt>
                <c:pt idx="234">
                  <c:v>17.193704595773433</c:v>
                </c:pt>
                <c:pt idx="235">
                  <c:v>17.265644732094209</c:v>
                </c:pt>
                <c:pt idx="236">
                  <c:v>17.337584868623146</c:v>
                </c:pt>
                <c:pt idx="237">
                  <c:v>17.409525005357672</c:v>
                </c:pt>
                <c:pt idx="238">
                  <c:v>17.481465142295239</c:v>
                </c:pt>
                <c:pt idx="239">
                  <c:v>17.553405279433353</c:v>
                </c:pt>
                <c:pt idx="240">
                  <c:v>17.625345416769662</c:v>
                </c:pt>
                <c:pt idx="241">
                  <c:v>17.697285554301544</c:v>
                </c:pt>
                <c:pt idx="242">
                  <c:v>17.76922569202673</c:v>
                </c:pt>
                <c:pt idx="243">
                  <c:v>17.841165829942877</c:v>
                </c:pt>
                <c:pt idx="244">
                  <c:v>17.913105968047688</c:v>
                </c:pt>
                <c:pt idx="245">
                  <c:v>17.985046106338892</c:v>
                </c:pt>
              </c:numCache>
            </c:numRef>
          </c:yVal>
          <c:smooth val="1"/>
          <c:extLst>
            <c:ext xmlns:c16="http://schemas.microsoft.com/office/drawing/2014/chart" uri="{C3380CC4-5D6E-409C-BE32-E72D297353CC}">
              <c16:uniqueId val="{00000001-4884-4034-B8EA-8C32D3CFE830}"/>
            </c:ext>
          </c:extLst>
        </c:ser>
        <c:ser>
          <c:idx val="2"/>
          <c:order val="2"/>
          <c:tx>
            <c:v>Total Impedance (Source + Filter)</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Design'!$EO$5:$EO$250</c:f>
              <c:numCache>
                <c:formatCode>0.0</c:formatCode>
                <c:ptCount val="246"/>
                <c:pt idx="0">
                  <c:v>0.37026567713724373</c:v>
                </c:pt>
                <c:pt idx="1">
                  <c:v>0.45002118779125588</c:v>
                </c:pt>
                <c:pt idx="2">
                  <c:v>0.53335101810689656</c:v>
                </c:pt>
                <c:pt idx="3">
                  <c:v>0.62122478946388437</c:v>
                </c:pt>
                <c:pt idx="4">
                  <c:v>0.71486111454519952</c:v>
                </c:pt>
                <c:pt idx="5">
                  <c:v>0.81583282138142632</c:v>
                </c:pt>
                <c:pt idx="6">
                  <c:v>0.92622929842487722</c:v>
                </c:pt>
                <c:pt idx="7">
                  <c:v>1.04891548354171</c:v>
                </c:pt>
                <c:pt idx="8">
                  <c:v>1.1879628047823607</c:v>
                </c:pt>
                <c:pt idx="9">
                  <c:v>1.3494031726907818</c:v>
                </c:pt>
                <c:pt idx="10">
                  <c:v>1.5426301930207471</c:v>
                </c:pt>
                <c:pt idx="11">
                  <c:v>1.7832025690049769</c:v>
                </c:pt>
                <c:pt idx="12">
                  <c:v>2.0989955624244963</c:v>
                </c:pt>
                <c:pt idx="13">
                  <c:v>2.5453947544533886</c:v>
                </c:pt>
                <c:pt idx="14">
                  <c:v>3.2490442884070627</c:v>
                </c:pt>
                <c:pt idx="15">
                  <c:v>4.5586849818640305</c:v>
                </c:pt>
                <c:pt idx="16">
                  <c:v>7.4734957788587986</c:v>
                </c:pt>
                <c:pt idx="17">
                  <c:v>7.92802071432686</c:v>
                </c:pt>
                <c:pt idx="18">
                  <c:v>3.5855801518263082</c:v>
                </c:pt>
                <c:pt idx="19">
                  <c:v>1.8670987689037837</c:v>
                </c:pt>
                <c:pt idx="20">
                  <c:v>1.3240469419856296</c:v>
                </c:pt>
                <c:pt idx="21">
                  <c:v>1.4537187179920621</c:v>
                </c:pt>
                <c:pt idx="22">
                  <c:v>1.9727241666875108</c:v>
                </c:pt>
                <c:pt idx="23">
                  <c:v>2.8042572025884316</c:v>
                </c:pt>
                <c:pt idx="24">
                  <c:v>3.9000638992074057</c:v>
                </c:pt>
                <c:pt idx="25">
                  <c:v>4.2933770312063686</c:v>
                </c:pt>
                <c:pt idx="26">
                  <c:v>3.2303278403755638</c:v>
                </c:pt>
                <c:pt idx="27">
                  <c:v>2.1440807010556076</c:v>
                </c:pt>
                <c:pt idx="28">
                  <c:v>1.4497748577290752</c:v>
                </c:pt>
                <c:pt idx="29">
                  <c:v>1.0523882220262486</c:v>
                </c:pt>
                <c:pt idx="30">
                  <c:v>0.89820971668036431</c:v>
                </c:pt>
                <c:pt idx="31">
                  <c:v>0.95545380372777089</c:v>
                </c:pt>
                <c:pt idx="32">
                  <c:v>1.164191882981271</c:v>
                </c:pt>
                <c:pt idx="33">
                  <c:v>1.4796369658636355</c:v>
                </c:pt>
                <c:pt idx="34">
                  <c:v>1.8962904795958873</c:v>
                </c:pt>
                <c:pt idx="35">
                  <c:v>2.4335280008500826</c:v>
                </c:pt>
                <c:pt idx="36">
                  <c:v>3.1009817214759545</c:v>
                </c:pt>
                <c:pt idx="37">
                  <c:v>3.7902976720381583</c:v>
                </c:pt>
                <c:pt idx="38">
                  <c:v>4.1174073387465846</c:v>
                </c:pt>
                <c:pt idx="39">
                  <c:v>3.7825236381675111</c:v>
                </c:pt>
                <c:pt idx="40">
                  <c:v>3.110298798762928</c:v>
                </c:pt>
                <c:pt idx="41">
                  <c:v>2.4728481231407824</c:v>
                </c:pt>
                <c:pt idx="42">
                  <c:v>1.9682182187515358</c:v>
                </c:pt>
                <c:pt idx="43">
                  <c:v>1.5812593525305942</c:v>
                </c:pt>
                <c:pt idx="44">
                  <c:v>1.2815256514045084</c:v>
                </c:pt>
                <c:pt idx="45">
                  <c:v>1.0454315454971066</c:v>
                </c:pt>
                <c:pt idx="46">
                  <c:v>0.85784744813854474</c:v>
                </c:pt>
                <c:pt idx="47">
                  <c:v>0.71062568061850195</c:v>
                </c:pt>
                <c:pt idx="48">
                  <c:v>0.60149396965290203</c:v>
                </c:pt>
                <c:pt idx="49">
                  <c:v>0.53297937412958751</c:v>
                </c:pt>
                <c:pt idx="50">
                  <c:v>0.5092473305066334</c:v>
                </c:pt>
                <c:pt idx="51">
                  <c:v>0.52982274795182283</c:v>
                </c:pt>
                <c:pt idx="52">
                  <c:v>0.58482930608459816</c:v>
                </c:pt>
                <c:pt idx="53">
                  <c:v>0.65480999382277594</c:v>
                </c:pt>
                <c:pt idx="54">
                  <c:v>0.7112327760947027</c:v>
                </c:pt>
                <c:pt idx="55">
                  <c:v>0.72325774788794861</c:v>
                </c:pt>
                <c:pt idx="56">
                  <c:v>0.67959633867287772</c:v>
                </c:pt>
                <c:pt idx="57">
                  <c:v>0.60063407212438913</c:v>
                </c:pt>
                <c:pt idx="58">
                  <c:v>0.518136515472291</c:v>
                </c:pt>
                <c:pt idx="59">
                  <c:v>0.45386023458485203</c:v>
                </c:pt>
                <c:pt idx="60">
                  <c:v>0.41648459094123064</c:v>
                </c:pt>
                <c:pt idx="61">
                  <c:v>0.40553536877383911</c:v>
                </c:pt>
                <c:pt idx="62">
                  <c:v>0.4154485325512482</c:v>
                </c:pt>
                <c:pt idx="63">
                  <c:v>0.43938282891903541</c:v>
                </c:pt>
                <c:pt idx="64">
                  <c:v>0.47169051365718151</c:v>
                </c:pt>
                <c:pt idx="65">
                  <c:v>0.50855039963694471</c:v>
                </c:pt>
                <c:pt idx="66">
                  <c:v>0.54762587022842935</c:v>
                </c:pt>
                <c:pt idx="67">
                  <c:v>0.58755603428290415</c:v>
                </c:pt>
                <c:pt idx="68">
                  <c:v>0.62756832956603803</c:v>
                </c:pt>
                <c:pt idx="69">
                  <c:v>0.66723378219372909</c:v>
                </c:pt>
                <c:pt idx="70">
                  <c:v>0.70632243070767331</c:v>
                </c:pt>
                <c:pt idx="71">
                  <c:v>0.74471964502130006</c:v>
                </c:pt>
                <c:pt idx="72">
                  <c:v>0.78237770735809187</c:v>
                </c:pt>
                <c:pt idx="73">
                  <c:v>0.81928757465952606</c:v>
                </c:pt>
                <c:pt idx="74">
                  <c:v>0.85546224051286179</c:v>
                </c:pt>
                <c:pt idx="75">
                  <c:v>0.8909268377961197</c:v>
                </c:pt>
                <c:pt idx="76">
                  <c:v>0.92571271318395976</c:v>
                </c:pt>
                <c:pt idx="77">
                  <c:v>0.95985388281700268</c:v>
                </c:pt>
                <c:pt idx="78">
                  <c:v>0.99338495439510133</c:v>
                </c:pt>
                <c:pt idx="79">
                  <c:v>1.0263399807982563</c:v>
                </c:pt>
                <c:pt idx="80">
                  <c:v>1.0587518711035291</c:v>
                </c:pt>
                <c:pt idx="81">
                  <c:v>1.0906520221008693</c:v>
                </c:pt>
                <c:pt idx="82">
                  <c:v>1.1220699829836993</c:v>
                </c:pt>
                <c:pt idx="83">
                  <c:v>1.1530332407410946</c:v>
                </c:pt>
                <c:pt idx="84">
                  <c:v>1.1835672376819206</c:v>
                </c:pt>
                <c:pt idx="85">
                  <c:v>1.2136955359101904</c:v>
                </c:pt>
                <c:pt idx="86">
                  <c:v>1.24343999522875</c:v>
                </c:pt>
                <c:pt idx="87">
                  <c:v>1.2728209169766436</c:v>
                </c:pt>
                <c:pt idx="88">
                  <c:v>1.3018571616987766</c:v>
                </c:pt>
                <c:pt idx="89">
                  <c:v>1.3305662544493149</c:v>
                </c:pt>
                <c:pt idx="90">
                  <c:v>1.3589644840453357</c:v>
                </c:pt>
                <c:pt idx="91">
                  <c:v>1.3870669975475811</c:v>
                </c:pt>
                <c:pt idx="92">
                  <c:v>1.4148878895483192</c:v>
                </c:pt>
                <c:pt idx="93">
                  <c:v>1.4424402856876726</c:v>
                </c:pt>
                <c:pt idx="94">
                  <c:v>1.4697364200932801</c:v>
                </c:pt>
                <c:pt idx="95">
                  <c:v>1.4967877067295565</c:v>
                </c:pt>
                <c:pt idx="96">
                  <c:v>1.523604804850921</c:v>
                </c:pt>
                <c:pt idx="97">
                  <c:v>1.5501976788779348</c:v>
                </c:pt>
                <c:pt idx="98">
                  <c:v>1.5765756530781638</c:v>
                </c:pt>
                <c:pt idx="99">
                  <c:v>1.6027474614567414</c:v>
                </c:pt>
                <c:pt idx="100">
                  <c:v>1.6287212932601212</c:v>
                </c:pt>
                <c:pt idx="101">
                  <c:v>1.6545048344804845</c:v>
                </c:pt>
                <c:pt idx="102">
                  <c:v>1.6801053057253019</c:v>
                </c:pt>
                <c:pt idx="103">
                  <c:v>1.7055294967892718</c:v>
                </c:pt>
                <c:pt idx="104">
                  <c:v>1.7307837982382808</c:v>
                </c:pt>
                <c:pt idx="105">
                  <c:v>1.7558742302869952</c:v>
                </c:pt>
                <c:pt idx="106">
                  <c:v>1.780806469226383</c:v>
                </c:pt>
                <c:pt idx="107">
                  <c:v>1.8055858716315267</c:v>
                </c:pt>
                <c:pt idx="108">
                  <c:v>1.8302174965592553</c:v>
                </c:pt>
                <c:pt idx="109">
                  <c:v>1.8547061259228481</c:v>
                </c:pt>
                <c:pt idx="110">
                  <c:v>1.8790562832133693</c:v>
                </c:pt>
                <c:pt idx="111">
                  <c:v>1.9032722507199287</c:v>
                </c:pt>
                <c:pt idx="112">
                  <c:v>1.9273580853860199</c:v>
                </c:pt>
                <c:pt idx="113">
                  <c:v>1.9513176334252791</c:v>
                </c:pt>
                <c:pt idx="114">
                  <c:v>1.9751545438079083</c:v>
                </c:pt>
                <c:pt idx="115">
                  <c:v>1.9988722807178272</c:v>
                </c:pt>
                <c:pt idx="116">
                  <c:v>2.022474135071143</c:v>
                </c:pt>
                <c:pt idx="117">
                  <c:v>2.0459632351771857</c:v>
                </c:pt>
                <c:pt idx="118">
                  <c:v>2.0693425566160557</c:v>
                </c:pt>
                <c:pt idx="119">
                  <c:v>2.0926149313987947</c:v>
                </c:pt>
                <c:pt idx="120">
                  <c:v>2.1157830564710594</c:v>
                </c:pt>
                <c:pt idx="121">
                  <c:v>2.1388495016141906</c:v>
                </c:pt>
                <c:pt idx="122">
                  <c:v>2.1618167167936684</c:v>
                </c:pt>
                <c:pt idx="123">
                  <c:v>2.1846870389996487</c:v>
                </c:pt>
                <c:pt idx="124">
                  <c:v>2.207462698620132</c:v>
                </c:pt>
                <c:pt idx="125">
                  <c:v>2.2301458253844353</c:v>
                </c:pt>
                <c:pt idx="126">
                  <c:v>2.252738453909954</c:v>
                </c:pt>
                <c:pt idx="127">
                  <c:v>2.2752425288837794</c:v>
                </c:pt>
                <c:pt idx="128">
                  <c:v>2.2976599099064914</c:v>
                </c:pt>
                <c:pt idx="129">
                  <c:v>2.3199923760244254</c:v>
                </c:pt>
                <c:pt idx="130">
                  <c:v>2.3422416299730626</c:v>
                </c:pt>
                <c:pt idx="131">
                  <c:v>2.3644093021538604</c:v>
                </c:pt>
                <c:pt idx="132">
                  <c:v>2.3864969543632215</c:v>
                </c:pt>
                <c:pt idx="133">
                  <c:v>2.4085060832922802</c:v>
                </c:pt>
                <c:pt idx="134">
                  <c:v>2.4304381238135826</c:v>
                </c:pt>
                <c:pt idx="135">
                  <c:v>2.4522944520699488</c:v>
                </c:pt>
                <c:pt idx="136">
                  <c:v>2.4740763883794434</c:v>
                </c:pt>
                <c:pt idx="137">
                  <c:v>2.4957851999692506</c:v>
                </c:pt>
                <c:pt idx="138">
                  <c:v>2.5174221035500817</c:v>
                </c:pt>
                <c:pt idx="139">
                  <c:v>2.5389882677422646</c:v>
                </c:pt>
                <c:pt idx="140">
                  <c:v>2.5604848153632069</c:v>
                </c:pt>
                <c:pt idx="141">
                  <c:v>2.5819128255858619</c:v>
                </c:pt>
                <c:pt idx="142">
                  <c:v>2.6032733359762243</c:v>
                </c:pt>
                <c:pt idx="143">
                  <c:v>2.6245673444182263</c:v>
                </c:pt>
                <c:pt idx="144">
                  <c:v>2.6457958109332211</c:v>
                </c:pt>
                <c:pt idx="145">
                  <c:v>2.6669596594004963</c:v>
                </c:pt>
                <c:pt idx="146">
                  <c:v>2.688059779185584</c:v>
                </c:pt>
                <c:pt idx="147">
                  <c:v>2.7090970266818224</c:v>
                </c:pt>
                <c:pt idx="148">
                  <c:v>2.730072226770651</c:v>
                </c:pt>
                <c:pt idx="149">
                  <c:v>2.7509861742057873</c:v>
                </c:pt>
                <c:pt idx="150">
                  <c:v>2.7718396349258008</c:v>
                </c:pt>
                <c:pt idx="151">
                  <c:v>2.7926333472993137</c:v>
                </c:pt>
                <c:pt idx="152">
                  <c:v>2.8133680233072735</c:v>
                </c:pt>
                <c:pt idx="153">
                  <c:v>2.8340443496654997</c:v>
                </c:pt>
                <c:pt idx="154">
                  <c:v>2.8546629888914281</c:v>
                </c:pt>
                <c:pt idx="155">
                  <c:v>2.8752245803181724</c:v>
                </c:pt>
                <c:pt idx="156">
                  <c:v>2.8957297410589158</c:v>
                </c:pt>
                <c:pt idx="157">
                  <c:v>2.9161790669244825</c:v>
                </c:pt>
                <c:pt idx="158">
                  <c:v>2.9365731332968599</c:v>
                </c:pt>
                <c:pt idx="159">
                  <c:v>2.9569124959609048</c:v>
                </c:pt>
                <c:pt idx="160">
                  <c:v>2.9771976918970386</c:v>
                </c:pt>
                <c:pt idx="161">
                  <c:v>2.9974292400363312</c:v>
                </c:pt>
                <c:pt idx="162">
                  <c:v>3.0176076419808688</c:v>
                </c:pt>
                <c:pt idx="163">
                  <c:v>3.0377333826907886</c:v>
                </c:pt>
                <c:pt idx="164">
                  <c:v>3.0578069311397997</c:v>
                </c:pt>
                <c:pt idx="165">
                  <c:v>3.0778287409410923</c:v>
                </c:pt>
                <c:pt idx="166">
                  <c:v>3.0977992509450156</c:v>
                </c:pt>
                <c:pt idx="167">
                  <c:v>3.117718885810135</c:v>
                </c:pt>
                <c:pt idx="168">
                  <c:v>3.1375880565490046</c:v>
                </c:pt>
                <c:pt idx="169">
                  <c:v>3.157407161049874</c:v>
                </c:pt>
                <c:pt idx="170">
                  <c:v>3.1771765845757334</c:v>
                </c:pt>
                <c:pt idx="171">
                  <c:v>3.1968967002416981</c:v>
                </c:pt>
                <c:pt idx="172">
                  <c:v>3.2165678694720254</c:v>
                </c:pt>
                <c:pt idx="173">
                  <c:v>3.2361904424374877</c:v>
                </c:pt>
                <c:pt idx="174">
                  <c:v>3.255764758474335</c:v>
                </c:pt>
                <c:pt idx="175">
                  <c:v>3.2752911464857277</c:v>
                </c:pt>
                <c:pt idx="176">
                  <c:v>3.2947699253262206</c:v>
                </c:pt>
                <c:pt idx="177">
                  <c:v>3.3142014041705661</c:v>
                </c:pt>
                <c:pt idx="178">
                  <c:v>3.3335858828672791</c:v>
                </c:pt>
                <c:pt idx="179">
                  <c:v>3.352923652277692</c:v>
                </c:pt>
                <c:pt idx="180" formatCode="0.00">
                  <c:v>3.3722149946013849</c:v>
                </c:pt>
                <c:pt idx="181">
                  <c:v>3.3914601836885452</c:v>
                </c:pt>
                <c:pt idx="182">
                  <c:v>3.4106594853395995</c:v>
                </c:pt>
                <c:pt idx="183">
                  <c:v>3.4298131575932564</c:v>
                </c:pt>
                <c:pt idx="184">
                  <c:v>3.4489214510030459</c:v>
                </c:pt>
                <c:pt idx="185">
                  <c:v>3.4679846089029827</c:v>
                </c:pt>
                <c:pt idx="186">
                  <c:v>3.4870028676629388</c:v>
                </c:pt>
                <c:pt idx="187">
                  <c:v>3.5059764569342127</c:v>
                </c:pt>
                <c:pt idx="188">
                  <c:v>3.5249055998855012</c:v>
                </c:pt>
                <c:pt idx="189">
                  <c:v>3.5437905134300185</c:v>
                </c:pt>
                <c:pt idx="190">
                  <c:v>3.5626314084438828</c:v>
                </c:pt>
                <c:pt idx="191">
                  <c:v>3.5814284899763162</c:v>
                </c:pt>
                <c:pt idx="192">
                  <c:v>3.6001819574520235</c:v>
                </c:pt>
                <c:pt idx="193">
                  <c:v>3.6188920048657565</c:v>
                </c:pt>
                <c:pt idx="194">
                  <c:v>3.6375588209701371</c:v>
                </c:pt>
                <c:pt idx="195">
                  <c:v>3.6561825894561557</c:v>
                </c:pt>
                <c:pt idx="196">
                  <c:v>3.6747634891272121</c:v>
                </c:pt>
                <c:pt idx="197">
                  <c:v>3.6933016940668115</c:v>
                </c:pt>
                <c:pt idx="198">
                  <c:v>3.711797373800247</c:v>
                </c:pt>
                <c:pt idx="199">
                  <c:v>3.7302506934503086</c:v>
                </c:pt>
                <c:pt idx="200">
                  <c:v>3.7486618138875918</c:v>
                </c:pt>
                <c:pt idx="201">
                  <c:v>3.7670308918752879</c:v>
                </c:pt>
                <c:pt idx="202">
                  <c:v>3.7853580802090128</c:v>
                </c:pt>
                <c:pt idx="203">
                  <c:v>3.803643527851535</c:v>
                </c:pt>
                <c:pt idx="204">
                  <c:v>3.8218873800628965</c:v>
                </c:pt>
                <c:pt idx="205">
                  <c:v>3.8400897785259565</c:v>
                </c:pt>
                <c:pt idx="206">
                  <c:v>3.858250861467575</c:v>
                </c:pt>
                <c:pt idx="207">
                  <c:v>3.8763707637756268</c:v>
                </c:pt>
                <c:pt idx="208">
                  <c:v>3.8944496171119516</c:v>
                </c:pt>
                <c:pt idx="209">
                  <c:v>3.912487550021432</c:v>
                </c:pt>
                <c:pt idx="210">
                  <c:v>3.9304846880374824</c:v>
                </c:pt>
                <c:pt idx="211">
                  <c:v>3.9484411537838069</c:v>
                </c:pt>
                <c:pt idx="212">
                  <c:v>3.9663570670727037</c:v>
                </c:pt>
                <c:pt idx="213">
                  <c:v>3.9842325450003369</c:v>
                </c:pt>
                <c:pt idx="214">
                  <c:v>4.0020677020384827</c:v>
                </c:pt>
                <c:pt idx="215">
                  <c:v>4.0198626501233248</c:v>
                </c:pt>
                <c:pt idx="216">
                  <c:v>4.0376174987414659</c:v>
                </c:pt>
                <c:pt idx="217">
                  <c:v>4.0553323550128946</c:v>
                </c:pt>
                <c:pt idx="218">
                  <c:v>4.0730073237713711</c:v>
                </c:pt>
                <c:pt idx="219">
                  <c:v>4.0906425076419195</c:v>
                </c:pt>
                <c:pt idx="220">
                  <c:v>4.1082380071162525</c:v>
                </c:pt>
                <c:pt idx="221">
                  <c:v>4.1257939206251875</c:v>
                </c:pt>
                <c:pt idx="222">
                  <c:v>4.1433103446091915</c:v>
                </c:pt>
                <c:pt idx="223">
                  <c:v>4.1607873735862819</c:v>
                </c:pt>
                <c:pt idx="224">
                  <c:v>4.1782251002180981</c:v>
                </c:pt>
                <c:pt idx="225">
                  <c:v>4.1956236153734103</c:v>
                </c:pt>
                <c:pt idx="226">
                  <c:v>4.2129830081900623</c:v>
                </c:pt>
                <c:pt idx="227">
                  <c:v>4.230303366134633</c:v>
                </c:pt>
                <c:pt idx="228">
                  <c:v>4.2475847750602238</c:v>
                </c:pt>
                <c:pt idx="229">
                  <c:v>4.2648273192626132</c:v>
                </c:pt>
                <c:pt idx="230">
                  <c:v>4.2820310815343445</c:v>
                </c:pt>
                <c:pt idx="231">
                  <c:v>4.2991961432174541</c:v>
                </c:pt>
                <c:pt idx="232">
                  <c:v>4.3163225842541921</c:v>
                </c:pt>
                <c:pt idx="233">
                  <c:v>4.3334104832363982</c:v>
                </c:pt>
                <c:pt idx="234">
                  <c:v>4.3504599174532288</c:v>
                </c:pt>
                <c:pt idx="235">
                  <c:v>4.3674709629374249</c:v>
                </c:pt>
                <c:pt idx="236">
                  <c:v>4.384443694510118</c:v>
                </c:pt>
                <c:pt idx="237">
                  <c:v>4.4013781858242798</c:v>
                </c:pt>
                <c:pt idx="238">
                  <c:v>4.4182745094067801</c:v>
                </c:pt>
                <c:pt idx="239">
                  <c:v>4.4351327366992619</c:v>
                </c:pt>
                <c:pt idx="240">
                  <c:v>4.4519529380974827</c:v>
                </c:pt>
                <c:pt idx="241">
                  <c:v>4.4687351829897182</c:v>
                </c:pt>
                <c:pt idx="242">
                  <c:v>4.4854795397940119</c:v>
                </c:pt>
                <c:pt idx="243">
                  <c:v>4.5021860759939516</c:v>
                </c:pt>
                <c:pt idx="244">
                  <c:v>4.5188548581736496</c:v>
                </c:pt>
                <c:pt idx="245">
                  <c:v>4.5354859520515998</c:v>
                </c:pt>
              </c:numCache>
            </c:numRef>
          </c:yVal>
          <c:smooth val="1"/>
          <c:extLst>
            <c:ext xmlns:c16="http://schemas.microsoft.com/office/drawing/2014/chart" uri="{C3380CC4-5D6E-409C-BE32-E72D297353CC}">
              <c16:uniqueId val="{00000002-4884-4034-B8EA-8C32D3CFE830}"/>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0" sourceLinked="0"/>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8.2024206134070687E-2"/>
          <c:y val="0.10713769442264913"/>
          <c:w val="0.81624194118261317"/>
          <c:h val="0.1101086472635374"/>
        </c:manualLayout>
      </c:layout>
      <c:overlay val="0"/>
      <c:spPr>
        <a:noFill/>
      </c:spPr>
      <c:txPr>
        <a:bodyPr/>
        <a:lstStyle/>
        <a:p>
          <a:pPr>
            <a:defRPr sz="1200" b="1"/>
          </a:pPr>
          <a:endParaRPr lang="en-US"/>
        </a:p>
      </c:txPr>
    </c:legend>
    <c:plotVisOnly val="0"/>
    <c:dispBlanksAs val="gap"/>
    <c:showDLblsOverMax val="0"/>
  </c:chart>
  <c:spPr>
    <a:ln w="12700">
      <a:solidFill>
        <a:srgbClr val="C00000"/>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Source Current</a:t>
            </a:r>
            <a:r>
              <a:rPr lang="en-US" sz="1400" baseline="0">
                <a:solidFill>
                  <a:srgbClr val="0E9ED9"/>
                </a:solidFill>
              </a:rPr>
              <a:t> for 1 Amp 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spPr>
            <a:ln w="19050"/>
          </c:spPr>
          <c:marker>
            <c:symbol val="none"/>
          </c:marker>
          <c:xVal>
            <c:numRef>
              <c:f>'5-Branch HP Filter Design'!$ER$5:$ER$250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Design'!$ES$5:$ES$250</c:f>
              <c:numCache>
                <c:formatCode>General</c:formatCode>
                <c:ptCount val="246"/>
                <c:pt idx="0">
                  <c:v>1.0285487615103557</c:v>
                </c:pt>
                <c:pt idx="1">
                  <c:v>1.0420034636881257</c:v>
                </c:pt>
                <c:pt idx="2">
                  <c:v>1.0586843418531993</c:v>
                </c:pt>
                <c:pt idx="3">
                  <c:v>1.0790751917026886</c:v>
                </c:pt>
                <c:pt idx="4">
                  <c:v>1.1038258232363982</c:v>
                </c:pt>
                <c:pt idx="5">
                  <c:v>1.1338168942441396</c:v>
                </c:pt>
                <c:pt idx="6">
                  <c:v>1.1702607765072284</c:v>
                </c:pt>
                <c:pt idx="7">
                  <c:v>1.2148636342387193</c:v>
                </c:pt>
                <c:pt idx="8">
                  <c:v>1.2700964237600172</c:v>
                </c:pt>
                <c:pt idx="9">
                  <c:v>1.3396704320641102</c:v>
                </c:pt>
                <c:pt idx="10">
                  <c:v>1.4294223222028994</c:v>
                </c:pt>
                <c:pt idx="11">
                  <c:v>1.549085411591232</c:v>
                </c:pt>
                <c:pt idx="12">
                  <c:v>1.7161732892813648</c:v>
                </c:pt>
                <c:pt idx="13">
                  <c:v>1.9655514899666864</c:v>
                </c:pt>
                <c:pt idx="14">
                  <c:v>2.3768762066184896</c:v>
                </c:pt>
                <c:pt idx="15">
                  <c:v>3.1682282717417967</c:v>
                </c:pt>
                <c:pt idx="16">
                  <c:v>4.946675206280152</c:v>
                </c:pt>
                <c:pt idx="17">
                  <c:v>5.0090197285274085</c:v>
                </c:pt>
                <c:pt idx="18">
                  <c:v>2.1669244627441104</c:v>
                </c:pt>
                <c:pt idx="19">
                  <c:v>1.0813581651351862</c:v>
                </c:pt>
                <c:pt idx="20">
                  <c:v>0.73616992159495143</c:v>
                </c:pt>
                <c:pt idx="21">
                  <c:v>0.77718207962467512</c:v>
                </c:pt>
                <c:pt idx="22">
                  <c:v>1.0155920168390384</c:v>
                </c:pt>
                <c:pt idx="23">
                  <c:v>1.3921220941550045</c:v>
                </c:pt>
                <c:pt idx="24">
                  <c:v>1.8693558829266601</c:v>
                </c:pt>
                <c:pt idx="25">
                  <c:v>1.9892836593585235</c:v>
                </c:pt>
                <c:pt idx="26">
                  <c:v>1.4484531763091781</c:v>
                </c:pt>
                <c:pt idx="27">
                  <c:v>0.93134644119830279</c:v>
                </c:pt>
                <c:pt idx="28">
                  <c:v>0.61067092106021525</c:v>
                </c:pt>
                <c:pt idx="29">
                  <c:v>0.43024728695445019</c:v>
                </c:pt>
                <c:pt idx="30">
                  <c:v>0.35672307764649452</c:v>
                </c:pt>
                <c:pt idx="31">
                  <c:v>0.36891735234391287</c:v>
                </c:pt>
                <c:pt idx="32">
                  <c:v>0.43736607214038625</c:v>
                </c:pt>
                <c:pt idx="33">
                  <c:v>0.54124531884908134</c:v>
                </c:pt>
                <c:pt idx="34">
                  <c:v>0.67586995247172099</c:v>
                </c:pt>
                <c:pt idx="35">
                  <c:v>0.84566726526969693</c:v>
                </c:pt>
                <c:pt idx="36">
                  <c:v>1.0513293158883776</c:v>
                </c:pt>
                <c:pt idx="37">
                  <c:v>1.2544336534016958</c:v>
                </c:pt>
                <c:pt idx="38">
                  <c:v>1.3310037321778103</c:v>
                </c:pt>
                <c:pt idx="39">
                  <c:v>1.1949592074065201</c:v>
                </c:pt>
                <c:pt idx="40">
                  <c:v>0.96075776172706528</c:v>
                </c:pt>
                <c:pt idx="41">
                  <c:v>0.74724686109257976</c:v>
                </c:pt>
                <c:pt idx="42">
                  <c:v>0.58210328440313674</c:v>
                </c:pt>
                <c:pt idx="43">
                  <c:v>0.45791692116885985</c:v>
                </c:pt>
                <c:pt idx="44">
                  <c:v>0.36354334434198554</c:v>
                </c:pt>
                <c:pt idx="45">
                  <c:v>0.2906368742396504</c:v>
                </c:pt>
                <c:pt idx="46">
                  <c:v>0.23381110818891346</c:v>
                </c:pt>
                <c:pt idx="47">
                  <c:v>0.18996033826962083</c:v>
                </c:pt>
                <c:pt idx="48">
                  <c:v>0.15775419180032371</c:v>
                </c:pt>
                <c:pt idx="49">
                  <c:v>0.13719625480978451</c:v>
                </c:pt>
                <c:pt idx="50">
                  <c:v>0.12870392526066515</c:v>
                </c:pt>
                <c:pt idx="51">
                  <c:v>0.13151291262387144</c:v>
                </c:pt>
                <c:pt idx="52">
                  <c:v>0.14261992058420109</c:v>
                </c:pt>
                <c:pt idx="53">
                  <c:v>0.15693265261629868</c:v>
                </c:pt>
                <c:pt idx="54">
                  <c:v>0.16756597872311649</c:v>
                </c:pt>
                <c:pt idx="55">
                  <c:v>0.16755910182911063</c:v>
                </c:pt>
                <c:pt idx="56">
                  <c:v>0.15486292338572025</c:v>
                </c:pt>
                <c:pt idx="57">
                  <c:v>0.1346618596881016</c:v>
                </c:pt>
                <c:pt idx="58">
                  <c:v>0.11432206338014692</c:v>
                </c:pt>
                <c:pt idx="59">
                  <c:v>9.8575418798124662E-2</c:v>
                </c:pt>
                <c:pt idx="60">
                  <c:v>8.9066034732506183E-2</c:v>
                </c:pt>
                <c:pt idx="61">
                  <c:v>8.5410526653514257E-2</c:v>
                </c:pt>
                <c:pt idx="62">
                  <c:v>8.6192421858073895E-2</c:v>
                </c:pt>
                <c:pt idx="63">
                  <c:v>8.9817483256927927E-2</c:v>
                </c:pt>
                <c:pt idx="64">
                  <c:v>9.5024330645004859E-2</c:v>
                </c:pt>
                <c:pt idx="65">
                  <c:v>0.10098637415263052</c:v>
                </c:pt>
                <c:pt idx="66">
                  <c:v>0.10721424130999734</c:v>
                </c:pt>
                <c:pt idx="67">
                  <c:v>0.11343412126970838</c:v>
                </c:pt>
                <c:pt idx="68">
                  <c:v>0.11949923381379275</c:v>
                </c:pt>
                <c:pt idx="69">
                  <c:v>0.12533527343963882</c:v>
                </c:pt>
                <c:pt idx="70">
                  <c:v>0.130908782255094</c:v>
                </c:pt>
                <c:pt idx="71">
                  <c:v>0.13620915739777487</c:v>
                </c:pt>
                <c:pt idx="72">
                  <c:v>0.1412384261205793</c:v>
                </c:pt>
                <c:pt idx="73">
                  <c:v>0.14600540394723527</c:v>
                </c:pt>
                <c:pt idx="74">
                  <c:v>0.15052233749564436</c:v>
                </c:pt>
                <c:pt idx="75">
                  <c:v>0.15480297032093138</c:v>
                </c:pt>
                <c:pt idx="76">
                  <c:v>0.15886143363898905</c:v>
                </c:pt>
                <c:pt idx="77">
                  <c:v>0.16271162186396046</c:v>
                </c:pt>
                <c:pt idx="78">
                  <c:v>0.16636685887626959</c:v>
                </c:pt>
                <c:pt idx="79">
                  <c:v>0.16983974227863494</c:v>
                </c:pt>
                <c:pt idx="80">
                  <c:v>0.17314208979901527</c:v>
                </c:pt>
                <c:pt idx="81">
                  <c:v>0.17628492507270896</c:v>
                </c:pt>
                <c:pt idx="82">
                  <c:v>0.17927846970548122</c:v>
                </c:pt>
                <c:pt idx="83">
                  <c:v>0.18213215494380613</c:v>
                </c:pt>
                <c:pt idx="84">
                  <c:v>0.18485466881372356</c:v>
                </c:pt>
                <c:pt idx="85">
                  <c:v>0.18745402281361112</c:v>
                </c:pt>
                <c:pt idx="86">
                  <c:v>0.18993761626086764</c:v>
                </c:pt>
                <c:pt idx="87">
                  <c:v>0.19231229129497066</c:v>
                </c:pt>
                <c:pt idx="88">
                  <c:v>0.19458438042077919</c:v>
                </c:pt>
                <c:pt idx="89">
                  <c:v>0.19675974918849473</c:v>
                </c:pt>
                <c:pt idx="90">
                  <c:v>0.19884383529286551</c:v>
                </c:pt>
                <c:pt idx="91">
                  <c:v>0.20084168453761206</c:v>
                </c:pt>
                <c:pt idx="92">
                  <c:v>0.20275798383111177</c:v>
                </c:pt>
                <c:pt idx="93">
                  <c:v>0.20459709134330112</c:v>
                </c:pt>
                <c:pt idx="94">
                  <c:v>0.20636306398169435</c:v>
                </c:pt>
                <c:pt idx="95">
                  <c:v>0.20805968237226344</c:v>
                </c:pt>
                <c:pt idx="96">
                  <c:v>0.20969047354484255</c:v>
                </c:pt>
                <c:pt idx="97">
                  <c:v>0.21125873152408198</c:v>
                </c:pt>
                <c:pt idx="98">
                  <c:v>0.2127675360197947</c:v>
                </c:pt>
                <c:pt idx="99">
                  <c:v>0.21421976939876855</c:v>
                </c:pt>
                <c:pt idx="100">
                  <c:v>0.21561813210601088</c:v>
                </c:pt>
                <c:pt idx="101">
                  <c:v>0.21696515668864125</c:v>
                </c:pt>
                <c:pt idx="102">
                  <c:v>0.21826322056119846</c:v>
                </c:pt>
                <c:pt idx="103">
                  <c:v>0.21951455763734262</c:v>
                </c:pt>
                <c:pt idx="104">
                  <c:v>0.22072126894022287</c:v>
                </c:pt>
                <c:pt idx="105">
                  <c:v>0.22188533229212881</c:v>
                </c:pt>
                <c:pt idx="106">
                  <c:v>0.22300861117352669</c:v>
                </c:pt>
                <c:pt idx="107">
                  <c:v>0.22409286283204849</c:v>
                </c:pt>
                <c:pt idx="108">
                  <c:v>0.22513974571362155</c:v>
                </c:pt>
                <c:pt idx="109">
                  <c:v>0.22615082628021016</c:v>
                </c:pt>
                <c:pt idx="110">
                  <c:v>0.22712758527202054</c:v>
                </c:pt>
                <c:pt idx="111">
                  <c:v>0.22807142346590367</c:v>
                </c:pt>
                <c:pt idx="112">
                  <c:v>0.22898366697642772</c:v>
                </c:pt>
                <c:pt idx="113">
                  <c:v>0.22986557214125911</c:v>
                </c:pt>
                <c:pt idx="114">
                  <c:v>0.23071833002830081</c:v>
                </c:pt>
                <c:pt idx="115">
                  <c:v>0.23154307059826104</c:v>
                </c:pt>
                <c:pt idx="116">
                  <c:v>0.23234086655296571</c:v>
                </c:pt>
                <c:pt idx="117">
                  <c:v>0.23311273689672024</c:v>
                </c:pt>
                <c:pt idx="118">
                  <c:v>0.23385965023540445</c:v>
                </c:pt>
                <c:pt idx="119">
                  <c:v>0.23458252783552064</c:v>
                </c:pt>
                <c:pt idx="120">
                  <c:v>0.23528224646339302</c:v>
                </c:pt>
                <c:pt idx="121">
                  <c:v>0.23595964102269953</c:v>
                </c:pt>
                <c:pt idx="122">
                  <c:v>0.23661550700690795</c:v>
                </c:pt>
                <c:pt idx="123">
                  <c:v>0.23725060278158114</c:v>
                </c:pt>
                <c:pt idx="124">
                  <c:v>0.23786565171019888</c:v>
                </c:pt>
                <c:pt idx="125">
                  <c:v>0.23846134413588602</c:v>
                </c:pt>
                <c:pt idx="126">
                  <c:v>0.23903833923030393</c:v>
                </c:pt>
                <c:pt idx="127">
                  <c:v>0.23959726672003612</c:v>
                </c:pt>
                <c:pt idx="128">
                  <c:v>0.24013872849979406</c:v>
                </c:pt>
                <c:pt idx="129">
                  <c:v>0.2406633001410616</c:v>
                </c:pt>
                <c:pt idx="130">
                  <c:v>0.24117153230396074</c:v>
                </c:pt>
                <c:pt idx="131">
                  <c:v>0.24166395205956809</c:v>
                </c:pt>
                <c:pt idx="132">
                  <c:v>0.24214106412918548</c:v>
                </c:pt>
                <c:pt idx="133">
                  <c:v>0.24260335204663339</c:v>
                </c:pt>
                <c:pt idx="134">
                  <c:v>0.24305127924906425</c:v>
                </c:pt>
                <c:pt idx="135">
                  <c:v>0.24348529010139636</c:v>
                </c:pt>
                <c:pt idx="136">
                  <c:v>0.24390581085901189</c:v>
                </c:pt>
                <c:pt idx="137">
                  <c:v>0.24431325057303305</c:v>
                </c:pt>
                <c:pt idx="138">
                  <c:v>0.24470800194212208</c:v>
                </c:pt>
                <c:pt idx="139">
                  <c:v>0.24509044211445968</c:v>
                </c:pt>
                <c:pt idx="140">
                  <c:v>0.24546093344325753</c:v>
                </c:pt>
                <c:pt idx="141">
                  <c:v>0.24581982419893833</c:v>
                </c:pt>
                <c:pt idx="142">
                  <c:v>0.24616744924081121</c:v>
                </c:pt>
                <c:pt idx="143">
                  <c:v>0.24650413065093099</c:v>
                </c:pt>
                <c:pt idx="144">
                  <c:v>0.24683017833261345</c:v>
                </c:pt>
                <c:pt idx="145">
                  <c:v>0.24714589057582659</c:v>
                </c:pt>
                <c:pt idx="146">
                  <c:v>0.2474515545916387</c:v>
                </c:pt>
                <c:pt idx="147">
                  <c:v>0.24774744701762427</c:v>
                </c:pt>
                <c:pt idx="148">
                  <c:v>0.24803383439608337</c:v>
                </c:pt>
                <c:pt idx="149">
                  <c:v>0.2483109736267412</c:v>
                </c:pt>
                <c:pt idx="150">
                  <c:v>0.24857911239550701</c:v>
                </c:pt>
                <c:pt idx="151">
                  <c:v>0.24883848958075452</c:v>
                </c:pt>
                <c:pt idx="152">
                  <c:v>0.24908933563848121</c:v>
                </c:pt>
                <c:pt idx="153">
                  <c:v>0.24933187296760093</c:v>
                </c:pt>
                <c:pt idx="154">
                  <c:v>0.24956631625657011</c:v>
                </c:pt>
                <c:pt idx="155">
                  <c:v>0.2497928728124385</c:v>
                </c:pt>
                <c:pt idx="156">
                  <c:v>0.25001174287335381</c:v>
                </c:pt>
                <c:pt idx="157">
                  <c:v>0.25022311990545565</c:v>
                </c:pt>
                <c:pt idx="158">
                  <c:v>0.25042719088511367</c:v>
                </c:pt>
                <c:pt idx="159">
                  <c:v>0.25062413656727317</c:v>
                </c:pt>
                <c:pt idx="160">
                  <c:v>0.25081413174076056</c:v>
                </c:pt>
                <c:pt idx="161">
                  <c:v>0.25099734547122665</c:v>
                </c:pt>
                <c:pt idx="162">
                  <c:v>0.25117394133244303</c:v>
                </c:pt>
                <c:pt idx="163">
                  <c:v>0.25134407762660654</c:v>
                </c:pt>
                <c:pt idx="164">
                  <c:v>0.25150790759421937</c:v>
                </c:pt>
                <c:pt idx="165">
                  <c:v>0.25166557961413899</c:v>
                </c:pt>
                <c:pt idx="166">
                  <c:v>0.25181723739431633</c:v>
                </c:pt>
                <c:pt idx="167">
                  <c:v>0.25196302015373001</c:v>
                </c:pt>
                <c:pt idx="168">
                  <c:v>0.25210306279597472</c:v>
                </c:pt>
                <c:pt idx="169">
                  <c:v>0.25223749607495027</c:v>
                </c:pt>
                <c:pt idx="170">
                  <c:v>0.25236644675305475</c:v>
                </c:pt>
                <c:pt idx="171">
                  <c:v>0.25249003775229095</c:v>
                </c:pt>
                <c:pt idx="172">
                  <c:v>0.25260838829863952</c:v>
                </c:pt>
                <c:pt idx="173">
                  <c:v>0.25272161406003524</c:v>
                </c:pt>
                <c:pt idx="174">
                  <c:v>0.25282982727829312</c:v>
                </c:pt>
                <c:pt idx="175">
                  <c:v>0.25293313689526864</c:v>
                </c:pt>
                <c:pt idx="176">
                  <c:v>0.25303164867355665</c:v>
                </c:pt>
                <c:pt idx="177">
                  <c:v>0.25312546531199059</c:v>
                </c:pt>
                <c:pt idx="178">
                  <c:v>0.25321468655621687</c:v>
                </c:pt>
                <c:pt idx="179">
                  <c:v>0.25329940930455019</c:v>
                </c:pt>
                <c:pt idx="180">
                  <c:v>0.25337972770938894</c:v>
                </c:pt>
                <c:pt idx="181">
                  <c:v>0.25345573327436782</c:v>
                </c:pt>
                <c:pt idx="182">
                  <c:v>0.25352751494745396</c:v>
                </c:pt>
                <c:pt idx="183">
                  <c:v>0.25359515921021708</c:v>
                </c:pt>
                <c:pt idx="184">
                  <c:v>0.25365875016341477</c:v>
                </c:pt>
                <c:pt idx="185">
                  <c:v>0.25371836960907873</c:v>
                </c:pt>
                <c:pt idx="186">
                  <c:v>0.25377409712928384</c:v>
                </c:pt>
                <c:pt idx="187">
                  <c:v>0.25382601016172662</c:v>
                </c:pt>
                <c:pt idx="188">
                  <c:v>0.2538741840722889</c:v>
                </c:pt>
                <c:pt idx="189">
                  <c:v>0.25391869222469482</c:v>
                </c:pt>
                <c:pt idx="190">
                  <c:v>0.25395960604742396</c:v>
                </c:pt>
                <c:pt idx="191">
                  <c:v>0.25399699509798318</c:v>
                </c:pt>
                <c:pt idx="192">
                  <c:v>0.25403092712467629</c:v>
                </c:pt>
                <c:pt idx="193">
                  <c:v>0.25406146812594871</c:v>
                </c:pt>
                <c:pt idx="194">
                  <c:v>0.25408868240747307</c:v>
                </c:pt>
                <c:pt idx="195">
                  <c:v>0.25411263263701483</c:v>
                </c:pt>
                <c:pt idx="196">
                  <c:v>0.25413337989721052</c:v>
                </c:pt>
                <c:pt idx="197">
                  <c:v>0.25415098373634476</c:v>
                </c:pt>
                <c:pt idx="198">
                  <c:v>0.25416550221721323</c:v>
                </c:pt>
                <c:pt idx="199">
                  <c:v>0.25417699196414117</c:v>
                </c:pt>
                <c:pt idx="200">
                  <c:v>0.25418550820825797</c:v>
                </c:pt>
                <c:pt idx="201">
                  <c:v>0.25419110483109048</c:v>
                </c:pt>
                <c:pt idx="202">
                  <c:v>0.25419383440654042</c:v>
                </c:pt>
                <c:pt idx="203">
                  <c:v>0.25419374824133201</c:v>
                </c:pt>
                <c:pt idx="204">
                  <c:v>0.25419089641397258</c:v>
                </c:pt>
                <c:pt idx="205">
                  <c:v>0.25418532781231157</c:v>
                </c:pt>
                <c:pt idx="206">
                  <c:v>0.25417709016973833</c:v>
                </c:pt>
                <c:pt idx="207">
                  <c:v>0.25416623010007922</c:v>
                </c:pt>
                <c:pt idx="208">
                  <c:v>0.25415279313125461</c:v>
                </c:pt>
                <c:pt idx="209">
                  <c:v>0.25413682373772661</c:v>
                </c:pt>
                <c:pt idx="210">
                  <c:v>0.25411836537183052</c:v>
                </c:pt>
                <c:pt idx="211">
                  <c:v>0.25409746049397219</c:v>
                </c:pt>
                <c:pt idx="212">
                  <c:v>0.2540741506017905</c:v>
                </c:pt>
                <c:pt idx="213">
                  <c:v>0.25404847625830429</c:v>
                </c:pt>
                <c:pt idx="214">
                  <c:v>0.25402047711908443</c:v>
                </c:pt>
                <c:pt idx="215">
                  <c:v>0.25399019195847999</c:v>
                </c:pt>
                <c:pt idx="216">
                  <c:v>0.25395765869496656</c:v>
                </c:pt>
                <c:pt idx="217">
                  <c:v>0.25392291441562154</c:v>
                </c:pt>
                <c:pt idx="218">
                  <c:v>0.25388599539977286</c:v>
                </c:pt>
                <c:pt idx="219">
                  <c:v>0.25384693714183781</c:v>
                </c:pt>
                <c:pt idx="220">
                  <c:v>0.25380577437342866</c:v>
                </c:pt>
                <c:pt idx="221">
                  <c:v>0.253762541084677</c:v>
                </c:pt>
                <c:pt idx="222">
                  <c:v>0.25371727054489307</c:v>
                </c:pt>
                <c:pt idx="223">
                  <c:v>0.2536699953225045</c:v>
                </c:pt>
                <c:pt idx="224">
                  <c:v>0.25362074730437933</c:v>
                </c:pt>
                <c:pt idx="225">
                  <c:v>0.25356955771447198</c:v>
                </c:pt>
                <c:pt idx="226">
                  <c:v>0.25351645713190418</c:v>
                </c:pt>
                <c:pt idx="227">
                  <c:v>0.253461475508441</c:v>
                </c:pt>
                <c:pt idx="228">
                  <c:v>0.25340464218538933</c:v>
                </c:pt>
                <c:pt idx="229">
                  <c:v>0.25334598590998758</c:v>
                </c:pt>
                <c:pt idx="230">
                  <c:v>0.25328553485124294</c:v>
                </c:pt>
                <c:pt idx="231">
                  <c:v>0.25322331661528341</c:v>
                </c:pt>
                <c:pt idx="232">
                  <c:v>0.25315935826021257</c:v>
                </c:pt>
                <c:pt idx="233">
                  <c:v>0.25309368631050372</c:v>
                </c:pt>
                <c:pt idx="234">
                  <c:v>0.25302632677094261</c:v>
                </c:pt>
                <c:pt idx="235">
                  <c:v>0.25295730514012954</c:v>
                </c:pt>
                <c:pt idx="236">
                  <c:v>0.25288664642356923</c:v>
                </c:pt>
                <c:pt idx="237">
                  <c:v>0.25281437514635108</c:v>
                </c:pt>
                <c:pt idx="238">
                  <c:v>0.25274051536544695</c:v>
                </c:pt>
                <c:pt idx="239">
                  <c:v>0.2526650906816203</c:v>
                </c:pt>
                <c:pt idx="240">
                  <c:v>0.25258812425098159</c:v>
                </c:pt>
                <c:pt idx="241">
                  <c:v>0.25250963879619032</c:v>
                </c:pt>
                <c:pt idx="242">
                  <c:v>0.25242965661732231</c:v>
                </c:pt>
                <c:pt idx="243">
                  <c:v>0.25234819960239979</c:v>
                </c:pt>
                <c:pt idx="244">
                  <c:v>0.25226528923761793</c:v>
                </c:pt>
                <c:pt idx="245">
                  <c:v>0.25218094661725943</c:v>
                </c:pt>
              </c:numCache>
            </c:numRef>
          </c:yVal>
          <c:smooth val="1"/>
          <c:extLst>
            <c:ext xmlns:c16="http://schemas.microsoft.com/office/drawing/2014/chart" uri="{C3380CC4-5D6E-409C-BE32-E72D297353CC}">
              <c16:uniqueId val="{00000000-978B-4C12-80B2-F7B9159906EC}"/>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Harmonic Filter</a:t>
            </a:r>
            <a:r>
              <a:rPr lang="en-US" sz="1400" baseline="0">
                <a:solidFill>
                  <a:srgbClr val="0E9ED9"/>
                </a:solidFill>
              </a:rPr>
              <a:t> Current Flow for 1 Amp 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spPr>
            <a:ln w="19050"/>
          </c:spPr>
          <c:marker>
            <c:symbol val="none"/>
          </c:marker>
          <c:xVal>
            <c:numRef>
              <c:f>'5-Branch HP Filter Design'!$EV$5:$EV$250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Design'!$EW$5:$EW$250</c:f>
              <c:numCache>
                <c:formatCode>General</c:formatCode>
                <c:ptCount val="246"/>
                <c:pt idx="0">
                  <c:v>2.8572934155715986E-2</c:v>
                </c:pt>
                <c:pt idx="1">
                  <c:v>4.2029141198125571E-2</c:v>
                </c:pt>
                <c:pt idx="2">
                  <c:v>5.8712248810971972E-2</c:v>
                </c:pt>
                <c:pt idx="3">
                  <c:v>7.9106421258291398E-2</c:v>
                </c:pt>
                <c:pt idx="4">
                  <c:v>0.10386207130879224</c:v>
                </c:pt>
                <c:pt idx="5">
                  <c:v>0.13386088160290138</c:v>
                </c:pt>
                <c:pt idx="6">
                  <c:v>0.17031704339378992</c:v>
                </c:pt>
                <c:pt idx="7">
                  <c:v>0.2149401084327692</c:v>
                </c:pt>
                <c:pt idx="8">
                  <c:v>0.2702076821273362</c:v>
                </c:pt>
                <c:pt idx="9">
                  <c:v>0.33984491083504731</c:v>
                </c:pt>
                <c:pt idx="10">
                  <c:v>0.42971946207435258</c:v>
                </c:pt>
                <c:pt idx="11">
                  <c:v>0.54964026782690822</c:v>
                </c:pt>
                <c:pt idx="12">
                  <c:v>0.71732678415200102</c:v>
                </c:pt>
                <c:pt idx="13">
                  <c:v>0.96829412406494886</c:v>
                </c:pt>
                <c:pt idx="14">
                  <c:v>1.3847287254670007</c:v>
                </c:pt>
                <c:pt idx="15">
                  <c:v>2.1983626666982574</c:v>
                </c:pt>
                <c:pt idx="16">
                  <c:v>4.1378925663034956</c:v>
                </c:pt>
                <c:pt idx="17">
                  <c:v>5.1443896201721158</c:v>
                </c:pt>
                <c:pt idx="18">
                  <c:v>2.7902815396996647</c:v>
                </c:pt>
                <c:pt idx="19">
                  <c:v>1.7250240722641177</c:v>
                </c:pt>
                <c:pt idx="20">
                  <c:v>1.204384870182275</c:v>
                </c:pt>
                <c:pt idx="21">
                  <c:v>0.91976075486699049</c:v>
                </c:pt>
                <c:pt idx="22">
                  <c:v>0.83932641055537172</c:v>
                </c:pt>
                <c:pt idx="23">
                  <c:v>1.0734412466680836</c:v>
                </c:pt>
                <c:pt idx="24">
                  <c:v>1.6982652565502436</c:v>
                </c:pt>
                <c:pt idx="25">
                  <c:v>2.2734280214567906</c:v>
                </c:pt>
                <c:pt idx="26">
                  <c:v>2.1028215799718115</c:v>
                </c:pt>
                <c:pt idx="27">
                  <c:v>1.7211317948542348</c:v>
                </c:pt>
                <c:pt idx="28">
                  <c:v>1.4295996875699339</c:v>
                </c:pt>
                <c:pt idx="29">
                  <c:v>1.2215602710707012</c:v>
                </c:pt>
                <c:pt idx="30">
                  <c:v>1.0660434743084013</c:v>
                </c:pt>
                <c:pt idx="31">
                  <c:v>0.94409654321607728</c:v>
                </c:pt>
                <c:pt idx="32">
                  <c:v>0.84750596237317366</c:v>
                </c:pt>
                <c:pt idx="33">
                  <c:v>0.77871467075079226</c:v>
                </c:pt>
                <c:pt idx="34">
                  <c:v>0.75609586186558009</c:v>
                </c:pt>
                <c:pt idx="35">
                  <c:v>0.82109696118744391</c:v>
                </c:pt>
                <c:pt idx="36">
                  <c:v>1.0262420113498352</c:v>
                </c:pt>
                <c:pt idx="37">
                  <c:v>1.3748592951196381</c:v>
                </c:pt>
                <c:pt idx="38">
                  <c:v>1.7192896304466565</c:v>
                </c:pt>
                <c:pt idx="39">
                  <c:v>1.8415493527918485</c:v>
                </c:pt>
                <c:pt idx="40">
                  <c:v>1.7648727786634593</c:v>
                </c:pt>
                <c:pt idx="41">
                  <c:v>1.6301415699060418</c:v>
                </c:pt>
                <c:pt idx="42">
                  <c:v>1.5036845779213883</c:v>
                </c:pt>
                <c:pt idx="43">
                  <c:v>1.3990891734132713</c:v>
                </c:pt>
                <c:pt idx="44">
                  <c:v>1.3145624188105303</c:v>
                </c:pt>
                <c:pt idx="45">
                  <c:v>1.2457897159348339</c:v>
                </c:pt>
                <c:pt idx="46">
                  <c:v>1.1889711704527939</c:v>
                </c:pt>
                <c:pt idx="47">
                  <c:v>1.1412607111337045</c:v>
                </c:pt>
                <c:pt idx="48">
                  <c:v>1.1006653104859414</c:v>
                </c:pt>
                <c:pt idx="49">
                  <c:v>1.0659237648582616</c:v>
                </c:pt>
                <c:pt idx="50">
                  <c:v>1.0365042321294702</c:v>
                </c:pt>
                <c:pt idx="51">
                  <c:v>1.0127746330760532</c:v>
                </c:pt>
                <c:pt idx="52">
                  <c:v>0.996294464909666</c:v>
                </c:pt>
                <c:pt idx="53">
                  <c:v>0.98969392217827845</c:v>
                </c:pt>
                <c:pt idx="54">
                  <c:v>0.99454487671714065</c:v>
                </c:pt>
                <c:pt idx="55">
                  <c:v>1.0066985399428681</c:v>
                </c:pt>
                <c:pt idx="56">
                  <c:v>1.0161127555096197</c:v>
                </c:pt>
                <c:pt idx="57">
                  <c:v>1.0160162999136864</c:v>
                </c:pt>
                <c:pt idx="58">
                  <c:v>1.0074864261817795</c:v>
                </c:pt>
                <c:pt idx="59">
                  <c:v>0.99460066699310301</c:v>
                </c:pt>
                <c:pt idx="60">
                  <c:v>0.98043638358737284</c:v>
                </c:pt>
                <c:pt idx="61">
                  <c:v>0.96655031346552511</c:v>
                </c:pt>
                <c:pt idx="62">
                  <c:v>0.95356014260468658</c:v>
                </c:pt>
                <c:pt idx="63">
                  <c:v>0.9416350807419861</c:v>
                </c:pt>
                <c:pt idx="64">
                  <c:v>0.93075704207182075</c:v>
                </c:pt>
                <c:pt idx="65">
                  <c:v>0.92084021017577267</c:v>
                </c:pt>
                <c:pt idx="66">
                  <c:v>0.91178182796372642</c:v>
                </c:pt>
                <c:pt idx="67">
                  <c:v>0.90348229048775885</c:v>
                </c:pt>
                <c:pt idx="68">
                  <c:v>0.89585207266366573</c:v>
                </c:pt>
                <c:pt idx="69">
                  <c:v>0.88881321298075289</c:v>
                </c:pt>
                <c:pt idx="70">
                  <c:v>0.88229869006792339</c:v>
                </c:pt>
                <c:pt idx="71">
                  <c:v>0.87625110969117392</c:v>
                </c:pt>
                <c:pt idx="72">
                  <c:v>0.87062128443535647</c:v>
                </c:pt>
                <c:pt idx="73">
                  <c:v>0.86536692681281457</c:v>
                </c:pt>
                <c:pt idx="74">
                  <c:v>0.86045152259118152</c:v>
                </c:pt>
                <c:pt idx="75">
                  <c:v>0.85584338814028893</c:v>
                </c:pt>
                <c:pt idx="76">
                  <c:v>0.8515148919565606</c:v>
                </c:pt>
                <c:pt idx="77">
                  <c:v>0.84744181315758693</c:v>
                </c:pt>
                <c:pt idx="78">
                  <c:v>0.84360280913710595</c:v>
                </c:pt>
                <c:pt idx="79">
                  <c:v>0.83997897003995348</c:v>
                </c:pt>
                <c:pt idx="80">
                  <c:v>0.83655345235988132</c:v>
                </c:pt>
                <c:pt idx="81">
                  <c:v>0.83331119601518533</c:v>
                </c:pt>
                <c:pt idx="82">
                  <c:v>0.83023871086591794</c:v>
                </c:pt>
                <c:pt idx="83">
                  <c:v>0.82732389090405134</c:v>
                </c:pt>
                <c:pt idx="84">
                  <c:v>0.82455583318300041</c:v>
                </c:pt>
                <c:pt idx="85">
                  <c:v>0.82192467357162602</c:v>
                </c:pt>
                <c:pt idx="86">
                  <c:v>0.81942145151705703</c:v>
                </c:pt>
                <c:pt idx="87">
                  <c:v>0.8170380012358065</c:v>
                </c:pt>
                <c:pt idx="88">
                  <c:v>0.81476686174642399</c:v>
                </c:pt>
                <c:pt idx="89">
                  <c:v>0.8126012001747458</c:v>
                </c:pt>
                <c:pt idx="90">
                  <c:v>0.81053474523335534</c:v>
                </c:pt>
                <c:pt idx="91">
                  <c:v>0.80856172908481372</c:v>
                </c:pt>
                <c:pt idx="92">
                  <c:v>0.80667683635242271</c:v>
                </c:pt>
                <c:pt idx="93">
                  <c:v>0.80487515929332742</c:v>
                </c:pt>
                <c:pt idx="94">
                  <c:v>0.80315215829939413</c:v>
                </c:pt>
                <c:pt idx="95">
                  <c:v>0.80150362700849531</c:v>
                </c:pt>
                <c:pt idx="96">
                  <c:v>0.79992566140967769</c:v>
                </c:pt>
                <c:pt idx="97">
                  <c:v>0.79841463241376665</c:v>
                </c:pt>
                <c:pt idx="98">
                  <c:v>0.79696716143741608</c:v>
                </c:pt>
                <c:pt idx="99">
                  <c:v>0.79558009861397461</c:v>
                </c:pt>
                <c:pt idx="100">
                  <c:v>0.79425050330024038</c:v>
                </c:pt>
                <c:pt idx="101">
                  <c:v>0.79297562659533793</c:v>
                </c:pt>
                <c:pt idx="102">
                  <c:v>0.79175289562777629</c:v>
                </c:pt>
                <c:pt idx="103">
                  <c:v>0.79057989940053641</c:v>
                </c:pt>
                <c:pt idx="104">
                  <c:v>0.78945437601256985</c:v>
                </c:pt>
                <c:pt idx="105">
                  <c:v>0.78837420109935508</c:v>
                </c:pt>
                <c:pt idx="106">
                  <c:v>0.787337377355807</c:v>
                </c:pt>
                <c:pt idx="107">
                  <c:v>0.78634202502234063</c:v>
                </c:pt>
                <c:pt idx="108">
                  <c:v>0.78538637323016991</c:v>
                </c:pt>
                <c:pt idx="109">
                  <c:v>0.78446875211454714</c:v>
                </c:pt>
                <c:pt idx="110">
                  <c:v>0.78358758561594932</c:v>
                </c:pt>
                <c:pt idx="111">
                  <c:v>0.78274138489882616</c:v>
                </c:pt>
                <c:pt idx="112">
                  <c:v>0.78192874232565579</c:v>
                </c:pt>
                <c:pt idx="113">
                  <c:v>0.78114832593137917</c:v>
                </c:pt>
                <c:pt idx="114">
                  <c:v>0.78039887434953759</c:v>
                </c:pt>
                <c:pt idx="115">
                  <c:v>0.77967919214670922</c:v>
                </c:pt>
                <c:pt idx="116">
                  <c:v>0.77898814552690321</c:v>
                </c:pt>
                <c:pt idx="117">
                  <c:v>0.77832465837146603</c:v>
                </c:pt>
                <c:pt idx="118">
                  <c:v>0.77768770858385861</c:v>
                </c:pt>
                <c:pt idx="119">
                  <c:v>0.77707632471181465</c:v>
                </c:pt>
                <c:pt idx="120">
                  <c:v>0.77648958282233405</c:v>
                </c:pt>
                <c:pt idx="121">
                  <c:v>0.77592660360727217</c:v>
                </c:pt>
                <c:pt idx="122">
                  <c:v>0.77538654969978371</c:v>
                </c:pt>
                <c:pt idx="123">
                  <c:v>0.77486862318356675</c:v>
                </c:pt>
                <c:pt idx="124">
                  <c:v>0.77437206327879138</c:v>
                </c:pt>
                <c:pt idx="125">
                  <c:v>0.773896144190099</c:v>
                </c:pt>
                <c:pt idx="126">
                  <c:v>0.77344017310335222</c:v>
                </c:pt>
                <c:pt idx="127">
                  <c:v>0.77300348831927812</c:v>
                </c:pt>
                <c:pt idx="128">
                  <c:v>0.77258545751295671</c:v>
                </c:pt>
                <c:pt idx="129">
                  <c:v>0.77218547610941846</c:v>
                </c:pt>
                <c:pt idx="130">
                  <c:v>0.77180296576615015</c:v>
                </c:pt>
                <c:pt idx="131">
                  <c:v>0.77143737295453796</c:v>
                </c:pt>
                <c:pt idx="132">
                  <c:v>0.7710881676325082</c:v>
                </c:pt>
                <c:pt idx="133">
                  <c:v>0.77075484200176314</c:v>
                </c:pt>
                <c:pt idx="134">
                  <c:v>0.770436909343161</c:v>
                </c:pt>
                <c:pt idx="135">
                  <c:v>0.77013390292465622</c:v>
                </c:pt>
                <c:pt idx="136">
                  <c:v>0.76984537497647376</c:v>
                </c:pt>
                <c:pt idx="137">
                  <c:v>0.76957089572876014</c:v>
                </c:pt>
                <c:pt idx="138">
                  <c:v>0.7693100525072164</c:v>
                </c:pt>
                <c:pt idx="139">
                  <c:v>0.76906244888277198</c:v>
                </c:pt>
                <c:pt idx="140">
                  <c:v>0.76882770387140198</c:v>
                </c:pt>
                <c:pt idx="141">
                  <c:v>0.7686054511808178</c:v>
                </c:pt>
                <c:pt idx="142">
                  <c:v>0.76839533850071506</c:v>
                </c:pt>
                <c:pt idx="143">
                  <c:v>0.76819702683372559</c:v>
                </c:pt>
                <c:pt idx="144">
                  <c:v>0.76801018986438774</c:v>
                </c:pt>
                <c:pt idx="145">
                  <c:v>0.76783451336354214</c:v>
                </c:pt>
                <c:pt idx="146">
                  <c:v>0.76766969462595713</c:v>
                </c:pt>
                <c:pt idx="147">
                  <c:v>0.76751544193896359</c:v>
                </c:pt>
                <c:pt idx="148">
                  <c:v>0.7673714740801445</c:v>
                </c:pt>
                <c:pt idx="149">
                  <c:v>0.76723751984224076</c:v>
                </c:pt>
                <c:pt idx="150">
                  <c:v>0.76711331758358425</c:v>
                </c:pt>
                <c:pt idx="151">
                  <c:v>0.76699861480240161</c:v>
                </c:pt>
                <c:pt idx="152">
                  <c:v>0.7668931677336589</c:v>
                </c:pt>
                <c:pt idx="153">
                  <c:v>0.76679674096688977</c:v>
                </c:pt>
                <c:pt idx="154">
                  <c:v>0.76670910708391804</c:v>
                </c:pt>
                <c:pt idx="155">
                  <c:v>0.76663004631514109</c:v>
                </c:pt>
                <c:pt idx="156">
                  <c:v>0.7665593462133844</c:v>
                </c:pt>
                <c:pt idx="157">
                  <c:v>0.76649680134419074</c:v>
                </c:pt>
                <c:pt idx="158">
                  <c:v>0.76644221299167348</c:v>
                </c:pt>
                <c:pt idx="159">
                  <c:v>0.76639538887896541</c:v>
                </c:pt>
                <c:pt idx="160">
                  <c:v>0.76635614290250198</c:v>
                </c:pt>
                <c:pt idx="161">
                  <c:v>0.76632429487922649</c:v>
                </c:pt>
                <c:pt idx="162">
                  <c:v>0.76629967030616575</c:v>
                </c:pt>
                <c:pt idx="163">
                  <c:v>0.76628210013149245</c:v>
                </c:pt>
                <c:pt idx="164">
                  <c:v>0.76627142053659236</c:v>
                </c:pt>
                <c:pt idx="165">
                  <c:v>0.7662674727284412</c:v>
                </c:pt>
                <c:pt idx="166">
                  <c:v>0.76627010274174923</c:v>
                </c:pt>
                <c:pt idx="167">
                  <c:v>0.76627916125036555</c:v>
                </c:pt>
                <c:pt idx="168">
                  <c:v>0.76629450338739968</c:v>
                </c:pt>
                <c:pt idx="169">
                  <c:v>0.76631598857366701</c:v>
                </c:pt>
                <c:pt idx="170">
                  <c:v>0.76634348035391497</c:v>
                </c:pt>
                <c:pt idx="171">
                  <c:v>0.76637684624051672</c:v>
                </c:pt>
                <c:pt idx="172">
                  <c:v>0.76641595756419645</c:v>
                </c:pt>
                <c:pt idx="173">
                  <c:v>0.76646068933141909</c:v>
                </c:pt>
                <c:pt idx="174">
                  <c:v>0.76651092008812038</c:v>
                </c:pt>
                <c:pt idx="175">
                  <c:v>0.76656653178943968</c:v>
                </c:pt>
                <c:pt idx="176">
                  <c:v>0.76662740967516185</c:v>
                </c:pt>
                <c:pt idx="177">
                  <c:v>0.76669344215055935</c:v>
                </c:pt>
                <c:pt idx="178">
                  <c:v>0.76676452067241996</c:v>
                </c:pt>
                <c:pt idx="179">
                  <c:v>0.76684053963989285</c:v>
                </c:pt>
                <c:pt idx="180">
                  <c:v>0.76692139629007416</c:v>
                </c:pt>
                <c:pt idx="181">
                  <c:v>0.76700699059794109</c:v>
                </c:pt>
                <c:pt idx="182">
                  <c:v>0.76709722518050505</c:v>
                </c:pt>
                <c:pt idx="183">
                  <c:v>0.76719200520503161</c:v>
                </c:pt>
                <c:pt idx="184">
                  <c:v>0.7672912383009588</c:v>
                </c:pt>
                <c:pt idx="185">
                  <c:v>0.76739483447556234</c:v>
                </c:pt>
                <c:pt idx="186">
                  <c:v>0.76750270603298887</c:v>
                </c:pt>
                <c:pt idx="187">
                  <c:v>0.76761476749663171</c:v>
                </c:pt>
                <c:pt idx="188">
                  <c:v>0.76773093553463756</c:v>
                </c:pt>
                <c:pt idx="189">
                  <c:v>0.76785112888840956</c:v>
                </c:pt>
                <c:pt idx="190">
                  <c:v>0.76797526830395602</c:v>
                </c:pt>
                <c:pt idx="191">
                  <c:v>0.76810327646597232</c:v>
                </c:pt>
                <c:pt idx="192">
                  <c:v>0.7682350779345507</c:v>
                </c:pt>
                <c:pt idx="193">
                  <c:v>0.76837059908430683</c:v>
                </c:pt>
                <c:pt idx="194">
                  <c:v>0.76850976804596549</c:v>
                </c:pt>
                <c:pt idx="195">
                  <c:v>0.76865251465013484</c:v>
                </c:pt>
                <c:pt idx="196">
                  <c:v>0.76879877037330946</c:v>
                </c:pt>
                <c:pt idx="197">
                  <c:v>0.76894846828588215</c:v>
                </c:pt>
                <c:pt idx="198">
                  <c:v>0.76910154300219147</c:v>
                </c:pt>
                <c:pt idx="199">
                  <c:v>0.76925793063242331</c:v>
                </c:pt>
                <c:pt idx="200">
                  <c:v>0.7694175687363376</c:v>
                </c:pt>
                <c:pt idx="201">
                  <c:v>0.76958039627873498</c:v>
                </c:pt>
                <c:pt idx="202">
                  <c:v>0.76974635358655752</c:v>
                </c:pt>
                <c:pt idx="203">
                  <c:v>0.76991538230759538</c:v>
                </c:pt>
                <c:pt idx="204">
                  <c:v>0.77008742537071206</c:v>
                </c:pt>
                <c:pt idx="205">
                  <c:v>0.77026242694752023</c:v>
                </c:pt>
                <c:pt idx="206">
                  <c:v>0.77044033241545373</c:v>
                </c:pt>
                <c:pt idx="207">
                  <c:v>0.7706210883221718</c:v>
                </c:pt>
                <c:pt idx="208">
                  <c:v>0.77080464235125556</c:v>
                </c:pt>
                <c:pt idx="209">
                  <c:v>0.77099094328911766</c:v>
                </c:pt>
                <c:pt idx="210">
                  <c:v>0.7711799409931025</c:v>
                </c:pt>
                <c:pt idx="211">
                  <c:v>0.77137158636071823</c:v>
                </c:pt>
                <c:pt idx="212">
                  <c:v>0.77156583129992207</c:v>
                </c:pt>
                <c:pt idx="213">
                  <c:v>0.77176262870050161</c:v>
                </c:pt>
                <c:pt idx="214">
                  <c:v>0.77196193240638711</c:v>
                </c:pt>
                <c:pt idx="215">
                  <c:v>0.77216369718898459</c:v>
                </c:pt>
                <c:pt idx="216">
                  <c:v>0.77236787872139667</c:v>
                </c:pt>
                <c:pt idx="217">
                  <c:v>0.77257443355350786</c:v>
                </c:pt>
                <c:pt idx="218">
                  <c:v>0.77278331908798148</c:v>
                </c:pt>
                <c:pt idx="219">
                  <c:v>0.77299449355700256</c:v>
                </c:pt>
                <c:pt idx="220">
                  <c:v>0.77320791599985783</c:v>
                </c:pt>
                <c:pt idx="221">
                  <c:v>0.773423546241229</c:v>
                </c:pt>
                <c:pt idx="222">
                  <c:v>0.77364134487024672</c:v>
                </c:pt>
                <c:pt idx="223">
                  <c:v>0.77386127322021592</c:v>
                </c:pt>
                <c:pt idx="224">
                  <c:v>0.77408329334902382</c:v>
                </c:pt>
                <c:pt idx="225">
                  <c:v>0.7743073680201823</c:v>
                </c:pt>
                <c:pt idx="226">
                  <c:v>0.77453346068450346</c:v>
                </c:pt>
                <c:pt idx="227">
                  <c:v>0.77476153546236781</c:v>
                </c:pt>
                <c:pt idx="228">
                  <c:v>0.77499155712655854</c:v>
                </c:pt>
                <c:pt idx="229">
                  <c:v>0.77522349108566457</c:v>
                </c:pt>
                <c:pt idx="230">
                  <c:v>0.77545730336799579</c:v>
                </c:pt>
                <c:pt idx="231">
                  <c:v>0.77569296060603277</c:v>
                </c:pt>
                <c:pt idx="232">
                  <c:v>0.77593043002136686</c:v>
                </c:pt>
                <c:pt idx="233">
                  <c:v>0.7761696794100944</c:v>
                </c:pt>
                <c:pt idx="234">
                  <c:v>0.77641067712870193</c:v>
                </c:pt>
                <c:pt idx="235">
                  <c:v>0.77665339208036199</c:v>
                </c:pt>
                <c:pt idx="236">
                  <c:v>0.7768977937016911</c:v>
                </c:pt>
                <c:pt idx="237">
                  <c:v>0.77714385194988489</c:v>
                </c:pt>
                <c:pt idx="238">
                  <c:v>0.77739153729026667</c:v>
                </c:pt>
                <c:pt idx="239">
                  <c:v>0.77764082068421181</c:v>
                </c:pt>
                <c:pt idx="240">
                  <c:v>0.77789167357745559</c:v>
                </c:pt>
                <c:pt idx="241">
                  <c:v>0.77814406788872403</c:v>
                </c:pt>
                <c:pt idx="242">
                  <c:v>0.77839797599875304</c:v>
                </c:pt>
                <c:pt idx="243">
                  <c:v>0.77865337073959018</c:v>
                </c:pt>
                <c:pt idx="244">
                  <c:v>0.77891022538426435</c:v>
                </c:pt>
                <c:pt idx="245">
                  <c:v>0.77916851363671713</c:v>
                </c:pt>
              </c:numCache>
            </c:numRef>
          </c:yVal>
          <c:smooth val="1"/>
          <c:extLst>
            <c:ext xmlns:c16="http://schemas.microsoft.com/office/drawing/2014/chart" uri="{C3380CC4-5D6E-409C-BE32-E72D297353CC}">
              <c16:uniqueId val="{00000000-FA86-4807-B8BB-CA29927D0B9A}"/>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29489700201940766"/>
          <c:y val="3.2246668186279227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Total Filter Impedance</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Design'!$EM$5:$EM$250</c:f>
              <c:numCache>
                <c:formatCode>0.0</c:formatCode>
                <c:ptCount val="246"/>
                <c:pt idx="0">
                  <c:v>12.958615839709745</c:v>
                </c:pt>
                <c:pt idx="1">
                  <c:v>10.707361011015029</c:v>
                </c:pt>
                <c:pt idx="2">
                  <c:v>9.0841524368118751</c:v>
                </c:pt>
                <c:pt idx="3">
                  <c:v>7.8530260828702483</c:v>
                </c:pt>
                <c:pt idx="4">
                  <c:v>6.8827927802425908</c:v>
                </c:pt>
                <c:pt idx="5">
                  <c:v>6.0946320658607256</c:v>
                </c:pt>
                <c:pt idx="6">
                  <c:v>5.4382654839970401</c:v>
                </c:pt>
                <c:pt idx="7">
                  <c:v>4.8800360769790885</c:v>
                </c:pt>
                <c:pt idx="8">
                  <c:v>4.3964804976289624</c:v>
                </c:pt>
                <c:pt idx="9">
                  <c:v>3.9706440487077037</c:v>
                </c:pt>
                <c:pt idx="10">
                  <c:v>3.5898541471082561</c:v>
                </c:pt>
                <c:pt idx="11">
                  <c:v>3.2443084566113756</c:v>
                </c:pt>
                <c:pt idx="12">
                  <c:v>2.9261357707503688</c:v>
                </c:pt>
                <c:pt idx="13">
                  <c:v>2.6287412999757653</c:v>
                </c:pt>
                <c:pt idx="14">
                  <c:v>2.3463399210638309</c:v>
                </c:pt>
                <c:pt idx="15">
                  <c:v>2.073672852491967</c:v>
                </c:pt>
                <c:pt idx="16">
                  <c:v>1.8061116036985723</c:v>
                </c:pt>
                <c:pt idx="17">
                  <c:v>1.541100363634901</c:v>
                </c:pt>
                <c:pt idx="18">
                  <c:v>1.285024504090809</c:v>
                </c:pt>
                <c:pt idx="19">
                  <c:v>1.0823609936371488</c:v>
                </c:pt>
                <c:pt idx="20">
                  <c:v>1.0993553429355551</c:v>
                </c:pt>
                <c:pt idx="21">
                  <c:v>1.580540059248654</c:v>
                </c:pt>
                <c:pt idx="22">
                  <c:v>2.350365890884075</c:v>
                </c:pt>
                <c:pt idx="23">
                  <c:v>2.6123993383827342</c:v>
                </c:pt>
                <c:pt idx="24">
                  <c:v>2.2964986677815906</c:v>
                </c:pt>
                <c:pt idx="25">
                  <c:v>1.8885036124676657</c:v>
                </c:pt>
                <c:pt idx="26">
                  <c:v>1.5361873166713758</c:v>
                </c:pt>
                <c:pt idx="27">
                  <c:v>1.245738825734253</c:v>
                </c:pt>
                <c:pt idx="28">
                  <c:v>1.0141124612257264</c:v>
                </c:pt>
                <c:pt idx="29">
                  <c:v>0.86151150045492464</c:v>
                </c:pt>
                <c:pt idx="30">
                  <c:v>0.84256387129341082</c:v>
                </c:pt>
                <c:pt idx="31">
                  <c:v>1.0120297660163073</c:v>
                </c:pt>
                <c:pt idx="32">
                  <c:v>1.3736680739346279</c:v>
                </c:pt>
                <c:pt idx="33">
                  <c:v>1.9001015666457863</c:v>
                </c:pt>
                <c:pt idx="34">
                  <c:v>2.5080027219260375</c:v>
                </c:pt>
                <c:pt idx="35">
                  <c:v>2.9637522922150294</c:v>
                </c:pt>
                <c:pt idx="36">
                  <c:v>3.021686587744711</c:v>
                </c:pt>
                <c:pt idx="37">
                  <c:v>2.7568622370977556</c:v>
                </c:pt>
                <c:pt idx="38">
                  <c:v>2.3948305543359298</c:v>
                </c:pt>
                <c:pt idx="39">
                  <c:v>2.0539898278767743</c:v>
                </c:pt>
                <c:pt idx="40">
                  <c:v>1.7623359804542722</c:v>
                </c:pt>
                <c:pt idx="41">
                  <c:v>1.5169529866558251</c:v>
                </c:pt>
                <c:pt idx="42">
                  <c:v>1.3089302421870292</c:v>
                </c:pt>
                <c:pt idx="43">
                  <c:v>1.1302062674624929</c:v>
                </c:pt>
                <c:pt idx="44">
                  <c:v>0.97486862020905807</c:v>
                </c:pt>
                <c:pt idx="45">
                  <c:v>0.83917175758078955</c:v>
                </c:pt>
                <c:pt idx="46">
                  <c:v>0.72150399392093889</c:v>
                </c:pt>
                <c:pt idx="47">
                  <c:v>0.62266726058814503</c:v>
                </c:pt>
                <c:pt idx="48">
                  <c:v>0.54648217212128325</c:v>
                </c:pt>
                <c:pt idx="49">
                  <c:v>0.5000164098981853</c:v>
                </c:pt>
                <c:pt idx="50">
                  <c:v>0.49131235041886911</c:v>
                </c:pt>
                <c:pt idx="51">
                  <c:v>0.52313982859406449</c:v>
                </c:pt>
                <c:pt idx="52">
                  <c:v>0.58700447175286019</c:v>
                </c:pt>
                <c:pt idx="53">
                  <c:v>0.6616287916384942</c:v>
                </c:pt>
                <c:pt idx="54">
                  <c:v>0.71513391979091645</c:v>
                </c:pt>
                <c:pt idx="55">
                  <c:v>0.7184452139257046</c:v>
                </c:pt>
                <c:pt idx="56">
                  <c:v>0.66881980861665147</c:v>
                </c:pt>
                <c:pt idx="57">
                  <c:v>0.59116578363498129</c:v>
                </c:pt>
                <c:pt idx="58">
                  <c:v>0.51428634868655076</c:v>
                </c:pt>
                <c:pt idx="59">
                  <c:v>0.45632408025320598</c:v>
                </c:pt>
                <c:pt idx="60">
                  <c:v>0.42479511971733597</c:v>
                </c:pt>
                <c:pt idx="61">
                  <c:v>0.41956984869190089</c:v>
                </c:pt>
                <c:pt idx="62">
                  <c:v>0.43568152022004125</c:v>
                </c:pt>
                <c:pt idx="63">
                  <c:v>0.46661688578213661</c:v>
                </c:pt>
                <c:pt idx="64">
                  <c:v>0.50678156848238387</c:v>
                </c:pt>
                <c:pt idx="65">
                  <c:v>0.55226780283614163</c:v>
                </c:pt>
                <c:pt idx="66">
                  <c:v>0.60061064328451985</c:v>
                </c:pt>
                <c:pt idx="67">
                  <c:v>0.65032379767588233</c:v>
                </c:pt>
                <c:pt idx="68">
                  <c:v>0.70052673729946191</c:v>
                </c:pt>
                <c:pt idx="69">
                  <c:v>0.75070191627335703</c:v>
                </c:pt>
                <c:pt idx="70">
                  <c:v>0.80054797616586915</c:v>
                </c:pt>
                <c:pt idx="71">
                  <c:v>0.84989295509567964</c:v>
                </c:pt>
                <c:pt idx="72">
                  <c:v>0.89864298213833071</c:v>
                </c:pt>
                <c:pt idx="73">
                  <c:v>0.946751660220016</c:v>
                </c:pt>
                <c:pt idx="74">
                  <c:v>0.99420155354796258</c:v>
                </c:pt>
                <c:pt idx="75">
                  <c:v>1.0409928383416793</c:v>
                </c:pt>
                <c:pt idx="76">
                  <c:v>1.0871362578955164</c:v>
                </c:pt>
                <c:pt idx="77">
                  <c:v>1.1326487174860618</c:v>
                </c:pt>
                <c:pt idx="78">
                  <c:v>1.1775505529802603</c:v>
                </c:pt>
                <c:pt idx="79">
                  <c:v>1.2218639006515113</c:v>
                </c:pt>
                <c:pt idx="80">
                  <c:v>1.2656117407881473</c:v>
                </c:pt>
                <c:pt idx="81">
                  <c:v>1.308817194964216</c:v>
                </c:pt>
                <c:pt idx="82">
                  <c:v>1.3515028488775316</c:v>
                </c:pt>
                <c:pt idx="83">
                  <c:v>1.3936902504787154</c:v>
                </c:pt>
                <c:pt idx="84">
                  <c:v>1.4353997510551177</c:v>
                </c:pt>
                <c:pt idx="85">
                  <c:v>1.4766505677900461</c:v>
                </c:pt>
                <c:pt idx="86">
                  <c:v>1.5174608779483123</c:v>
                </c:pt>
                <c:pt idx="87">
                  <c:v>1.5578478786194059</c:v>
                </c:pt>
                <c:pt idx="88">
                  <c:v>1.5978278239106174</c:v>
                </c:pt>
                <c:pt idx="89">
                  <c:v>1.6374160586560536</c:v>
                </c:pt>
                <c:pt idx="90">
                  <c:v>1.6766270564429482</c:v>
                </c:pt>
                <c:pt idx="91">
                  <c:v>1.7154744624353693</c:v>
                </c:pt>
                <c:pt idx="92">
                  <c:v>1.7539711391070403</c:v>
                </c:pt>
                <c:pt idx="93">
                  <c:v>1.7921292128758475</c:v>
                </c:pt>
                <c:pt idx="94">
                  <c:v>1.829960120141267</c:v>
                </c:pt>
                <c:pt idx="95">
                  <c:v>1.8674746517568606</c:v>
                </c:pt>
                <c:pt idx="96">
                  <c:v>1.9046829953747575</c:v>
                </c:pt>
                <c:pt idx="97">
                  <c:v>1.9415947753755252</c:v>
                </c:pt>
                <c:pt idx="98">
                  <c:v>1.978219090275491</c:v>
                </c:pt>
                <c:pt idx="99">
                  <c:v>2.0145645476162404</c:v>
                </c:pt>
                <c:pt idx="100">
                  <c:v>2.0506392964090279</c:v>
                </c:pt>
                <c:pt idx="101">
                  <c:v>2.0864510572464221</c:v>
                </c:pt>
                <c:pt idx="102">
                  <c:v>2.1220071502146571</c:v>
                </c:pt>
                <c:pt idx="103">
                  <c:v>2.1573145207492788</c:v>
                </c:pt>
                <c:pt idx="104">
                  <c:v>2.1923797635782818</c:v>
                </c:pt>
                <c:pt idx="105">
                  <c:v>2.2272091448940206</c:v>
                </c:pt>
                <c:pt idx="106">
                  <c:v>2.2618086228892649</c:v>
                </c:pt>
                <c:pt idx="107">
                  <c:v>2.2961838667852326</c:v>
                </c:pt>
                <c:pt idx="108">
                  <c:v>2.3303402744713613</c:v>
                </c:pt>
                <c:pt idx="109">
                  <c:v>2.3642829888678953</c:v>
                </c:pt>
                <c:pt idx="110">
                  <c:v>2.3980169131142062</c:v>
                </c:pt>
                <c:pt idx="111">
                  <c:v>2.431546724677061</c:v>
                </c:pt>
                <c:pt idx="112">
                  <c:v>2.4648768884662831</c:v>
                </c:pt>
                <c:pt idx="113">
                  <c:v>2.4980116690369685</c:v>
                </c:pt>
                <c:pt idx="114">
                  <c:v>2.5309551419512197</c:v>
                </c:pt>
                <c:pt idx="115">
                  <c:v>2.5637112043663501</c:v>
                </c:pt>
                <c:pt idx="116">
                  <c:v>2.5962835849102053</c:v>
                </c:pt>
                <c:pt idx="117">
                  <c:v>2.6286758528993288</c:v>
                </c:pt>
                <c:pt idx="118">
                  <c:v>2.6608914269511343</c:v>
                </c:pt>
                <c:pt idx="119">
                  <c:v>2.6929335830362175</c:v>
                </c:pt>
                <c:pt idx="120">
                  <c:v>2.7248054620137343</c:v>
                </c:pt>
                <c:pt idx="121">
                  <c:v>2.756510076688572</c:v>
                </c:pt>
                <c:pt idx="122">
                  <c:v>2.7880503184259342</c:v>
                </c:pt>
                <c:pt idx="123">
                  <c:v>2.8194289633561418</c:v>
                </c:pt>
                <c:pt idx="124">
                  <c:v>2.850648678199271</c:v>
                </c:pt>
                <c:pt idx="125">
                  <c:v>2.8817120257374294</c:v>
                </c:pt>
                <c:pt idx="126">
                  <c:v>2.9126214699594204</c:v>
                </c:pt>
                <c:pt idx="127">
                  <c:v>2.9433793809013507</c:v>
                </c:pt>
                <c:pt idx="128">
                  <c:v>2.9739880392040186</c:v>
                </c:pt>
                <c:pt idx="129">
                  <c:v>3.0044496404069689</c:v>
                </c:pt>
                <c:pt idx="130">
                  <c:v>3.0347662989970257</c:v>
                </c:pt>
                <c:pt idx="131">
                  <c:v>3.0649400522279326</c:v>
                </c:pt>
                <c:pt idx="132">
                  <c:v>3.0949728637265204</c:v>
                </c:pt>
                <c:pt idx="133">
                  <c:v>3.1248666268992125</c:v>
                </c:pt>
                <c:pt idx="134">
                  <c:v>3.1546231681522934</c:v>
                </c:pt>
                <c:pt idx="135">
                  <c:v>3.1842442499377461</c:v>
                </c:pt>
                <c:pt idx="136">
                  <c:v>3.213731573635874</c:v>
                </c:pt>
                <c:pt idx="137">
                  <c:v>3.2430867822851099</c:v>
                </c:pt>
                <c:pt idx="138">
                  <c:v>3.2723114631684451</c:v>
                </c:pt>
                <c:pt idx="139">
                  <c:v>3.3014071502654838</c:v>
                </c:pt>
                <c:pt idx="140">
                  <c:v>3.330375326578356</c:v>
                </c:pt>
                <c:pt idx="141">
                  <c:v>3.3592174263391339</c:v>
                </c:pt>
                <c:pt idx="142">
                  <c:v>3.3879348371057314</c:v>
                </c:pt>
                <c:pt idx="143">
                  <c:v>3.4165289017530998</c:v>
                </c:pt>
                <c:pt idx="144">
                  <c:v>3.4450009203659282</c:v>
                </c:pt>
                <c:pt idx="145">
                  <c:v>3.4733521520382444</c:v>
                </c:pt>
                <c:pt idx="146">
                  <c:v>3.5015838165857667</c:v>
                </c:pt>
                <c:pt idx="147">
                  <c:v>3.5296970961755139</c:v>
                </c:pt>
                <c:pt idx="148">
                  <c:v>3.5576931368776932</c:v>
                </c:pt>
                <c:pt idx="149">
                  <c:v>3.5855730501441654</c:v>
                </c:pt>
                <c:pt idx="150">
                  <c:v>3.6133379142173196</c:v>
                </c:pt>
                <c:pt idx="151">
                  <c:v>3.6409887754735544</c:v>
                </c:pt>
                <c:pt idx="152">
                  <c:v>3.6685266497045572</c:v>
                </c:pt>
                <c:pt idx="153">
                  <c:v>3.6959525233400514</c:v>
                </c:pt>
                <c:pt idx="154">
                  <c:v>3.7232673546148214</c:v>
                </c:pt>
                <c:pt idx="155">
                  <c:v>3.7504720746833855</c:v>
                </c:pt>
                <c:pt idx="156">
                  <c:v>3.7775675886845796</c:v>
                </c:pt>
                <c:pt idx="157">
                  <c:v>3.8045547767589336</c:v>
                </c:pt>
                <c:pt idx="158">
                  <c:v>3.8314344950214245</c:v>
                </c:pt>
                <c:pt idx="159">
                  <c:v>3.8582075764914046</c:v>
                </c:pt>
                <c:pt idx="160">
                  <c:v>3.8848748319823985</c:v>
                </c:pt>
                <c:pt idx="161">
                  <c:v>3.9114370509533836</c:v>
                </c:pt>
                <c:pt idx="162">
                  <c:v>3.9378950023235992</c:v>
                </c:pt>
                <c:pt idx="163">
                  <c:v>3.9642494352530573</c:v>
                </c:pt>
                <c:pt idx="164">
                  <c:v>3.9905010798895892</c:v>
                </c:pt>
                <c:pt idx="165">
                  <c:v>4.0166506480849273</c:v>
                </c:pt>
                <c:pt idx="166">
                  <c:v>4.0426988340807615</c:v>
                </c:pt>
                <c:pt idx="167">
                  <c:v>4.0686463151664514</c:v>
                </c:pt>
                <c:pt idx="168">
                  <c:v>4.0944937523097433</c:v>
                </c:pt>
                <c:pt idx="169">
                  <c:v>4.1202417907614253</c:v>
                </c:pt>
                <c:pt idx="170">
                  <c:v>4.1458910606356829</c:v>
                </c:pt>
                <c:pt idx="171">
                  <c:v>4.1714421774668216</c:v>
                </c:pt>
                <c:pt idx="172">
                  <c:v>4.1968957427437088</c:v>
                </c:pt>
                <c:pt idx="173">
                  <c:v>4.2222523444227793</c:v>
                </c:pt>
                <c:pt idx="174">
                  <c:v>4.2475125574206336</c:v>
                </c:pt>
                <c:pt idx="175">
                  <c:v>4.2726769440873298</c:v>
                </c:pt>
                <c:pt idx="176">
                  <c:v>4.2977460546607524</c:v>
                </c:pt>
                <c:pt idx="177">
                  <c:v>4.3227204277035352</c:v>
                </c:pt>
                <c:pt idx="178">
                  <c:v>4.347600590522716</c:v>
                </c:pt>
                <c:pt idx="179">
                  <c:v>4.3723870595733185</c:v>
                </c:pt>
                <c:pt idx="180">
                  <c:v>4.3970803408461752</c:v>
                </c:pt>
                <c:pt idx="181">
                  <c:v>4.4216809302411244</c:v>
                </c:pt>
                <c:pt idx="182">
                  <c:v>4.4461893139256841</c:v>
                </c:pt>
                <c:pt idx="183">
                  <c:v>4.4706059686800845</c:v>
                </c:pt>
                <c:pt idx="184">
                  <c:v>4.4949313622297122</c:v>
                </c:pt>
                <c:pt idx="185">
                  <c:v>4.5191659535641771</c:v>
                </c:pt>
                <c:pt idx="186">
                  <c:v>4.543310193245186</c:v>
                </c:pt>
                <c:pt idx="187">
                  <c:v>4.5673645237024392</c:v>
                </c:pt>
                <c:pt idx="188">
                  <c:v>4.5913293795186307</c:v>
                </c:pt>
                <c:pt idx="189">
                  <c:v>4.6152051877038129</c:v>
                </c:pt>
                <c:pt idx="190">
                  <c:v>4.6389923679597338</c:v>
                </c:pt>
                <c:pt idx="191">
                  <c:v>4.6626913329342896</c:v>
                </c:pt>
                <c:pt idx="192">
                  <c:v>4.686302488466608</c:v>
                </c:pt>
                <c:pt idx="193">
                  <c:v>4.7098262338232484</c:v>
                </c:pt>
                <c:pt idx="194">
                  <c:v>4.7332629619257833</c:v>
                </c:pt>
                <c:pt idx="195">
                  <c:v>4.7566130595700002</c:v>
                </c:pt>
                <c:pt idx="196">
                  <c:v>4.7798769076371475</c:v>
                </c:pt>
                <c:pt idx="197">
                  <c:v>4.8030548812975917</c:v>
                </c:pt>
                <c:pt idx="198">
                  <c:v>4.8261473502071315</c:v>
                </c:pt>
                <c:pt idx="199">
                  <c:v>4.8491546786961264</c:v>
                </c:pt>
                <c:pt idx="200">
                  <c:v>4.8720772259519007</c:v>
                </c:pt>
                <c:pt idx="201">
                  <c:v>4.8949153461945825</c:v>
                </c:pt>
                <c:pt idx="202">
                  <c:v>4.9176693888467353</c:v>
                </c:pt>
                <c:pt idx="203">
                  <c:v>4.9403396986967945</c:v>
                </c:pt>
                <c:pt idx="204">
                  <c:v>4.962926616056718</c:v>
                </c:pt>
                <c:pt idx="205">
                  <c:v>4.9854304769140549</c:v>
                </c:pt>
                <c:pt idx="206">
                  <c:v>5.007851613078639</c:v>
                </c:pt>
                <c:pt idx="207">
                  <c:v>5.030190352324019</c:v>
                </c:pt>
                <c:pt idx="208">
                  <c:v>5.0524470185238641</c:v>
                </c:pt>
                <c:pt idx="209">
                  <c:v>5.0746219317835441</c:v>
                </c:pt>
                <c:pt idx="210">
                  <c:v>5.096715408567194</c:v>
                </c:pt>
                <c:pt idx="211">
                  <c:v>5.1187277618200842</c:v>
                </c:pt>
                <c:pt idx="212">
                  <c:v>5.140659301086786</c:v>
                </c:pt>
                <c:pt idx="213">
                  <c:v>5.1625103326252182</c:v>
                </c:pt>
                <c:pt idx="214">
                  <c:v>5.1842811595166314</c:v>
                </c:pt>
                <c:pt idx="215">
                  <c:v>5.2059720817715149</c:v>
                </c:pt>
                <c:pt idx="216">
                  <c:v>5.2275833964321237</c:v>
                </c:pt>
                <c:pt idx="217">
                  <c:v>5.2491153976712956</c:v>
                </c:pt>
                <c:pt idx="218">
                  <c:v>5.270568376887617</c:v>
                </c:pt>
                <c:pt idx="219">
                  <c:v>5.2919426227973059</c:v>
                </c:pt>
                <c:pt idx="220">
                  <c:v>5.3132384215231054</c:v>
                </c:pt>
                <c:pt idx="221">
                  <c:v>5.3344560566796648</c:v>
                </c:pt>
                <c:pt idx="222">
                  <c:v>5.3555958094562524</c:v>
                </c:pt>
                <c:pt idx="223">
                  <c:v>5.3766579586962404</c:v>
                </c:pt>
                <c:pt idx="224">
                  <c:v>5.3976427809742082</c:v>
                </c:pt>
                <c:pt idx="225">
                  <c:v>5.4185505506697691</c:v>
                </c:pt>
                <c:pt idx="226">
                  <c:v>5.43938154003932</c:v>
                </c:pt>
                <c:pt idx="227">
                  <c:v>5.4601360192850068</c:v>
                </c:pt>
                <c:pt idx="228">
                  <c:v>5.4808142566210973</c:v>
                </c:pt>
                <c:pt idx="229">
                  <c:v>5.5014165183383605</c:v>
                </c:pt>
                <c:pt idx="230">
                  <c:v>5.5219430688659052</c:v>
                </c:pt>
                <c:pt idx="231">
                  <c:v>5.5423941708309181</c:v>
                </c:pt>
                <c:pt idx="232">
                  <c:v>5.5627700851161803</c:v>
                </c:pt>
                <c:pt idx="233">
                  <c:v>5.5830710709156834</c:v>
                </c:pt>
                <c:pt idx="234">
                  <c:v>5.6032973857881041</c:v>
                </c:pt>
                <c:pt idx="235">
                  <c:v>5.6234492857085341</c:v>
                </c:pt>
                <c:pt idx="236">
                  <c:v>5.6435270251180967</c:v>
                </c:pt>
                <c:pt idx="237">
                  <c:v>5.66353085697203</c:v>
                </c:pt>
                <c:pt idx="238">
                  <c:v>5.6834610327859387</c:v>
                </c:pt>
                <c:pt idx="239">
                  <c:v>5.7033178026804023</c:v>
                </c:pt>
                <c:pt idx="240">
                  <c:v>5.7231014154237414</c:v>
                </c:pt>
                <c:pt idx="241">
                  <c:v>5.7428121184736174</c:v>
                </c:pt>
                <c:pt idx="242">
                  <c:v>5.7624501580168577</c:v>
                </c:pt>
                <c:pt idx="243">
                  <c:v>5.7820157790078337</c:v>
                </c:pt>
                <c:pt idx="244">
                  <c:v>5.8015092252054341</c:v>
                </c:pt>
                <c:pt idx="245">
                  <c:v>5.8209307392088059</c:v>
                </c:pt>
              </c:numCache>
            </c:numRef>
          </c:yVal>
          <c:smooth val="1"/>
          <c:extLst>
            <c:ext xmlns:c16="http://schemas.microsoft.com/office/drawing/2014/chart" uri="{C3380CC4-5D6E-409C-BE32-E72D297353CC}">
              <c16:uniqueId val="{00000000-60BD-4A2D-A065-15440407BF03}"/>
            </c:ext>
          </c:extLst>
        </c:ser>
        <c:ser>
          <c:idx val="1"/>
          <c:order val="1"/>
          <c:tx>
            <c:v>Source Impedance</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Design'!$EN$5:$EN$250</c:f>
              <c:numCache>
                <c:formatCode>0.0</c:formatCode>
                <c:ptCount val="246"/>
                <c:pt idx="0">
                  <c:v>0.35998845265588925</c:v>
                </c:pt>
                <c:pt idx="1">
                  <c:v>0.43188070239078002</c:v>
                </c:pt>
                <c:pt idx="2">
                  <c:v>0.50378663121934841</c:v>
                </c:pt>
                <c:pt idx="3">
                  <c:v>0.57570111354672515</c:v>
                </c:pt>
                <c:pt idx="4">
                  <c:v>0.64762129993411321</c:v>
                </c:pt>
                <c:pt idx="5">
                  <c:v>0.71954547998272955</c:v>
                </c:pt>
                <c:pt idx="6">
                  <c:v>0.79147256493489149</c:v>
                </c:pt>
                <c:pt idx="7">
                  <c:v>0.86340182879784733</c:v>
                </c:pt>
                <c:pt idx="8">
                  <c:v>0.93533276888182038</c:v>
                </c:pt>
                <c:pt idx="9">
                  <c:v>1.0072650260793423</c:v>
                </c:pt>
                <c:pt idx="10">
                  <c:v>1.0791983370200742</c:v>
                </c:pt>
                <c:pt idx="11">
                  <c:v>1.1511325041614469</c:v>
                </c:pt>
                <c:pt idx="12">
                  <c:v>1.2230673764322746</c:v>
                </c:pt>
                <c:pt idx="13">
                  <c:v>1.29500283632688</c:v>
                </c:pt>
                <c:pt idx="14">
                  <c:v>1.3669387910737587</c:v>
                </c:pt>
                <c:pt idx="15">
                  <c:v>1.4388751664531403</c:v>
                </c:pt>
                <c:pt idx="16">
                  <c:v>1.510811902380548</c:v>
                </c:pt>
                <c:pt idx="17">
                  <c:v>1.5827489496947145</c:v>
                </c:pt>
                <c:pt idx="18">
                  <c:v>1.6546862677832601</c:v>
                </c:pt>
                <c:pt idx="19">
                  <c:v>1.7266238228019191</c:v>
                </c:pt>
                <c:pt idx="20">
                  <c:v>1.7985615863210092</c:v>
                </c:pt>
                <c:pt idx="21">
                  <c:v>1.870499534284302</c:v>
                </c:pt>
                <c:pt idx="22">
                  <c:v>1.9424376461991901</c:v>
                </c:pt>
                <c:pt idx="23">
                  <c:v>2.0143759045003695</c:v>
                </c:pt>
                <c:pt idx="24">
                  <c:v>2.086314294045212</c:v>
                </c:pt>
                <c:pt idx="25">
                  <c:v>2.1582528017099545</c:v>
                </c:pt>
                <c:pt idx="26">
                  <c:v>2.2301914160641321</c:v>
                </c:pt>
                <c:pt idx="27">
                  <c:v>2.3021301271060381</c:v>
                </c:pt>
                <c:pt idx="28">
                  <c:v>2.3740689260462098</c:v>
                </c:pt>
                <c:pt idx="29">
                  <c:v>2.4460078051291987</c:v>
                </c:pt>
                <c:pt idx="30">
                  <c:v>2.5179467574858538</c:v>
                </c:pt>
                <c:pt idx="31">
                  <c:v>2.5898857770102248</c:v>
                </c:pt>
                <c:pt idx="32">
                  <c:v>2.6618248582564656</c:v>
                </c:pt>
                <c:pt idx="33">
                  <c:v>2.7337639963519274</c:v>
                </c:pt>
                <c:pt idx="34">
                  <c:v>2.8057031869237141</c:v>
                </c:pt>
                <c:pt idx="35">
                  <c:v>2.8776424260361919</c:v>
                </c:pt>
                <c:pt idx="36">
                  <c:v>2.949581710137712</c:v>
                </c:pt>
                <c:pt idx="37">
                  <c:v>3.0215210360148372</c:v>
                </c:pt>
                <c:pt idx="38">
                  <c:v>3.0934604007530546</c:v>
                </c:pt>
                <c:pt idx="39">
                  <c:v>3.165399801702792</c:v>
                </c:pt>
                <c:pt idx="40">
                  <c:v>3.2373392364500164</c:v>
                </c:pt>
                <c:pt idx="41">
                  <c:v>3.309278702790579</c:v>
                </c:pt>
                <c:pt idx="42">
                  <c:v>3.3812181987079191</c:v>
                </c:pt>
                <c:pt idx="43">
                  <c:v>3.453157722353513</c:v>
                </c:pt>
                <c:pt idx="44">
                  <c:v>3.5250972720297606</c:v>
                </c:pt>
                <c:pt idx="45">
                  <c:v>3.5970368461748383</c:v>
                </c:pt>
                <c:pt idx="46">
                  <c:v>3.6689764433494272</c:v>
                </c:pt>
                <c:pt idx="47">
                  <c:v>3.7409160622249114</c:v>
                </c:pt>
                <c:pt idx="48">
                  <c:v>3.8128557015729756</c:v>
                </c:pt>
                <c:pt idx="49">
                  <c:v>3.8847953602562613</c:v>
                </c:pt>
                <c:pt idx="50">
                  <c:v>3.9567350372201338</c:v>
                </c:pt>
                <c:pt idx="51">
                  <c:v>4.0286747314852791</c:v>
                </c:pt>
                <c:pt idx="52">
                  <c:v>4.1006144421411355</c:v>
                </c:pt>
                <c:pt idx="53">
                  <c:v>4.1725541683399063</c:v>
                </c:pt>
                <c:pt idx="54">
                  <c:v>4.2444939092912852</c:v>
                </c:pt>
                <c:pt idx="55">
                  <c:v>4.3164336642576409</c:v>
                </c:pt>
                <c:pt idx="56">
                  <c:v>4.388373432549737</c:v>
                </c:pt>
                <c:pt idx="57">
                  <c:v>4.4603132135227783</c:v>
                </c:pt>
                <c:pt idx="58">
                  <c:v>4.5322530065729163</c:v>
                </c:pt>
                <c:pt idx="59">
                  <c:v>4.6041928111340429</c:v>
                </c:pt>
                <c:pt idx="60">
                  <c:v>4.6761326266748773</c:v>
                </c:pt>
                <c:pt idx="61">
                  <c:v>4.7480724526963645</c:v>
                </c:pt>
                <c:pt idx="62">
                  <c:v>4.8200122887292167</c:v>
                </c:pt>
                <c:pt idx="63">
                  <c:v>4.8919521343317625</c:v>
                </c:pt>
                <c:pt idx="64">
                  <c:v>4.9638919890879203</c:v>
                </c:pt>
                <c:pt idx="65">
                  <c:v>5.0358318526054129</c:v>
                </c:pt>
                <c:pt idx="66">
                  <c:v>5.1077717245140386</c:v>
                </c:pt>
                <c:pt idx="67">
                  <c:v>5.1797116044641704</c:v>
                </c:pt>
                <c:pt idx="68">
                  <c:v>5.251651492125327</c:v>
                </c:pt>
                <c:pt idx="69">
                  <c:v>5.3235913871849192</c:v>
                </c:pt>
                <c:pt idx="70">
                  <c:v>5.395531289347006</c:v>
                </c:pt>
                <c:pt idx="71">
                  <c:v>5.4674711983312259</c:v>
                </c:pt>
                <c:pt idx="72">
                  <c:v>5.5394111138717728</c:v>
                </c:pt>
                <c:pt idx="73">
                  <c:v>5.6113510357165026</c:v>
                </c:pt>
                <c:pt idx="74">
                  <c:v>5.6832909636260078</c:v>
                </c:pt>
                <c:pt idx="75">
                  <c:v>5.7552308973728596</c:v>
                </c:pt>
                <c:pt idx="76">
                  <c:v>5.8271708367408523</c:v>
                </c:pt>
                <c:pt idx="77">
                  <c:v>5.8991107815243558</c:v>
                </c:pt>
                <c:pt idx="78">
                  <c:v>5.9710507315276189</c:v>
                </c:pt>
                <c:pt idx="79">
                  <c:v>6.0429906865642229</c:v>
                </c:pt>
                <c:pt idx="80">
                  <c:v>6.1149306464565134</c:v>
                </c:pt>
                <c:pt idx="81">
                  <c:v>6.1868706110351228</c:v>
                </c:pt>
                <c:pt idx="82">
                  <c:v>6.2588105801384488</c:v>
                </c:pt>
                <c:pt idx="83">
                  <c:v>6.3307505536122397</c:v>
                </c:pt>
                <c:pt idx="84">
                  <c:v>6.402690531309176</c:v>
                </c:pt>
                <c:pt idx="85">
                  <c:v>6.4746305130884778</c:v>
                </c:pt>
                <c:pt idx="86">
                  <c:v>6.5465704988155817</c:v>
                </c:pt>
                <c:pt idx="87">
                  <c:v>6.6185104883617454</c:v>
                </c:pt>
                <c:pt idx="88">
                  <c:v>6.6904504816037758</c:v>
                </c:pt>
                <c:pt idx="89">
                  <c:v>6.7623904784237077</c:v>
                </c:pt>
                <c:pt idx="90">
                  <c:v>6.8343304787085764</c:v>
                </c:pt>
                <c:pt idx="91">
                  <c:v>6.9062704823500942</c:v>
                </c:pt>
                <c:pt idx="92">
                  <c:v>6.9782104892444448</c:v>
                </c:pt>
                <c:pt idx="93">
                  <c:v>7.0501504992920463</c:v>
                </c:pt>
                <c:pt idx="94">
                  <c:v>7.122090512397361</c:v>
                </c:pt>
                <c:pt idx="95">
                  <c:v>7.1940305284686517</c:v>
                </c:pt>
                <c:pt idx="96">
                  <c:v>7.2659705474178207</c:v>
                </c:pt>
                <c:pt idx="97">
                  <c:v>7.3379105691602131</c:v>
                </c:pt>
                <c:pt idx="98">
                  <c:v>7.4098505936144932</c:v>
                </c:pt>
                <c:pt idx="99">
                  <c:v>7.4817906207024238</c:v>
                </c:pt>
                <c:pt idx="100">
                  <c:v>7.5537306503487578</c:v>
                </c:pt>
                <c:pt idx="101">
                  <c:v>7.6256706824810774</c:v>
                </c:pt>
                <c:pt idx="102">
                  <c:v>7.6976107170297068</c:v>
                </c:pt>
                <c:pt idx="103">
                  <c:v>7.7695507539275113</c:v>
                </c:pt>
                <c:pt idx="104">
                  <c:v>7.841490793109835</c:v>
                </c:pt>
                <c:pt idx="105">
                  <c:v>7.913430834514366</c:v>
                </c:pt>
                <c:pt idx="106">
                  <c:v>7.9853708780810644</c:v>
                </c:pt>
                <c:pt idx="107">
                  <c:v>8.057310923752004</c:v>
                </c:pt>
                <c:pt idx="108">
                  <c:v>8.1292509714713201</c:v>
                </c:pt>
                <c:pt idx="109">
                  <c:v>8.2011910211850978</c:v>
                </c:pt>
                <c:pt idx="110">
                  <c:v>8.2731310728413288</c:v>
                </c:pt>
                <c:pt idx="111">
                  <c:v>8.345071126389767</c:v>
                </c:pt>
                <c:pt idx="112">
                  <c:v>8.4170111817818949</c:v>
                </c:pt>
                <c:pt idx="113">
                  <c:v>8.488951238970829</c:v>
                </c:pt>
                <c:pt idx="114">
                  <c:v>8.5608912979112901</c:v>
                </c:pt>
                <c:pt idx="115">
                  <c:v>8.6328313585594838</c:v>
                </c:pt>
                <c:pt idx="116">
                  <c:v>8.7047714208730671</c:v>
                </c:pt>
                <c:pt idx="117">
                  <c:v>8.776711484811079</c:v>
                </c:pt>
                <c:pt idx="118">
                  <c:v>8.8486515503339174</c:v>
                </c:pt>
                <c:pt idx="119">
                  <c:v>8.9205916174032325</c:v>
                </c:pt>
                <c:pt idx="120">
                  <c:v>8.9925316859819091</c:v>
                </c:pt>
                <c:pt idx="121">
                  <c:v>9.0644717560340062</c:v>
                </c:pt>
                <c:pt idx="122">
                  <c:v>9.1364118275247126</c:v>
                </c:pt>
                <c:pt idx="123">
                  <c:v>9.2083519004203307</c:v>
                </c:pt>
                <c:pt idx="124">
                  <c:v>9.2802919746881738</c:v>
                </c:pt>
                <c:pt idx="125">
                  <c:v>9.3522320502965801</c:v>
                </c:pt>
                <c:pt idx="126">
                  <c:v>9.4241721272148382</c:v>
                </c:pt>
                <c:pt idx="127">
                  <c:v>9.4961122054131994</c:v>
                </c:pt>
                <c:pt idx="128">
                  <c:v>9.5680522848627767</c:v>
                </c:pt>
                <c:pt idx="129">
                  <c:v>9.6399923655355622</c:v>
                </c:pt>
                <c:pt idx="130">
                  <c:v>9.7119324474043616</c:v>
                </c:pt>
                <c:pt idx="131">
                  <c:v>9.783872530442812</c:v>
                </c:pt>
                <c:pt idx="132">
                  <c:v>9.8558126146252896</c:v>
                </c:pt>
                <c:pt idx="133">
                  <c:v>9.9277526999269234</c:v>
                </c:pt>
                <c:pt idx="134">
                  <c:v>9.9996927863235641</c:v>
                </c:pt>
                <c:pt idx="135">
                  <c:v>10.071632873791771</c:v>
                </c:pt>
                <c:pt idx="136">
                  <c:v>10.14357296230868</c:v>
                </c:pt>
                <c:pt idx="137">
                  <c:v>10.215513051852174</c:v>
                </c:pt>
                <c:pt idx="138">
                  <c:v>10.287453142400716</c:v>
                </c:pt>
                <c:pt idx="139">
                  <c:v>10.359393233933366</c:v>
                </c:pt>
                <c:pt idx="140">
                  <c:v>10.431333326429764</c:v>
                </c:pt>
                <c:pt idx="141">
                  <c:v>10.503273419870107</c:v>
                </c:pt>
                <c:pt idx="142">
                  <c:v>10.575213514235132</c:v>
                </c:pt>
                <c:pt idx="143">
                  <c:v>10.647153609506097</c:v>
                </c:pt>
                <c:pt idx="144">
                  <c:v>10.719093705664754</c:v>
                </c:pt>
                <c:pt idx="145">
                  <c:v>10.791033802693359</c:v>
                </c:pt>
                <c:pt idx="146">
                  <c:v>10.86297390057462</c:v>
                </c:pt>
                <c:pt idx="147">
                  <c:v>10.934913999291815</c:v>
                </c:pt>
                <c:pt idx="148">
                  <c:v>11.006854098828351</c:v>
                </c:pt>
                <c:pt idx="149">
                  <c:v>11.078794199168366</c:v>
                </c:pt>
                <c:pt idx="150">
                  <c:v>11.15073430029631</c:v>
                </c:pt>
                <c:pt idx="151">
                  <c:v>11.222674402197027</c:v>
                </c:pt>
                <c:pt idx="152">
                  <c:v>11.294614504855753</c:v>
                </c:pt>
                <c:pt idx="153">
                  <c:v>11.366554608258097</c:v>
                </c:pt>
                <c:pt idx="154">
                  <c:v>11.438494712390026</c:v>
                </c:pt>
                <c:pt idx="155">
                  <c:v>11.510434817237863</c:v>
                </c:pt>
                <c:pt idx="156">
                  <c:v>11.582374922788265</c:v>
                </c:pt>
                <c:pt idx="157">
                  <c:v>11.654315029028224</c:v>
                </c:pt>
                <c:pt idx="158">
                  <c:v>11.726255135945047</c:v>
                </c:pt>
                <c:pt idx="159">
                  <c:v>11.798195243526353</c:v>
                </c:pt>
                <c:pt idx="160">
                  <c:v>11.87013535176016</c:v>
                </c:pt>
                <c:pt idx="161">
                  <c:v>11.942075460634479</c:v>
                </c:pt>
                <c:pt idx="162">
                  <c:v>12.014015570137902</c:v>
                </c:pt>
                <c:pt idx="163">
                  <c:v>12.085955680259195</c:v>
                </c:pt>
                <c:pt idx="164">
                  <c:v>12.157895790987387</c:v>
                </c:pt>
                <c:pt idx="165">
                  <c:v>12.229835902311773</c:v>
                </c:pt>
                <c:pt idx="166">
                  <c:v>12.30177601422189</c:v>
                </c:pt>
                <c:pt idx="167">
                  <c:v>12.373716126707521</c:v>
                </c:pt>
                <c:pt idx="168">
                  <c:v>12.445656239758687</c:v>
                </c:pt>
                <c:pt idx="169">
                  <c:v>12.51759635336564</c:v>
                </c:pt>
                <c:pt idx="170">
                  <c:v>12.589536467518847</c:v>
                </c:pt>
                <c:pt idx="171">
                  <c:v>12.661476582209001</c:v>
                </c:pt>
                <c:pt idx="172">
                  <c:v>12.733416697427003</c:v>
                </c:pt>
                <c:pt idx="173">
                  <c:v>12.805356813164051</c:v>
                </c:pt>
                <c:pt idx="174">
                  <c:v>12.877296929411255</c:v>
                </c:pt>
                <c:pt idx="175">
                  <c:v>12.949237046160201</c:v>
                </c:pt>
                <c:pt idx="176">
                  <c:v>13.021177163402578</c:v>
                </c:pt>
                <c:pt idx="177">
                  <c:v>13.093117281130256</c:v>
                </c:pt>
                <c:pt idx="178">
                  <c:v>13.165057399335273</c:v>
                </c:pt>
                <c:pt idx="179">
                  <c:v>13.236997518009854</c:v>
                </c:pt>
                <c:pt idx="180">
                  <c:v>13.308937637146375</c:v>
                </c:pt>
                <c:pt idx="181">
                  <c:v>13.380877756737389</c:v>
                </c:pt>
                <c:pt idx="182">
                  <c:v>13.452817876775608</c:v>
                </c:pt>
                <c:pt idx="183">
                  <c:v>13.524757997253893</c:v>
                </c:pt>
                <c:pt idx="184">
                  <c:v>13.596698118165262</c:v>
                </c:pt>
                <c:pt idx="185">
                  <c:v>13.668638239502869</c:v>
                </c:pt>
                <c:pt idx="186">
                  <c:v>13.740578361260029</c:v>
                </c:pt>
                <c:pt idx="187">
                  <c:v>13.81251848343028</c:v>
                </c:pt>
                <c:pt idx="188">
                  <c:v>13.884458606007005</c:v>
                </c:pt>
                <c:pt idx="189">
                  <c:v>13.956398728984016</c:v>
                </c:pt>
                <c:pt idx="190">
                  <c:v>14.028338852355153</c:v>
                </c:pt>
                <c:pt idx="191">
                  <c:v>14.100278976114385</c:v>
                </c:pt>
                <c:pt idx="192">
                  <c:v>14.172219100255802</c:v>
                </c:pt>
                <c:pt idx="193">
                  <c:v>14.244159224773616</c:v>
                </c:pt>
                <c:pt idx="194">
                  <c:v>14.316099349662151</c:v>
                </c:pt>
                <c:pt idx="195">
                  <c:v>14.388039474915843</c:v>
                </c:pt>
                <c:pt idx="196">
                  <c:v>14.459979600529245</c:v>
                </c:pt>
                <c:pt idx="197">
                  <c:v>14.531919726497014</c:v>
                </c:pt>
                <c:pt idx="198">
                  <c:v>14.603859852813914</c:v>
                </c:pt>
                <c:pt idx="199">
                  <c:v>14.675799979474805</c:v>
                </c:pt>
                <c:pt idx="200">
                  <c:v>14.747740106474762</c:v>
                </c:pt>
                <c:pt idx="201">
                  <c:v>14.819680233808644</c:v>
                </c:pt>
                <c:pt idx="202">
                  <c:v>14.891620361471709</c:v>
                </c:pt>
                <c:pt idx="203">
                  <c:v>14.963560489459214</c:v>
                </c:pt>
                <c:pt idx="204">
                  <c:v>15.035500617766495</c:v>
                </c:pt>
                <c:pt idx="205">
                  <c:v>15.107440746388988</c:v>
                </c:pt>
                <c:pt idx="206">
                  <c:v>15.179380875322215</c:v>
                </c:pt>
                <c:pt idx="207">
                  <c:v>15.251321004561769</c:v>
                </c:pt>
                <c:pt idx="208">
                  <c:v>15.323261134103342</c:v>
                </c:pt>
                <c:pt idx="209">
                  <c:v>15.395201263942701</c:v>
                </c:pt>
                <c:pt idx="210">
                  <c:v>15.467141394075687</c:v>
                </c:pt>
                <c:pt idx="211">
                  <c:v>15.539081524498227</c:v>
                </c:pt>
                <c:pt idx="212">
                  <c:v>15.611021655206313</c:v>
                </c:pt>
                <c:pt idx="213">
                  <c:v>15.682961786196117</c:v>
                </c:pt>
                <c:pt idx="214">
                  <c:v>15.754901917463583</c:v>
                </c:pt>
                <c:pt idx="215">
                  <c:v>15.826842049005021</c:v>
                </c:pt>
                <c:pt idx="216">
                  <c:v>15.898782180816712</c:v>
                </c:pt>
                <c:pt idx="217">
                  <c:v>15.970722312895006</c:v>
                </c:pt>
                <c:pt idx="218">
                  <c:v>16.042662445236317</c:v>
                </c:pt>
                <c:pt idx="219">
                  <c:v>16.114602577837115</c:v>
                </c:pt>
                <c:pt idx="220">
                  <c:v>16.186542710693956</c:v>
                </c:pt>
                <c:pt idx="221">
                  <c:v>16.258482843803417</c:v>
                </c:pt>
                <c:pt idx="222">
                  <c:v>16.330422977162179</c:v>
                </c:pt>
                <c:pt idx="223">
                  <c:v>16.402363110766959</c:v>
                </c:pt>
                <c:pt idx="224">
                  <c:v>16.474303244614529</c:v>
                </c:pt>
                <c:pt idx="225">
                  <c:v>16.546243378701725</c:v>
                </c:pt>
                <c:pt idx="226">
                  <c:v>16.618183513025532</c:v>
                </c:pt>
                <c:pt idx="227">
                  <c:v>16.690123647582702</c:v>
                </c:pt>
                <c:pt idx="228">
                  <c:v>16.762063782370312</c:v>
                </c:pt>
                <c:pt idx="229">
                  <c:v>16.834003917385424</c:v>
                </c:pt>
                <c:pt idx="230">
                  <c:v>16.905944052625117</c:v>
                </c:pt>
                <c:pt idx="231">
                  <c:v>16.977884188086556</c:v>
                </c:pt>
                <c:pt idx="232">
                  <c:v>17.049824323766913</c:v>
                </c:pt>
                <c:pt idx="233">
                  <c:v>17.121764459663449</c:v>
                </c:pt>
                <c:pt idx="234">
                  <c:v>17.193704595773433</c:v>
                </c:pt>
                <c:pt idx="235">
                  <c:v>17.265644732094209</c:v>
                </c:pt>
                <c:pt idx="236">
                  <c:v>17.337584868623146</c:v>
                </c:pt>
                <c:pt idx="237">
                  <c:v>17.409525005357672</c:v>
                </c:pt>
                <c:pt idx="238">
                  <c:v>17.481465142295239</c:v>
                </c:pt>
                <c:pt idx="239">
                  <c:v>17.553405279433353</c:v>
                </c:pt>
                <c:pt idx="240">
                  <c:v>17.625345416769662</c:v>
                </c:pt>
                <c:pt idx="241">
                  <c:v>17.697285554301544</c:v>
                </c:pt>
                <c:pt idx="242">
                  <c:v>17.76922569202673</c:v>
                </c:pt>
                <c:pt idx="243">
                  <c:v>17.841165829942877</c:v>
                </c:pt>
                <c:pt idx="244">
                  <c:v>17.913105968047688</c:v>
                </c:pt>
                <c:pt idx="245">
                  <c:v>17.985046106338892</c:v>
                </c:pt>
              </c:numCache>
            </c:numRef>
          </c:yVal>
          <c:smooth val="1"/>
          <c:extLst>
            <c:ext xmlns:c16="http://schemas.microsoft.com/office/drawing/2014/chart" uri="{C3380CC4-5D6E-409C-BE32-E72D297353CC}">
              <c16:uniqueId val="{00000001-60BD-4A2D-A065-15440407BF03}"/>
            </c:ext>
          </c:extLst>
        </c:ser>
        <c:ser>
          <c:idx val="2"/>
          <c:order val="2"/>
          <c:tx>
            <c:v>Total Impedance (Source + Filter)</c:v>
          </c:tx>
          <c:spPr>
            <a:ln w="19050"/>
          </c:spPr>
          <c:marker>
            <c:symbol val="none"/>
          </c:marker>
          <c:xVal>
            <c:numRef>
              <c:f>'5-Branch HP Filter Design'!$EL$5:$EL$250</c:f>
              <c:numCache>
                <c:formatCode>0.0</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'5-Branch HP Filter Design'!$EO$5:$EO$250</c:f>
              <c:numCache>
                <c:formatCode>0.0</c:formatCode>
                <c:ptCount val="246"/>
                <c:pt idx="0">
                  <c:v>0.37026567713724373</c:v>
                </c:pt>
                <c:pt idx="1">
                  <c:v>0.45002118779125588</c:v>
                </c:pt>
                <c:pt idx="2">
                  <c:v>0.53335101810689656</c:v>
                </c:pt>
                <c:pt idx="3">
                  <c:v>0.62122478946388437</c:v>
                </c:pt>
                <c:pt idx="4">
                  <c:v>0.71486111454519952</c:v>
                </c:pt>
                <c:pt idx="5">
                  <c:v>0.81583282138142632</c:v>
                </c:pt>
                <c:pt idx="6">
                  <c:v>0.92622929842487722</c:v>
                </c:pt>
                <c:pt idx="7">
                  <c:v>1.04891548354171</c:v>
                </c:pt>
                <c:pt idx="8">
                  <c:v>1.1879628047823607</c:v>
                </c:pt>
                <c:pt idx="9">
                  <c:v>1.3494031726907818</c:v>
                </c:pt>
                <c:pt idx="10">
                  <c:v>1.5426301930207471</c:v>
                </c:pt>
                <c:pt idx="11">
                  <c:v>1.7832025690049769</c:v>
                </c:pt>
                <c:pt idx="12">
                  <c:v>2.0989955624244963</c:v>
                </c:pt>
                <c:pt idx="13">
                  <c:v>2.5453947544533886</c:v>
                </c:pt>
                <c:pt idx="14">
                  <c:v>3.2490442884070627</c:v>
                </c:pt>
                <c:pt idx="15">
                  <c:v>4.5586849818640305</c:v>
                </c:pt>
                <c:pt idx="16">
                  <c:v>7.4734957788587986</c:v>
                </c:pt>
                <c:pt idx="17">
                  <c:v>7.92802071432686</c:v>
                </c:pt>
                <c:pt idx="18">
                  <c:v>3.5855801518263082</c:v>
                </c:pt>
                <c:pt idx="19">
                  <c:v>1.8670987689037837</c:v>
                </c:pt>
                <c:pt idx="20">
                  <c:v>1.3240469419856296</c:v>
                </c:pt>
                <c:pt idx="21">
                  <c:v>1.4537187179920621</c:v>
                </c:pt>
                <c:pt idx="22">
                  <c:v>1.9727241666875108</c:v>
                </c:pt>
                <c:pt idx="23">
                  <c:v>2.8042572025884316</c:v>
                </c:pt>
                <c:pt idx="24">
                  <c:v>3.9000638992074057</c:v>
                </c:pt>
                <c:pt idx="25">
                  <c:v>4.2933770312063686</c:v>
                </c:pt>
                <c:pt idx="26">
                  <c:v>3.2303278403755638</c:v>
                </c:pt>
                <c:pt idx="27">
                  <c:v>2.1440807010556076</c:v>
                </c:pt>
                <c:pt idx="28">
                  <c:v>1.4497748577290752</c:v>
                </c:pt>
                <c:pt idx="29">
                  <c:v>1.0523882220262486</c:v>
                </c:pt>
                <c:pt idx="30">
                  <c:v>0.89820971668036431</c:v>
                </c:pt>
                <c:pt idx="31">
                  <c:v>0.95545380372777089</c:v>
                </c:pt>
                <c:pt idx="32">
                  <c:v>1.164191882981271</c:v>
                </c:pt>
                <c:pt idx="33">
                  <c:v>1.4796369658636355</c:v>
                </c:pt>
                <c:pt idx="34">
                  <c:v>1.8962904795958873</c:v>
                </c:pt>
                <c:pt idx="35">
                  <c:v>2.4335280008500826</c:v>
                </c:pt>
                <c:pt idx="36">
                  <c:v>3.1009817214759545</c:v>
                </c:pt>
                <c:pt idx="37">
                  <c:v>3.7902976720381583</c:v>
                </c:pt>
                <c:pt idx="38">
                  <c:v>4.1174073387465846</c:v>
                </c:pt>
                <c:pt idx="39">
                  <c:v>3.7825236381675111</c:v>
                </c:pt>
                <c:pt idx="40">
                  <c:v>3.110298798762928</c:v>
                </c:pt>
                <c:pt idx="41">
                  <c:v>2.4728481231407824</c:v>
                </c:pt>
                <c:pt idx="42">
                  <c:v>1.9682182187515358</c:v>
                </c:pt>
                <c:pt idx="43">
                  <c:v>1.5812593525305942</c:v>
                </c:pt>
                <c:pt idx="44">
                  <c:v>1.2815256514045084</c:v>
                </c:pt>
                <c:pt idx="45">
                  <c:v>1.0454315454971066</c:v>
                </c:pt>
                <c:pt idx="46">
                  <c:v>0.85784744813854474</c:v>
                </c:pt>
                <c:pt idx="47">
                  <c:v>0.71062568061850195</c:v>
                </c:pt>
                <c:pt idx="48">
                  <c:v>0.60149396965290203</c:v>
                </c:pt>
                <c:pt idx="49">
                  <c:v>0.53297937412958751</c:v>
                </c:pt>
                <c:pt idx="50">
                  <c:v>0.5092473305066334</c:v>
                </c:pt>
                <c:pt idx="51">
                  <c:v>0.52982274795182283</c:v>
                </c:pt>
                <c:pt idx="52">
                  <c:v>0.58482930608459816</c:v>
                </c:pt>
                <c:pt idx="53">
                  <c:v>0.65480999382277594</c:v>
                </c:pt>
                <c:pt idx="54">
                  <c:v>0.7112327760947027</c:v>
                </c:pt>
                <c:pt idx="55">
                  <c:v>0.72325774788794861</c:v>
                </c:pt>
                <c:pt idx="56">
                  <c:v>0.67959633867287772</c:v>
                </c:pt>
                <c:pt idx="57">
                  <c:v>0.60063407212438913</c:v>
                </c:pt>
                <c:pt idx="58">
                  <c:v>0.518136515472291</c:v>
                </c:pt>
                <c:pt idx="59">
                  <c:v>0.45386023458485203</c:v>
                </c:pt>
                <c:pt idx="60">
                  <c:v>0.41648459094123064</c:v>
                </c:pt>
                <c:pt idx="61">
                  <c:v>0.40553536877383911</c:v>
                </c:pt>
                <c:pt idx="62">
                  <c:v>0.4154485325512482</c:v>
                </c:pt>
                <c:pt idx="63">
                  <c:v>0.43938282891903541</c:v>
                </c:pt>
                <c:pt idx="64">
                  <c:v>0.47169051365718151</c:v>
                </c:pt>
                <c:pt idx="65">
                  <c:v>0.50855039963694471</c:v>
                </c:pt>
                <c:pt idx="66">
                  <c:v>0.54762587022842935</c:v>
                </c:pt>
                <c:pt idx="67">
                  <c:v>0.58755603428290415</c:v>
                </c:pt>
                <c:pt idx="68">
                  <c:v>0.62756832956603803</c:v>
                </c:pt>
                <c:pt idx="69">
                  <c:v>0.66723378219372909</c:v>
                </c:pt>
                <c:pt idx="70">
                  <c:v>0.70632243070767331</c:v>
                </c:pt>
                <c:pt idx="71">
                  <c:v>0.74471964502130006</c:v>
                </c:pt>
                <c:pt idx="72">
                  <c:v>0.78237770735809187</c:v>
                </c:pt>
                <c:pt idx="73">
                  <c:v>0.81928757465952606</c:v>
                </c:pt>
                <c:pt idx="74">
                  <c:v>0.85546224051286179</c:v>
                </c:pt>
                <c:pt idx="75">
                  <c:v>0.8909268377961197</c:v>
                </c:pt>
                <c:pt idx="76">
                  <c:v>0.92571271318395976</c:v>
                </c:pt>
                <c:pt idx="77">
                  <c:v>0.95985388281700268</c:v>
                </c:pt>
                <c:pt idx="78">
                  <c:v>0.99338495439510133</c:v>
                </c:pt>
                <c:pt idx="79">
                  <c:v>1.0263399807982563</c:v>
                </c:pt>
                <c:pt idx="80">
                  <c:v>1.0587518711035291</c:v>
                </c:pt>
                <c:pt idx="81">
                  <c:v>1.0906520221008693</c:v>
                </c:pt>
                <c:pt idx="82">
                  <c:v>1.1220699829836993</c:v>
                </c:pt>
                <c:pt idx="83">
                  <c:v>1.1530332407410946</c:v>
                </c:pt>
                <c:pt idx="84">
                  <c:v>1.1835672376819206</c:v>
                </c:pt>
                <c:pt idx="85">
                  <c:v>1.2136955359101904</c:v>
                </c:pt>
                <c:pt idx="86">
                  <c:v>1.24343999522875</c:v>
                </c:pt>
                <c:pt idx="87">
                  <c:v>1.2728209169766436</c:v>
                </c:pt>
                <c:pt idx="88">
                  <c:v>1.3018571616987766</c:v>
                </c:pt>
                <c:pt idx="89">
                  <c:v>1.3305662544493149</c:v>
                </c:pt>
                <c:pt idx="90">
                  <c:v>1.3589644840453357</c:v>
                </c:pt>
                <c:pt idx="91">
                  <c:v>1.3870669975475811</c:v>
                </c:pt>
                <c:pt idx="92">
                  <c:v>1.4148878895483192</c:v>
                </c:pt>
                <c:pt idx="93">
                  <c:v>1.4424402856876726</c:v>
                </c:pt>
                <c:pt idx="94">
                  <c:v>1.4697364200932801</c:v>
                </c:pt>
                <c:pt idx="95">
                  <c:v>1.4967877067295565</c:v>
                </c:pt>
                <c:pt idx="96">
                  <c:v>1.523604804850921</c:v>
                </c:pt>
                <c:pt idx="97">
                  <c:v>1.5501976788779348</c:v>
                </c:pt>
                <c:pt idx="98">
                  <c:v>1.5765756530781638</c:v>
                </c:pt>
                <c:pt idx="99">
                  <c:v>1.6027474614567414</c:v>
                </c:pt>
                <c:pt idx="100">
                  <c:v>1.6287212932601212</c:v>
                </c:pt>
                <c:pt idx="101">
                  <c:v>1.6545048344804845</c:v>
                </c:pt>
                <c:pt idx="102">
                  <c:v>1.6801053057253019</c:v>
                </c:pt>
                <c:pt idx="103">
                  <c:v>1.7055294967892718</c:v>
                </c:pt>
                <c:pt idx="104">
                  <c:v>1.7307837982382808</c:v>
                </c:pt>
                <c:pt idx="105">
                  <c:v>1.7558742302869952</c:v>
                </c:pt>
                <c:pt idx="106">
                  <c:v>1.780806469226383</c:v>
                </c:pt>
                <c:pt idx="107">
                  <c:v>1.8055858716315267</c:v>
                </c:pt>
                <c:pt idx="108">
                  <c:v>1.8302174965592553</c:v>
                </c:pt>
                <c:pt idx="109">
                  <c:v>1.8547061259228481</c:v>
                </c:pt>
                <c:pt idx="110">
                  <c:v>1.8790562832133693</c:v>
                </c:pt>
                <c:pt idx="111">
                  <c:v>1.9032722507199287</c:v>
                </c:pt>
                <c:pt idx="112">
                  <c:v>1.9273580853860199</c:v>
                </c:pt>
                <c:pt idx="113">
                  <c:v>1.9513176334252791</c:v>
                </c:pt>
                <c:pt idx="114">
                  <c:v>1.9751545438079083</c:v>
                </c:pt>
                <c:pt idx="115">
                  <c:v>1.9988722807178272</c:v>
                </c:pt>
                <c:pt idx="116">
                  <c:v>2.022474135071143</c:v>
                </c:pt>
                <c:pt idx="117">
                  <c:v>2.0459632351771857</c:v>
                </c:pt>
                <c:pt idx="118">
                  <c:v>2.0693425566160557</c:v>
                </c:pt>
                <c:pt idx="119">
                  <c:v>2.0926149313987947</c:v>
                </c:pt>
                <c:pt idx="120">
                  <c:v>2.1157830564710594</c:v>
                </c:pt>
                <c:pt idx="121">
                  <c:v>2.1388495016141906</c:v>
                </c:pt>
                <c:pt idx="122">
                  <c:v>2.1618167167936684</c:v>
                </c:pt>
                <c:pt idx="123">
                  <c:v>2.1846870389996487</c:v>
                </c:pt>
                <c:pt idx="124">
                  <c:v>2.207462698620132</c:v>
                </c:pt>
                <c:pt idx="125">
                  <c:v>2.2301458253844353</c:v>
                </c:pt>
                <c:pt idx="126">
                  <c:v>2.252738453909954</c:v>
                </c:pt>
                <c:pt idx="127">
                  <c:v>2.2752425288837794</c:v>
                </c:pt>
                <c:pt idx="128">
                  <c:v>2.2976599099064914</c:v>
                </c:pt>
                <c:pt idx="129">
                  <c:v>2.3199923760244254</c:v>
                </c:pt>
                <c:pt idx="130">
                  <c:v>2.3422416299730626</c:v>
                </c:pt>
                <c:pt idx="131">
                  <c:v>2.3644093021538604</c:v>
                </c:pt>
                <c:pt idx="132">
                  <c:v>2.3864969543632215</c:v>
                </c:pt>
                <c:pt idx="133">
                  <c:v>2.4085060832922802</c:v>
                </c:pt>
                <c:pt idx="134">
                  <c:v>2.4304381238135826</c:v>
                </c:pt>
                <c:pt idx="135">
                  <c:v>2.4522944520699488</c:v>
                </c:pt>
                <c:pt idx="136">
                  <c:v>2.4740763883794434</c:v>
                </c:pt>
                <c:pt idx="137">
                  <c:v>2.4957851999692506</c:v>
                </c:pt>
                <c:pt idx="138">
                  <c:v>2.5174221035500817</c:v>
                </c:pt>
                <c:pt idx="139">
                  <c:v>2.5389882677422646</c:v>
                </c:pt>
                <c:pt idx="140">
                  <c:v>2.5604848153632069</c:v>
                </c:pt>
                <c:pt idx="141">
                  <c:v>2.5819128255858619</c:v>
                </c:pt>
                <c:pt idx="142">
                  <c:v>2.6032733359762243</c:v>
                </c:pt>
                <c:pt idx="143">
                  <c:v>2.6245673444182263</c:v>
                </c:pt>
                <c:pt idx="144">
                  <c:v>2.6457958109332211</c:v>
                </c:pt>
                <c:pt idx="145">
                  <c:v>2.6669596594004963</c:v>
                </c:pt>
                <c:pt idx="146">
                  <c:v>2.688059779185584</c:v>
                </c:pt>
                <c:pt idx="147">
                  <c:v>2.7090970266818224</c:v>
                </c:pt>
                <c:pt idx="148">
                  <c:v>2.730072226770651</c:v>
                </c:pt>
                <c:pt idx="149">
                  <c:v>2.7509861742057873</c:v>
                </c:pt>
                <c:pt idx="150">
                  <c:v>2.7718396349258008</c:v>
                </c:pt>
                <c:pt idx="151">
                  <c:v>2.7926333472993137</c:v>
                </c:pt>
                <c:pt idx="152">
                  <c:v>2.8133680233072735</c:v>
                </c:pt>
                <c:pt idx="153">
                  <c:v>2.8340443496654997</c:v>
                </c:pt>
                <c:pt idx="154">
                  <c:v>2.8546629888914281</c:v>
                </c:pt>
                <c:pt idx="155">
                  <c:v>2.8752245803181724</c:v>
                </c:pt>
                <c:pt idx="156">
                  <c:v>2.8957297410589158</c:v>
                </c:pt>
                <c:pt idx="157">
                  <c:v>2.9161790669244825</c:v>
                </c:pt>
                <c:pt idx="158">
                  <c:v>2.9365731332968599</c:v>
                </c:pt>
                <c:pt idx="159">
                  <c:v>2.9569124959609048</c:v>
                </c:pt>
                <c:pt idx="160">
                  <c:v>2.9771976918970386</c:v>
                </c:pt>
                <c:pt idx="161">
                  <c:v>2.9974292400363312</c:v>
                </c:pt>
                <c:pt idx="162">
                  <c:v>3.0176076419808688</c:v>
                </c:pt>
                <c:pt idx="163">
                  <c:v>3.0377333826907886</c:v>
                </c:pt>
                <c:pt idx="164">
                  <c:v>3.0578069311397997</c:v>
                </c:pt>
                <c:pt idx="165">
                  <c:v>3.0778287409410923</c:v>
                </c:pt>
                <c:pt idx="166">
                  <c:v>3.0977992509450156</c:v>
                </c:pt>
                <c:pt idx="167">
                  <c:v>3.117718885810135</c:v>
                </c:pt>
                <c:pt idx="168">
                  <c:v>3.1375880565490046</c:v>
                </c:pt>
                <c:pt idx="169">
                  <c:v>3.157407161049874</c:v>
                </c:pt>
                <c:pt idx="170">
                  <c:v>3.1771765845757334</c:v>
                </c:pt>
                <c:pt idx="171">
                  <c:v>3.1968967002416981</c:v>
                </c:pt>
                <c:pt idx="172">
                  <c:v>3.2165678694720254</c:v>
                </c:pt>
                <c:pt idx="173">
                  <c:v>3.2361904424374877</c:v>
                </c:pt>
                <c:pt idx="174">
                  <c:v>3.255764758474335</c:v>
                </c:pt>
                <c:pt idx="175">
                  <c:v>3.2752911464857277</c:v>
                </c:pt>
                <c:pt idx="176">
                  <c:v>3.2947699253262206</c:v>
                </c:pt>
                <c:pt idx="177">
                  <c:v>3.3142014041705661</c:v>
                </c:pt>
                <c:pt idx="178">
                  <c:v>3.3335858828672791</c:v>
                </c:pt>
                <c:pt idx="179">
                  <c:v>3.352923652277692</c:v>
                </c:pt>
                <c:pt idx="180" formatCode="0.00">
                  <c:v>3.3722149946013849</c:v>
                </c:pt>
                <c:pt idx="181">
                  <c:v>3.3914601836885452</c:v>
                </c:pt>
                <c:pt idx="182">
                  <c:v>3.4106594853395995</c:v>
                </c:pt>
                <c:pt idx="183">
                  <c:v>3.4298131575932564</c:v>
                </c:pt>
                <c:pt idx="184">
                  <c:v>3.4489214510030459</c:v>
                </c:pt>
                <c:pt idx="185">
                  <c:v>3.4679846089029827</c:v>
                </c:pt>
                <c:pt idx="186">
                  <c:v>3.4870028676629388</c:v>
                </c:pt>
                <c:pt idx="187">
                  <c:v>3.5059764569342127</c:v>
                </c:pt>
                <c:pt idx="188">
                  <c:v>3.5249055998855012</c:v>
                </c:pt>
                <c:pt idx="189">
                  <c:v>3.5437905134300185</c:v>
                </c:pt>
                <c:pt idx="190">
                  <c:v>3.5626314084438828</c:v>
                </c:pt>
                <c:pt idx="191">
                  <c:v>3.5814284899763162</c:v>
                </c:pt>
                <c:pt idx="192">
                  <c:v>3.6001819574520235</c:v>
                </c:pt>
                <c:pt idx="193">
                  <c:v>3.6188920048657565</c:v>
                </c:pt>
                <c:pt idx="194">
                  <c:v>3.6375588209701371</c:v>
                </c:pt>
                <c:pt idx="195">
                  <c:v>3.6561825894561557</c:v>
                </c:pt>
                <c:pt idx="196">
                  <c:v>3.6747634891272121</c:v>
                </c:pt>
                <c:pt idx="197">
                  <c:v>3.6933016940668115</c:v>
                </c:pt>
                <c:pt idx="198">
                  <c:v>3.711797373800247</c:v>
                </c:pt>
                <c:pt idx="199">
                  <c:v>3.7302506934503086</c:v>
                </c:pt>
                <c:pt idx="200">
                  <c:v>3.7486618138875918</c:v>
                </c:pt>
                <c:pt idx="201">
                  <c:v>3.7670308918752879</c:v>
                </c:pt>
                <c:pt idx="202">
                  <c:v>3.7853580802090128</c:v>
                </c:pt>
                <c:pt idx="203">
                  <c:v>3.803643527851535</c:v>
                </c:pt>
                <c:pt idx="204">
                  <c:v>3.8218873800628965</c:v>
                </c:pt>
                <c:pt idx="205">
                  <c:v>3.8400897785259565</c:v>
                </c:pt>
                <c:pt idx="206">
                  <c:v>3.858250861467575</c:v>
                </c:pt>
                <c:pt idx="207">
                  <c:v>3.8763707637756268</c:v>
                </c:pt>
                <c:pt idx="208">
                  <c:v>3.8944496171119516</c:v>
                </c:pt>
                <c:pt idx="209">
                  <c:v>3.912487550021432</c:v>
                </c:pt>
                <c:pt idx="210">
                  <c:v>3.9304846880374824</c:v>
                </c:pt>
                <c:pt idx="211">
                  <c:v>3.9484411537838069</c:v>
                </c:pt>
                <c:pt idx="212">
                  <c:v>3.9663570670727037</c:v>
                </c:pt>
                <c:pt idx="213">
                  <c:v>3.9842325450003369</c:v>
                </c:pt>
                <c:pt idx="214">
                  <c:v>4.0020677020384827</c:v>
                </c:pt>
                <c:pt idx="215">
                  <c:v>4.0198626501233248</c:v>
                </c:pt>
                <c:pt idx="216">
                  <c:v>4.0376174987414659</c:v>
                </c:pt>
                <c:pt idx="217">
                  <c:v>4.0553323550128946</c:v>
                </c:pt>
                <c:pt idx="218">
                  <c:v>4.0730073237713711</c:v>
                </c:pt>
                <c:pt idx="219">
                  <c:v>4.0906425076419195</c:v>
                </c:pt>
                <c:pt idx="220">
                  <c:v>4.1082380071162525</c:v>
                </c:pt>
                <c:pt idx="221">
                  <c:v>4.1257939206251875</c:v>
                </c:pt>
                <c:pt idx="222">
                  <c:v>4.1433103446091915</c:v>
                </c:pt>
                <c:pt idx="223">
                  <c:v>4.1607873735862819</c:v>
                </c:pt>
                <c:pt idx="224">
                  <c:v>4.1782251002180981</c:v>
                </c:pt>
                <c:pt idx="225">
                  <c:v>4.1956236153734103</c:v>
                </c:pt>
                <c:pt idx="226">
                  <c:v>4.2129830081900623</c:v>
                </c:pt>
                <c:pt idx="227">
                  <c:v>4.230303366134633</c:v>
                </c:pt>
                <c:pt idx="228">
                  <c:v>4.2475847750602238</c:v>
                </c:pt>
                <c:pt idx="229">
                  <c:v>4.2648273192626132</c:v>
                </c:pt>
                <c:pt idx="230">
                  <c:v>4.2820310815343445</c:v>
                </c:pt>
                <c:pt idx="231">
                  <c:v>4.2991961432174541</c:v>
                </c:pt>
                <c:pt idx="232">
                  <c:v>4.3163225842541921</c:v>
                </c:pt>
                <c:pt idx="233">
                  <c:v>4.3334104832363982</c:v>
                </c:pt>
                <c:pt idx="234">
                  <c:v>4.3504599174532288</c:v>
                </c:pt>
                <c:pt idx="235">
                  <c:v>4.3674709629374249</c:v>
                </c:pt>
                <c:pt idx="236">
                  <c:v>4.384443694510118</c:v>
                </c:pt>
                <c:pt idx="237">
                  <c:v>4.4013781858242798</c:v>
                </c:pt>
                <c:pt idx="238">
                  <c:v>4.4182745094067801</c:v>
                </c:pt>
                <c:pt idx="239">
                  <c:v>4.4351327366992619</c:v>
                </c:pt>
                <c:pt idx="240">
                  <c:v>4.4519529380974827</c:v>
                </c:pt>
                <c:pt idx="241">
                  <c:v>4.4687351829897182</c:v>
                </c:pt>
                <c:pt idx="242">
                  <c:v>4.4854795397940119</c:v>
                </c:pt>
                <c:pt idx="243">
                  <c:v>4.5021860759939516</c:v>
                </c:pt>
                <c:pt idx="244">
                  <c:v>4.5188548581736496</c:v>
                </c:pt>
                <c:pt idx="245">
                  <c:v>4.5354859520515998</c:v>
                </c:pt>
              </c:numCache>
            </c:numRef>
          </c:yVal>
          <c:smooth val="1"/>
          <c:extLst>
            <c:ext xmlns:c16="http://schemas.microsoft.com/office/drawing/2014/chart" uri="{C3380CC4-5D6E-409C-BE32-E72D297353CC}">
              <c16:uniqueId val="{00000002-60BD-4A2D-A065-15440407BF03}"/>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0.0"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8.3840882074844206E-2"/>
          <c:y val="0.12844954042885956"/>
          <c:w val="0.81624194118261317"/>
          <c:h val="0.1101086472635374"/>
        </c:manualLayout>
      </c:layout>
      <c:overlay val="0"/>
      <c:spPr>
        <a:noFill/>
      </c:spPr>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n-US" b="1">
                <a:solidFill>
                  <a:srgbClr val="00B0F0"/>
                </a:solidFill>
              </a:rPr>
              <a:t>Harmonic</a:t>
            </a:r>
            <a:r>
              <a:rPr lang="en-US" b="1" baseline="0">
                <a:solidFill>
                  <a:srgbClr val="00B0F0"/>
                </a:solidFill>
              </a:rPr>
              <a:t> Current Flow</a:t>
            </a:r>
            <a:r>
              <a:rPr lang="en-US" b="1" i="1" baseline="30000">
                <a:solidFill>
                  <a:srgbClr val="00B0F0"/>
                </a:solidFill>
              </a:rPr>
              <a:t>d</a:t>
            </a: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n-US"/>
        </a:p>
      </c:txPr>
    </c:title>
    <c:autoTitleDeleted val="0"/>
    <c:plotArea>
      <c:layout/>
      <c:barChart>
        <c:barDir val="col"/>
        <c:grouping val="clustered"/>
        <c:varyColors val="0"/>
        <c:ser>
          <c:idx val="0"/>
          <c:order val="0"/>
          <c:tx>
            <c:v>I Injected</c:v>
          </c:tx>
          <c:spPr>
            <a:solidFill>
              <a:schemeClr val="bg1">
                <a:lumMod val="50000"/>
              </a:schemeClr>
            </a:solidFill>
            <a:ln>
              <a:noFill/>
            </a:ln>
            <a:effectLst/>
          </c:spPr>
          <c:invertIfNegative val="0"/>
          <c:cat>
            <c:numRef>
              <c:f>'5-Branch HP Filter Design'!$CJ$341:$CJ$355</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Design'!$CK$341:$CK$355</c:f>
              <c:numCache>
                <c:formatCode>0</c:formatCode>
                <c:ptCount val="15"/>
                <c:pt idx="0">
                  <c:v>1</c:v>
                </c:pt>
                <c:pt idx="1">
                  <c:v>1</c:v>
                </c:pt>
                <c:pt idx="2">
                  <c:v>1</c:v>
                </c:pt>
                <c:pt idx="3">
                  <c:v>120</c:v>
                </c:pt>
                <c:pt idx="4">
                  <c:v>100</c:v>
                </c:pt>
                <c:pt idx="5">
                  <c:v>80</c:v>
                </c:pt>
                <c:pt idx="6">
                  <c:v>60</c:v>
                </c:pt>
                <c:pt idx="7">
                  <c:v>40</c:v>
                </c:pt>
                <c:pt idx="8">
                  <c:v>30</c:v>
                </c:pt>
                <c:pt idx="9">
                  <c:v>20</c:v>
                </c:pt>
                <c:pt idx="10">
                  <c:v>10</c:v>
                </c:pt>
                <c:pt idx="11">
                  <c:v>8</c:v>
                </c:pt>
                <c:pt idx="12">
                  <c:v>6</c:v>
                </c:pt>
                <c:pt idx="13">
                  <c:v>4</c:v>
                </c:pt>
                <c:pt idx="14">
                  <c:v>1</c:v>
                </c:pt>
              </c:numCache>
            </c:numRef>
          </c:val>
          <c:extLst>
            <c:ext xmlns:c16="http://schemas.microsoft.com/office/drawing/2014/chart" uri="{C3380CC4-5D6E-409C-BE32-E72D297353CC}">
              <c16:uniqueId val="{00000000-E57B-417B-A10B-DDEC184083CB}"/>
            </c:ext>
          </c:extLst>
        </c:ser>
        <c:ser>
          <c:idx val="1"/>
          <c:order val="1"/>
          <c:tx>
            <c:v>I  Source</c:v>
          </c:tx>
          <c:spPr>
            <a:solidFill>
              <a:schemeClr val="accent2"/>
            </a:solidFill>
            <a:ln>
              <a:noFill/>
            </a:ln>
            <a:effectLst/>
          </c:spPr>
          <c:invertIfNegative val="0"/>
          <c:cat>
            <c:numRef>
              <c:f>'5-Branch HP Filter Design'!$CJ$341:$CJ$355</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Design'!$CL$341:$CL$355</c:f>
              <c:numCache>
                <c:formatCode>0.0</c:formatCode>
                <c:ptCount val="15"/>
                <c:pt idx="0">
                  <c:v>1.1338168942441296</c:v>
                </c:pt>
                <c:pt idx="1">
                  <c:v>1.4294223222028994</c:v>
                </c:pt>
                <c:pt idx="2">
                  <c:v>3.1682282717417971</c:v>
                </c:pt>
                <c:pt idx="3">
                  <c:v>88.340390591394126</c:v>
                </c:pt>
                <c:pt idx="4">
                  <c:v>35.672307764649453</c:v>
                </c:pt>
                <c:pt idx="5">
                  <c:v>10.296314020853213</c:v>
                </c:pt>
                <c:pt idx="6">
                  <c:v>5.3439620839503545</c:v>
                </c:pt>
                <c:pt idx="7">
                  <c:v>6.9256835919606488</c:v>
                </c:pt>
                <c:pt idx="8">
                  <c:v>5.965315058785956</c:v>
                </c:pt>
                <c:pt idx="9">
                  <c:v>4.5425517054404017</c:v>
                </c:pt>
                <c:pt idx="10">
                  <c:v>2.35282246463392</c:v>
                </c:pt>
                <c:pt idx="11">
                  <c:v>1.9636874675460603</c:v>
                </c:pt>
                <c:pt idx="12">
                  <c:v>1.4914746743730383</c:v>
                </c:pt>
                <c:pt idx="13">
                  <c:v>1.0094657870122159</c:v>
                </c:pt>
                <c:pt idx="14">
                  <c:v>0.25337972770938999</c:v>
                </c:pt>
              </c:numCache>
            </c:numRef>
          </c:val>
          <c:extLst>
            <c:ext xmlns:c16="http://schemas.microsoft.com/office/drawing/2014/chart" uri="{C3380CC4-5D6E-409C-BE32-E72D297353CC}">
              <c16:uniqueId val="{00000001-E57B-417B-A10B-DDEC184083CB}"/>
            </c:ext>
          </c:extLst>
        </c:ser>
        <c:ser>
          <c:idx val="2"/>
          <c:order val="2"/>
          <c:tx>
            <c:v>I  Filter</c:v>
          </c:tx>
          <c:spPr>
            <a:solidFill>
              <a:srgbClr val="0070C0"/>
            </a:solidFill>
            <a:ln>
              <a:noFill/>
            </a:ln>
            <a:effectLst/>
          </c:spPr>
          <c:invertIfNegative val="0"/>
          <c:cat>
            <c:numRef>
              <c:f>'5-Branch HP Filter Design'!$CJ$341:$CJ$355</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Design'!$CM$341:$CM$355</c:f>
              <c:numCache>
                <c:formatCode>0.0</c:formatCode>
                <c:ptCount val="15"/>
                <c:pt idx="0">
                  <c:v>0.13386088160289972</c:v>
                </c:pt>
                <c:pt idx="1">
                  <c:v>0.42971946207435457</c:v>
                </c:pt>
                <c:pt idx="2">
                  <c:v>2.1983626666982596</c:v>
                </c:pt>
                <c:pt idx="3">
                  <c:v>144.52618442187301</c:v>
                </c:pt>
                <c:pt idx="4">
                  <c:v>106.60434743083984</c:v>
                </c:pt>
                <c:pt idx="5">
                  <c:v>82.920338570357828</c:v>
                </c:pt>
                <c:pt idx="6">
                  <c:v>58.826183015242435</c:v>
                </c:pt>
                <c:pt idx="7">
                  <c:v>33.462138094395392</c:v>
                </c:pt>
                <c:pt idx="8">
                  <c:v>24.316042357000793</c:v>
                </c:pt>
                <c:pt idx="9">
                  <c:v>15.671751712318978</c:v>
                </c:pt>
                <c:pt idx="10">
                  <c:v>7.7648958282233247</c:v>
                </c:pt>
                <c:pt idx="11">
                  <c:v>6.1506216309712336</c:v>
                </c:pt>
                <c:pt idx="12">
                  <c:v>4.6026799055014944</c:v>
                </c:pt>
                <c:pt idx="13">
                  <c:v>3.0653739214156559</c:v>
                </c:pt>
                <c:pt idx="14">
                  <c:v>0.76692139629007583</c:v>
                </c:pt>
              </c:numCache>
            </c:numRef>
          </c:val>
          <c:extLst>
            <c:ext xmlns:c16="http://schemas.microsoft.com/office/drawing/2014/chart" uri="{C3380CC4-5D6E-409C-BE32-E72D297353CC}">
              <c16:uniqueId val="{00000002-E57B-417B-A10B-DDEC184083CB}"/>
            </c:ext>
          </c:extLst>
        </c:ser>
        <c:dLbls>
          <c:showLegendKey val="0"/>
          <c:showVal val="0"/>
          <c:showCatName val="0"/>
          <c:showSerName val="0"/>
          <c:showPercent val="0"/>
          <c:showBubbleSize val="0"/>
        </c:dLbls>
        <c:gapWidth val="219"/>
        <c:overlap val="-27"/>
        <c:axId val="1685239903"/>
        <c:axId val="1685240863"/>
      </c:barChart>
      <c:catAx>
        <c:axId val="1685239903"/>
        <c:scaling>
          <c:orientation val="minMax"/>
        </c:scaling>
        <c:delete val="0"/>
        <c:axPos val="b"/>
        <c:title>
          <c:tx>
            <c:rich>
              <a:bodyPr rot="0" spcFirstLastPara="1" vertOverflow="ellipsis" vert="horz" wrap="square" anchor="ctr" anchorCtr="1"/>
              <a:lstStyle/>
              <a:p>
                <a:pPr>
                  <a:defRPr sz="1400" b="1" i="0" u="none" strike="noStrike" kern="1200" baseline="0">
                    <a:solidFill>
                      <a:srgbClr val="00B0F0"/>
                    </a:solidFill>
                    <a:latin typeface="+mn-lt"/>
                    <a:ea typeface="+mn-ea"/>
                    <a:cs typeface="+mn-cs"/>
                  </a:defRPr>
                </a:pPr>
                <a:r>
                  <a:rPr lang="en-US" sz="1400" b="1">
                    <a:solidFill>
                      <a:srgbClr val="00B0F0"/>
                    </a:solidFill>
                  </a:rPr>
                  <a:t>Harmonic</a:t>
                </a:r>
                <a:r>
                  <a:rPr lang="en-US" sz="1400" b="1" baseline="0">
                    <a:solidFill>
                      <a:srgbClr val="00B0F0"/>
                    </a:solidFill>
                  </a:rPr>
                  <a:t> Number</a:t>
                </a:r>
                <a:endParaRPr lang="en-US" sz="1400" b="1">
                  <a:solidFill>
                    <a:srgbClr val="00B0F0"/>
                  </a:solidFill>
                </a:endParaRPr>
              </a:p>
            </c:rich>
          </c:tx>
          <c:overlay val="0"/>
          <c:spPr>
            <a:noFill/>
            <a:ln>
              <a:noFill/>
            </a:ln>
            <a:effectLst/>
          </c:spPr>
          <c:txPr>
            <a:bodyPr rot="0" spcFirstLastPara="1" vertOverflow="ellipsis" vert="horz" wrap="square" anchor="ctr" anchorCtr="1"/>
            <a:lstStyle/>
            <a:p>
              <a:pPr>
                <a:defRPr sz="1400" b="1" i="0" u="none" strike="noStrike" kern="1200" baseline="0">
                  <a:solidFill>
                    <a:srgbClr val="00B0F0"/>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85240863"/>
        <c:crosses val="autoZero"/>
        <c:auto val="1"/>
        <c:lblAlgn val="ctr"/>
        <c:lblOffset val="100"/>
        <c:noMultiLvlLbl val="0"/>
      </c:catAx>
      <c:valAx>
        <c:axId val="1685240863"/>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r>
                  <a:rPr lang="en-US" sz="1400" b="1">
                    <a:solidFill>
                      <a:srgbClr val="00B0F0"/>
                    </a:solidFill>
                  </a:rPr>
                  <a:t>Current</a:t>
                </a:r>
                <a:r>
                  <a:rPr lang="en-US" sz="1400" b="1" baseline="0">
                    <a:solidFill>
                      <a:srgbClr val="00B0F0"/>
                    </a:solidFill>
                  </a:rPr>
                  <a:t> Flow (amps)</a:t>
                </a:r>
                <a:endParaRPr lang="en-US" sz="1400" b="1">
                  <a:solidFill>
                    <a:srgbClr val="00B0F0"/>
                  </a:solidFill>
                </a:endParaRPr>
              </a:p>
            </c:rich>
          </c:tx>
          <c:overlay val="0"/>
          <c:spPr>
            <a:noFill/>
            <a:ln>
              <a:noFill/>
            </a:ln>
            <a:effectLst/>
          </c:spPr>
          <c:txPr>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685239903"/>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en-US"/>
          </a:p>
        </c:txPr>
      </c:dTable>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9050" cap="flat" cmpd="sng" algn="ctr">
      <a:solidFill>
        <a:srgbClr val="C00000"/>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r>
              <a:rPr lang="en-US" b="1">
                <a:solidFill>
                  <a:srgbClr val="00B0F0"/>
                </a:solidFill>
              </a:rPr>
              <a:t>Voltage</a:t>
            </a:r>
            <a:r>
              <a:rPr lang="en-US" b="1" baseline="0">
                <a:solidFill>
                  <a:srgbClr val="00B0F0"/>
                </a:solidFill>
              </a:rPr>
              <a:t> and Current Distortion</a:t>
            </a:r>
            <a:br>
              <a:rPr lang="en-US" b="1" baseline="0">
                <a:solidFill>
                  <a:srgbClr val="00B0F0"/>
                </a:solidFill>
              </a:rPr>
            </a:br>
            <a:r>
              <a:rPr lang="en-US" b="1" baseline="0">
                <a:solidFill>
                  <a:srgbClr val="00B0F0"/>
                </a:solidFill>
              </a:rPr>
              <a:t>At Filter Bus</a:t>
            </a:r>
            <a:endParaRPr lang="en-US" b="1">
              <a:solidFill>
                <a:srgbClr val="00B0F0"/>
              </a:solidFill>
            </a:endParaRPr>
          </a:p>
        </c:rich>
      </c:tx>
      <c:layout>
        <c:manualLayout>
          <c:xMode val="edge"/>
          <c:yMode val="edge"/>
          <c:x val="0.33483226132358879"/>
          <c:y val="4.5714280229257713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rgbClr val="00B0F0"/>
              </a:solidFill>
              <a:latin typeface="+mn-lt"/>
              <a:ea typeface="+mn-ea"/>
              <a:cs typeface="+mn-cs"/>
            </a:defRPr>
          </a:pPr>
          <a:endParaRPr lang="en-US"/>
        </a:p>
      </c:txPr>
    </c:title>
    <c:autoTitleDeleted val="0"/>
    <c:plotArea>
      <c:layout/>
      <c:barChart>
        <c:barDir val="col"/>
        <c:grouping val="clustered"/>
        <c:varyColors val="0"/>
        <c:ser>
          <c:idx val="0"/>
          <c:order val="0"/>
          <c:tx>
            <c:v>Voltage Distortion</c:v>
          </c:tx>
          <c:spPr>
            <a:solidFill>
              <a:schemeClr val="accent1"/>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'5-Branch HP Filter Design'!$CO$341:$CO$355</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Design'!$CP$341:$CP$355</c:f>
              <c:numCache>
                <c:formatCode>0.0%</c:formatCode>
                <c:ptCount val="15"/>
                <c:pt idx="0">
                  <c:v>1.1318290144265079E-4</c:v>
                </c:pt>
                <c:pt idx="1">
                  <c:v>2.1401365147761769E-4</c:v>
                </c:pt>
                <c:pt idx="2">
                  <c:v>6.3243985714713359E-4</c:v>
                </c:pt>
                <c:pt idx="3">
                  <c:v>2.2042674030169712E-2</c:v>
                </c:pt>
                <c:pt idx="4">
                  <c:v>1.2461129188909641E-2</c:v>
                </c:pt>
                <c:pt idx="5">
                  <c:v>5.6519511260720448E-3</c:v>
                </c:pt>
                <c:pt idx="6">
                  <c:v>3.4668083832958734E-3</c:v>
                </c:pt>
                <c:pt idx="7">
                  <c:v>5.8753512013122889E-3</c:v>
                </c:pt>
                <c:pt idx="8">
                  <c:v>5.6559949255776216E-3</c:v>
                </c:pt>
                <c:pt idx="9">
                  <c:v>5.213740769782085E-3</c:v>
                </c:pt>
                <c:pt idx="10">
                  <c:v>2.9352884424177477E-3</c:v>
                </c:pt>
                <c:pt idx="11">
                  <c:v>2.8417890813654261E-3</c:v>
                </c:pt>
                <c:pt idx="12">
                  <c:v>2.3072730882541847E-3</c:v>
                </c:pt>
                <c:pt idx="13">
                  <c:v>1.7631164366691274E-3</c:v>
                </c:pt>
                <c:pt idx="14">
                  <c:v>4.678373649286617E-4</c:v>
                </c:pt>
              </c:numCache>
            </c:numRef>
          </c:val>
          <c:extLst>
            <c:ext xmlns:c16="http://schemas.microsoft.com/office/drawing/2014/chart" uri="{C3380CC4-5D6E-409C-BE32-E72D297353CC}">
              <c16:uniqueId val="{00000000-2BEA-42B2-B979-B5BC51F971D7}"/>
            </c:ext>
          </c:extLst>
        </c:ser>
        <c:ser>
          <c:idx val="1"/>
          <c:order val="1"/>
          <c:spPr>
            <a:solidFill>
              <a:schemeClr val="accent2"/>
            </a:solidFill>
            <a:ln>
              <a:noFill/>
            </a:ln>
            <a:effectLst/>
          </c:spPr>
          <c:invertIfNegative val="0"/>
          <c:dLbls>
            <c:delete val="1"/>
          </c:dLbls>
          <c:cat>
            <c:numRef>
              <c:f>'5-Branch HP Filter Design'!$CO$341:$CO$355</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Design'!$CQ$341:$CQ$355</c:f>
              <c:numCache>
                <c:formatCode>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2BEA-42B2-B979-B5BC51F971D7}"/>
            </c:ext>
          </c:extLst>
        </c:ser>
        <c:dLbls>
          <c:showLegendKey val="0"/>
          <c:showVal val="1"/>
          <c:showCatName val="0"/>
          <c:showSerName val="0"/>
          <c:showPercent val="0"/>
          <c:showBubbleSize val="0"/>
        </c:dLbls>
        <c:gapWidth val="219"/>
        <c:overlap val="-32"/>
        <c:axId val="1555008111"/>
        <c:axId val="1555015791"/>
      </c:barChart>
      <c:barChart>
        <c:barDir val="col"/>
        <c:grouping val="clustered"/>
        <c:varyColors val="0"/>
        <c:ser>
          <c:idx val="3"/>
          <c:order val="2"/>
          <c:spPr>
            <a:solidFill>
              <a:schemeClr val="accent4"/>
            </a:solidFill>
            <a:ln>
              <a:noFill/>
            </a:ln>
            <a:effectLst/>
          </c:spPr>
          <c:invertIfNegative val="0"/>
          <c:dLbls>
            <c:delete val="1"/>
          </c:dLbls>
          <c:val>
            <c:numRef>
              <c:f>'5-Branch HP Filter Design'!$CS$341:$CS$355</c:f>
              <c:numCache>
                <c:formatCode>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2BEA-42B2-B979-B5BC51F971D7}"/>
            </c:ext>
          </c:extLst>
        </c:ser>
        <c:ser>
          <c:idx val="2"/>
          <c:order val="3"/>
          <c:tx>
            <c:v>Current Distortion</c:v>
          </c:tx>
          <c:spPr>
            <a:solidFill>
              <a:schemeClr val="accent3"/>
            </a:solidFill>
            <a:ln>
              <a:noFill/>
            </a:ln>
            <a:effectLst/>
          </c:spPr>
          <c:invertIfNegative val="0"/>
          <c:dLbls>
            <c:spPr>
              <a:noFill/>
              <a:ln>
                <a:noFill/>
              </a:ln>
              <a:effectLst/>
            </c:spPr>
            <c:txPr>
              <a:bodyPr rot="-5400000" spcFirstLastPara="1" vertOverflow="ellipsis" wrap="square" lIns="38100" tIns="19050" rIns="38100" bIns="19050" anchor="ctr" anchorCtr="1">
                <a:spAutoFit/>
              </a:bodyPr>
              <a:lstStyle/>
              <a:p>
                <a:pPr>
                  <a:defRPr sz="10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'5-Branch HP Filter Design'!$CR$341:$CR$355</c:f>
              <c:numCache>
                <c:formatCode>0.00%</c:formatCode>
                <c:ptCount val="15"/>
                <c:pt idx="0">
                  <c:v>1.3339022285225055E-3</c:v>
                </c:pt>
                <c:pt idx="1">
                  <c:v>1.6816733202387052E-3</c:v>
                </c:pt>
                <c:pt idx="2">
                  <c:v>3.7273273785197614E-3</c:v>
                </c:pt>
                <c:pt idx="3">
                  <c:v>0.10392987128399309</c:v>
                </c:pt>
                <c:pt idx="4">
                  <c:v>4.196742089958759E-2</c:v>
                </c:pt>
                <c:pt idx="5">
                  <c:v>1.2113310612768486E-2</c:v>
                </c:pt>
                <c:pt idx="6">
                  <c:v>6.2870142164121821E-3</c:v>
                </c:pt>
                <c:pt idx="7">
                  <c:v>8.1478630493654683E-3</c:v>
                </c:pt>
                <c:pt idx="8">
                  <c:v>7.0180177162187714E-3</c:v>
                </c:pt>
                <c:pt idx="9">
                  <c:v>5.3441784769887079E-3</c:v>
                </c:pt>
                <c:pt idx="10">
                  <c:v>2.7680264289810822E-3</c:v>
                </c:pt>
                <c:pt idx="11">
                  <c:v>2.3102205500541884E-3</c:v>
                </c:pt>
                <c:pt idx="12">
                  <c:v>1.7546760874976922E-3</c:v>
                </c:pt>
                <c:pt idx="13">
                  <c:v>1.1876068082496657E-3</c:v>
                </c:pt>
                <c:pt idx="14">
                  <c:v>2.9809379730516469E-4</c:v>
                </c:pt>
              </c:numCache>
            </c:numRef>
          </c:val>
          <c:extLst>
            <c:ext xmlns:c16="http://schemas.microsoft.com/office/drawing/2014/chart" uri="{C3380CC4-5D6E-409C-BE32-E72D297353CC}">
              <c16:uniqueId val="{00000002-2BEA-42B2-B979-B5BC51F971D7}"/>
            </c:ext>
          </c:extLst>
        </c:ser>
        <c:dLbls>
          <c:showLegendKey val="0"/>
          <c:showVal val="1"/>
          <c:showCatName val="0"/>
          <c:showSerName val="0"/>
          <c:showPercent val="0"/>
          <c:showBubbleSize val="0"/>
        </c:dLbls>
        <c:gapWidth val="300"/>
        <c:overlap val="-65"/>
        <c:axId val="344741392"/>
        <c:axId val="344752432"/>
      </c:barChart>
      <c:catAx>
        <c:axId val="1555008111"/>
        <c:scaling>
          <c:orientation val="minMax"/>
        </c:scaling>
        <c:delete val="0"/>
        <c:axPos val="b"/>
        <c:title>
          <c:tx>
            <c:rich>
              <a:bodyPr rot="0" spcFirstLastPara="1" vertOverflow="ellipsis" vert="horz" wrap="square" anchor="ctr" anchorCtr="1"/>
              <a:lstStyle/>
              <a:p>
                <a:pPr>
                  <a:defRPr sz="1400" b="0" i="0" u="none" strike="noStrike" kern="1200" baseline="0">
                    <a:solidFill>
                      <a:srgbClr val="00B0F0"/>
                    </a:solidFill>
                    <a:latin typeface="+mn-lt"/>
                    <a:ea typeface="+mn-ea"/>
                    <a:cs typeface="+mn-cs"/>
                  </a:defRPr>
                </a:pPr>
                <a:r>
                  <a:rPr lang="en-US" sz="1400">
                    <a:solidFill>
                      <a:srgbClr val="00B0F0"/>
                    </a:solidFill>
                  </a:rPr>
                  <a:t>Harmonic Number</a:t>
                </a:r>
              </a:p>
            </c:rich>
          </c:tx>
          <c:overlay val="0"/>
          <c:spPr>
            <a:noFill/>
            <a:ln>
              <a:noFill/>
            </a:ln>
            <a:effectLst/>
          </c:spPr>
          <c:txPr>
            <a:bodyPr rot="0" spcFirstLastPara="1" vertOverflow="ellipsis" vert="horz" wrap="square" anchor="ctr" anchorCtr="1"/>
            <a:lstStyle/>
            <a:p>
              <a:pPr>
                <a:defRPr sz="1400" b="0" i="0" u="none" strike="noStrike" kern="1200" baseline="0">
                  <a:solidFill>
                    <a:srgbClr val="00B0F0"/>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55015791"/>
        <c:crosses val="autoZero"/>
        <c:auto val="1"/>
        <c:lblAlgn val="ctr"/>
        <c:lblOffset val="100"/>
        <c:noMultiLvlLbl val="0"/>
      </c:catAx>
      <c:valAx>
        <c:axId val="1555015791"/>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r>
                  <a:rPr lang="en-US" sz="1400" b="1">
                    <a:solidFill>
                      <a:srgbClr val="00B0F0"/>
                    </a:solidFill>
                  </a:rPr>
                  <a:t>Voltage Distortion </a:t>
                </a:r>
                <a:br>
                  <a:rPr lang="en-US" sz="1400" b="1">
                    <a:solidFill>
                      <a:srgbClr val="00B0F0"/>
                    </a:solidFill>
                  </a:rPr>
                </a:br>
                <a:r>
                  <a:rPr lang="en-US" sz="1400" b="1">
                    <a:solidFill>
                      <a:srgbClr val="00B0F0"/>
                    </a:solidFill>
                  </a:rPr>
                  <a:t>%</a:t>
                </a:r>
                <a:r>
                  <a:rPr lang="en-US" sz="1400" b="1" baseline="0">
                    <a:solidFill>
                      <a:srgbClr val="00B0F0"/>
                    </a:solidFill>
                  </a:rPr>
                  <a:t> of Fundamental</a:t>
                </a:r>
                <a:endParaRPr lang="en-US" sz="1400" b="1">
                  <a:solidFill>
                    <a:srgbClr val="00B0F0"/>
                  </a:solidFill>
                </a:endParaRPr>
              </a:p>
            </c:rich>
          </c:tx>
          <c:overlay val="0"/>
          <c:spPr>
            <a:noFill/>
            <a:ln>
              <a:noFill/>
            </a:ln>
            <a:effectLst/>
          </c:spPr>
          <c:txPr>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555008111"/>
        <c:crosses val="autoZero"/>
        <c:crossBetween val="between"/>
      </c:valAx>
      <c:valAx>
        <c:axId val="344752432"/>
        <c:scaling>
          <c:orientation val="minMax"/>
        </c:scaling>
        <c:delete val="0"/>
        <c:axPos val="r"/>
        <c:title>
          <c:tx>
            <c:rich>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r>
                  <a:rPr lang="en-US" sz="1400" b="1">
                    <a:solidFill>
                      <a:srgbClr val="00B0F0"/>
                    </a:solidFill>
                  </a:rPr>
                  <a:t>Current Distortin</a:t>
                </a:r>
                <a:r>
                  <a:rPr lang="en-US" sz="1400" b="1" baseline="0">
                    <a:solidFill>
                      <a:srgbClr val="00B0F0"/>
                    </a:solidFill>
                  </a:rPr>
                  <a:t> (THD)</a:t>
                </a:r>
                <a:endParaRPr lang="en-US" sz="1400" b="1">
                  <a:solidFill>
                    <a:srgbClr val="00B0F0"/>
                  </a:solidFill>
                </a:endParaRPr>
              </a:p>
            </c:rich>
          </c:tx>
          <c:overlay val="0"/>
          <c:spPr>
            <a:noFill/>
            <a:ln>
              <a:noFill/>
            </a:ln>
            <a:effectLst/>
          </c:spPr>
          <c:txPr>
            <a:bodyPr rot="-5400000" spcFirstLastPara="1" vertOverflow="ellipsis" vert="horz" wrap="square" anchor="ctr" anchorCtr="1"/>
            <a:lstStyle/>
            <a:p>
              <a:pPr>
                <a:defRPr sz="1400" b="1" i="0" u="none" strike="noStrike" kern="1200" baseline="0">
                  <a:solidFill>
                    <a:srgbClr val="00B0F0"/>
                  </a:solidFill>
                  <a:latin typeface="+mn-lt"/>
                  <a:ea typeface="+mn-ea"/>
                  <a:cs typeface="+mn-cs"/>
                </a:defRPr>
              </a:pPr>
              <a:endParaRPr lang="en-US"/>
            </a:p>
          </c:txPr>
        </c:title>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344741392"/>
        <c:crosses val="max"/>
        <c:crossBetween val="between"/>
      </c:valAx>
      <c:catAx>
        <c:axId val="344741392"/>
        <c:scaling>
          <c:orientation val="minMax"/>
        </c:scaling>
        <c:delete val="1"/>
        <c:axPos val="b"/>
        <c:majorTickMark val="out"/>
        <c:minorTickMark val="none"/>
        <c:tickLblPos val="nextTo"/>
        <c:crossAx val="344752432"/>
        <c:crosses val="autoZero"/>
        <c:auto val="1"/>
        <c:lblAlgn val="ctr"/>
        <c:lblOffset val="100"/>
        <c:noMultiLvlLbl val="0"/>
      </c:catAx>
      <c:spPr>
        <a:noFill/>
        <a:ln>
          <a:noFill/>
        </a:ln>
        <a:effectLst/>
      </c:spPr>
    </c:plotArea>
    <c:legend>
      <c:legendPos val="b"/>
      <c:legendEntry>
        <c:idx val="1"/>
        <c:delete val="1"/>
      </c:legendEntry>
      <c:legendEntry>
        <c:idx val="2"/>
        <c:delete val="1"/>
      </c:legendEntry>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extLst/>
  </c:chart>
  <c:spPr>
    <a:solidFill>
      <a:schemeClr val="bg1"/>
    </a:solidFill>
    <a:ln w="19050" cap="flat" cmpd="sng" algn="ctr">
      <a:solidFill>
        <a:srgbClr val="C00000"/>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US" sz="1400" b="1" i="0" u="none" strike="noStrike" kern="1200" spc="0" baseline="0">
                <a:solidFill>
                  <a:srgbClr val="00B0F0"/>
                </a:solidFill>
                <a:latin typeface="+mn-lt"/>
                <a:ea typeface="+mn-ea"/>
                <a:cs typeface="+mn-cs"/>
              </a:defRPr>
            </a:pPr>
            <a:r>
              <a:rPr lang="en-US" sz="1400" b="1">
                <a:solidFill>
                  <a:srgbClr val="00B0F0"/>
                </a:solidFill>
              </a:rPr>
              <a:t>Branch Current</a:t>
            </a:r>
            <a:r>
              <a:rPr lang="en-US" sz="1400" b="1" baseline="0">
                <a:solidFill>
                  <a:srgbClr val="00B0F0"/>
                </a:solidFill>
              </a:rPr>
              <a:t> Magnification Factor (h) </a:t>
            </a:r>
            <a:br>
              <a:rPr lang="en-US" sz="1400" b="1" baseline="0">
                <a:solidFill>
                  <a:srgbClr val="00B0F0"/>
                </a:solidFill>
              </a:rPr>
            </a:br>
            <a:r>
              <a:rPr lang="en-US" sz="1400" b="1" baseline="0">
                <a:solidFill>
                  <a:srgbClr val="00B0F0"/>
                </a:solidFill>
              </a:rPr>
              <a:t>BCMF(h)</a:t>
            </a:r>
            <a:endParaRPr lang="en-US" sz="1400" b="1">
              <a:solidFill>
                <a:srgbClr val="00B0F0"/>
              </a:solidFill>
            </a:endParaRPr>
          </a:p>
        </c:rich>
      </c:tx>
      <c:overlay val="0"/>
      <c:spPr>
        <a:noFill/>
        <a:ln>
          <a:noFill/>
        </a:ln>
        <a:effectLst/>
      </c:spPr>
      <c:txPr>
        <a:bodyPr rot="0" spcFirstLastPara="1" vertOverflow="ellipsis" vert="horz" wrap="square" anchor="ctr" anchorCtr="1"/>
        <a:lstStyle/>
        <a:p>
          <a:pPr>
            <a:defRPr lang="en-US" sz="1400" b="1" i="0" u="none" strike="noStrike" kern="1200" spc="0" baseline="0">
              <a:solidFill>
                <a:srgbClr val="00B0F0"/>
              </a:solidFill>
              <a:latin typeface="+mn-lt"/>
              <a:ea typeface="+mn-ea"/>
              <a:cs typeface="+mn-cs"/>
            </a:defRPr>
          </a:pPr>
          <a:endParaRPr lang="en-US"/>
        </a:p>
      </c:txPr>
    </c:title>
    <c:autoTitleDeleted val="0"/>
    <c:plotArea>
      <c:layout>
        <c:manualLayout>
          <c:layoutTarget val="inner"/>
          <c:xMode val="edge"/>
          <c:yMode val="edge"/>
          <c:x val="0.11406547865727311"/>
          <c:y val="0.15557162266719338"/>
          <c:w val="0.8622277478473086"/>
          <c:h val="0.62993721126822699"/>
        </c:manualLayout>
      </c:layout>
      <c:barChart>
        <c:barDir val="col"/>
        <c:grouping val="clustered"/>
        <c:varyColors val="0"/>
        <c:ser>
          <c:idx val="0"/>
          <c:order val="0"/>
          <c:tx>
            <c:strRef>
              <c:f>'5-Branch HP Filter Design'!$CN$317</c:f>
              <c:strCache>
                <c:ptCount val="1"/>
                <c:pt idx="0">
                  <c:v>BCMF</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lang="en-US" sz="10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'5-Branch HP Filter Design'!$CM$318:$CM$332</c:f>
              <c:numCache>
                <c:formatCode>0</c:formatCode>
                <c:ptCount val="15"/>
                <c:pt idx="0">
                  <c:v>2</c:v>
                </c:pt>
                <c:pt idx="1">
                  <c:v>3</c:v>
                </c:pt>
                <c:pt idx="2">
                  <c:v>4</c:v>
                </c:pt>
                <c:pt idx="3">
                  <c:v>5</c:v>
                </c:pt>
                <c:pt idx="4">
                  <c:v>7</c:v>
                </c:pt>
                <c:pt idx="5">
                  <c:v>11</c:v>
                </c:pt>
                <c:pt idx="6">
                  <c:v>13</c:v>
                </c:pt>
                <c:pt idx="7">
                  <c:v>17</c:v>
                </c:pt>
                <c:pt idx="8">
                  <c:v>19</c:v>
                </c:pt>
                <c:pt idx="9">
                  <c:v>23</c:v>
                </c:pt>
                <c:pt idx="10">
                  <c:v>25</c:v>
                </c:pt>
                <c:pt idx="11">
                  <c:v>29</c:v>
                </c:pt>
                <c:pt idx="12">
                  <c:v>31</c:v>
                </c:pt>
                <c:pt idx="13">
                  <c:v>35</c:v>
                </c:pt>
                <c:pt idx="14">
                  <c:v>37</c:v>
                </c:pt>
              </c:numCache>
            </c:numRef>
          </c:cat>
          <c:val>
            <c:numRef>
              <c:f>'5-Branch HP Filter Design'!$CN$318:$CN$332</c:f>
              <c:numCache>
                <c:formatCode>0.000</c:formatCode>
                <c:ptCount val="15"/>
                <c:pt idx="0">
                  <c:v>1.0000081015234146</c:v>
                </c:pt>
                <c:pt idx="1">
                  <c:v>1.0001588434863709</c:v>
                </c:pt>
                <c:pt idx="2">
                  <c:v>1.0030828799093507</c:v>
                </c:pt>
                <c:pt idx="3">
                  <c:v>1.2735046689776781</c:v>
                </c:pt>
                <c:pt idx="4">
                  <c:v>1.3497528530023715</c:v>
                </c:pt>
                <c:pt idx="5">
                  <c:v>1.2684930595590134</c:v>
                </c:pt>
                <c:pt idx="6">
                  <c:v>1.1631108886671477</c:v>
                </c:pt>
                <c:pt idx="7">
                  <c:v>1.0004720398620981</c:v>
                </c:pt>
                <c:pt idx="8">
                  <c:v>1.0005892851013771</c:v>
                </c:pt>
                <c:pt idx="9">
                  <c:v>1.0018044191591253</c:v>
                </c:pt>
                <c:pt idx="10">
                  <c:v>1.0024660617655481</c:v>
                </c:pt>
                <c:pt idx="11">
                  <c:v>1.0037663550913443</c:v>
                </c:pt>
                <c:pt idx="12">
                  <c:v>1.0043929809149861</c:v>
                </c:pt>
                <c:pt idx="13">
                  <c:v>1.0055811140372926</c:v>
                </c:pt>
                <c:pt idx="14">
                  <c:v>1.0061370861386405</c:v>
                </c:pt>
              </c:numCache>
            </c:numRef>
          </c:val>
          <c:extLst>
            <c:ext xmlns:c16="http://schemas.microsoft.com/office/drawing/2014/chart" uri="{C3380CC4-5D6E-409C-BE32-E72D297353CC}">
              <c16:uniqueId val="{00000000-95FD-45A7-9E36-8CAEFBE43C8F}"/>
            </c:ext>
          </c:extLst>
        </c:ser>
        <c:dLbls>
          <c:dLblPos val="outEnd"/>
          <c:showLegendKey val="0"/>
          <c:showVal val="1"/>
          <c:showCatName val="0"/>
          <c:showSerName val="0"/>
          <c:showPercent val="0"/>
          <c:showBubbleSize val="0"/>
        </c:dLbls>
        <c:gapWidth val="219"/>
        <c:overlap val="-27"/>
        <c:axId val="1162474127"/>
        <c:axId val="1162474607"/>
      </c:barChart>
      <c:catAx>
        <c:axId val="1162474127"/>
        <c:scaling>
          <c:orientation val="minMax"/>
        </c:scaling>
        <c:delete val="0"/>
        <c:axPos val="b"/>
        <c:title>
          <c:tx>
            <c:rich>
              <a:bodyPr rot="0" spcFirstLastPara="1" vertOverflow="ellipsis" vert="horz" wrap="square" anchor="ctr" anchorCtr="1"/>
              <a:lstStyle/>
              <a:p>
                <a:pPr>
                  <a:defRPr lang="en-US" sz="1400" b="1" i="0" u="none" strike="noStrike" kern="1200" baseline="0">
                    <a:solidFill>
                      <a:srgbClr val="00B0F0"/>
                    </a:solidFill>
                    <a:latin typeface="+mn-lt"/>
                    <a:ea typeface="+mn-ea"/>
                    <a:cs typeface="+mn-cs"/>
                  </a:defRPr>
                </a:pPr>
                <a:r>
                  <a:rPr lang="en-US" sz="1400" b="1">
                    <a:solidFill>
                      <a:srgbClr val="00B0F0"/>
                    </a:solidFill>
                  </a:rPr>
                  <a:t>Harmonic order</a:t>
                </a:r>
              </a:p>
            </c:rich>
          </c:tx>
          <c:overlay val="0"/>
          <c:spPr>
            <a:noFill/>
            <a:ln>
              <a:noFill/>
            </a:ln>
            <a:effectLst/>
          </c:spPr>
          <c:txPr>
            <a:bodyPr rot="0" spcFirstLastPara="1" vertOverflow="ellipsis" vert="horz" wrap="square" anchor="ctr" anchorCtr="1"/>
            <a:lstStyle/>
            <a:p>
              <a:pPr>
                <a:defRPr lang="en-US" sz="1400" b="1" i="0" u="none" strike="noStrike" kern="1200" baseline="0">
                  <a:solidFill>
                    <a:srgbClr val="00B0F0"/>
                  </a:solidFill>
                  <a:latin typeface="+mn-lt"/>
                  <a:ea typeface="+mn-ea"/>
                  <a:cs typeface="+mn-cs"/>
                </a:defRPr>
              </a:pPr>
              <a:endParaRPr lang="en-US"/>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162474607"/>
        <c:crosses val="autoZero"/>
        <c:auto val="1"/>
        <c:lblAlgn val="ctr"/>
        <c:lblOffset val="100"/>
        <c:noMultiLvlLbl val="0"/>
      </c:catAx>
      <c:valAx>
        <c:axId val="1162474607"/>
        <c:scaling>
          <c:orientation val="minMax"/>
          <c:min val="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lang="en-US" sz="1400" b="1" i="0" u="none" strike="noStrike" kern="1200" baseline="0">
                    <a:solidFill>
                      <a:srgbClr val="00B0F0"/>
                    </a:solidFill>
                    <a:latin typeface="+mn-lt"/>
                    <a:ea typeface="+mn-ea"/>
                    <a:cs typeface="+mn-cs"/>
                  </a:defRPr>
                </a:pPr>
                <a:r>
                  <a:rPr lang="en-US" sz="1400" b="1">
                    <a:solidFill>
                      <a:srgbClr val="00B0F0"/>
                    </a:solidFill>
                  </a:rPr>
                  <a:t>BCMF(h)</a:t>
                </a:r>
              </a:p>
            </c:rich>
          </c:tx>
          <c:overlay val="0"/>
          <c:spPr>
            <a:noFill/>
            <a:ln>
              <a:noFill/>
            </a:ln>
            <a:effectLst/>
          </c:spPr>
          <c:txPr>
            <a:bodyPr rot="-5400000" spcFirstLastPara="1" vertOverflow="ellipsis" vert="horz" wrap="square" anchor="ctr" anchorCtr="1"/>
            <a:lstStyle/>
            <a:p>
              <a:pPr>
                <a:defRPr lang="en-US" sz="1400" b="1" i="0" u="none" strike="noStrike" kern="1200" baseline="0">
                  <a:solidFill>
                    <a:srgbClr val="00B0F0"/>
                  </a:solidFill>
                  <a:latin typeface="+mn-lt"/>
                  <a:ea typeface="+mn-ea"/>
                  <a:cs typeface="+mn-cs"/>
                </a:defRPr>
              </a:pPr>
              <a:endParaRPr lang="en-US"/>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lang="en-US" sz="1000" b="0" i="0" u="none" strike="noStrike" kern="1200" baseline="0">
                <a:solidFill>
                  <a:schemeClr val="tx1"/>
                </a:solidFill>
                <a:latin typeface="+mn-lt"/>
                <a:ea typeface="+mn-ea"/>
                <a:cs typeface="+mn-cs"/>
              </a:defRPr>
            </a:pPr>
            <a:endParaRPr lang="en-US"/>
          </a:p>
        </c:txPr>
        <c:crossAx val="1162474127"/>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lang="en-US" sz="1000" b="0" i="0" u="none" strike="noStrike" kern="1200" baseline="0">
                <a:solidFill>
                  <a:schemeClr val="tx1"/>
                </a:solidFill>
                <a:latin typeface="+mn-lt"/>
                <a:ea typeface="+mn-ea"/>
                <a:cs typeface="+mn-cs"/>
              </a:defRPr>
            </a:pPr>
            <a:endParaRPr lang="en-US"/>
          </a:p>
        </c:txPr>
      </c:dTable>
      <c:spPr>
        <a:noFill/>
        <a:ln>
          <a:noFill/>
        </a:ln>
        <a:effectLst/>
      </c:spPr>
    </c:plotArea>
    <c:plotVisOnly val="0"/>
    <c:dispBlanksAs val="gap"/>
    <c:showDLblsOverMax val="0"/>
  </c:chart>
  <c:spPr>
    <a:solidFill>
      <a:schemeClr val="bg1"/>
    </a:solidFill>
    <a:ln w="19050" cap="flat" cmpd="sng" algn="ctr">
      <a:solidFill>
        <a:srgbClr val="C00000"/>
      </a:solidFill>
      <a:round/>
    </a:ln>
    <a:effectLst/>
  </c:spPr>
  <c:txPr>
    <a:bodyPr/>
    <a:lstStyle/>
    <a:p>
      <a:pPr>
        <a:defRPr lang="en-US" sz="1000" b="0" i="0" u="none" strike="noStrike" kern="1200" baseline="0">
          <a:solidFill>
            <a:schemeClr val="tx1"/>
          </a:solidFill>
          <a:latin typeface="+mn-lt"/>
          <a:ea typeface="+mn-ea"/>
          <a:cs typeface="+mn-cs"/>
        </a:defRPr>
      </a:pPr>
      <a:endParaRPr lang="en-US"/>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29489700201940766"/>
          <c:y val="3.2246668186279227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Configuration'!$GQ$5:$GQ$250</c:f>
              <c:numCache>
                <c:formatCode>General</c:formatCode>
                <c:ptCount val="246"/>
                <c:pt idx="0">
                  <c:v>13.50286911805058</c:v>
                </c:pt>
                <c:pt idx="1">
                  <c:v>11.15589471377255</c:v>
                </c:pt>
                <c:pt idx="2">
                  <c:v>9.4634345299091152</c:v>
                </c:pt>
                <c:pt idx="3">
                  <c:v>8.1795501098402887</c:v>
                </c:pt>
                <c:pt idx="4">
                  <c:v>7.1674956629600848</c:v>
                </c:pt>
                <c:pt idx="5">
                  <c:v>6.345100320246571</c:v>
                </c:pt>
                <c:pt idx="6">
                  <c:v>5.6599331193033553</c:v>
                </c:pt>
                <c:pt idx="7">
                  <c:v>5.0768757296980853</c:v>
                </c:pt>
                <c:pt idx="8">
                  <c:v>4.5714177524484461</c:v>
                </c:pt>
                <c:pt idx="9">
                  <c:v>4.125807381413062</c:v>
                </c:pt>
                <c:pt idx="10">
                  <c:v>3.7267160484520159</c:v>
                </c:pt>
                <c:pt idx="11">
                  <c:v>3.3637409605046757</c:v>
                </c:pt>
                <c:pt idx="12">
                  <c:v>3.028378581377694</c:v>
                </c:pt>
                <c:pt idx="13">
                  <c:v>2.7132496773228238</c:v>
                </c:pt>
                <c:pt idx="14">
                  <c:v>2.4114215641817935</c:v>
                </c:pt>
                <c:pt idx="15">
                  <c:v>2.1156868582190964</c:v>
                </c:pt>
                <c:pt idx="16">
                  <c:v>1.8176353247424197</c:v>
                </c:pt>
                <c:pt idx="17">
                  <c:v>1.5063683871333633</c:v>
                </c:pt>
                <c:pt idx="18">
                  <c:v>1.1674832186363273</c:v>
                </c:pt>
                <c:pt idx="19">
                  <c:v>0.79305395663276368</c:v>
                </c:pt>
                <c:pt idx="20">
                  <c:v>0.55740047716343266</c:v>
                </c:pt>
                <c:pt idx="21">
                  <c:v>1.253253087838228</c:v>
                </c:pt>
                <c:pt idx="22">
                  <c:v>2.855682624354241</c:v>
                </c:pt>
                <c:pt idx="23">
                  <c:v>3.4619000792716283</c:v>
                </c:pt>
                <c:pt idx="24">
                  <c:v>2.7462732965970869</c:v>
                </c:pt>
                <c:pt idx="25">
                  <c:v>2.1174457507908353</c:v>
                </c:pt>
                <c:pt idx="26">
                  <c:v>1.6665211465279703</c:v>
                </c:pt>
                <c:pt idx="27">
                  <c:v>1.323904308906837</c:v>
                </c:pt>
                <c:pt idx="28">
                  <c:v>1.0583362261157272</c:v>
                </c:pt>
                <c:pt idx="29">
                  <c:v>0.88098502221604869</c:v>
                </c:pt>
                <c:pt idx="30">
                  <c:v>0.84979831308224607</c:v>
                </c:pt>
                <c:pt idx="31">
                  <c:v>1.0292776012949274</c:v>
                </c:pt>
                <c:pt idx="32">
                  <c:v>1.4272783950860983</c:v>
                </c:pt>
                <c:pt idx="33">
                  <c:v>2.0271720391884487</c:v>
                </c:pt>
                <c:pt idx="34">
                  <c:v>2.7648582433094573</c:v>
                </c:pt>
                <c:pt idx="35">
                  <c:v>3.3675964441202648</c:v>
                </c:pt>
                <c:pt idx="36">
                  <c:v>3.4579720649476151</c:v>
                </c:pt>
                <c:pt idx="37">
                  <c:v>3.111498982367773</c:v>
                </c:pt>
                <c:pt idx="38">
                  <c:v>2.6549451621855407</c:v>
                </c:pt>
                <c:pt idx="39">
                  <c:v>2.2436537680279076</c:v>
                </c:pt>
                <c:pt idx="40">
                  <c:v>1.9033468538224219</c:v>
                </c:pt>
                <c:pt idx="41">
                  <c:v>1.6235694870825028</c:v>
                </c:pt>
                <c:pt idx="42">
                  <c:v>1.3899518566122298</c:v>
                </c:pt>
                <c:pt idx="43">
                  <c:v>1.1910558214330016</c:v>
                </c:pt>
                <c:pt idx="44">
                  <c:v>1.0188733252736375</c:v>
                </c:pt>
                <c:pt idx="45">
                  <c:v>0.86826548995868569</c:v>
                </c:pt>
                <c:pt idx="46">
                  <c:v>0.73658043666858619</c:v>
                </c:pt>
                <c:pt idx="47">
                  <c:v>0.62374615140382994</c:v>
                </c:pt>
                <c:pt idx="48">
                  <c:v>0.53288280001382005</c:v>
                </c:pt>
                <c:pt idx="49">
                  <c:v>0.47086637504486184</c:v>
                </c:pt>
                <c:pt idx="50">
                  <c:v>0.44639448259850295</c:v>
                </c:pt>
                <c:pt idx="51">
                  <c:v>0.46245535286551642</c:v>
                </c:pt>
                <c:pt idx="52">
                  <c:v>0.50800761635501857</c:v>
                </c:pt>
                <c:pt idx="53">
                  <c:v>0.55788435199994879</c:v>
                </c:pt>
                <c:pt idx="54">
                  <c:v>0.57987346718737298</c:v>
                </c:pt>
                <c:pt idx="55">
                  <c:v>0.55046161972864616</c:v>
                </c:pt>
                <c:pt idx="56">
                  <c:v>0.47246206316549988</c:v>
                </c:pt>
                <c:pt idx="57">
                  <c:v>0.37028361337568461</c:v>
                </c:pt>
                <c:pt idx="58">
                  <c:v>0.27090389238143636</c:v>
                </c:pt>
                <c:pt idx="59">
                  <c:v>0.19909005407753422</c:v>
                </c:pt>
                <c:pt idx="60">
                  <c:v>0.18093633248069652</c:v>
                </c:pt>
                <c:pt idx="61">
                  <c:v>0.21725350802670079</c:v>
                </c:pt>
                <c:pt idx="62">
                  <c:v>0.27965695114558942</c:v>
                </c:pt>
                <c:pt idx="63">
                  <c:v>0.34954495420058568</c:v>
                </c:pt>
                <c:pt idx="64">
                  <c:v>0.42021166753771139</c:v>
                </c:pt>
                <c:pt idx="65">
                  <c:v>0.48949267570976795</c:v>
                </c:pt>
                <c:pt idx="66">
                  <c:v>0.55675500579117887</c:v>
                </c:pt>
                <c:pt idx="67">
                  <c:v>0.62190242689473496</c:v>
                </c:pt>
                <c:pt idx="68">
                  <c:v>0.68502906347686565</c:v>
                </c:pt>
                <c:pt idx="69">
                  <c:v>0.74629014300539165</c:v>
                </c:pt>
                <c:pt idx="70">
                  <c:v>0.80585189644728195</c:v>
                </c:pt>
                <c:pt idx="71">
                  <c:v>0.8638723974684096</c:v>
                </c:pt>
                <c:pt idx="72">
                  <c:v>0.9204950403437917</c:v>
                </c:pt>
                <c:pt idx="73">
                  <c:v>0.97584725005235295</c:v>
                </c:pt>
                <c:pt idx="74">
                  <c:v>1.0300412913635677</c:v>
                </c:pt>
                <c:pt idx="75">
                  <c:v>1.0831758201680894</c:v>
                </c:pt>
                <c:pt idx="76">
                  <c:v>1.1353375907797905</c:v>
                </c:pt>
                <c:pt idx="77">
                  <c:v>1.1866030763247666</c:v>
                </c:pt>
                <c:pt idx="78">
                  <c:v>1.2370399139936135</c:v>
                </c:pt>
                <c:pt idx="79">
                  <c:v>1.2867081557868789</c:v>
                </c:pt>
                <c:pt idx="80">
                  <c:v>1.3356613345770532</c:v>
                </c:pt>
                <c:pt idx="81">
                  <c:v>1.383947366130271</c:v>
                </c:pt>
                <c:pt idx="82">
                  <c:v>1.4316093101895182</c:v>
                </c:pt>
                <c:pt idx="83">
                  <c:v>1.4786860125711072</c:v>
                </c:pt>
                <c:pt idx="84">
                  <c:v>1.5252126477189145</c:v>
                </c:pt>
                <c:pt idx="85">
                  <c:v>1.5712211783344121</c:v>
                </c:pt>
                <c:pt idx="86">
                  <c:v>1.6167407460131571</c:v>
                </c:pt>
                <c:pt idx="87">
                  <c:v>1.6617980044420826</c:v>
                </c:pt>
                <c:pt idx="88">
                  <c:v>1.7064174046893685</c:v>
                </c:pt>
                <c:pt idx="89">
                  <c:v>1.7506214404320017</c:v>
                </c:pt>
                <c:pt idx="90">
                  <c:v>1.794430859577077</c:v>
                </c:pt>
                <c:pt idx="91">
                  <c:v>1.8378648475954575</c:v>
                </c:pt>
                <c:pt idx="92">
                  <c:v>1.880941186958585</c:v>
                </c:pt>
                <c:pt idx="93">
                  <c:v>1.9236763963127803</c:v>
                </c:pt>
                <c:pt idx="94">
                  <c:v>1.9660858524079876</c:v>
                </c:pt>
                <c:pt idx="95">
                  <c:v>2.0081838972940766</c:v>
                </c:pt>
                <c:pt idx="96">
                  <c:v>2.0499839328855352</c:v>
                </c:pt>
                <c:pt idx="97">
                  <c:v>2.0914985046558408</c:v>
                </c:pt>
                <c:pt idx="98">
                  <c:v>2.1327393759445621</c:v>
                </c:pt>
                <c:pt idx="99">
                  <c:v>2.173717594130002</c:v>
                </c:pt>
                <c:pt idx="100">
                  <c:v>2.2144435497291277</c:v>
                </c:pt>
                <c:pt idx="101">
                  <c:v>2.2549270293279151</c:v>
                </c:pt>
                <c:pt idx="102">
                  <c:v>2.2951772631133376</c:v>
                </c:pt>
                <c:pt idx="103">
                  <c:v>2.3352029676667283</c:v>
                </c:pt>
                <c:pt idx="104">
                  <c:v>2.37501238458661</c:v>
                </c:pt>
                <c:pt idx="105">
                  <c:v>2.4146133154288023</c:v>
                </c:pt>
                <c:pt idx="106">
                  <c:v>2.4540131533874177</c:v>
                </c:pt>
                <c:pt idx="107">
                  <c:v>2.4932189120827974</c:v>
                </c:pt>
                <c:pt idx="108">
                  <c:v>2.5322372517750846</c:v>
                </c:pt>
                <c:pt idx="109">
                  <c:v>2.5710745032818512</c:v>
                </c:pt>
                <c:pt idx="110">
                  <c:v>2.609736689842336</c:v>
                </c:pt>
                <c:pt idx="111">
                  <c:v>2.6482295471417903</c:v>
                </c:pt>
                <c:pt idx="112">
                  <c:v>2.6865585416832882</c:v>
                </c:pt>
                <c:pt idx="113">
                  <c:v>2.7247288876720339</c:v>
                </c:pt>
                <c:pt idx="114">
                  <c:v>2.7627455625581612</c:v>
                </c:pt>
                <c:pt idx="115">
                  <c:v>2.8006133213668098</c:v>
                </c:pt>
                <c:pt idx="116">
                  <c:v>2.8383367099309611</c:v>
                </c:pt>
                <c:pt idx="117">
                  <c:v>2.8759200771279176</c:v>
                </c:pt>
                <c:pt idx="118">
                  <c:v>2.9133675862111721</c:v>
                </c:pt>
                <c:pt idx="119">
                  <c:v>2.9506832253183748</c:v>
                </c:pt>
                <c:pt idx="120">
                  <c:v>2.9878708172280888</c:v>
                </c:pt>
                <c:pt idx="121">
                  <c:v>3.0249340284305521</c:v>
                </c:pt>
                <c:pt idx="122">
                  <c:v>3.0618763775710045</c:v>
                </c:pt>
                <c:pt idx="123">
                  <c:v>3.0987012433179548</c:v>
                </c:pt>
                <c:pt idx="124">
                  <c:v>3.1354118717041168</c:v>
                </c:pt>
                <c:pt idx="125">
                  <c:v>3.1720113829827707</c:v>
                </c:pt>
                <c:pt idx="126">
                  <c:v>3.208502778038425</c:v>
                </c:pt>
                <c:pt idx="127">
                  <c:v>3.2448889443866769</c:v>
                </c:pt>
                <c:pt idx="128">
                  <c:v>3.281172661795281</c:v>
                </c:pt>
                <c:pt idx="129">
                  <c:v>3.3173566075556975</c:v>
                </c:pt>
                <c:pt idx="130">
                  <c:v>3.3534433614306978</c:v>
                </c:pt>
                <c:pt idx="131">
                  <c:v>3.389435410303046</c:v>
                </c:pt>
                <c:pt idx="132">
                  <c:v>3.4253351525463134</c:v>
                </c:pt>
                <c:pt idx="133">
                  <c:v>3.4611449021384866</c:v>
                </c:pt>
                <c:pt idx="134">
                  <c:v>3.4968668925363118</c:v>
                </c:pt>
                <c:pt idx="135">
                  <c:v>3.5325032803274934</c:v>
                </c:pt>
                <c:pt idx="136">
                  <c:v>3.5680561486758031</c:v>
                </c:pt>
                <c:pt idx="137">
                  <c:v>3.6035275105736733</c:v>
                </c:pt>
                <c:pt idx="138">
                  <c:v>3.6389193119149934</c:v>
                </c:pt>
                <c:pt idx="139">
                  <c:v>3.6742334344000613</c:v>
                </c:pt>
                <c:pt idx="140">
                  <c:v>3.709471698284132</c:v>
                </c:pt>
                <c:pt idx="141">
                  <c:v>3.7446358649793408</c:v>
                </c:pt>
                <c:pt idx="142">
                  <c:v>3.7797276395195136</c:v>
                </c:pt>
                <c:pt idx="143">
                  <c:v>3.8147486728966156</c:v>
                </c:pt>
                <c:pt idx="144">
                  <c:v>3.8497005642770485</c:v>
                </c:pt>
                <c:pt idx="145">
                  <c:v>3.8845848631050641</c:v>
                </c:pt>
                <c:pt idx="146">
                  <c:v>3.9194030711000374</c:v>
                </c:pt>
                <c:pt idx="147">
                  <c:v>3.9541566441543963</c:v>
                </c:pt>
                <c:pt idx="148">
                  <c:v>3.9888469941380751</c:v>
                </c:pt>
                <c:pt idx="149">
                  <c:v>4.0234754906149153</c:v>
                </c:pt>
                <c:pt idx="150">
                  <c:v>4.0580434624759238</c:v>
                </c:pt>
                <c:pt idx="151">
                  <c:v>4.0925521994950591</c:v>
                </c:pt>
                <c:pt idx="152">
                  <c:v>4.1270029538109645</c:v>
                </c:pt>
                <c:pt idx="153">
                  <c:v>4.1613969413396159</c:v>
                </c:pt>
                <c:pt idx="154">
                  <c:v>4.1957353431211946</c:v>
                </c:pt>
                <c:pt idx="155">
                  <c:v>4.2300193066054037</c:v>
                </c:pt>
                <c:pt idx="156">
                  <c:v>4.2642499468781381</c:v>
                </c:pt>
                <c:pt idx="157">
                  <c:v>4.2984283478331653</c:v>
                </c:pt>
                <c:pt idx="158">
                  <c:v>4.3325555632909687</c:v>
                </c:pt>
                <c:pt idx="159">
                  <c:v>4.3666326180688015</c:v>
                </c:pt>
                <c:pt idx="160">
                  <c:v>4.4006605090034352</c:v>
                </c:pt>
                <c:pt idx="161">
                  <c:v>4.4346402059296155</c:v>
                </c:pt>
                <c:pt idx="162">
                  <c:v>4.468572652616337</c:v>
                </c:pt>
                <c:pt idx="163">
                  <c:v>4.5024587676634376</c:v>
                </c:pt>
                <c:pt idx="164">
                  <c:v>4.5362994453599255</c:v>
                </c:pt>
                <c:pt idx="165">
                  <c:v>4.5700955565066961</c:v>
                </c:pt>
                <c:pt idx="166">
                  <c:v>4.6038479492046349</c:v>
                </c:pt>
                <c:pt idx="167">
                  <c:v>4.6375574496107621</c:v>
                </c:pt>
                <c:pt idx="168">
                  <c:v>4.6712248626629771</c:v>
                </c:pt>
                <c:pt idx="169">
                  <c:v>4.7048509727757351</c:v>
                </c:pt>
                <c:pt idx="170">
                  <c:v>4.7384365445076169</c:v>
                </c:pt>
                <c:pt idx="171">
                  <c:v>4.7719823232024368</c:v>
                </c:pt>
                <c:pt idx="172">
                  <c:v>4.8054890356047251</c:v>
                </c:pt>
                <c:pt idx="173">
                  <c:v>4.838957390451343</c:v>
                </c:pt>
                <c:pt idx="174">
                  <c:v>4.8723880790398164</c:v>
                </c:pt>
                <c:pt idx="175">
                  <c:v>4.9057817757748508</c:v>
                </c:pt>
                <c:pt idx="176">
                  <c:v>4.939139138693859</c:v>
                </c:pt>
                <c:pt idx="177">
                  <c:v>4.9724608099725511</c:v>
                </c:pt>
                <c:pt idx="178">
                  <c:v>5.0057474164111389</c:v>
                </c:pt>
                <c:pt idx="179">
                  <c:v>5.0389995699027956</c:v>
                </c:pt>
                <c:pt idx="180">
                  <c:v>5.0722178678842393</c:v>
                </c:pt>
                <c:pt idx="181">
                  <c:v>5.1054028937700036</c:v>
                </c:pt>
                <c:pt idx="182">
                  <c:v>5.1385552173703886</c:v>
                </c:pt>
                <c:pt idx="183">
                  <c:v>5.1716753952946943</c:v>
                </c:pt>
                <c:pt idx="184">
                  <c:v>5.2047639713394682</c:v>
                </c:pt>
                <c:pt idx="185">
                  <c:v>5.2378214768629636</c:v>
                </c:pt>
                <c:pt idx="186">
                  <c:v>5.2708484311462458</c:v>
                </c:pt>
                <c:pt idx="187">
                  <c:v>5.3038453417415523</c:v>
                </c:pt>
                <c:pt idx="188">
                  <c:v>5.3368127048083371</c:v>
                </c:pt>
                <c:pt idx="189">
                  <c:v>5.3697510054376023</c:v>
                </c:pt>
                <c:pt idx="190">
                  <c:v>5.4026607179648547</c:v>
                </c:pt>
                <c:pt idx="191">
                  <c:v>5.4355423062726551</c:v>
                </c:pt>
                <c:pt idx="192">
                  <c:v>5.4683962240823059</c:v>
                </c:pt>
                <c:pt idx="193">
                  <c:v>5.5012229152360037</c:v>
                </c:pt>
                <c:pt idx="194">
                  <c:v>5.5340228139692087</c:v>
                </c:pt>
                <c:pt idx="195">
                  <c:v>5.5667963451741391</c:v>
                </c:pt>
                <c:pt idx="196">
                  <c:v>5.5995439246542151</c:v>
                </c:pt>
                <c:pt idx="197">
                  <c:v>5.6322659593701765</c:v>
                </c:pt>
                <c:pt idx="198">
                  <c:v>5.6649628476780709</c:v>
                </c:pt>
                <c:pt idx="199">
                  <c:v>5.6976349795595631</c:v>
                </c:pt>
                <c:pt idx="200">
                  <c:v>5.7302827368445746</c:v>
                </c:pt>
                <c:pt idx="201">
                  <c:v>5.7629064934268444</c:v>
                </c:pt>
                <c:pt idx="202">
                  <c:v>5.7955066154725614</c:v>
                </c:pt>
                <c:pt idx="203">
                  <c:v>5.8280834616221551</c:v>
                </c:pt>
                <c:pt idx="204">
                  <c:v>5.86063738318619</c:v>
                </c:pt>
                <c:pt idx="205">
                  <c:v>5.893168724334215</c:v>
                </c:pt>
                <c:pt idx="206">
                  <c:v>5.9256778222785833</c:v>
                </c:pt>
                <c:pt idx="207">
                  <c:v>5.958165007452016</c:v>
                </c:pt>
                <c:pt idx="208">
                  <c:v>5.9906306036797288</c:v>
                </c:pt>
                <c:pt idx="209">
                  <c:v>6.0230749283464426</c:v>
                </c:pt>
                <c:pt idx="210">
                  <c:v>6.0554982925580418</c:v>
                </c:pt>
                <c:pt idx="211">
                  <c:v>6.0879010012984569</c:v>
                </c:pt>
                <c:pt idx="212">
                  <c:v>6.1202833535817955</c:v>
                </c:pt>
                <c:pt idx="213">
                  <c:v>6.1526456425997189</c:v>
                </c:pt>
                <c:pt idx="214">
                  <c:v>6.1849881558646533</c:v>
                </c:pt>
                <c:pt idx="215">
                  <c:v>6.2173111753486019</c:v>
                </c:pt>
                <c:pt idx="216">
                  <c:v>6.249614977617715</c:v>
                </c:pt>
                <c:pt idx="217">
                  <c:v>6.2818998339631493</c:v>
                </c:pt>
                <c:pt idx="218">
                  <c:v>6.3141660105279822</c:v>
                </c:pt>
                <c:pt idx="219">
                  <c:v>6.3464137684304038</c:v>
                </c:pt>
                <c:pt idx="220">
                  <c:v>6.3786433638832776</c:v>
                </c:pt>
                <c:pt idx="221">
                  <c:v>6.4108550483103226</c:v>
                </c:pt>
                <c:pt idx="222">
                  <c:v>6.443049068459179</c:v>
                </c:pt>
                <c:pt idx="223">
                  <c:v>6.4752256665106733</c:v>
                </c:pt>
                <c:pt idx="224">
                  <c:v>6.507385080185708</c:v>
                </c:pt>
                <c:pt idx="225">
                  <c:v>6.5395275428485329</c:v>
                </c:pt>
                <c:pt idx="226">
                  <c:v>6.5716532836073913</c:v>
                </c:pt>
                <c:pt idx="227">
                  <c:v>6.6037625274123215</c:v>
                </c:pt>
                <c:pt idx="228">
                  <c:v>6.6358554951503645</c:v>
                </c:pt>
                <c:pt idx="229">
                  <c:v>6.6679324037377183</c:v>
                </c:pt>
                <c:pt idx="230">
                  <c:v>6.6999934662098388</c:v>
                </c:pt>
                <c:pt idx="231">
                  <c:v>6.7320388918089176</c:v>
                </c:pt>
                <c:pt idx="232">
                  <c:v>6.7640688860687197</c:v>
                </c:pt>
                <c:pt idx="233">
                  <c:v>6.7960836508975815</c:v>
                </c:pt>
                <c:pt idx="234">
                  <c:v>6.8280833846586892</c:v>
                </c:pt>
                <c:pt idx="235">
                  <c:v>6.8600682822485481</c:v>
                </c:pt>
                <c:pt idx="236">
                  <c:v>6.8920385351732785</c:v>
                </c:pt>
                <c:pt idx="237">
                  <c:v>6.9239943316227324</c:v>
                </c:pt>
                <c:pt idx="238">
                  <c:v>6.9559358565428608</c:v>
                </c:pt>
                <c:pt idx="239">
                  <c:v>6.9878632917059651</c:v>
                </c:pt>
                <c:pt idx="240">
                  <c:v>7.019776815779311</c:v>
                </c:pt>
                <c:pt idx="241">
                  <c:v>7.0516766043918109</c:v>
                </c:pt>
                <c:pt idx="242">
                  <c:v>7.0835628301990203</c:v>
                </c:pt>
                <c:pt idx="243">
                  <c:v>7.1154356629464495</c:v>
                </c:pt>
                <c:pt idx="244">
                  <c:v>7.1472952695313472</c:v>
                </c:pt>
                <c:pt idx="245">
                  <c:v>7.1791418140626178</c:v>
                </c:pt>
              </c:numCache>
            </c:numRef>
          </c:yVal>
          <c:smooth val="1"/>
          <c:extLst>
            <c:ext xmlns:c16="http://schemas.microsoft.com/office/drawing/2014/chart" uri="{C3380CC4-5D6E-409C-BE32-E72D297353CC}">
              <c16:uniqueId val="{00000000-30BF-41DB-BD3A-807F9A3992A2}"/>
            </c:ext>
          </c:extLst>
        </c:ser>
        <c:ser>
          <c:idx val="1"/>
          <c:order val="1"/>
          <c:tx>
            <c:v>Source Impedance</c:v>
          </c:tx>
          <c:spPr>
            <a:ln>
              <a:solidFill>
                <a:srgbClr val="C00000">
                  <a:alpha val="30000"/>
                </a:srgbClr>
              </a:solidFill>
            </a:ln>
          </c:spPr>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Configuration'!$GR$5:$GR$250</c:f>
              <c:numCache>
                <c:formatCode>General</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2.2061836394766701</c:v>
                </c:pt>
                <c:pt idx="19">
                  <c:v>2.3020975659025749</c:v>
                </c:pt>
                <c:pt idx="20">
                  <c:v>2.3980117703209007</c:v>
                </c:pt>
                <c:pt idx="21">
                  <c:v>2.4939262206576061</c:v>
                </c:pt>
                <c:pt idx="22">
                  <c:v>2.589840889590036</c:v>
                </c:pt>
                <c:pt idx="23">
                  <c:v>2.6857557536984653</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3.8367440186048443</c:v>
                </c:pt>
                <c:pt idx="36">
                  <c:v>3.9326602504069372</c:v>
                </c:pt>
                <c:pt idx="37">
                  <c:v>4.0285765379082026</c:v>
                </c:pt>
                <c:pt idx="38">
                  <c:v>4.1244928772227283</c:v>
                </c:pt>
                <c:pt idx="39">
                  <c:v>4.2204092648178877</c:v>
                </c:pt>
                <c:pt idx="40">
                  <c:v>4.3163256974750173</c:v>
                </c:pt>
                <c:pt idx="41">
                  <c:v>4.4122421722553726</c:v>
                </c:pt>
                <c:pt idx="42">
                  <c:v>4.5081586864702743</c:v>
                </c:pt>
                <c:pt idx="43">
                  <c:v>4.6040752376551</c:v>
                </c:pt>
                <c:pt idx="44">
                  <c:v>4.6999918235464433</c:v>
                </c:pt>
                <c:pt idx="45">
                  <c:v>4.7959084420619256</c:v>
                </c:pt>
                <c:pt idx="46">
                  <c:v>4.8918250912825316</c:v>
                </c:pt>
                <c:pt idx="47">
                  <c:v>4.9877417694368305</c:v>
                </c:pt>
                <c:pt idx="48">
                  <c:v>5.0836584748870779</c:v>
                </c:pt>
                <c:pt idx="49">
                  <c:v>5.1795752061168736</c:v>
                </c:pt>
                <c:pt idx="50">
                  <c:v>5.2754919617200606</c:v>
                </c:pt>
                <c:pt idx="51">
                  <c:v>5.3714087403909589</c:v>
                </c:pt>
                <c:pt idx="52">
                  <c:v>5.4673255409154731</c:v>
                </c:pt>
                <c:pt idx="53">
                  <c:v>5.5632423621632769</c:v>
                </c:pt>
                <c:pt idx="54">
                  <c:v>5.6591592030806463</c:v>
                </c:pt>
                <c:pt idx="55">
                  <c:v>5.7550760626841067</c:v>
                </c:pt>
                <c:pt idx="56">
                  <c:v>5.8509929400546969</c:v>
                </c:pt>
                <c:pt idx="57">
                  <c:v>5.9469098343327085</c:v>
                </c:pt>
                <c:pt idx="58">
                  <c:v>6.0428267447130528</c:v>
                </c:pt>
                <c:pt idx="59">
                  <c:v>6.1387436704409319</c:v>
                </c:pt>
                <c:pt idx="60">
                  <c:v>6.2346606108079943</c:v>
                </c:pt>
                <c:pt idx="61">
                  <c:v>6.3305775651488476</c:v>
                </c:pt>
                <c:pt idx="62">
                  <c:v>6.426494532837788</c:v>
                </c:pt>
                <c:pt idx="63">
                  <c:v>6.5224115132859524</c:v>
                </c:pt>
                <c:pt idx="64">
                  <c:v>6.618328505938579</c:v>
                </c:pt>
                <c:pt idx="65">
                  <c:v>6.7142455102726402</c:v>
                </c:pt>
                <c:pt idx="66">
                  <c:v>6.8101625257945511</c:v>
                </c:pt>
                <c:pt idx="67">
                  <c:v>6.9060795520381442</c:v>
                </c:pt>
                <c:pt idx="68">
                  <c:v>7.001996588562827</c:v>
                </c:pt>
                <c:pt idx="69">
                  <c:v>7.0979136349517775</c:v>
                </c:pt>
                <c:pt idx="70">
                  <c:v>7.1938306908104526</c:v>
                </c:pt>
                <c:pt idx="71">
                  <c:v>7.2897477557650383</c:v>
                </c:pt>
                <c:pt idx="72">
                  <c:v>7.3856648294611409</c:v>
                </c:pt>
                <c:pt idx="73">
                  <c:v>7.4815819115625697</c:v>
                </c:pt>
                <c:pt idx="74">
                  <c:v>7.5774990017501187</c:v>
                </c:pt>
                <c:pt idx="75">
                  <c:v>7.673416099720578</c:v>
                </c:pt>
                <c:pt idx="76">
                  <c:v>7.7693332051856867</c:v>
                </c:pt>
                <c:pt idx="77">
                  <c:v>7.8652503178712401</c:v>
                </c:pt>
                <c:pt idx="78">
                  <c:v>7.9611674375162789</c:v>
                </c:pt>
                <c:pt idx="79">
                  <c:v>8.0570845638722322</c:v>
                </c:pt>
                <c:pt idx="80">
                  <c:v>8.1530016967022689</c:v>
                </c:pt>
                <c:pt idx="81">
                  <c:v>8.2489188357805219</c:v>
                </c:pt>
                <c:pt idx="82">
                  <c:v>8.3448359808915651</c:v>
                </c:pt>
                <c:pt idx="83">
                  <c:v>8.4407531318297231</c:v>
                </c:pt>
                <c:pt idx="84">
                  <c:v>8.5366702883985663</c:v>
                </c:pt>
                <c:pt idx="85">
                  <c:v>8.6325874504104281</c:v>
                </c:pt>
                <c:pt idx="86">
                  <c:v>8.7285046176858483</c:v>
                </c:pt>
                <c:pt idx="87">
                  <c:v>8.824421790053206</c:v>
                </c:pt>
                <c:pt idx="88">
                  <c:v>8.9203389673482434</c:v>
                </c:pt>
                <c:pt idx="89">
                  <c:v>9.0162561494136799</c:v>
                </c:pt>
                <c:pt idx="90">
                  <c:v>9.112173336098893</c:v>
                </c:pt>
                <c:pt idx="91">
                  <c:v>9.2080905272594986</c:v>
                </c:pt>
                <c:pt idx="92">
                  <c:v>9.3040077227570954</c:v>
                </c:pt>
                <c:pt idx="93">
                  <c:v>9.3999249224589061</c:v>
                </c:pt>
                <c:pt idx="94">
                  <c:v>9.4958421262375481</c:v>
                </c:pt>
                <c:pt idx="95">
                  <c:v>9.5917593339707068</c:v>
                </c:pt>
                <c:pt idx="96">
                  <c:v>9.6876765455409135</c:v>
                </c:pt>
                <c:pt idx="97">
                  <c:v>9.7835937608353323</c:v>
                </c:pt>
                <c:pt idx="98">
                  <c:v>9.8795109797454721</c:v>
                </c:pt>
                <c:pt idx="99">
                  <c:v>9.9754282021670537</c:v>
                </c:pt>
                <c:pt idx="100">
                  <c:v>10.071345427999766</c:v>
                </c:pt>
                <c:pt idx="101">
                  <c:v>10.167262657147017</c:v>
                </c:pt>
                <c:pt idx="102">
                  <c:v>10.263179889515904</c:v>
                </c:pt>
                <c:pt idx="103">
                  <c:v>10.359097125016932</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12.181525096240435</c:v>
                </c:pt>
                <c:pt idx="123">
                  <c:v>12.277442379737138</c:v>
                </c:pt>
                <c:pt idx="124">
                  <c:v>12.373359665063427</c:v>
                </c:pt>
                <c:pt idx="125">
                  <c:v>12.469276952177076</c:v>
                </c:pt>
                <c:pt idx="126">
                  <c:v>12.565194241037158</c:v>
                </c:pt>
                <c:pt idx="127">
                  <c:v>12.661111531603982</c:v>
                </c:pt>
                <c:pt idx="128">
                  <c:v>12.757028823839043</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14.291705699072494</c:v>
                </c:pt>
                <c:pt idx="145">
                  <c:v>14.387623014745584</c:v>
                </c:pt>
                <c:pt idx="146">
                  <c:v>14.483540331555519</c:v>
                </c:pt>
                <c:pt idx="147">
                  <c:v>14.579457649479863</c:v>
                </c:pt>
                <c:pt idx="148">
                  <c:v>14.675374968496763</c:v>
                </c:pt>
                <c:pt idx="149">
                  <c:v>14.77129228858494</c:v>
                </c:pt>
                <c:pt idx="150">
                  <c:v>14.867209609723655</c:v>
                </c:pt>
                <c:pt idx="151">
                  <c:v>14.963126931892704</c:v>
                </c:pt>
                <c:pt idx="152">
                  <c:v>15.059044255072404</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17.07330824513982</c:v>
                </c:pt>
                <c:pt idx="174">
                  <c:v>17.169225586436959</c:v>
                </c:pt>
                <c:pt idx="175">
                  <c:v>17.265142928403066</c:v>
                </c:pt>
                <c:pt idx="176">
                  <c:v>17.361060271027064</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19.75899402241658</c:v>
                </c:pt>
                <c:pt idx="202">
                  <c:v>19.854911378934421</c:v>
                </c:pt>
                <c:pt idx="203">
                  <c:v>19.950828735884837</c:v>
                </c:pt>
                <c:pt idx="204">
                  <c:v>20.046746093261604</c:v>
                </c:pt>
                <c:pt idx="205">
                  <c:v>20.142663451058645</c:v>
                </c:pt>
                <c:pt idx="206">
                  <c:v>20.238580809269983</c:v>
                </c:pt>
                <c:pt idx="207">
                  <c:v>20.334498167889748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22.061010686814029</c:v>
                </c:pt>
                <c:pt idx="226">
                  <c:v>22.156928052212471</c:v>
                </c:pt>
                <c:pt idx="227">
                  <c:v>22.252845417922174</c:v>
                </c:pt>
                <c:pt idx="228">
                  <c:v>22.348762783939129</c:v>
                </c:pt>
                <c:pt idx="229">
                  <c:v>22.444680150259408</c:v>
                </c:pt>
                <c:pt idx="230">
                  <c:v>22.540597516879124</c:v>
                </c:pt>
                <c:pt idx="231">
                  <c:v>22.63651488379449</c:v>
                </c:pt>
                <c:pt idx="232">
                  <c:v>22.732432251001743</c:v>
                </c:pt>
                <c:pt idx="233">
                  <c:v>22.828349618497217</c:v>
                </c:pt>
                <c:pt idx="234">
                  <c:v>22.924266986277289</c:v>
                </c:pt>
                <c:pt idx="235">
                  <c:v>23.020184354338404</c:v>
                </c:pt>
                <c:pt idx="236">
                  <c:v>23.116101722677062</c:v>
                </c:pt>
                <c:pt idx="237">
                  <c:v>23.212019091289822</c:v>
                </c:pt>
                <c:pt idx="238">
                  <c:v>23.307936460173305</c:v>
                </c:pt>
                <c:pt idx="239">
                  <c:v>23.40385382932417</c:v>
                </c:pt>
                <c:pt idx="240">
                  <c:v>23.499771198739158</c:v>
                </c:pt>
                <c:pt idx="241">
                  <c:v>23.595688568415035</c:v>
                </c:pt>
                <c:pt idx="242">
                  <c:v>23.691605938348644</c:v>
                </c:pt>
                <c:pt idx="243">
                  <c:v>23.787523308536855</c:v>
                </c:pt>
                <c:pt idx="244">
                  <c:v>23.883440678976616</c:v>
                </c:pt>
                <c:pt idx="245">
                  <c:v>23.979358049664892</c:v>
                </c:pt>
              </c:numCache>
            </c:numRef>
          </c:yVal>
          <c:smooth val="1"/>
          <c:extLst>
            <c:ext xmlns:c16="http://schemas.microsoft.com/office/drawing/2014/chart" uri="{C3380CC4-5D6E-409C-BE32-E72D297353CC}">
              <c16:uniqueId val="{00000000-A979-4CA5-B9BE-685046A21298}"/>
            </c:ext>
          </c:extLst>
        </c:ser>
        <c:ser>
          <c:idx val="2"/>
          <c:order val="2"/>
          <c:tx>
            <c:v>Total Impedance</c:v>
          </c:tx>
          <c:spPr>
            <a:ln>
              <a:solidFill>
                <a:schemeClr val="accent3">
                  <a:lumMod val="75000"/>
                  <a:alpha val="50000"/>
                </a:schemeClr>
              </a:solidFill>
            </a:ln>
          </c:spPr>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Configuration'!$GS$5:$GS$250</c:f>
              <c:numCache>
                <c:formatCode>General</c:formatCode>
                <c:ptCount val="246"/>
                <c:pt idx="0">
                  <c:v>0.49764493633540202</c:v>
                </c:pt>
                <c:pt idx="1">
                  <c:v>0.60714371353178709</c:v>
                </c:pt>
                <c:pt idx="2">
                  <c:v>0.7229888472562489</c:v>
                </c:pt>
                <c:pt idx="3">
                  <c:v>0.84703724023026905</c:v>
                </c:pt>
                <c:pt idx="4">
                  <c:v>0.98169975801845188</c:v>
                </c:pt>
                <c:pt idx="5">
                  <c:v>1.1302062226691687</c:v>
                </c:pt>
                <c:pt idx="6">
                  <c:v>1.29703495774641</c:v>
                </c:pt>
                <c:pt idx="7">
                  <c:v>1.4886405658149489</c:v>
                </c:pt>
                <c:pt idx="8">
                  <c:v>1.714756373237416</c:v>
                </c:pt>
                <c:pt idx="9">
                  <c:v>1.9908869844051162</c:v>
                </c:pt>
                <c:pt idx="10">
                  <c:v>2.3434979372735278</c:v>
                </c:pt>
                <c:pt idx="11">
                  <c:v>2.8220761927832547</c:v>
                </c:pt>
                <c:pt idx="12">
                  <c:v>3.5317163094716375</c:v>
                </c:pt>
                <c:pt idx="13">
                  <c:v>4.7431349298659828</c:v>
                </c:pt>
                <c:pt idx="14">
                  <c:v>7.4334344674722619</c:v>
                </c:pt>
                <c:pt idx="15">
                  <c:v>19.556204266915071</c:v>
                </c:pt>
                <c:pt idx="16">
                  <c:v>17.048211033519255</c:v>
                </c:pt>
                <c:pt idx="17">
                  <c:v>5.1501931156013674</c:v>
                </c:pt>
                <c:pt idx="18">
                  <c:v>2.4275047561831342</c:v>
                </c:pt>
                <c:pt idx="19">
                  <c:v>1.159425970177774</c:v>
                </c:pt>
                <c:pt idx="20">
                  <c:v>0.60123959905281477</c:v>
                </c:pt>
                <c:pt idx="21">
                  <c:v>1.0045702805103049</c:v>
                </c:pt>
                <c:pt idx="22">
                  <c:v>1.8682687970613276</c:v>
                </c:pt>
                <c:pt idx="23">
                  <c:v>3.1141396110499571</c:v>
                </c:pt>
                <c:pt idx="24">
                  <c:v>4.4978454524962439</c:v>
                </c:pt>
                <c:pt idx="25">
                  <c:v>4.2584457807750402</c:v>
                </c:pt>
                <c:pt idx="26">
                  <c:v>2.9597996354503047</c:v>
                </c:pt>
                <c:pt idx="27">
                  <c:v>1.9958232639451621</c:v>
                </c:pt>
                <c:pt idx="28">
                  <c:v>1.384829797424231</c:v>
                </c:pt>
                <c:pt idx="29">
                  <c:v>1.0216615462163638</c:v>
                </c:pt>
                <c:pt idx="30">
                  <c:v>0.88537877063347059</c:v>
                </c:pt>
                <c:pt idx="31">
                  <c:v>0.97153324337746194</c:v>
                </c:pt>
                <c:pt idx="32">
                  <c:v>1.2293055106668895</c:v>
                </c:pt>
                <c:pt idx="33">
                  <c:v>1.6174962280106562</c:v>
                </c:pt>
                <c:pt idx="34">
                  <c:v>2.13971212546332</c:v>
                </c:pt>
                <c:pt idx="35">
                  <c:v>2.8255163866525854</c:v>
                </c:pt>
                <c:pt idx="36">
                  <c:v>3.6618343656897632</c:v>
                </c:pt>
                <c:pt idx="37">
                  <c:v>4.3835720219354846</c:v>
                </c:pt>
                <c:pt idx="38">
                  <c:v>4.4244872276072886</c:v>
                </c:pt>
                <c:pt idx="39">
                  <c:v>3.788580236777277</c:v>
                </c:pt>
                <c:pt idx="40">
                  <c:v>3.02923187695382</c:v>
                </c:pt>
                <c:pt idx="41">
                  <c:v>2.4030097763317046</c:v>
                </c:pt>
                <c:pt idx="42">
                  <c:v>1.924209715169064</c:v>
                </c:pt>
                <c:pt idx="43">
                  <c:v>1.5566062311573612</c:v>
                </c:pt>
                <c:pt idx="44">
                  <c:v>1.2678862487475795</c:v>
                </c:pt>
                <c:pt idx="45">
                  <c:v>1.0361037396471895</c:v>
                </c:pt>
                <c:pt idx="46">
                  <c:v>0.84771430709684092</c:v>
                </c:pt>
                <c:pt idx="47">
                  <c:v>0.69558630235142604</c:v>
                </c:pt>
                <c:pt idx="48">
                  <c:v>0.57812239361818796</c:v>
                </c:pt>
                <c:pt idx="49">
                  <c:v>0.49879280504759377</c:v>
                </c:pt>
                <c:pt idx="50">
                  <c:v>0.46347759392206578</c:v>
                </c:pt>
                <c:pt idx="51">
                  <c:v>0.47278967550472822</c:v>
                </c:pt>
                <c:pt idx="52">
                  <c:v>0.51456208037858897</c:v>
                </c:pt>
                <c:pt idx="53">
                  <c:v>0.56430252320922936</c:v>
                </c:pt>
                <c:pt idx="54">
                  <c:v>0.59008297789100916</c:v>
                </c:pt>
                <c:pt idx="55">
                  <c:v>0.56462443323797207</c:v>
                </c:pt>
                <c:pt idx="56">
                  <c:v>0.4858183220745238</c:v>
                </c:pt>
                <c:pt idx="57">
                  <c:v>0.37865623666889098</c:v>
                </c:pt>
                <c:pt idx="58">
                  <c:v>0.27399791323123646</c:v>
                </c:pt>
                <c:pt idx="59">
                  <c:v>0.19871516263250677</c:v>
                </c:pt>
                <c:pt idx="60">
                  <c:v>0.17817882682632019</c:v>
                </c:pt>
                <c:pt idx="61">
                  <c:v>0.21121965210512858</c:v>
                </c:pt>
                <c:pt idx="62">
                  <c:v>0.26868726113773428</c:v>
                </c:pt>
                <c:pt idx="63">
                  <c:v>0.33220710666598258</c:v>
                </c:pt>
                <c:pt idx="64">
                  <c:v>0.39542067633726158</c:v>
                </c:pt>
                <c:pt idx="65">
                  <c:v>0.45643801096731895</c:v>
                </c:pt>
                <c:pt idx="66">
                  <c:v>0.51482634570202224</c:v>
                </c:pt>
                <c:pt idx="67">
                  <c:v>0.57063493672378551</c:v>
                </c:pt>
                <c:pt idx="68">
                  <c:v>0.6240650189171224</c:v>
                </c:pt>
                <c:pt idx="69">
                  <c:v>0.6753520526221608</c:v>
                </c:pt>
                <c:pt idx="70">
                  <c:v>0.72472344384965282</c:v>
                </c:pt>
                <c:pt idx="71">
                  <c:v>0.77238469732667647</c:v>
                </c:pt>
                <c:pt idx="72">
                  <c:v>0.81851654420890485</c:v>
                </c:pt>
                <c:pt idx="73">
                  <c:v>0.86327619748171047</c:v>
                </c:pt>
                <c:pt idx="74">
                  <c:v>0.90679996646457028</c:v>
                </c:pt>
                <c:pt idx="75">
                  <c:v>0.94920611119001019</c:v>
                </c:pt>
                <c:pt idx="76">
                  <c:v>0.99059750637293109</c:v>
                </c:pt>
                <c:pt idx="77">
                  <c:v>1.0310639757727709</c:v>
                </c:pt>
                <c:pt idx="78">
                  <c:v>1.0706842786135791</c:v>
                </c:pt>
                <c:pt idx="79">
                  <c:v>1.1095277764993268</c:v>
                </c:pt>
                <c:pt idx="80">
                  <c:v>1.1476558238437229</c:v>
                </c:pt>
                <c:pt idx="81">
                  <c:v>1.1851229258524052</c:v>
                </c:pt>
                <c:pt idx="82">
                  <c:v>1.2219777038866224</c:v>
                </c:pt>
                <c:pt idx="83">
                  <c:v>1.2582637022897658</c:v>
                </c:pt>
                <c:pt idx="84">
                  <c:v>1.2940200650349951</c:v>
                </c:pt>
                <c:pt idx="85">
                  <c:v>1.3292821054479915</c:v>
                </c:pt>
                <c:pt idx="86">
                  <c:v>1.3640817879356242</c:v>
                </c:pt>
                <c:pt idx="87">
                  <c:v>1.3984481370867445</c:v>
                </c:pt>
                <c:pt idx="88">
                  <c:v>1.4324075866143042</c:v>
                </c:pt>
                <c:pt idx="89">
                  <c:v>1.4659842782709902</c:v>
                </c:pt>
                <c:pt idx="90">
                  <c:v>1.4992003189924294</c:v>
                </c:pt>
                <c:pt idx="91">
                  <c:v>1.5320760030127176</c:v>
                </c:pt>
                <c:pt idx="92">
                  <c:v>1.564630004483891</c:v>
                </c:pt>
                <c:pt idx="93">
                  <c:v>1.5968795451536892</c:v>
                </c:pt>
                <c:pt idx="94">
                  <c:v>1.6288405408655728</c:v>
                </c:pt>
                <c:pt idx="95">
                  <c:v>1.6605277300053396</c:v>
                </c:pt>
                <c:pt idx="96">
                  <c:v>1.6919547864978153</c:v>
                </c:pt>
                <c:pt idx="97">
                  <c:v>1.7231344195316041</c:v>
                </c:pt>
                <c:pt idx="98">
                  <c:v>1.7540784618415466</c:v>
                </c:pt>
                <c:pt idx="99">
                  <c:v>1.784797948091748</c:v>
                </c:pt>
                <c:pt idx="100">
                  <c:v>1.8153031846650443</c:v>
                </c:pt>
                <c:pt idx="101">
                  <c:v>1.8456038119681673</c:v>
                </c:pt>
                <c:pt idx="102">
                  <c:v>1.8757088601985508</c:v>
                </c:pt>
                <c:pt idx="103">
                  <c:v>1.9056267993815943</c:v>
                </c:pt>
                <c:pt idx="104">
                  <c:v>1.9353655843735111</c:v>
                </c:pt>
                <c:pt idx="105">
                  <c:v>1.9649326954270232</c:v>
                </c:pt>
                <c:pt idx="106">
                  <c:v>1.9943351748372034</c:v>
                </c:pt>
                <c:pt idx="107">
                  <c:v>2.0235796601146583</c:v>
                </c:pt>
                <c:pt idx="108">
                  <c:v>2.0526724140749582</c:v>
                </c:pt>
                <c:pt idx="109">
                  <c:v>2.0816193521834907</c:v>
                </c:pt>
                <c:pt idx="110">
                  <c:v>2.1104260674514124</c:v>
                </c:pt>
                <c:pt idx="111">
                  <c:v>2.1390978531422586</c:v>
                </c:pt>
                <c:pt idx="112">
                  <c:v>2.1676397235169129</c:v>
                </c:pt>
                <c:pt idx="113">
                  <c:v>2.1960564328174632</c:v>
                </c:pt>
                <c:pt idx="114">
                  <c:v>2.2243524926666738</c:v>
                </c:pt>
                <c:pt idx="115">
                  <c:v>2.2525321880396008</c:v>
                </c:pt>
                <c:pt idx="116">
                  <c:v>2.2805995919461983</c:v>
                </c:pt>
                <c:pt idx="117">
                  <c:v>2.3085585789475376</c:v>
                </c:pt>
                <c:pt idx="118">
                  <c:v>2.3364128376158191</c:v>
                </c:pt>
                <c:pt idx="119">
                  <c:v>2.3641658820353921</c:v>
                </c:pt>
                <c:pt idx="120">
                  <c:v>2.3918210624324319</c:v>
                </c:pt>
                <c:pt idx="121">
                  <c:v>2.4193815750111383</c:v>
                </c:pt>
                <c:pt idx="122">
                  <c:v>2.446850471066762</c:v>
                </c:pt>
                <c:pt idx="123">
                  <c:v>2.4742306654381965</c:v>
                </c:pt>
                <c:pt idx="124">
                  <c:v>2.5015249443567495</c:v>
                </c:pt>
                <c:pt idx="125">
                  <c:v>2.5287359727423215</c:v>
                </c:pt>
                <c:pt idx="126">
                  <c:v>2.5558663009927973</c:v>
                </c:pt>
                <c:pt idx="127">
                  <c:v>2.5829183713083435</c:v>
                </c:pt>
                <c:pt idx="128">
                  <c:v>2.6098945235883337</c:v>
                </c:pt>
                <c:pt idx="129">
                  <c:v>2.6367970009351547</c:v>
                </c:pt>
                <c:pt idx="130">
                  <c:v>2.6636279547955346</c:v>
                </c:pt>
                <c:pt idx="131">
                  <c:v>2.6903894497681251</c:v>
                </c:pt>
                <c:pt idx="132">
                  <c:v>2.7170834681024334</c:v>
                </c:pt>
                <c:pt idx="133">
                  <c:v>2.7437119139130122</c:v>
                </c:pt>
                <c:pt idx="134">
                  <c:v>2.7702766171298143</c:v>
                </c:pt>
                <c:pt idx="135">
                  <c:v>2.7967793372045282</c:v>
                </c:pt>
                <c:pt idx="136">
                  <c:v>2.8232217665904868</c:v>
                </c:pt>
                <c:pt idx="137">
                  <c:v>2.8496055340127131</c:v>
                </c:pt>
                <c:pt idx="138">
                  <c:v>2.8759322075428546</c:v>
                </c:pt>
                <c:pt idx="139">
                  <c:v>2.9022032974929082</c:v>
                </c:pt>
                <c:pt idx="140">
                  <c:v>2.928420259140287</c:v>
                </c:pt>
                <c:pt idx="141">
                  <c:v>2.9545844952959341</c:v>
                </c:pt>
                <c:pt idx="142">
                  <c:v>2.9806973587259891</c:v>
                </c:pt>
                <c:pt idx="143">
                  <c:v>3.0067601544369169</c:v>
                </c:pt>
                <c:pt idx="144">
                  <c:v>3.0327741418334941</c:v>
                </c:pt>
                <c:pt idx="145">
                  <c:v>3.0587405367575924</c:v>
                </c:pt>
                <c:pt idx="146">
                  <c:v>3.0846605134156588</c:v>
                </c:pt>
                <c:pt idx="147">
                  <c:v>3.1105352062022296</c:v>
                </c:pt>
                <c:pt idx="148">
                  <c:v>3.13636571142596</c:v>
                </c:pt>
                <c:pt idx="149">
                  <c:v>3.1621530889444136</c:v>
                </c:pt>
                <c:pt idx="150">
                  <c:v>3.1878983637129363</c:v>
                </c:pt>
                <c:pt idx="151">
                  <c:v>3.2136025272538107</c:v>
                </c:pt>
                <c:pt idx="152">
                  <c:v>3.2392665390493804</c:v>
                </c:pt>
                <c:pt idx="153">
                  <c:v>3.2648913278648726</c:v>
                </c:pt>
                <c:pt idx="154">
                  <c:v>3.2904777930042628</c:v>
                </c:pt>
                <c:pt idx="155">
                  <c:v>3.3160268055037396</c:v>
                </c:pt>
                <c:pt idx="156">
                  <c:v>3.3415392092661329</c:v>
                </c:pt>
                <c:pt idx="157">
                  <c:v>3.367015822140055</c:v>
                </c:pt>
                <c:pt idx="158">
                  <c:v>3.3924574369462599</c:v>
                </c:pt>
                <c:pt idx="159">
                  <c:v>3.417864822455261</c:v>
                </c:pt>
                <c:pt idx="160">
                  <c:v>3.4432387243181188</c:v>
                </c:pt>
                <c:pt idx="161">
                  <c:v>3.4685798659533935</c:v>
                </c:pt>
                <c:pt idx="162">
                  <c:v>3.4938889493925567</c:v>
                </c:pt>
                <c:pt idx="163">
                  <c:v>3.5191666560865165</c:v>
                </c:pt>
                <c:pt idx="164">
                  <c:v>3.5444136476746566</c:v>
                </c:pt>
                <c:pt idx="165">
                  <c:v>3.5696305667193893</c:v>
                </c:pt>
                <c:pt idx="166">
                  <c:v>3.5948180374069714</c:v>
                </c:pt>
                <c:pt idx="167">
                  <c:v>3.6199766662175787</c:v>
                </c:pt>
                <c:pt idx="168">
                  <c:v>3.6451070425650558</c:v>
                </c:pt>
                <c:pt idx="169">
                  <c:v>3.6702097394089455</c:v>
                </c:pt>
                <c:pt idx="170">
                  <c:v>3.695285313839531</c:v>
                </c:pt>
                <c:pt idx="171">
                  <c:v>3.7203343076377715</c:v>
                </c:pt>
                <c:pt idx="172">
                  <c:v>3.7453572478109503</c:v>
                </c:pt>
                <c:pt idx="173">
                  <c:v>3.7703546471057812</c:v>
                </c:pt>
                <c:pt idx="174">
                  <c:v>3.7953270044995873</c:v>
                </c:pt>
                <c:pt idx="175">
                  <c:v>3.820274805670981</c:v>
                </c:pt>
                <c:pt idx="176">
                  <c:v>3.8451985234510691</c:v>
                </c:pt>
                <c:pt idx="177">
                  <c:v>3.8700986182559225</c:v>
                </c:pt>
                <c:pt idx="178">
                  <c:v>3.894975538501249</c:v>
                </c:pt>
                <c:pt idx="179">
                  <c:v>3.9198297210004536</c:v>
                </c:pt>
                <c:pt idx="180">
                  <c:v>3.9446615913464651</c:v>
                </c:pt>
                <c:pt idx="181">
                  <c:v>3.9694715642783569</c:v>
                </c:pt>
                <c:pt idx="182">
                  <c:v>3.9942600440332501</c:v>
                </c:pt>
                <c:pt idx="183">
                  <c:v>4.0190274246845972</c:v>
                </c:pt>
                <c:pt idx="184">
                  <c:v>4.0437740904670516</c:v>
                </c:pt>
                <c:pt idx="185">
                  <c:v>4.0685004160886171</c:v>
                </c:pt>
                <c:pt idx="186">
                  <c:v>4.0932067670310586</c:v>
                </c:pt>
                <c:pt idx="187">
                  <c:v>4.1178934998385115</c:v>
                </c:pt>
                <c:pt idx="188">
                  <c:v>4.1425609623952244</c:v>
                </c:pt>
                <c:pt idx="189">
                  <c:v>4.1672094941929023</c:v>
                </c:pt>
                <c:pt idx="190">
                  <c:v>4.1918394265877037</c:v>
                </c:pt>
                <c:pt idx="191">
                  <c:v>4.2164510830481987</c:v>
                </c:pt>
                <c:pt idx="192">
                  <c:v>4.2410447793936354</c:v>
                </c:pt>
                <c:pt idx="193">
                  <c:v>4.2656208240236761</c:v>
                </c:pt>
                <c:pt idx="194">
                  <c:v>4.2901795181398175</c:v>
                </c:pt>
                <c:pt idx="195">
                  <c:v>4.3147211559587202</c:v>
                </c:pt>
                <c:pt idx="196">
                  <c:v>4.3392460249177276</c:v>
                </c:pt>
                <c:pt idx="197">
                  <c:v>4.363754405873312</c:v>
                </c:pt>
                <c:pt idx="198">
                  <c:v>4.3882465732920917</c:v>
                </c:pt>
                <c:pt idx="199">
                  <c:v>4.4127227954355908</c:v>
                </c:pt>
                <c:pt idx="200">
                  <c:v>4.4371833345381013</c:v>
                </c:pt>
                <c:pt idx="201">
                  <c:v>4.461628446978505</c:v>
                </c:pt>
                <c:pt idx="202">
                  <c:v>4.4860583834461734</c:v>
                </c:pt>
                <c:pt idx="203">
                  <c:v>4.5104733891010707</c:v>
                </c:pt>
                <c:pt idx="204">
                  <c:v>4.5348737037286684</c:v>
                </c:pt>
                <c:pt idx="205">
                  <c:v>4.5592595618891183</c:v>
                </c:pt>
                <c:pt idx="206">
                  <c:v>4.5836311930616978</c:v>
                </c:pt>
                <c:pt idx="207">
                  <c:v>4.6079888217845504</c:v>
                </c:pt>
                <c:pt idx="208">
                  <c:v>4.6323326677893739</c:v>
                </c:pt>
                <c:pt idx="209">
                  <c:v>4.65666294613189</c:v>
                </c:pt>
                <c:pt idx="210">
                  <c:v>4.6809798673180811</c:v>
                </c:pt>
                <c:pt idx="211">
                  <c:v>4.7052836374261151</c:v>
                </c:pt>
                <c:pt idx="212">
                  <c:v>4.7295744582243779</c:v>
                </c:pt>
                <c:pt idx="213">
                  <c:v>4.7538525272856864</c:v>
                </c:pt>
                <c:pt idx="214">
                  <c:v>4.7781180380978956</c:v>
                </c:pt>
                <c:pt idx="215">
                  <c:v>4.8023711801708497</c:v>
                </c:pt>
                <c:pt idx="216">
                  <c:v>4.8266121391400123</c:v>
                </c:pt>
                <c:pt idx="217">
                  <c:v>4.8508410968667084</c:v>
                </c:pt>
                <c:pt idx="218">
                  <c:v>4.8750582315355953</c:v>
                </c:pt>
                <c:pt idx="219">
                  <c:v>4.8992637177484175</c:v>
                </c:pt>
                <c:pt idx="220">
                  <c:v>4.9234577266155659</c:v>
                </c:pt>
                <c:pt idx="221">
                  <c:v>4.947640425844301</c:v>
                </c:pt>
                <c:pt idx="222">
                  <c:v>4.9718119798244924</c:v>
                </c:pt>
                <c:pt idx="223">
                  <c:v>4.9959725497116851</c:v>
                </c:pt>
                <c:pt idx="224">
                  <c:v>5.0201222935076997</c:v>
                </c:pt>
                <c:pt idx="225">
                  <c:v>5.0442613661387945</c:v>
                </c:pt>
                <c:pt idx="226">
                  <c:v>5.0683899195312421</c:v>
                </c:pt>
                <c:pt idx="227">
                  <c:v>5.0925081026850849</c:v>
                </c:pt>
                <c:pt idx="228">
                  <c:v>5.1166160617452574</c:v>
                </c:pt>
                <c:pt idx="229">
                  <c:v>5.1407139400709552</c:v>
                </c:pt>
                <c:pt idx="230">
                  <c:v>5.1648018783027858</c:v>
                </c:pt>
                <c:pt idx="231">
                  <c:v>5.1888800144279648</c:v>
                </c:pt>
                <c:pt idx="232">
                  <c:v>5.2129484838436557</c:v>
                </c:pt>
                <c:pt idx="233">
                  <c:v>5.2370074194184673</c:v>
                </c:pt>
                <c:pt idx="234">
                  <c:v>5.2610569515521508</c:v>
                </c:pt>
                <c:pt idx="235">
                  <c:v>5.2850972082336929</c:v>
                </c:pt>
                <c:pt idx="236">
                  <c:v>5.3091283150976123</c:v>
                </c:pt>
                <c:pt idx="237">
                  <c:v>5.3331503954787447</c:v>
                </c:pt>
                <c:pt idx="238">
                  <c:v>5.3571635704654534</c:v>
                </c:pt>
                <c:pt idx="239">
                  <c:v>5.3811679589514396</c:v>
                </c:pt>
                <c:pt idx="240">
                  <c:v>5.4051636776858842</c:v>
                </c:pt>
                <c:pt idx="241">
                  <c:v>5.4291508413225262</c:v>
                </c:pt>
                <c:pt idx="242">
                  <c:v>5.4531295624670086</c:v>
                </c:pt>
                <c:pt idx="243">
                  <c:v>5.4770999517232575</c:v>
                </c:pt>
                <c:pt idx="244">
                  <c:v>5.501062117738492</c:v>
                </c:pt>
                <c:pt idx="245">
                  <c:v>5.5250161672468012</c:v>
                </c:pt>
              </c:numCache>
            </c:numRef>
          </c:yVal>
          <c:smooth val="1"/>
          <c:extLst>
            <c:ext xmlns:c16="http://schemas.microsoft.com/office/drawing/2014/chart" uri="{C3380CC4-5D6E-409C-BE32-E72D297353CC}">
              <c16:uniqueId val="{00000001-A979-4CA5-B9BE-685046A21298}"/>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0.11109102118644669"/>
          <c:y val="0.13758318871723543"/>
          <c:w val="0.84530875623498913"/>
          <c:h val="0.1101086472635374"/>
        </c:manualLayout>
      </c:layout>
      <c:overlay val="0"/>
      <c:spPr>
        <a:noFill/>
      </c:spPr>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Source Current</a:t>
            </a:r>
            <a:r>
              <a:rPr lang="en-US" sz="1400" baseline="0">
                <a:solidFill>
                  <a:srgbClr val="0E9ED9"/>
                </a:solidFill>
              </a:rPr>
              <a:t> for 1 Amp 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marker>
            <c:symbol val="none"/>
          </c:marker>
          <c:xVal>
            <c:numRef>
              <c:f>'4-Branch H-Filter Configuration'!$GF$5:$GF$250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Configuration'!$GG$5:$GG$250</c:f>
              <c:numCache>
                <c:formatCode>0.00</c:formatCode>
                <c:ptCount val="246"/>
                <c:pt idx="0">
                  <c:v>1.0368239541246618</c:v>
                </c:pt>
                <c:pt idx="1">
                  <c:v>1.0543910398808352</c:v>
                </c:pt>
                <c:pt idx="2">
                  <c:v>1.0763635005245293</c:v>
                </c:pt>
                <c:pt idx="3">
                  <c:v>1.1035180423711297</c:v>
                </c:pt>
                <c:pt idx="4">
                  <c:v>1.1369243366976252</c:v>
                </c:pt>
                <c:pt idx="5">
                  <c:v>1.1780763776783338</c:v>
                </c:pt>
                <c:pt idx="6">
                  <c:v>1.2291073594123827</c:v>
                </c:pt>
                <c:pt idx="7">
                  <c:v>1.2931559080078692</c:v>
                </c:pt>
                <c:pt idx="8">
                  <c:v>1.3750240011004429</c:v>
                </c:pt>
                <c:pt idx="9">
                  <c:v>1.482439081159119</c:v>
                </c:pt>
                <c:pt idx="10">
                  <c:v>1.6286858049019419</c:v>
                </c:pt>
                <c:pt idx="11">
                  <c:v>1.838727709750023</c:v>
                </c:pt>
                <c:pt idx="12">
                  <c:v>2.1657555293545863</c:v>
                </c:pt>
                <c:pt idx="13">
                  <c:v>2.7470639068635649</c:v>
                </c:pt>
                <c:pt idx="14">
                  <c:v>4.0786313401633176</c:v>
                </c:pt>
                <c:pt idx="15">
                  <c:v>10.193784560037409</c:v>
                </c:pt>
                <c:pt idx="16">
                  <c:v>8.4633522757784494</c:v>
                </c:pt>
                <c:pt idx="17">
                  <c:v>2.4405374880711537</c:v>
                </c:pt>
                <c:pt idx="18">
                  <c:v>1.100318537743739</c:v>
                </c:pt>
                <c:pt idx="19">
                  <c:v>0.50363893665957993</c:v>
                </c:pt>
                <c:pt idx="20">
                  <c:v>0.25072420681753393</c:v>
                </c:pt>
                <c:pt idx="21">
                  <c:v>0.4028067358967079</c:v>
                </c:pt>
                <c:pt idx="22">
                  <c:v>0.72138362034938319</c:v>
                </c:pt>
                <c:pt idx="23">
                  <c:v>1.1595021649908315</c:v>
                </c:pt>
                <c:pt idx="24">
                  <c:v>1.6169582195524972</c:v>
                </c:pt>
                <c:pt idx="25">
                  <c:v>1.4798674293300227</c:v>
                </c:pt>
                <c:pt idx="26">
                  <c:v>0.99539206771885824</c:v>
                </c:pt>
                <c:pt idx="27">
                  <c:v>0.65022882085491085</c:v>
                </c:pt>
                <c:pt idx="28">
                  <c:v>0.43749901456908397</c:v>
                </c:pt>
                <c:pt idx="29">
                  <c:v>0.31327317746021333</c:v>
                </c:pt>
                <c:pt idx="30">
                  <c:v>0.26372819647234763</c:v>
                </c:pt>
                <c:pt idx="31">
                  <c:v>0.28135268113874901</c:v>
                </c:pt>
                <c:pt idx="32">
                  <c:v>0.34638123393112896</c:v>
                </c:pt>
                <c:pt idx="33">
                  <c:v>0.44376828398856738</c:v>
                </c:pt>
                <c:pt idx="34">
                  <c:v>0.57198893215614699</c:v>
                </c:pt>
                <c:pt idx="35">
                  <c:v>0.73643599180745745</c:v>
                </c:pt>
                <c:pt idx="36">
                  <c:v>0.93113417700164702</c:v>
                </c:pt>
                <c:pt idx="37">
                  <c:v>1.0881193346301932</c:v>
                </c:pt>
                <c:pt idx="38">
                  <c:v>1.0727348450621115</c:v>
                </c:pt>
                <c:pt idx="39">
                  <c:v>0.89768076957834031</c:v>
                </c:pt>
                <c:pt idx="40">
                  <c:v>0.70180799348063039</c:v>
                </c:pt>
                <c:pt idx="41">
                  <c:v>0.54462327372737485</c:v>
                </c:pt>
                <c:pt idx="42">
                  <c:v>0.4268283015289453</c:v>
                </c:pt>
                <c:pt idx="43">
                  <c:v>0.33809313506139771</c:v>
                </c:pt>
                <c:pt idx="44">
                  <c:v>0.26976350094815221</c:v>
                </c:pt>
                <c:pt idx="45">
                  <c:v>0.21603909919550782</c:v>
                </c:pt>
                <c:pt idx="46">
                  <c:v>0.17329203135400587</c:v>
                </c:pt>
                <c:pt idx="47">
                  <c:v>0.13945916499000488</c:v>
                </c:pt>
                <c:pt idx="48">
                  <c:v>0.11372172156608784</c:v>
                </c:pt>
                <c:pt idx="49">
                  <c:v>9.6299944531848522E-2</c:v>
                </c:pt>
                <c:pt idx="50">
                  <c:v>8.7854857382997628E-2</c:v>
                </c:pt>
                <c:pt idx="51">
                  <c:v>8.8019679446386265E-2</c:v>
                </c:pt>
                <c:pt idx="52">
                  <c:v>9.411586643740058E-2</c:v>
                </c:pt>
                <c:pt idx="53">
                  <c:v>0.10143410739161066</c:v>
                </c:pt>
                <c:pt idx="54">
                  <c:v>0.10427043253524144</c:v>
                </c:pt>
                <c:pt idx="55">
                  <c:v>9.8108943667833459E-2</c:v>
                </c:pt>
                <c:pt idx="56">
                  <c:v>8.3031773760776945E-2</c:v>
                </c:pt>
                <c:pt idx="57">
                  <c:v>6.3672772451136186E-2</c:v>
                </c:pt>
                <c:pt idx="58">
                  <c:v>4.5342672362890586E-2</c:v>
                </c:pt>
                <c:pt idx="59">
                  <c:v>3.237065648943005E-2</c:v>
                </c:pt>
                <c:pt idx="60">
                  <c:v>2.857875319106247E-2</c:v>
                </c:pt>
                <c:pt idx="61">
                  <c:v>3.3364989202239147E-2</c:v>
                </c:pt>
                <c:pt idx="62">
                  <c:v>4.1809303620318816E-2</c:v>
                </c:pt>
                <c:pt idx="63">
                  <c:v>5.0933171878113949E-2</c:v>
                </c:pt>
                <c:pt idx="64">
                  <c:v>5.9746305427790893E-2</c:v>
                </c:pt>
                <c:pt idx="65">
                  <c:v>6.7980536349018017E-2</c:v>
                </c:pt>
                <c:pt idx="66">
                  <c:v>7.5596778160878883E-2</c:v>
                </c:pt>
                <c:pt idx="67">
                  <c:v>8.2627912468135556E-2</c:v>
                </c:pt>
                <c:pt idx="68">
                  <c:v>8.9126724216986683E-2</c:v>
                </c:pt>
                <c:pt idx="69">
                  <c:v>9.514796704436794E-2</c:v>
                </c:pt>
                <c:pt idx="70">
                  <c:v>0.10074235480346133</c:v>
                </c:pt>
                <c:pt idx="71">
                  <c:v>0.10595492782529294</c:v>
                </c:pt>
                <c:pt idx="72">
                  <c:v>0.11082503242550047</c:v>
                </c:pt>
                <c:pt idx="73">
                  <c:v>0.11538685370102575</c:v>
                </c:pt>
                <c:pt idx="74">
                  <c:v>0.11967008722206791</c:v>
                </c:pt>
                <c:pt idx="75">
                  <c:v>0.12370059160802983</c:v>
                </c:pt>
                <c:pt idx="76">
                  <c:v>0.12750096825706328</c:v>
                </c:pt>
                <c:pt idx="77">
                  <c:v>0.13109105674996818</c:v>
                </c:pt>
                <c:pt idx="78">
                  <c:v>0.13448835073711399</c:v>
                </c:pt>
                <c:pt idx="79">
                  <c:v>0.13770834446425192</c:v>
                </c:pt>
                <c:pt idx="80">
                  <c:v>0.14076482092576209</c:v>
                </c:pt>
                <c:pt idx="81">
                  <c:v>0.14367009173515147</c:v>
                </c:pt>
                <c:pt idx="82">
                  <c:v>0.14643519737053817</c:v>
                </c:pt>
                <c:pt idx="83">
                  <c:v>0.14907007498476765</c:v>
                </c:pt>
                <c:pt idx="84">
                  <c:v>0.15158369965319918</c:v>
                </c:pt>
                <c:pt idx="85">
                  <c:v>0.1539842038188424</c:v>
                </c:pt>
                <c:pt idx="86">
                  <c:v>0.1562789787808207</c:v>
                </c:pt>
                <c:pt idx="87">
                  <c:v>0.15847476133371832</c:v>
                </c:pt>
                <c:pt idx="88">
                  <c:v>0.16057770807336444</c:v>
                </c:pt>
                <c:pt idx="89">
                  <c:v>0.16259345941123449</c:v>
                </c:pt>
                <c:pt idx="90">
                  <c:v>0.1645271949616228</c:v>
                </c:pt>
                <c:pt idx="91">
                  <c:v>0.16638368166311784</c:v>
                </c:pt>
                <c:pt idx="92">
                  <c:v>0.16816731575328436</c:v>
                </c:pt>
                <c:pt idx="93">
                  <c:v>0.1698821595200527</c:v>
                </c:pt>
                <c:pt idx="94">
                  <c:v>0.17153197359558009</c:v>
                </c:pt>
                <c:pt idx="95">
                  <c:v>0.17312024543029611</c:v>
                </c:pt>
                <c:pt idx="96">
                  <c:v>0.17465021448064311</c:v>
                </c:pt>
                <c:pt idx="97">
                  <c:v>0.17612489455863156</c:v>
                </c:pt>
                <c:pt idx="98">
                  <c:v>0.1775470937213062</c:v>
                </c:pt>
                <c:pt idx="99">
                  <c:v>0.17891943202037419</c:v>
                </c:pt>
                <c:pt idx="100">
                  <c:v>0.18024435738429184</c:v>
                </c:pt>
                <c:pt idx="101">
                  <c:v>0.18152415986527345</c:v>
                </c:pt>
                <c:pt idx="102">
                  <c:v>0.18276098445031053</c:v>
                </c:pt>
                <c:pt idx="103">
                  <c:v>0.18395684260740752</c:v>
                </c:pt>
                <c:pt idx="104">
                  <c:v>0.18511362271469783</c:v>
                </c:pt>
                <c:pt idx="105">
                  <c:v>0.18623309950015546</c:v>
                </c:pt>
                <c:pt idx="106">
                  <c:v>0.18731694260289827</c:v>
                </c:pt>
                <c:pt idx="107">
                  <c:v>0.18836672435258217</c:v>
                </c:pt>
                <c:pt idx="108">
                  <c:v>0.18938392685122982</c:v>
                </c:pt>
                <c:pt idx="109">
                  <c:v>0.19036994843132796</c:v>
                </c:pt>
                <c:pt idx="110">
                  <c:v>0.19132610955496623</c:v>
                </c:pt>
                <c:pt idx="111">
                  <c:v>0.19225365821109522</c:v>
                </c:pt>
                <c:pt idx="112">
                  <c:v>0.19315377486118612</c:v>
                </c:pt>
                <c:pt idx="113">
                  <c:v>0.19402757697783476</c:v>
                </c:pt>
                <c:pt idx="114">
                  <c:v>0.19487612321571696</c:v>
                </c:pt>
                <c:pt idx="115">
                  <c:v>0.19570041724993281</c:v>
                </c:pt>
                <c:pt idx="116">
                  <c:v>0.19650141131297319</c:v>
                </c:pt>
                <c:pt idx="117">
                  <c:v>0.19728000945805815</c:v>
                </c:pt>
                <c:pt idx="118">
                  <c:v>0.19803707057375494</c:v>
                </c:pt>
                <c:pt idx="119">
                  <c:v>0.19877341117210989</c:v>
                </c:pt>
                <c:pt idx="120">
                  <c:v>0.1994898079702688</c:v>
                </c:pt>
                <c:pt idx="121">
                  <c:v>0.20018700028351241</c:v>
                </c:pt>
                <c:pt idx="122">
                  <c:v>0.20086569224586945</c:v>
                </c:pt>
                <c:pt idx="123">
                  <c:v>0.20152655487283672</c:v>
                </c:pt>
                <c:pt idx="124">
                  <c:v>0.20217022797938214</c:v>
                </c:pt>
                <c:pt idx="125">
                  <c:v>0.20279732196507347</c:v>
                </c:pt>
                <c:pt idx="126">
                  <c:v>0.20340841947715316</c:v>
                </c:pt>
                <c:pt idx="127">
                  <c:v>0.20400407696125294</c:v>
                </c:pt>
                <c:pt idx="128">
                  <c:v>0.20458482610866471</c:v>
                </c:pt>
                <c:pt idx="129">
                  <c:v>0.20515117520822443</c:v>
                </c:pt>
                <c:pt idx="130">
                  <c:v>0.20570361041011104</c:v>
                </c:pt>
                <c:pt idx="131">
                  <c:v>0.20624259690831215</c:v>
                </c:pt>
                <c:pt idx="132">
                  <c:v>0.20676858004781243</c:v>
                </c:pt>
                <c:pt idx="133">
                  <c:v>0.20728198636213566</c:v>
                </c:pt>
                <c:pt idx="134">
                  <c:v>0.2077832245463018</c:v>
                </c:pt>
                <c:pt idx="135">
                  <c:v>0.20827268636992283</c:v>
                </c:pt>
                <c:pt idx="136">
                  <c:v>0.20875074753470418</c:v>
                </c:pt>
                <c:pt idx="137">
                  <c:v>0.20921776848029514</c:v>
                </c:pt>
                <c:pt idx="138">
                  <c:v>0.20967409514211197</c:v>
                </c:pt>
                <c:pt idx="139">
                  <c:v>0.21012005966446154</c:v>
                </c:pt>
                <c:pt idx="140">
                  <c:v>0.21055598107202758</c:v>
                </c:pt>
                <c:pt idx="141">
                  <c:v>0.21098216590256458</c:v>
                </c:pt>
                <c:pt idx="142">
                  <c:v>0.21139890880335821</c:v>
                </c:pt>
                <c:pt idx="143">
                  <c:v>0.21180649309392074</c:v>
                </c:pt>
                <c:pt idx="144">
                  <c:v>0.21220519129709772</c:v>
                </c:pt>
                <c:pt idx="145">
                  <c:v>0.21259526564066555</c:v>
                </c:pt>
                <c:pt idx="146">
                  <c:v>0.21297696853130979</c:v>
                </c:pt>
                <c:pt idx="147">
                  <c:v>0.21335054300275738</c:v>
                </c:pt>
                <c:pt idx="148">
                  <c:v>0.21371622313969568</c:v>
                </c:pt>
                <c:pt idx="149">
                  <c:v>0.21407423447900112</c:v>
                </c:pt>
                <c:pt idx="150">
                  <c:v>0.21442479438965792</c:v>
                </c:pt>
                <c:pt idx="151">
                  <c:v>0.2147681124327207</c:v>
                </c:pt>
                <c:pt idx="152">
                  <c:v>0.21510439070250373</c:v>
                </c:pt>
                <c:pt idx="153">
                  <c:v>0.21543382415014053</c:v>
                </c:pt>
                <c:pt idx="154">
                  <c:v>0.21575660089056678</c:v>
                </c:pt>
                <c:pt idx="155">
                  <c:v>0.2160729024939152</c:v>
                </c:pt>
                <c:pt idx="156">
                  <c:v>0.21638290426223211</c:v>
                </c:pt>
                <c:pt idx="157">
                  <c:v>0.21668677549238416</c:v>
                </c:pt>
                <c:pt idx="158">
                  <c:v>0.21698467972591118</c:v>
                </c:pt>
                <c:pt idx="159">
                  <c:v>0.21727677498664522</c:v>
                </c:pt>
                <c:pt idx="160">
                  <c:v>0.21756321400672229</c:v>
                </c:pt>
                <c:pt idx="161">
                  <c:v>0.2178441444416766</c:v>
                </c:pt>
                <c:pt idx="162">
                  <c:v>0.21811970907521391</c:v>
                </c:pt>
                <c:pt idx="163">
                  <c:v>0.21839004601425474</c:v>
                </c:pt>
                <c:pt idx="164">
                  <c:v>0.21865528887474675</c:v>
                </c:pt>
                <c:pt idx="165">
                  <c:v>0.21891556695879374</c:v>
                </c:pt>
                <c:pt idx="166">
                  <c:v>0.21917100542352511</c:v>
                </c:pt>
                <c:pt idx="167">
                  <c:v>0.21942172544220051</c:v>
                </c:pt>
                <c:pt idx="168">
                  <c:v>0.21966784435790979</c:v>
                </c:pt>
                <c:pt idx="169">
                  <c:v>0.21990947583029935</c:v>
                </c:pt>
                <c:pt idx="170">
                  <c:v>0.22014672997567256</c:v>
                </c:pt>
                <c:pt idx="171">
                  <c:v>0.22037971350081784</c:v>
                </c:pt>
                <c:pt idx="172">
                  <c:v>0.22060852983087897</c:v>
                </c:pt>
                <c:pt idx="173">
                  <c:v>0.220833279231579</c:v>
                </c:pt>
                <c:pt idx="174">
                  <c:v>0.22105405892609087</c:v>
                </c:pt>
                <c:pt idx="175">
                  <c:v>0.22127096320680925</c:v>
                </c:pt>
                <c:pt idx="176">
                  <c:v>0.22148408354229995</c:v>
                </c:pt>
                <c:pt idx="177">
                  <c:v>0.2216935086796554</c:v>
                </c:pt>
                <c:pt idx="178">
                  <c:v>0.22189932474246676</c:v>
                </c:pt>
                <c:pt idx="179">
                  <c:v>0.22210161532468264</c:v>
                </c:pt>
                <c:pt idx="180">
                  <c:v>0.22230046158048183</c:v>
                </c:pt>
                <c:pt idx="181">
                  <c:v>0.22249594231042072</c:v>
                </c:pt>
                <c:pt idx="182">
                  <c:v>0.22268813404397186</c:v>
                </c:pt>
                <c:pt idx="183">
                  <c:v>0.22287711111869374</c:v>
                </c:pt>
                <c:pt idx="184">
                  <c:v>0.22306294575613422</c:v>
                </c:pt>
                <c:pt idx="185">
                  <c:v>0.22324570813464556</c:v>
                </c:pt>
                <c:pt idx="186">
                  <c:v>0.22342546645926289</c:v>
                </c:pt>
                <c:pt idx="187">
                  <c:v>0.2236022870287733</c:v>
                </c:pt>
                <c:pt idx="188">
                  <c:v>0.22377623430009549</c:v>
                </c:pt>
                <c:pt idx="189">
                  <c:v>0.22394737095012274</c:v>
                </c:pt>
                <c:pt idx="190">
                  <c:v>0.22411575793510577</c:v>
                </c:pt>
                <c:pt idx="191">
                  <c:v>0.22428145454772974</c:v>
                </c:pt>
                <c:pt idx="192">
                  <c:v>0.22444451847195093</c:v>
                </c:pt>
                <c:pt idx="193">
                  <c:v>0.2246050058357201</c:v>
                </c:pt>
                <c:pt idx="194">
                  <c:v>0.22476297126167222</c:v>
                </c:pt>
                <c:pt idx="195">
                  <c:v>0.22491846791588241</c:v>
                </c:pt>
                <c:pt idx="196">
                  <c:v>0.22507154755476319</c:v>
                </c:pt>
                <c:pt idx="197">
                  <c:v>0.22522226057019118</c:v>
                </c:pt>
                <c:pt idx="198">
                  <c:v>0.22537065603293444</c:v>
                </c:pt>
                <c:pt idx="199">
                  <c:v>0.22551678173446724</c:v>
                </c:pt>
                <c:pt idx="200">
                  <c:v>0.22566068422722316</c:v>
                </c:pt>
                <c:pt idx="201">
                  <c:v>0.22580240886336542</c:v>
                </c:pt>
                <c:pt idx="202">
                  <c:v>0.2259419998321294</c:v>
                </c:pt>
                <c:pt idx="203">
                  <c:v>0.22607950019581122</c:v>
                </c:pt>
                <c:pt idx="204">
                  <c:v>0.22621495192444244</c:v>
                </c:pt>
                <c:pt idx="205">
                  <c:v>0.22634839592921324</c:v>
                </c:pt>
                <c:pt idx="206">
                  <c:v>0.22647987209469964</c:v>
                </c:pt>
                <c:pt idx="207">
                  <c:v>0.22660941930994127</c:v>
                </c:pt>
                <c:pt idx="208">
                  <c:v>0.2267370754984096</c:v>
                </c:pt>
                <c:pt idx="209">
                  <c:v>0.22686287764692403</c:v>
                </c:pt>
                <c:pt idx="210">
                  <c:v>0.22698686183355099</c:v>
                </c:pt>
                <c:pt idx="211">
                  <c:v>0.22710906325452782</c:v>
                </c:pt>
                <c:pt idx="212">
                  <c:v>0.22722951625025609</c:v>
                </c:pt>
                <c:pt idx="213">
                  <c:v>0.22734825433038544</c:v>
                </c:pt>
                <c:pt idx="214">
                  <c:v>0.22746531019804986</c:v>
                </c:pt>
                <c:pt idx="215">
                  <c:v>0.22758071577326858</c:v>
                </c:pt>
                <c:pt idx="216">
                  <c:v>0.2276945022155453</c:v>
                </c:pt>
                <c:pt idx="217">
                  <c:v>0.2278066999457152</c:v>
                </c:pt>
                <c:pt idx="218">
                  <c:v>0.22791733866704775</c:v>
                </c:pt>
                <c:pt idx="219">
                  <c:v>0.22802644738564934</c:v>
                </c:pt>
                <c:pt idx="220">
                  <c:v>0.22813405443017487</c:v>
                </c:pt>
                <c:pt idx="221">
                  <c:v>0.22824018747090088</c:v>
                </c:pt>
                <c:pt idx="222">
                  <c:v>0.2283448735381659</c:v>
                </c:pt>
                <c:pt idx="223">
                  <c:v>0.22844813904019007</c:v>
                </c:pt>
                <c:pt idx="224">
                  <c:v>0.22855000978034071</c:v>
                </c:pt>
                <c:pt idx="225">
                  <c:v>0.22865051097381395</c:v>
                </c:pt>
                <c:pt idx="226">
                  <c:v>0.22874966726378598</c:v>
                </c:pt>
                <c:pt idx="227">
                  <c:v>0.22884750273704813</c:v>
                </c:pt>
                <c:pt idx="228">
                  <c:v>0.22894404093913887</c:v>
                </c:pt>
                <c:pt idx="229">
                  <c:v>0.22903930488898278</c:v>
                </c:pt>
                <c:pt idx="230">
                  <c:v>0.22913331709308982</c:v>
                </c:pt>
                <c:pt idx="231">
                  <c:v>0.2292260995592873</c:v>
                </c:pt>
                <c:pt idx="232">
                  <c:v>0.22931767381002163</c:v>
                </c:pt>
                <c:pt idx="233">
                  <c:v>0.22940806089525795</c:v>
                </c:pt>
                <c:pt idx="234">
                  <c:v>0.2294972814049627</c:v>
                </c:pt>
                <c:pt idx="235">
                  <c:v>0.22958535548120679</c:v>
                </c:pt>
                <c:pt idx="236">
                  <c:v>0.2296723028299068</c:v>
                </c:pt>
                <c:pt idx="237">
                  <c:v>0.22975814273218392</c:v>
                </c:pt>
                <c:pt idx="238">
                  <c:v>0.22984289405539382</c:v>
                </c:pt>
                <c:pt idx="239">
                  <c:v>0.22992657526381594</c:v>
                </c:pt>
                <c:pt idx="240">
                  <c:v>0.23000920442901554</c:v>
                </c:pt>
                <c:pt idx="241">
                  <c:v>0.2300907992399055</c:v>
                </c:pt>
                <c:pt idx="242">
                  <c:v>0.2301713770124906</c:v>
                </c:pt>
                <c:pt idx="243">
                  <c:v>0.2302509546993334</c:v>
                </c:pt>
                <c:pt idx="244">
                  <c:v>0.23032954889873941</c:v>
                </c:pt>
                <c:pt idx="245">
                  <c:v>0.23040717586365897</c:v>
                </c:pt>
              </c:numCache>
            </c:numRef>
          </c:yVal>
          <c:smooth val="1"/>
          <c:extLst>
            <c:ext xmlns:c16="http://schemas.microsoft.com/office/drawing/2014/chart" uri="{C3380CC4-5D6E-409C-BE32-E72D297353CC}">
              <c16:uniqueId val="{00000000-96B4-4650-9469-AEDB2FF00515}"/>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0.00"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Harmonic Filter</a:t>
            </a:r>
            <a:r>
              <a:rPr lang="en-US" sz="1400" baseline="0">
                <a:solidFill>
                  <a:srgbClr val="0E9ED9"/>
                </a:solidFill>
              </a:rPr>
              <a:t> Current Flow for 1 Amp 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marker>
            <c:symbol val="none"/>
          </c:marker>
          <c:xVal>
            <c:numRef>
              <c:f>'4-Branch H-Filter Configuration'!$GF$5:$GF$250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Configuration'!$GH$5:$GH$250</c:f>
              <c:numCache>
                <c:formatCode>General</c:formatCode>
                <c:ptCount val="246"/>
                <c:pt idx="0">
                  <c:v>3.6854755236437407E-2</c:v>
                </c:pt>
                <c:pt idx="1">
                  <c:v>5.4423578664850258E-2</c:v>
                </c:pt>
                <c:pt idx="2">
                  <c:v>7.639814540600999E-2</c:v>
                </c:pt>
                <c:pt idx="3">
                  <c:v>0.10355548029606804</c:v>
                </c:pt>
                <c:pt idx="4">
                  <c:v>0.13696551824811604</c:v>
                </c:pt>
                <c:pt idx="5">
                  <c:v>0.17812267192416106</c:v>
                </c:pt>
                <c:pt idx="6">
                  <c:v>0.22916082759402776</c:v>
                </c:pt>
                <c:pt idx="7">
                  <c:v>0.29321981570415084</c:v>
                </c:pt>
                <c:pt idx="8">
                  <c:v>0.37510384438591249</c:v>
                </c:pt>
                <c:pt idx="9">
                  <c:v>0.48254482101470647</c:v>
                </c:pt>
                <c:pt idx="10">
                  <c:v>0.62883726766544412</c:v>
                </c:pt>
                <c:pt idx="11">
                  <c:v>0.83896953597754165</c:v>
                </c:pt>
                <c:pt idx="12">
                  <c:v>1.1662070030441691</c:v>
                </c:pt>
                <c:pt idx="13">
                  <c:v>1.7481380241224416</c:v>
                </c:pt>
                <c:pt idx="14">
                  <c:v>3.0825943409834555</c:v>
                </c:pt>
                <c:pt idx="15">
                  <c:v>9.2434304211618912</c:v>
                </c:pt>
                <c:pt idx="16">
                  <c:v>9.3793352282780127</c:v>
                </c:pt>
                <c:pt idx="17">
                  <c:v>3.4189466265965898</c:v>
                </c:pt>
                <c:pt idx="18">
                  <c:v>2.0792630827007246</c:v>
                </c:pt>
                <c:pt idx="19">
                  <c:v>1.4619761498960266</c:v>
                </c:pt>
                <c:pt idx="20">
                  <c:v>1.0786492363847211</c:v>
                </c:pt>
                <c:pt idx="21">
                  <c:v>0.80157016189213293</c:v>
                </c:pt>
                <c:pt idx="22">
                  <c:v>0.65422844300977012</c:v>
                </c:pt>
                <c:pt idx="23">
                  <c:v>0.8995463588611593</c:v>
                </c:pt>
                <c:pt idx="24">
                  <c:v>1.637799653104278</c:v>
                </c:pt>
                <c:pt idx="25">
                  <c:v>2.0111239115262158</c:v>
                </c:pt>
                <c:pt idx="26">
                  <c:v>1.7760348505728496</c:v>
                </c:pt>
                <c:pt idx="27">
                  <c:v>1.5075283391086913</c:v>
                </c:pt>
                <c:pt idx="28">
                  <c:v>1.3084970194271746</c:v>
                </c:pt>
                <c:pt idx="29">
                  <c:v>1.1596809485437698</c:v>
                </c:pt>
                <c:pt idx="30">
                  <c:v>1.0418692965183289</c:v>
                </c:pt>
                <c:pt idx="31">
                  <c:v>0.94389816911898416</c:v>
                </c:pt>
                <c:pt idx="32">
                  <c:v>0.86129343434273309</c:v>
                </c:pt>
                <c:pt idx="33">
                  <c:v>0.79790772403224264</c:v>
                </c:pt>
                <c:pt idx="34">
                  <c:v>0.77389577951820954</c:v>
                </c:pt>
                <c:pt idx="35">
                  <c:v>0.83903057671469672</c:v>
                </c:pt>
                <c:pt idx="36">
                  <c:v>1.0589542937054428</c:v>
                </c:pt>
                <c:pt idx="37">
                  <c:v>1.4088296498813888</c:v>
                </c:pt>
                <c:pt idx="38">
                  <c:v>1.6665079530174081</c:v>
                </c:pt>
                <c:pt idx="39">
                  <c:v>1.6885761478729895</c:v>
                </c:pt>
                <c:pt idx="40">
                  <c:v>1.5915290851324975</c:v>
                </c:pt>
                <c:pt idx="41">
                  <c:v>1.480078182948503</c:v>
                </c:pt>
                <c:pt idx="42">
                  <c:v>1.3843714845340052</c:v>
                </c:pt>
                <c:pt idx="43">
                  <c:v>1.3069129113399198</c:v>
                </c:pt>
                <c:pt idx="44">
                  <c:v>1.2444002775389766</c:v>
                </c:pt>
                <c:pt idx="45">
                  <c:v>1.1933029144075393</c:v>
                </c:pt>
                <c:pt idx="46">
                  <c:v>1.1508781185268742</c:v>
                </c:pt>
                <c:pt idx="47">
                  <c:v>1.1151753013399954</c:v>
                </c:pt>
                <c:pt idx="48">
                  <c:v>1.0848959538630214</c:v>
                </c:pt>
                <c:pt idx="49">
                  <c:v>1.0593086095817954</c:v>
                </c:pt>
                <c:pt idx="50">
                  <c:v>1.0382690915535562</c:v>
                </c:pt>
                <c:pt idx="51">
                  <c:v>1.0223466386001983</c:v>
                </c:pt>
                <c:pt idx="52">
                  <c:v>1.0129022947935318</c:v>
                </c:pt>
                <c:pt idx="53">
                  <c:v>1.0115044832970701</c:v>
                </c:pt>
                <c:pt idx="54">
                  <c:v>1.0176064456840113</c:v>
                </c:pt>
                <c:pt idx="55">
                  <c:v>1.0257289754666377</c:v>
                </c:pt>
                <c:pt idx="56">
                  <c:v>1.0282694843677804</c:v>
                </c:pt>
                <c:pt idx="57">
                  <c:v>1.0226113794690406</c:v>
                </c:pt>
                <c:pt idx="58">
                  <c:v>1.0114211014932351</c:v>
                </c:pt>
                <c:pt idx="59">
                  <c:v>0.99811697552263634</c:v>
                </c:pt>
                <c:pt idx="60">
                  <c:v>0.98475980132586027</c:v>
                </c:pt>
                <c:pt idx="61">
                  <c:v>0.97222665826491272</c:v>
                </c:pt>
                <c:pt idx="62">
                  <c:v>0.96077447757719281</c:v>
                </c:pt>
                <c:pt idx="63">
                  <c:v>0.95039880471381666</c:v>
                </c:pt>
                <c:pt idx="64">
                  <c:v>0.94100356292885357</c:v>
                </c:pt>
                <c:pt idx="65">
                  <c:v>0.93247158459619772</c:v>
                </c:pt>
                <c:pt idx="66">
                  <c:v>0.92469100474530153</c:v>
                </c:pt>
                <c:pt idx="67">
                  <c:v>0.91756345054491339</c:v>
                </c:pt>
                <c:pt idx="68">
                  <c:v>0.91100517071447773</c:v>
                </c:pt>
                <c:pt idx="69">
                  <c:v>0.90494569565456817</c:v>
                </c:pt>
                <c:pt idx="70">
                  <c:v>0.8993258526097736</c:v>
                </c:pt>
                <c:pt idx="71">
                  <c:v>0.89409581738015931</c:v>
                </c:pt>
                <c:pt idx="72">
                  <c:v>0.8892134214033417</c:v>
                </c:pt>
                <c:pt idx="73">
                  <c:v>0.88464275268019577</c:v>
                </c:pt>
                <c:pt idx="74">
                  <c:v>0.88035302474539812</c:v>
                </c:pt>
                <c:pt idx="75">
                  <c:v>0.87631767024001184</c:v>
                </c:pt>
                <c:pt idx="76">
                  <c:v>0.87251361570134278</c:v>
                </c:pt>
                <c:pt idx="77">
                  <c:v>0.86892070005941113</c:v>
                </c:pt>
                <c:pt idx="78">
                  <c:v>0.86552120631017182</c:v>
                </c:pt>
                <c:pt idx="79">
                  <c:v>0.86229948221693076</c:v>
                </c:pt>
                <c:pt idx="80">
                  <c:v>0.85924163119323982</c:v>
                </c:pt>
                <c:pt idx="81">
                  <c:v>0.85633525873616967</c:v>
                </c:pt>
                <c:pt idx="82">
                  <c:v>0.85356926305883019</c:v>
                </c:pt>
                <c:pt idx="83">
                  <c:v>0.8509336610968028</c:v>
                </c:pt>
                <c:pt idx="84">
                  <c:v>0.84841944300049676</c:v>
                </c:pt>
                <c:pt idx="85">
                  <c:v>0.84601844971126361</c:v>
                </c:pt>
                <c:pt idx="86">
                  <c:v>0.84372326936115871</c:v>
                </c:pt>
                <c:pt idx="87">
                  <c:v>0.84152714911716642</c:v>
                </c:pt>
                <c:pt idx="88">
                  <c:v>0.83942391977363329</c:v>
                </c:pt>
                <c:pt idx="89">
                  <c:v>0.83740793092836097</c:v>
                </c:pt>
                <c:pt idx="90">
                  <c:v>0.83547399499459241</c:v>
                </c:pt>
                <c:pt idx="91">
                  <c:v>0.8336173386292175</c:v>
                </c:pt>
                <c:pt idx="92">
                  <c:v>0.83183356041760992</c:v>
                </c:pt>
                <c:pt idx="93">
                  <c:v>0.83011859386251852</c:v>
                </c:pt>
                <c:pt idx="94">
                  <c:v>0.8284686748905854</c:v>
                </c:pt>
                <c:pt idx="95">
                  <c:v>0.82688031322371347</c:v>
                </c:pt>
                <c:pt idx="96">
                  <c:v>0.82535026707074721</c:v>
                </c:pt>
                <c:pt idx="97">
                  <c:v>0.82387552068326941</c:v>
                </c:pt>
                <c:pt idx="98">
                  <c:v>0.82245326439133415</c:v>
                </c:pt>
                <c:pt idx="99">
                  <c:v>0.82108087679443387</c:v>
                </c:pt>
                <c:pt idx="100">
                  <c:v>0.81975590883185723</c:v>
                </c:pt>
                <c:pt idx="101">
                  <c:v>0.81847606949758522</c:v>
                </c:pt>
                <c:pt idx="102">
                  <c:v>0.81723921299839719</c:v>
                </c:pt>
                <c:pt idx="103">
                  <c:v>0.8160433271826647</c:v>
                </c:pt>
                <c:pt idx="104">
                  <c:v>0.81488652309085285</c:v>
                </c:pt>
                <c:pt idx="105">
                  <c:v>0.81376702549909952</c:v>
                </c:pt>
                <c:pt idx="106">
                  <c:v>0.81268316434421206</c:v>
                </c:pt>
                <c:pt idx="107">
                  <c:v>0.81163336693294552</c:v>
                </c:pt>
                <c:pt idx="108">
                  <c:v>0.81061615085080752</c:v>
                </c:pt>
                <c:pt idx="109">
                  <c:v>0.80963011749616987</c:v>
                </c:pt>
                <c:pt idx="110">
                  <c:v>0.80867394617458976</c:v>
                </c:pt>
                <c:pt idx="111">
                  <c:v>0.80774638869616711</c:v>
                </c:pt>
                <c:pt idx="112">
                  <c:v>0.80684626442525453</c:v>
                </c:pt>
                <c:pt idx="113">
                  <c:v>0.80597245573805709</c:v>
                </c:pt>
                <c:pt idx="114">
                  <c:v>0.80512390384839883</c:v>
                </c:pt>
                <c:pt idx="115">
                  <c:v>0.80429960496662889</c:v>
                </c:pt>
                <c:pt idx="116">
                  <c:v>0.80349860676031759</c:v>
                </c:pt>
                <c:pt idx="117">
                  <c:v>0.80272000508895036</c:v>
                </c:pt>
                <c:pt idx="118">
                  <c:v>0.80196294098758703</c:v>
                </c:pt>
                <c:pt idx="119">
                  <c:v>0.80122659787727657</c:v>
                </c:pt>
                <c:pt idx="120">
                  <c:v>0.8005101989822212</c:v>
                </c:pt>
                <c:pt idx="121">
                  <c:v>0.79981300493564733</c:v>
                </c:pt>
                <c:pt idx="122">
                  <c:v>0.79913431155828096</c:v>
                </c:pt>
                <c:pt idx="123">
                  <c:v>0.79847344779482265</c:v>
                </c:pt>
                <c:pt idx="124">
                  <c:v>0.7978297737952893</c:v>
                </c:pt>
                <c:pt idx="125">
                  <c:v>0.79720267912924514</c:v>
                </c:pt>
                <c:pt idx="126">
                  <c:v>0.79659158112226114</c:v>
                </c:pt>
                <c:pt idx="127">
                  <c:v>0.79599592330472002</c:v>
                </c:pt>
                <c:pt idx="128">
                  <c:v>0.79541517396415951</c:v>
                </c:pt>
                <c:pt idx="129">
                  <c:v>0.79484882479306374</c:v>
                </c:pt>
                <c:pt idx="130">
                  <c:v>0.79429638962476512</c:v>
                </c:pt>
                <c:pt idx="131">
                  <c:v>0.79375740325070343</c:v>
                </c:pt>
                <c:pt idx="132">
                  <c:v>0.7932314203130193</c:v>
                </c:pt>
                <c:pt idx="133">
                  <c:v>0.79271801426683719</c:v>
                </c:pt>
                <c:pt idx="134">
                  <c:v>0.79221677640709598</c:v>
                </c:pt>
                <c:pt idx="135">
                  <c:v>0.79172731495531279</c:v>
                </c:pt>
                <c:pt idx="136">
                  <c:v>0.79124925420197023</c:v>
                </c:pt>
                <c:pt idx="137">
                  <c:v>0.79078223370051492</c:v>
                </c:pt>
                <c:pt idx="138">
                  <c:v>0.7903259075094401</c:v>
                </c:pt>
                <c:pt idx="139">
                  <c:v>0.78987994347909107</c:v>
                </c:pt>
                <c:pt idx="140">
                  <c:v>0.78944402258005131</c:v>
                </c:pt>
                <c:pt idx="141">
                  <c:v>0.78901783827043526</c:v>
                </c:pt>
                <c:pt idx="142">
                  <c:v>0.78860109589930716</c:v>
                </c:pt>
                <c:pt idx="143">
                  <c:v>0.7881935121439656</c:v>
                </c:pt>
                <c:pt idx="144">
                  <c:v>0.78779481447878119</c:v>
                </c:pt>
                <c:pt idx="145">
                  <c:v>0.78740474067353738</c:v>
                </c:pt>
                <c:pt idx="146">
                  <c:v>0.78702303831942888</c:v>
                </c:pt>
                <c:pt idx="147">
                  <c:v>0.78664946438090111</c:v>
                </c:pt>
                <c:pt idx="148">
                  <c:v>0.78628378477166516</c:v>
                </c:pt>
                <c:pt idx="149">
                  <c:v>0.78592577395348417</c:v>
                </c:pt>
                <c:pt idx="150">
                  <c:v>0.7855752145562096</c:v>
                </c:pt>
                <c:pt idx="151">
                  <c:v>0.78523189701778162</c:v>
                </c:pt>
                <c:pt idx="152">
                  <c:v>0.78489561924305629</c:v>
                </c:pt>
                <c:pt idx="153">
                  <c:v>0.78456618628019015</c:v>
                </c:pt>
                <c:pt idx="154">
                  <c:v>0.78424341001367615</c:v>
                </c:pt>
                <c:pt idx="155">
                  <c:v>0.78392710887290551</c:v>
                </c:pt>
                <c:pt idx="156">
                  <c:v>0.78361710755545122</c:v>
                </c:pt>
                <c:pt idx="157">
                  <c:v>0.7833132367641692</c:v>
                </c:pt>
                <c:pt idx="158">
                  <c:v>0.78301533295729342</c:v>
                </c:pt>
                <c:pt idx="159">
                  <c:v>0.78272323811084699</c:v>
                </c:pt>
                <c:pt idx="160">
                  <c:v>0.7824367994925987</c:v>
                </c:pt>
                <c:pt idx="161">
                  <c:v>0.78215586944697635</c:v>
                </c:pt>
                <c:pt idx="162">
                  <c:v>0.78188030519027063</c:v>
                </c:pt>
                <c:pt idx="163">
                  <c:v>0.78160996861561338</c:v>
                </c:pt>
                <c:pt idx="164">
                  <c:v>0.7813447261071288</c:v>
                </c:pt>
                <c:pt idx="165">
                  <c:v>0.78108444836281743</c:v>
                </c:pt>
                <c:pt idx="166">
                  <c:v>0.78082901022567952</c:v>
                </c:pt>
                <c:pt idx="167">
                  <c:v>0.78057829052261363</c:v>
                </c:pt>
                <c:pt idx="168">
                  <c:v>0.78033217191069915</c:v>
                </c:pt>
                <c:pt idx="169">
                  <c:v>0.7800905407304779</c:v>
                </c:pt>
                <c:pt idx="170">
                  <c:v>0.77985328686584998</c:v>
                </c:pt>
                <c:pt idx="171">
                  <c:v>0.77962030361023504</c:v>
                </c:pt>
                <c:pt idx="172">
                  <c:v>0.77939148753871523</c:v>
                </c:pt>
                <c:pt idx="173">
                  <c:v>0.77916673838579031</c:v>
                </c:pt>
                <c:pt idx="174">
                  <c:v>0.77894595892852514</c:v>
                </c:pt>
                <c:pt idx="175">
                  <c:v>0.77872905487476263</c:v>
                </c:pt>
                <c:pt idx="176">
                  <c:v>0.77851593475617764</c:v>
                </c:pt>
                <c:pt idx="177">
                  <c:v>0.77830650982592453</c:v>
                </c:pt>
                <c:pt idx="178">
                  <c:v>0.77810069396065096</c:v>
                </c:pt>
                <c:pt idx="179">
                  <c:v>0.77789840356665885</c:v>
                </c:pt>
                <c:pt idx="180">
                  <c:v>0.77769955749000619</c:v>
                </c:pt>
                <c:pt idx="181">
                  <c:v>0.77750407693038703</c:v>
                </c:pt>
                <c:pt idx="182">
                  <c:v>0.77731188535856388</c:v>
                </c:pt>
                <c:pt idx="183">
                  <c:v>0.77712290843721665</c:v>
                </c:pt>
                <c:pt idx="184">
                  <c:v>0.77693707394503708</c:v>
                </c:pt>
                <c:pt idx="185">
                  <c:v>0.77675431170390474</c:v>
                </c:pt>
                <c:pt idx="186">
                  <c:v>0.77657455350900972</c:v>
                </c:pt>
                <c:pt idx="187">
                  <c:v>0.77639773306179793</c:v>
                </c:pt>
                <c:pt idx="188">
                  <c:v>0.77622378590556196</c:v>
                </c:pt>
                <c:pt idx="189">
                  <c:v>0.7760526493636335</c:v>
                </c:pt>
                <c:pt idx="190">
                  <c:v>0.77588426247997744</c:v>
                </c:pt>
                <c:pt idx="191">
                  <c:v>0.77571856596211031</c:v>
                </c:pt>
                <c:pt idx="192">
                  <c:v>0.77555550212628332</c:v>
                </c:pt>
                <c:pt idx="193">
                  <c:v>0.77539501484474571</c:v>
                </c:pt>
                <c:pt idx="194">
                  <c:v>0.77523704949505789</c:v>
                </c:pt>
                <c:pt idx="195">
                  <c:v>0.7750815529113354</c:v>
                </c:pt>
                <c:pt idx="196">
                  <c:v>0.77492847333734927</c:v>
                </c:pt>
                <c:pt idx="197">
                  <c:v>0.77477776038141322</c:v>
                </c:pt>
                <c:pt idx="198">
                  <c:v>0.77462936497292834</c:v>
                </c:pt>
                <c:pt idx="199">
                  <c:v>0.77448323932059304</c:v>
                </c:pt>
                <c:pt idx="200">
                  <c:v>0.77433933687214218</c:v>
                </c:pt>
                <c:pt idx="201">
                  <c:v>0.7741976122755817</c:v>
                </c:pt>
                <c:pt idx="202">
                  <c:v>0.77405802134182611</c:v>
                </c:pt>
                <c:pt idx="203">
                  <c:v>0.77392052100874509</c:v>
                </c:pt>
                <c:pt idx="204">
                  <c:v>0.77378506930644653</c:v>
                </c:pt>
                <c:pt idx="205">
                  <c:v>0.77365162532389653</c:v>
                </c:pt>
                <c:pt idx="206">
                  <c:v>0.77352014917665268</c:v>
                </c:pt>
                <c:pt idx="207">
                  <c:v>0.77339060197581699</c:v>
                </c:pt>
                <c:pt idx="208">
                  <c:v>0.77326294579805444</c:v>
                </c:pt>
                <c:pt idx="209">
                  <c:v>0.77313714365667285</c:v>
                </c:pt>
                <c:pt idx="210">
                  <c:v>0.77301315947373295</c:v>
                </c:pt>
                <c:pt idx="211">
                  <c:v>0.77289095805311858</c:v>
                </c:pt>
                <c:pt idx="212">
                  <c:v>0.77277050505455314</c:v>
                </c:pt>
                <c:pt idx="213">
                  <c:v>0.77265176696849502</c:v>
                </c:pt>
                <c:pt idx="214">
                  <c:v>0.77253471109192784</c:v>
                </c:pt>
                <c:pt idx="215">
                  <c:v>0.77241930550493809</c:v>
                </c:pt>
                <c:pt idx="216">
                  <c:v>0.77230551904812594</c:v>
                </c:pt>
                <c:pt idx="217">
                  <c:v>0.77219332130076412</c:v>
                </c:pt>
                <c:pt idx="218">
                  <c:v>0.77208268255967638</c:v>
                </c:pt>
                <c:pt idx="219">
                  <c:v>0.77197357381885801</c:v>
                </c:pt>
                <c:pt idx="220">
                  <c:v>0.77186596674974173</c:v>
                </c:pt>
                <c:pt idx="221">
                  <c:v>0.77175983368214141</c:v>
                </c:pt>
                <c:pt idx="222">
                  <c:v>0.77165514758580844</c:v>
                </c:pt>
                <c:pt idx="223">
                  <c:v>0.77155188205260949</c:v>
                </c:pt>
                <c:pt idx="224">
                  <c:v>0.77145001127925539</c:v>
                </c:pt>
                <c:pt idx="225">
                  <c:v>0.77134951005062813</c:v>
                </c:pt>
                <c:pt idx="226">
                  <c:v>0.77125035372363049</c:v>
                </c:pt>
                <c:pt idx="227">
                  <c:v>0.77115251821154562</c:v>
                </c:pt>
                <c:pt idx="228">
                  <c:v>0.77105597996891195</c:v>
                </c:pt>
                <c:pt idx="229">
                  <c:v>0.77096071597686477</c:v>
                </c:pt>
                <c:pt idx="230">
                  <c:v>0.77086670372896571</c:v>
                </c:pt>
                <c:pt idx="231">
                  <c:v>0.7707739212174548</c:v>
                </c:pt>
                <c:pt idx="232">
                  <c:v>0.77068234691994886</c:v>
                </c:pt>
                <c:pt idx="233">
                  <c:v>0.77059195978654316</c:v>
                </c:pt>
                <c:pt idx="234">
                  <c:v>0.77050273922733337</c:v>
                </c:pt>
                <c:pt idx="235">
                  <c:v>0.77041466510029821</c:v>
                </c:pt>
                <c:pt idx="236">
                  <c:v>0.77032771769958419</c:v>
                </c:pt>
                <c:pt idx="237">
                  <c:v>0.77024187774412134</c:v>
                </c:pt>
                <c:pt idx="238">
                  <c:v>0.77015712636660383</c:v>
                </c:pt>
                <c:pt idx="239">
                  <c:v>0.7700734451028054</c:v>
                </c:pt>
                <c:pt idx="240">
                  <c:v>0.7699908158812071</c:v>
                </c:pt>
                <c:pt idx="241">
                  <c:v>0.76990922101294768</c:v>
                </c:pt>
                <c:pt idx="242">
                  <c:v>0.76982864318206257</c:v>
                </c:pt>
                <c:pt idx="243">
                  <c:v>0.76974906543603439</c:v>
                </c:pt>
                <c:pt idx="244">
                  <c:v>0.76967047117660226</c:v>
                </c:pt>
                <c:pt idx="245">
                  <c:v>0.7695928441508556</c:v>
                </c:pt>
              </c:numCache>
            </c:numRef>
          </c:yVal>
          <c:smooth val="1"/>
          <c:extLst>
            <c:ext xmlns:c16="http://schemas.microsoft.com/office/drawing/2014/chart" uri="{C3380CC4-5D6E-409C-BE32-E72D297353CC}">
              <c16:uniqueId val="{00000000-96B4-4650-9469-AEDB2FF00515}"/>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29489700201940766"/>
          <c:y val="3.2246668186279227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Configuration'!$GQ$5:$GQ$250</c:f>
              <c:numCache>
                <c:formatCode>General</c:formatCode>
                <c:ptCount val="246"/>
                <c:pt idx="0">
                  <c:v>13.50286911805058</c:v>
                </c:pt>
                <c:pt idx="1">
                  <c:v>11.15589471377255</c:v>
                </c:pt>
                <c:pt idx="2">
                  <c:v>9.4634345299091152</c:v>
                </c:pt>
                <c:pt idx="3">
                  <c:v>8.1795501098402887</c:v>
                </c:pt>
                <c:pt idx="4">
                  <c:v>7.1674956629600848</c:v>
                </c:pt>
                <c:pt idx="5">
                  <c:v>6.345100320246571</c:v>
                </c:pt>
                <c:pt idx="6">
                  <c:v>5.6599331193033553</c:v>
                </c:pt>
                <c:pt idx="7">
                  <c:v>5.0768757296980853</c:v>
                </c:pt>
                <c:pt idx="8">
                  <c:v>4.5714177524484461</c:v>
                </c:pt>
                <c:pt idx="9">
                  <c:v>4.125807381413062</c:v>
                </c:pt>
                <c:pt idx="10">
                  <c:v>3.7267160484520159</c:v>
                </c:pt>
                <c:pt idx="11">
                  <c:v>3.3637409605046757</c:v>
                </c:pt>
                <c:pt idx="12">
                  <c:v>3.028378581377694</c:v>
                </c:pt>
                <c:pt idx="13">
                  <c:v>2.7132496773228238</c:v>
                </c:pt>
                <c:pt idx="14">
                  <c:v>2.4114215641817935</c:v>
                </c:pt>
                <c:pt idx="15">
                  <c:v>2.1156868582190964</c:v>
                </c:pt>
                <c:pt idx="16">
                  <c:v>1.8176353247424197</c:v>
                </c:pt>
                <c:pt idx="17">
                  <c:v>1.5063683871333633</c:v>
                </c:pt>
                <c:pt idx="18">
                  <c:v>1.1674832186363273</c:v>
                </c:pt>
                <c:pt idx="19">
                  <c:v>0.79305395663276368</c:v>
                </c:pt>
                <c:pt idx="20">
                  <c:v>0.55740047716343266</c:v>
                </c:pt>
                <c:pt idx="21">
                  <c:v>1.253253087838228</c:v>
                </c:pt>
                <c:pt idx="22">
                  <c:v>2.855682624354241</c:v>
                </c:pt>
                <c:pt idx="23">
                  <c:v>3.4619000792716283</c:v>
                </c:pt>
                <c:pt idx="24">
                  <c:v>2.7462732965970869</c:v>
                </c:pt>
                <c:pt idx="25">
                  <c:v>2.1174457507908353</c:v>
                </c:pt>
                <c:pt idx="26">
                  <c:v>1.6665211465279703</c:v>
                </c:pt>
                <c:pt idx="27">
                  <c:v>1.323904308906837</c:v>
                </c:pt>
                <c:pt idx="28">
                  <c:v>1.0583362261157272</c:v>
                </c:pt>
                <c:pt idx="29">
                  <c:v>0.88098502221604869</c:v>
                </c:pt>
                <c:pt idx="30">
                  <c:v>0.84979831308224607</c:v>
                </c:pt>
                <c:pt idx="31">
                  <c:v>1.0292776012949274</c:v>
                </c:pt>
                <c:pt idx="32">
                  <c:v>1.4272783950860983</c:v>
                </c:pt>
                <c:pt idx="33">
                  <c:v>2.0271720391884487</c:v>
                </c:pt>
                <c:pt idx="34">
                  <c:v>2.7648582433094573</c:v>
                </c:pt>
                <c:pt idx="35">
                  <c:v>3.3675964441202648</c:v>
                </c:pt>
                <c:pt idx="36">
                  <c:v>3.4579720649476151</c:v>
                </c:pt>
                <c:pt idx="37">
                  <c:v>3.111498982367773</c:v>
                </c:pt>
                <c:pt idx="38">
                  <c:v>2.6549451621855407</c:v>
                </c:pt>
                <c:pt idx="39">
                  <c:v>2.2436537680279076</c:v>
                </c:pt>
                <c:pt idx="40">
                  <c:v>1.9033468538224219</c:v>
                </c:pt>
                <c:pt idx="41">
                  <c:v>1.6235694870825028</c:v>
                </c:pt>
                <c:pt idx="42">
                  <c:v>1.3899518566122298</c:v>
                </c:pt>
                <c:pt idx="43">
                  <c:v>1.1910558214330016</c:v>
                </c:pt>
                <c:pt idx="44">
                  <c:v>1.0188733252736375</c:v>
                </c:pt>
                <c:pt idx="45">
                  <c:v>0.86826548995868569</c:v>
                </c:pt>
                <c:pt idx="46">
                  <c:v>0.73658043666858619</c:v>
                </c:pt>
                <c:pt idx="47">
                  <c:v>0.62374615140382994</c:v>
                </c:pt>
                <c:pt idx="48">
                  <c:v>0.53288280001382005</c:v>
                </c:pt>
                <c:pt idx="49">
                  <c:v>0.47086637504486184</c:v>
                </c:pt>
                <c:pt idx="50">
                  <c:v>0.44639448259850295</c:v>
                </c:pt>
                <c:pt idx="51">
                  <c:v>0.46245535286551642</c:v>
                </c:pt>
                <c:pt idx="52">
                  <c:v>0.50800761635501857</c:v>
                </c:pt>
                <c:pt idx="53">
                  <c:v>0.55788435199994879</c:v>
                </c:pt>
                <c:pt idx="54">
                  <c:v>0.57987346718737298</c:v>
                </c:pt>
                <c:pt idx="55">
                  <c:v>0.55046161972864616</c:v>
                </c:pt>
                <c:pt idx="56">
                  <c:v>0.47246206316549988</c:v>
                </c:pt>
                <c:pt idx="57">
                  <c:v>0.37028361337568461</c:v>
                </c:pt>
                <c:pt idx="58">
                  <c:v>0.27090389238143636</c:v>
                </c:pt>
                <c:pt idx="59">
                  <c:v>0.19909005407753422</c:v>
                </c:pt>
                <c:pt idx="60">
                  <c:v>0.18093633248069652</c:v>
                </c:pt>
                <c:pt idx="61">
                  <c:v>0.21725350802670079</c:v>
                </c:pt>
                <c:pt idx="62">
                  <c:v>0.27965695114558942</c:v>
                </c:pt>
                <c:pt idx="63">
                  <c:v>0.34954495420058568</c:v>
                </c:pt>
                <c:pt idx="64">
                  <c:v>0.42021166753771139</c:v>
                </c:pt>
                <c:pt idx="65">
                  <c:v>0.48949267570976795</c:v>
                </c:pt>
                <c:pt idx="66">
                  <c:v>0.55675500579117887</c:v>
                </c:pt>
                <c:pt idx="67">
                  <c:v>0.62190242689473496</c:v>
                </c:pt>
                <c:pt idx="68">
                  <c:v>0.68502906347686565</c:v>
                </c:pt>
                <c:pt idx="69">
                  <c:v>0.74629014300539165</c:v>
                </c:pt>
                <c:pt idx="70">
                  <c:v>0.80585189644728195</c:v>
                </c:pt>
                <c:pt idx="71">
                  <c:v>0.8638723974684096</c:v>
                </c:pt>
                <c:pt idx="72">
                  <c:v>0.9204950403437917</c:v>
                </c:pt>
                <c:pt idx="73">
                  <c:v>0.97584725005235295</c:v>
                </c:pt>
                <c:pt idx="74">
                  <c:v>1.0300412913635677</c:v>
                </c:pt>
                <c:pt idx="75">
                  <c:v>1.0831758201680894</c:v>
                </c:pt>
                <c:pt idx="76">
                  <c:v>1.1353375907797905</c:v>
                </c:pt>
                <c:pt idx="77">
                  <c:v>1.1866030763247666</c:v>
                </c:pt>
                <c:pt idx="78">
                  <c:v>1.2370399139936135</c:v>
                </c:pt>
                <c:pt idx="79">
                  <c:v>1.2867081557868789</c:v>
                </c:pt>
                <c:pt idx="80">
                  <c:v>1.3356613345770532</c:v>
                </c:pt>
                <c:pt idx="81">
                  <c:v>1.383947366130271</c:v>
                </c:pt>
                <c:pt idx="82">
                  <c:v>1.4316093101895182</c:v>
                </c:pt>
                <c:pt idx="83">
                  <c:v>1.4786860125711072</c:v>
                </c:pt>
                <c:pt idx="84">
                  <c:v>1.5252126477189145</c:v>
                </c:pt>
                <c:pt idx="85">
                  <c:v>1.5712211783344121</c:v>
                </c:pt>
                <c:pt idx="86">
                  <c:v>1.6167407460131571</c:v>
                </c:pt>
                <c:pt idx="87">
                  <c:v>1.6617980044420826</c:v>
                </c:pt>
                <c:pt idx="88">
                  <c:v>1.7064174046893685</c:v>
                </c:pt>
                <c:pt idx="89">
                  <c:v>1.7506214404320017</c:v>
                </c:pt>
                <c:pt idx="90">
                  <c:v>1.794430859577077</c:v>
                </c:pt>
                <c:pt idx="91">
                  <c:v>1.8378648475954575</c:v>
                </c:pt>
                <c:pt idx="92">
                  <c:v>1.880941186958585</c:v>
                </c:pt>
                <c:pt idx="93">
                  <c:v>1.9236763963127803</c:v>
                </c:pt>
                <c:pt idx="94">
                  <c:v>1.9660858524079876</c:v>
                </c:pt>
                <c:pt idx="95">
                  <c:v>2.0081838972940766</c:v>
                </c:pt>
                <c:pt idx="96">
                  <c:v>2.0499839328855352</c:v>
                </c:pt>
                <c:pt idx="97">
                  <c:v>2.0914985046558408</c:v>
                </c:pt>
                <c:pt idx="98">
                  <c:v>2.1327393759445621</c:v>
                </c:pt>
                <c:pt idx="99">
                  <c:v>2.173717594130002</c:v>
                </c:pt>
                <c:pt idx="100">
                  <c:v>2.2144435497291277</c:v>
                </c:pt>
                <c:pt idx="101">
                  <c:v>2.2549270293279151</c:v>
                </c:pt>
                <c:pt idx="102">
                  <c:v>2.2951772631133376</c:v>
                </c:pt>
                <c:pt idx="103">
                  <c:v>2.3352029676667283</c:v>
                </c:pt>
                <c:pt idx="104">
                  <c:v>2.37501238458661</c:v>
                </c:pt>
                <c:pt idx="105">
                  <c:v>2.4146133154288023</c:v>
                </c:pt>
                <c:pt idx="106">
                  <c:v>2.4540131533874177</c:v>
                </c:pt>
                <c:pt idx="107">
                  <c:v>2.4932189120827974</c:v>
                </c:pt>
                <c:pt idx="108">
                  <c:v>2.5322372517750846</c:v>
                </c:pt>
                <c:pt idx="109">
                  <c:v>2.5710745032818512</c:v>
                </c:pt>
                <c:pt idx="110">
                  <c:v>2.609736689842336</c:v>
                </c:pt>
                <c:pt idx="111">
                  <c:v>2.6482295471417903</c:v>
                </c:pt>
                <c:pt idx="112">
                  <c:v>2.6865585416832882</c:v>
                </c:pt>
                <c:pt idx="113">
                  <c:v>2.7247288876720339</c:v>
                </c:pt>
                <c:pt idx="114">
                  <c:v>2.7627455625581612</c:v>
                </c:pt>
                <c:pt idx="115">
                  <c:v>2.8006133213668098</c:v>
                </c:pt>
                <c:pt idx="116">
                  <c:v>2.8383367099309611</c:v>
                </c:pt>
                <c:pt idx="117">
                  <c:v>2.8759200771279176</c:v>
                </c:pt>
                <c:pt idx="118">
                  <c:v>2.9133675862111721</c:v>
                </c:pt>
                <c:pt idx="119">
                  <c:v>2.9506832253183748</c:v>
                </c:pt>
                <c:pt idx="120">
                  <c:v>2.9878708172280888</c:v>
                </c:pt>
                <c:pt idx="121">
                  <c:v>3.0249340284305521</c:v>
                </c:pt>
                <c:pt idx="122">
                  <c:v>3.0618763775710045</c:v>
                </c:pt>
                <c:pt idx="123">
                  <c:v>3.0987012433179548</c:v>
                </c:pt>
                <c:pt idx="124">
                  <c:v>3.1354118717041168</c:v>
                </c:pt>
                <c:pt idx="125">
                  <c:v>3.1720113829827707</c:v>
                </c:pt>
                <c:pt idx="126">
                  <c:v>3.208502778038425</c:v>
                </c:pt>
                <c:pt idx="127">
                  <c:v>3.2448889443866769</c:v>
                </c:pt>
                <c:pt idx="128">
                  <c:v>3.281172661795281</c:v>
                </c:pt>
                <c:pt idx="129">
                  <c:v>3.3173566075556975</c:v>
                </c:pt>
                <c:pt idx="130">
                  <c:v>3.3534433614306978</c:v>
                </c:pt>
                <c:pt idx="131">
                  <c:v>3.389435410303046</c:v>
                </c:pt>
                <c:pt idx="132">
                  <c:v>3.4253351525463134</c:v>
                </c:pt>
                <c:pt idx="133">
                  <c:v>3.4611449021384866</c:v>
                </c:pt>
                <c:pt idx="134">
                  <c:v>3.4968668925363118</c:v>
                </c:pt>
                <c:pt idx="135">
                  <c:v>3.5325032803274934</c:v>
                </c:pt>
                <c:pt idx="136">
                  <c:v>3.5680561486758031</c:v>
                </c:pt>
                <c:pt idx="137">
                  <c:v>3.6035275105736733</c:v>
                </c:pt>
                <c:pt idx="138">
                  <c:v>3.6389193119149934</c:v>
                </c:pt>
                <c:pt idx="139">
                  <c:v>3.6742334344000613</c:v>
                </c:pt>
                <c:pt idx="140">
                  <c:v>3.709471698284132</c:v>
                </c:pt>
                <c:pt idx="141">
                  <c:v>3.7446358649793408</c:v>
                </c:pt>
                <c:pt idx="142">
                  <c:v>3.7797276395195136</c:v>
                </c:pt>
                <c:pt idx="143">
                  <c:v>3.8147486728966156</c:v>
                </c:pt>
                <c:pt idx="144">
                  <c:v>3.8497005642770485</c:v>
                </c:pt>
                <c:pt idx="145">
                  <c:v>3.8845848631050641</c:v>
                </c:pt>
                <c:pt idx="146">
                  <c:v>3.9194030711000374</c:v>
                </c:pt>
                <c:pt idx="147">
                  <c:v>3.9541566441543963</c:v>
                </c:pt>
                <c:pt idx="148">
                  <c:v>3.9888469941380751</c:v>
                </c:pt>
                <c:pt idx="149">
                  <c:v>4.0234754906149153</c:v>
                </c:pt>
                <c:pt idx="150">
                  <c:v>4.0580434624759238</c:v>
                </c:pt>
                <c:pt idx="151">
                  <c:v>4.0925521994950591</c:v>
                </c:pt>
                <c:pt idx="152">
                  <c:v>4.1270029538109645</c:v>
                </c:pt>
                <c:pt idx="153">
                  <c:v>4.1613969413396159</c:v>
                </c:pt>
                <c:pt idx="154">
                  <c:v>4.1957353431211946</c:v>
                </c:pt>
                <c:pt idx="155">
                  <c:v>4.2300193066054037</c:v>
                </c:pt>
                <c:pt idx="156">
                  <c:v>4.2642499468781381</c:v>
                </c:pt>
                <c:pt idx="157">
                  <c:v>4.2984283478331653</c:v>
                </c:pt>
                <c:pt idx="158">
                  <c:v>4.3325555632909687</c:v>
                </c:pt>
                <c:pt idx="159">
                  <c:v>4.3666326180688015</c:v>
                </c:pt>
                <c:pt idx="160">
                  <c:v>4.4006605090034352</c:v>
                </c:pt>
                <c:pt idx="161">
                  <c:v>4.4346402059296155</c:v>
                </c:pt>
                <c:pt idx="162">
                  <c:v>4.468572652616337</c:v>
                </c:pt>
                <c:pt idx="163">
                  <c:v>4.5024587676634376</c:v>
                </c:pt>
                <c:pt idx="164">
                  <c:v>4.5362994453599255</c:v>
                </c:pt>
                <c:pt idx="165">
                  <c:v>4.5700955565066961</c:v>
                </c:pt>
                <c:pt idx="166">
                  <c:v>4.6038479492046349</c:v>
                </c:pt>
                <c:pt idx="167">
                  <c:v>4.6375574496107621</c:v>
                </c:pt>
                <c:pt idx="168">
                  <c:v>4.6712248626629771</c:v>
                </c:pt>
                <c:pt idx="169">
                  <c:v>4.7048509727757351</c:v>
                </c:pt>
                <c:pt idx="170">
                  <c:v>4.7384365445076169</c:v>
                </c:pt>
                <c:pt idx="171">
                  <c:v>4.7719823232024368</c:v>
                </c:pt>
                <c:pt idx="172">
                  <c:v>4.8054890356047251</c:v>
                </c:pt>
                <c:pt idx="173">
                  <c:v>4.838957390451343</c:v>
                </c:pt>
                <c:pt idx="174">
                  <c:v>4.8723880790398164</c:v>
                </c:pt>
                <c:pt idx="175">
                  <c:v>4.9057817757748508</c:v>
                </c:pt>
                <c:pt idx="176">
                  <c:v>4.939139138693859</c:v>
                </c:pt>
                <c:pt idx="177">
                  <c:v>4.9724608099725511</c:v>
                </c:pt>
                <c:pt idx="178">
                  <c:v>5.0057474164111389</c:v>
                </c:pt>
                <c:pt idx="179">
                  <c:v>5.0389995699027956</c:v>
                </c:pt>
                <c:pt idx="180">
                  <c:v>5.0722178678842393</c:v>
                </c:pt>
                <c:pt idx="181">
                  <c:v>5.1054028937700036</c:v>
                </c:pt>
                <c:pt idx="182">
                  <c:v>5.1385552173703886</c:v>
                </c:pt>
                <c:pt idx="183">
                  <c:v>5.1716753952946943</c:v>
                </c:pt>
                <c:pt idx="184">
                  <c:v>5.2047639713394682</c:v>
                </c:pt>
                <c:pt idx="185">
                  <c:v>5.2378214768629636</c:v>
                </c:pt>
                <c:pt idx="186">
                  <c:v>5.2708484311462458</c:v>
                </c:pt>
                <c:pt idx="187">
                  <c:v>5.3038453417415523</c:v>
                </c:pt>
                <c:pt idx="188">
                  <c:v>5.3368127048083371</c:v>
                </c:pt>
                <c:pt idx="189">
                  <c:v>5.3697510054376023</c:v>
                </c:pt>
                <c:pt idx="190">
                  <c:v>5.4026607179648547</c:v>
                </c:pt>
                <c:pt idx="191">
                  <c:v>5.4355423062726551</c:v>
                </c:pt>
                <c:pt idx="192">
                  <c:v>5.4683962240823059</c:v>
                </c:pt>
                <c:pt idx="193">
                  <c:v>5.5012229152360037</c:v>
                </c:pt>
                <c:pt idx="194">
                  <c:v>5.5340228139692087</c:v>
                </c:pt>
                <c:pt idx="195">
                  <c:v>5.5667963451741391</c:v>
                </c:pt>
                <c:pt idx="196">
                  <c:v>5.5995439246542151</c:v>
                </c:pt>
                <c:pt idx="197">
                  <c:v>5.6322659593701765</c:v>
                </c:pt>
                <c:pt idx="198">
                  <c:v>5.6649628476780709</c:v>
                </c:pt>
                <c:pt idx="199">
                  <c:v>5.6976349795595631</c:v>
                </c:pt>
                <c:pt idx="200">
                  <c:v>5.7302827368445746</c:v>
                </c:pt>
                <c:pt idx="201">
                  <c:v>5.7629064934268444</c:v>
                </c:pt>
                <c:pt idx="202">
                  <c:v>5.7955066154725614</c:v>
                </c:pt>
                <c:pt idx="203">
                  <c:v>5.8280834616221551</c:v>
                </c:pt>
                <c:pt idx="204">
                  <c:v>5.86063738318619</c:v>
                </c:pt>
                <c:pt idx="205">
                  <c:v>5.893168724334215</c:v>
                </c:pt>
                <c:pt idx="206">
                  <c:v>5.9256778222785833</c:v>
                </c:pt>
                <c:pt idx="207">
                  <c:v>5.958165007452016</c:v>
                </c:pt>
                <c:pt idx="208">
                  <c:v>5.9906306036797288</c:v>
                </c:pt>
                <c:pt idx="209">
                  <c:v>6.0230749283464426</c:v>
                </c:pt>
                <c:pt idx="210">
                  <c:v>6.0554982925580418</c:v>
                </c:pt>
                <c:pt idx="211">
                  <c:v>6.0879010012984569</c:v>
                </c:pt>
                <c:pt idx="212">
                  <c:v>6.1202833535817955</c:v>
                </c:pt>
                <c:pt idx="213">
                  <c:v>6.1526456425997189</c:v>
                </c:pt>
                <c:pt idx="214">
                  <c:v>6.1849881558646533</c:v>
                </c:pt>
                <c:pt idx="215">
                  <c:v>6.2173111753486019</c:v>
                </c:pt>
                <c:pt idx="216">
                  <c:v>6.249614977617715</c:v>
                </c:pt>
                <c:pt idx="217">
                  <c:v>6.2818998339631493</c:v>
                </c:pt>
                <c:pt idx="218">
                  <c:v>6.3141660105279822</c:v>
                </c:pt>
                <c:pt idx="219">
                  <c:v>6.3464137684304038</c:v>
                </c:pt>
                <c:pt idx="220">
                  <c:v>6.3786433638832776</c:v>
                </c:pt>
                <c:pt idx="221">
                  <c:v>6.4108550483103226</c:v>
                </c:pt>
                <c:pt idx="222">
                  <c:v>6.443049068459179</c:v>
                </c:pt>
                <c:pt idx="223">
                  <c:v>6.4752256665106733</c:v>
                </c:pt>
                <c:pt idx="224">
                  <c:v>6.507385080185708</c:v>
                </c:pt>
                <c:pt idx="225">
                  <c:v>6.5395275428485329</c:v>
                </c:pt>
                <c:pt idx="226">
                  <c:v>6.5716532836073913</c:v>
                </c:pt>
                <c:pt idx="227">
                  <c:v>6.6037625274123215</c:v>
                </c:pt>
                <c:pt idx="228">
                  <c:v>6.6358554951503645</c:v>
                </c:pt>
                <c:pt idx="229">
                  <c:v>6.6679324037377183</c:v>
                </c:pt>
                <c:pt idx="230">
                  <c:v>6.6999934662098388</c:v>
                </c:pt>
                <c:pt idx="231">
                  <c:v>6.7320388918089176</c:v>
                </c:pt>
                <c:pt idx="232">
                  <c:v>6.7640688860687197</c:v>
                </c:pt>
                <c:pt idx="233">
                  <c:v>6.7960836508975815</c:v>
                </c:pt>
                <c:pt idx="234">
                  <c:v>6.8280833846586892</c:v>
                </c:pt>
                <c:pt idx="235">
                  <c:v>6.8600682822485481</c:v>
                </c:pt>
                <c:pt idx="236">
                  <c:v>6.8920385351732785</c:v>
                </c:pt>
                <c:pt idx="237">
                  <c:v>6.9239943316227324</c:v>
                </c:pt>
                <c:pt idx="238">
                  <c:v>6.9559358565428608</c:v>
                </c:pt>
                <c:pt idx="239">
                  <c:v>6.9878632917059651</c:v>
                </c:pt>
                <c:pt idx="240">
                  <c:v>7.019776815779311</c:v>
                </c:pt>
                <c:pt idx="241">
                  <c:v>7.0516766043918109</c:v>
                </c:pt>
                <c:pt idx="242">
                  <c:v>7.0835628301990203</c:v>
                </c:pt>
                <c:pt idx="243">
                  <c:v>7.1154356629464495</c:v>
                </c:pt>
                <c:pt idx="244">
                  <c:v>7.1472952695313472</c:v>
                </c:pt>
                <c:pt idx="245">
                  <c:v>7.1791418140626178</c:v>
                </c:pt>
              </c:numCache>
            </c:numRef>
          </c:yVal>
          <c:smooth val="1"/>
          <c:extLst>
            <c:ext xmlns:c16="http://schemas.microsoft.com/office/drawing/2014/chart" uri="{C3380CC4-5D6E-409C-BE32-E72D297353CC}">
              <c16:uniqueId val="{00000000-6DAF-4138-B35F-62B1F573EDC1}"/>
            </c:ext>
          </c:extLst>
        </c:ser>
        <c:ser>
          <c:idx val="1"/>
          <c:order val="1"/>
          <c:tx>
            <c:v>Source Impedance</c:v>
          </c:tx>
          <c:spPr>
            <a:ln>
              <a:solidFill>
                <a:srgbClr val="C00000">
                  <a:alpha val="30000"/>
                </a:srgbClr>
              </a:solidFill>
            </a:ln>
          </c:spPr>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Configuration'!$GR$5:$GR$250</c:f>
              <c:numCache>
                <c:formatCode>General</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2.2061836394766701</c:v>
                </c:pt>
                <c:pt idx="19">
                  <c:v>2.3020975659025749</c:v>
                </c:pt>
                <c:pt idx="20">
                  <c:v>2.3980117703209007</c:v>
                </c:pt>
                <c:pt idx="21">
                  <c:v>2.4939262206576061</c:v>
                </c:pt>
                <c:pt idx="22">
                  <c:v>2.589840889590036</c:v>
                </c:pt>
                <c:pt idx="23">
                  <c:v>2.6857557536984653</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3.8367440186048443</c:v>
                </c:pt>
                <c:pt idx="36">
                  <c:v>3.9326602504069372</c:v>
                </c:pt>
                <c:pt idx="37">
                  <c:v>4.0285765379082026</c:v>
                </c:pt>
                <c:pt idx="38">
                  <c:v>4.1244928772227283</c:v>
                </c:pt>
                <c:pt idx="39">
                  <c:v>4.2204092648178877</c:v>
                </c:pt>
                <c:pt idx="40">
                  <c:v>4.3163256974750173</c:v>
                </c:pt>
                <c:pt idx="41">
                  <c:v>4.4122421722553726</c:v>
                </c:pt>
                <c:pt idx="42">
                  <c:v>4.5081586864702743</c:v>
                </c:pt>
                <c:pt idx="43">
                  <c:v>4.6040752376551</c:v>
                </c:pt>
                <c:pt idx="44">
                  <c:v>4.6999918235464433</c:v>
                </c:pt>
                <c:pt idx="45">
                  <c:v>4.7959084420619256</c:v>
                </c:pt>
                <c:pt idx="46">
                  <c:v>4.8918250912825316</c:v>
                </c:pt>
                <c:pt idx="47">
                  <c:v>4.9877417694368305</c:v>
                </c:pt>
                <c:pt idx="48">
                  <c:v>5.0836584748870779</c:v>
                </c:pt>
                <c:pt idx="49">
                  <c:v>5.1795752061168736</c:v>
                </c:pt>
                <c:pt idx="50">
                  <c:v>5.2754919617200606</c:v>
                </c:pt>
                <c:pt idx="51">
                  <c:v>5.3714087403909589</c:v>
                </c:pt>
                <c:pt idx="52">
                  <c:v>5.4673255409154731</c:v>
                </c:pt>
                <c:pt idx="53">
                  <c:v>5.5632423621632769</c:v>
                </c:pt>
                <c:pt idx="54">
                  <c:v>5.6591592030806463</c:v>
                </c:pt>
                <c:pt idx="55">
                  <c:v>5.7550760626841067</c:v>
                </c:pt>
                <c:pt idx="56">
                  <c:v>5.8509929400546969</c:v>
                </c:pt>
                <c:pt idx="57">
                  <c:v>5.9469098343327085</c:v>
                </c:pt>
                <c:pt idx="58">
                  <c:v>6.0428267447130528</c:v>
                </c:pt>
                <c:pt idx="59">
                  <c:v>6.1387436704409319</c:v>
                </c:pt>
                <c:pt idx="60">
                  <c:v>6.2346606108079943</c:v>
                </c:pt>
                <c:pt idx="61">
                  <c:v>6.3305775651488476</c:v>
                </c:pt>
                <c:pt idx="62">
                  <c:v>6.426494532837788</c:v>
                </c:pt>
                <c:pt idx="63">
                  <c:v>6.5224115132859524</c:v>
                </c:pt>
                <c:pt idx="64">
                  <c:v>6.618328505938579</c:v>
                </c:pt>
                <c:pt idx="65">
                  <c:v>6.7142455102726402</c:v>
                </c:pt>
                <c:pt idx="66">
                  <c:v>6.8101625257945511</c:v>
                </c:pt>
                <c:pt idx="67">
                  <c:v>6.9060795520381442</c:v>
                </c:pt>
                <c:pt idx="68">
                  <c:v>7.001996588562827</c:v>
                </c:pt>
                <c:pt idx="69">
                  <c:v>7.0979136349517775</c:v>
                </c:pt>
                <c:pt idx="70">
                  <c:v>7.1938306908104526</c:v>
                </c:pt>
                <c:pt idx="71">
                  <c:v>7.2897477557650383</c:v>
                </c:pt>
                <c:pt idx="72">
                  <c:v>7.3856648294611409</c:v>
                </c:pt>
                <c:pt idx="73">
                  <c:v>7.4815819115625697</c:v>
                </c:pt>
                <c:pt idx="74">
                  <c:v>7.5774990017501187</c:v>
                </c:pt>
                <c:pt idx="75">
                  <c:v>7.673416099720578</c:v>
                </c:pt>
                <c:pt idx="76">
                  <c:v>7.7693332051856867</c:v>
                </c:pt>
                <c:pt idx="77">
                  <c:v>7.8652503178712401</c:v>
                </c:pt>
                <c:pt idx="78">
                  <c:v>7.9611674375162789</c:v>
                </c:pt>
                <c:pt idx="79">
                  <c:v>8.0570845638722322</c:v>
                </c:pt>
                <c:pt idx="80">
                  <c:v>8.1530016967022689</c:v>
                </c:pt>
                <c:pt idx="81">
                  <c:v>8.2489188357805219</c:v>
                </c:pt>
                <c:pt idx="82">
                  <c:v>8.3448359808915651</c:v>
                </c:pt>
                <c:pt idx="83">
                  <c:v>8.4407531318297231</c:v>
                </c:pt>
                <c:pt idx="84">
                  <c:v>8.5366702883985663</c:v>
                </c:pt>
                <c:pt idx="85">
                  <c:v>8.6325874504104281</c:v>
                </c:pt>
                <c:pt idx="86">
                  <c:v>8.7285046176858483</c:v>
                </c:pt>
                <c:pt idx="87">
                  <c:v>8.824421790053206</c:v>
                </c:pt>
                <c:pt idx="88">
                  <c:v>8.9203389673482434</c:v>
                </c:pt>
                <c:pt idx="89">
                  <c:v>9.0162561494136799</c:v>
                </c:pt>
                <c:pt idx="90">
                  <c:v>9.112173336098893</c:v>
                </c:pt>
                <c:pt idx="91">
                  <c:v>9.2080905272594986</c:v>
                </c:pt>
                <c:pt idx="92">
                  <c:v>9.3040077227570954</c:v>
                </c:pt>
                <c:pt idx="93">
                  <c:v>9.3999249224589061</c:v>
                </c:pt>
                <c:pt idx="94">
                  <c:v>9.4958421262375481</c:v>
                </c:pt>
                <c:pt idx="95">
                  <c:v>9.5917593339707068</c:v>
                </c:pt>
                <c:pt idx="96">
                  <c:v>9.6876765455409135</c:v>
                </c:pt>
                <c:pt idx="97">
                  <c:v>9.7835937608353323</c:v>
                </c:pt>
                <c:pt idx="98">
                  <c:v>9.8795109797454721</c:v>
                </c:pt>
                <c:pt idx="99">
                  <c:v>9.9754282021670537</c:v>
                </c:pt>
                <c:pt idx="100">
                  <c:v>10.071345427999766</c:v>
                </c:pt>
                <c:pt idx="101">
                  <c:v>10.167262657147017</c:v>
                </c:pt>
                <c:pt idx="102">
                  <c:v>10.263179889515904</c:v>
                </c:pt>
                <c:pt idx="103">
                  <c:v>10.359097125016932</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12.181525096240435</c:v>
                </c:pt>
                <c:pt idx="123">
                  <c:v>12.277442379737138</c:v>
                </c:pt>
                <c:pt idx="124">
                  <c:v>12.373359665063427</c:v>
                </c:pt>
                <c:pt idx="125">
                  <c:v>12.469276952177076</c:v>
                </c:pt>
                <c:pt idx="126">
                  <c:v>12.565194241037158</c:v>
                </c:pt>
                <c:pt idx="127">
                  <c:v>12.661111531603982</c:v>
                </c:pt>
                <c:pt idx="128">
                  <c:v>12.757028823839043</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14.291705699072494</c:v>
                </c:pt>
                <c:pt idx="145">
                  <c:v>14.387623014745584</c:v>
                </c:pt>
                <c:pt idx="146">
                  <c:v>14.483540331555519</c:v>
                </c:pt>
                <c:pt idx="147">
                  <c:v>14.579457649479863</c:v>
                </c:pt>
                <c:pt idx="148">
                  <c:v>14.675374968496763</c:v>
                </c:pt>
                <c:pt idx="149">
                  <c:v>14.77129228858494</c:v>
                </c:pt>
                <c:pt idx="150">
                  <c:v>14.867209609723655</c:v>
                </c:pt>
                <c:pt idx="151">
                  <c:v>14.963126931892704</c:v>
                </c:pt>
                <c:pt idx="152">
                  <c:v>15.059044255072404</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17.07330824513982</c:v>
                </c:pt>
                <c:pt idx="174">
                  <c:v>17.169225586436959</c:v>
                </c:pt>
                <c:pt idx="175">
                  <c:v>17.265142928403066</c:v>
                </c:pt>
                <c:pt idx="176">
                  <c:v>17.361060271027064</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19.75899402241658</c:v>
                </c:pt>
                <c:pt idx="202">
                  <c:v>19.854911378934421</c:v>
                </c:pt>
                <c:pt idx="203">
                  <c:v>19.950828735884837</c:v>
                </c:pt>
                <c:pt idx="204">
                  <c:v>20.046746093261604</c:v>
                </c:pt>
                <c:pt idx="205">
                  <c:v>20.142663451058645</c:v>
                </c:pt>
                <c:pt idx="206">
                  <c:v>20.238580809269983</c:v>
                </c:pt>
                <c:pt idx="207">
                  <c:v>20.334498167889748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22.061010686814029</c:v>
                </c:pt>
                <c:pt idx="226">
                  <c:v>22.156928052212471</c:v>
                </c:pt>
                <c:pt idx="227">
                  <c:v>22.252845417922174</c:v>
                </c:pt>
                <c:pt idx="228">
                  <c:v>22.348762783939129</c:v>
                </c:pt>
                <c:pt idx="229">
                  <c:v>22.444680150259408</c:v>
                </c:pt>
                <c:pt idx="230">
                  <c:v>22.540597516879124</c:v>
                </c:pt>
                <c:pt idx="231">
                  <c:v>22.63651488379449</c:v>
                </c:pt>
                <c:pt idx="232">
                  <c:v>22.732432251001743</c:v>
                </c:pt>
                <c:pt idx="233">
                  <c:v>22.828349618497217</c:v>
                </c:pt>
                <c:pt idx="234">
                  <c:v>22.924266986277289</c:v>
                </c:pt>
                <c:pt idx="235">
                  <c:v>23.020184354338404</c:v>
                </c:pt>
                <c:pt idx="236">
                  <c:v>23.116101722677062</c:v>
                </c:pt>
                <c:pt idx="237">
                  <c:v>23.212019091289822</c:v>
                </c:pt>
                <c:pt idx="238">
                  <c:v>23.307936460173305</c:v>
                </c:pt>
                <c:pt idx="239">
                  <c:v>23.40385382932417</c:v>
                </c:pt>
                <c:pt idx="240">
                  <c:v>23.499771198739158</c:v>
                </c:pt>
                <c:pt idx="241">
                  <c:v>23.595688568415035</c:v>
                </c:pt>
                <c:pt idx="242">
                  <c:v>23.691605938348644</c:v>
                </c:pt>
                <c:pt idx="243">
                  <c:v>23.787523308536855</c:v>
                </c:pt>
                <c:pt idx="244">
                  <c:v>23.883440678976616</c:v>
                </c:pt>
                <c:pt idx="245">
                  <c:v>23.979358049664892</c:v>
                </c:pt>
              </c:numCache>
            </c:numRef>
          </c:yVal>
          <c:smooth val="1"/>
          <c:extLst>
            <c:ext xmlns:c16="http://schemas.microsoft.com/office/drawing/2014/chart" uri="{C3380CC4-5D6E-409C-BE32-E72D297353CC}">
              <c16:uniqueId val="{00000001-6DAF-4138-B35F-62B1F573EDC1}"/>
            </c:ext>
          </c:extLst>
        </c:ser>
        <c:ser>
          <c:idx val="2"/>
          <c:order val="2"/>
          <c:tx>
            <c:v>Total Impedance</c:v>
          </c:tx>
          <c:spPr>
            <a:ln>
              <a:solidFill>
                <a:schemeClr val="accent3">
                  <a:lumMod val="75000"/>
                  <a:alpha val="50000"/>
                </a:schemeClr>
              </a:solidFill>
            </a:ln>
          </c:spPr>
          <c:marker>
            <c:symbol val="none"/>
          </c:marker>
          <c:xVal>
            <c:numRef>
              <c:f>'4-Branch H-Filter Configuration'!$GP$5:$GP$250</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'4-Branch H-Filter Configuration'!$GS$5:$GS$250</c:f>
              <c:numCache>
                <c:formatCode>General</c:formatCode>
                <c:ptCount val="246"/>
                <c:pt idx="0">
                  <c:v>0.49764493633540202</c:v>
                </c:pt>
                <c:pt idx="1">
                  <c:v>0.60714371353178709</c:v>
                </c:pt>
                <c:pt idx="2">
                  <c:v>0.7229888472562489</c:v>
                </c:pt>
                <c:pt idx="3">
                  <c:v>0.84703724023026905</c:v>
                </c:pt>
                <c:pt idx="4">
                  <c:v>0.98169975801845188</c:v>
                </c:pt>
                <c:pt idx="5">
                  <c:v>1.1302062226691687</c:v>
                </c:pt>
                <c:pt idx="6">
                  <c:v>1.29703495774641</c:v>
                </c:pt>
                <c:pt idx="7">
                  <c:v>1.4886405658149489</c:v>
                </c:pt>
                <c:pt idx="8">
                  <c:v>1.714756373237416</c:v>
                </c:pt>
                <c:pt idx="9">
                  <c:v>1.9908869844051162</c:v>
                </c:pt>
                <c:pt idx="10">
                  <c:v>2.3434979372735278</c:v>
                </c:pt>
                <c:pt idx="11">
                  <c:v>2.8220761927832547</c:v>
                </c:pt>
                <c:pt idx="12">
                  <c:v>3.5317163094716375</c:v>
                </c:pt>
                <c:pt idx="13">
                  <c:v>4.7431349298659828</c:v>
                </c:pt>
                <c:pt idx="14">
                  <c:v>7.4334344674722619</c:v>
                </c:pt>
                <c:pt idx="15">
                  <c:v>19.556204266915071</c:v>
                </c:pt>
                <c:pt idx="16">
                  <c:v>17.048211033519255</c:v>
                </c:pt>
                <c:pt idx="17">
                  <c:v>5.1501931156013674</c:v>
                </c:pt>
                <c:pt idx="18">
                  <c:v>2.4275047561831342</c:v>
                </c:pt>
                <c:pt idx="19">
                  <c:v>1.159425970177774</c:v>
                </c:pt>
                <c:pt idx="20">
                  <c:v>0.60123959905281477</c:v>
                </c:pt>
                <c:pt idx="21">
                  <c:v>1.0045702805103049</c:v>
                </c:pt>
                <c:pt idx="22">
                  <c:v>1.8682687970613276</c:v>
                </c:pt>
                <c:pt idx="23">
                  <c:v>3.1141396110499571</c:v>
                </c:pt>
                <c:pt idx="24">
                  <c:v>4.4978454524962439</c:v>
                </c:pt>
                <c:pt idx="25">
                  <c:v>4.2584457807750402</c:v>
                </c:pt>
                <c:pt idx="26">
                  <c:v>2.9597996354503047</c:v>
                </c:pt>
                <c:pt idx="27">
                  <c:v>1.9958232639451621</c:v>
                </c:pt>
                <c:pt idx="28">
                  <c:v>1.384829797424231</c:v>
                </c:pt>
                <c:pt idx="29">
                  <c:v>1.0216615462163638</c:v>
                </c:pt>
                <c:pt idx="30">
                  <c:v>0.88537877063347059</c:v>
                </c:pt>
                <c:pt idx="31">
                  <c:v>0.97153324337746194</c:v>
                </c:pt>
                <c:pt idx="32">
                  <c:v>1.2293055106668895</c:v>
                </c:pt>
                <c:pt idx="33">
                  <c:v>1.6174962280106562</c:v>
                </c:pt>
                <c:pt idx="34">
                  <c:v>2.13971212546332</c:v>
                </c:pt>
                <c:pt idx="35">
                  <c:v>2.8255163866525854</c:v>
                </c:pt>
                <c:pt idx="36">
                  <c:v>3.6618343656897632</c:v>
                </c:pt>
                <c:pt idx="37">
                  <c:v>4.3835720219354846</c:v>
                </c:pt>
                <c:pt idx="38">
                  <c:v>4.4244872276072886</c:v>
                </c:pt>
                <c:pt idx="39">
                  <c:v>3.788580236777277</c:v>
                </c:pt>
                <c:pt idx="40">
                  <c:v>3.02923187695382</c:v>
                </c:pt>
                <c:pt idx="41">
                  <c:v>2.4030097763317046</c:v>
                </c:pt>
                <c:pt idx="42">
                  <c:v>1.924209715169064</c:v>
                </c:pt>
                <c:pt idx="43">
                  <c:v>1.5566062311573612</c:v>
                </c:pt>
                <c:pt idx="44">
                  <c:v>1.2678862487475795</c:v>
                </c:pt>
                <c:pt idx="45">
                  <c:v>1.0361037396471895</c:v>
                </c:pt>
                <c:pt idx="46">
                  <c:v>0.84771430709684092</c:v>
                </c:pt>
                <c:pt idx="47">
                  <c:v>0.69558630235142604</c:v>
                </c:pt>
                <c:pt idx="48">
                  <c:v>0.57812239361818796</c:v>
                </c:pt>
                <c:pt idx="49">
                  <c:v>0.49879280504759377</c:v>
                </c:pt>
                <c:pt idx="50">
                  <c:v>0.46347759392206578</c:v>
                </c:pt>
                <c:pt idx="51">
                  <c:v>0.47278967550472822</c:v>
                </c:pt>
                <c:pt idx="52">
                  <c:v>0.51456208037858897</c:v>
                </c:pt>
                <c:pt idx="53">
                  <c:v>0.56430252320922936</c:v>
                </c:pt>
                <c:pt idx="54">
                  <c:v>0.59008297789100916</c:v>
                </c:pt>
                <c:pt idx="55">
                  <c:v>0.56462443323797207</c:v>
                </c:pt>
                <c:pt idx="56">
                  <c:v>0.4858183220745238</c:v>
                </c:pt>
                <c:pt idx="57">
                  <c:v>0.37865623666889098</c:v>
                </c:pt>
                <c:pt idx="58">
                  <c:v>0.27399791323123646</c:v>
                </c:pt>
                <c:pt idx="59">
                  <c:v>0.19871516263250677</c:v>
                </c:pt>
                <c:pt idx="60">
                  <c:v>0.17817882682632019</c:v>
                </c:pt>
                <c:pt idx="61">
                  <c:v>0.21121965210512858</c:v>
                </c:pt>
                <c:pt idx="62">
                  <c:v>0.26868726113773428</c:v>
                </c:pt>
                <c:pt idx="63">
                  <c:v>0.33220710666598258</c:v>
                </c:pt>
                <c:pt idx="64">
                  <c:v>0.39542067633726158</c:v>
                </c:pt>
                <c:pt idx="65">
                  <c:v>0.45643801096731895</c:v>
                </c:pt>
                <c:pt idx="66">
                  <c:v>0.51482634570202224</c:v>
                </c:pt>
                <c:pt idx="67">
                  <c:v>0.57063493672378551</c:v>
                </c:pt>
                <c:pt idx="68">
                  <c:v>0.6240650189171224</c:v>
                </c:pt>
                <c:pt idx="69">
                  <c:v>0.6753520526221608</c:v>
                </c:pt>
                <c:pt idx="70">
                  <c:v>0.72472344384965282</c:v>
                </c:pt>
                <c:pt idx="71">
                  <c:v>0.77238469732667647</c:v>
                </c:pt>
                <c:pt idx="72">
                  <c:v>0.81851654420890485</c:v>
                </c:pt>
                <c:pt idx="73">
                  <c:v>0.86327619748171047</c:v>
                </c:pt>
                <c:pt idx="74">
                  <c:v>0.90679996646457028</c:v>
                </c:pt>
                <c:pt idx="75">
                  <c:v>0.94920611119001019</c:v>
                </c:pt>
                <c:pt idx="76">
                  <c:v>0.99059750637293109</c:v>
                </c:pt>
                <c:pt idx="77">
                  <c:v>1.0310639757727709</c:v>
                </c:pt>
                <c:pt idx="78">
                  <c:v>1.0706842786135791</c:v>
                </c:pt>
                <c:pt idx="79">
                  <c:v>1.1095277764993268</c:v>
                </c:pt>
                <c:pt idx="80">
                  <c:v>1.1476558238437229</c:v>
                </c:pt>
                <c:pt idx="81">
                  <c:v>1.1851229258524052</c:v>
                </c:pt>
                <c:pt idx="82">
                  <c:v>1.2219777038866224</c:v>
                </c:pt>
                <c:pt idx="83">
                  <c:v>1.2582637022897658</c:v>
                </c:pt>
                <c:pt idx="84">
                  <c:v>1.2940200650349951</c:v>
                </c:pt>
                <c:pt idx="85">
                  <c:v>1.3292821054479915</c:v>
                </c:pt>
                <c:pt idx="86">
                  <c:v>1.3640817879356242</c:v>
                </c:pt>
                <c:pt idx="87">
                  <c:v>1.3984481370867445</c:v>
                </c:pt>
                <c:pt idx="88">
                  <c:v>1.4324075866143042</c:v>
                </c:pt>
                <c:pt idx="89">
                  <c:v>1.4659842782709902</c:v>
                </c:pt>
                <c:pt idx="90">
                  <c:v>1.4992003189924294</c:v>
                </c:pt>
                <c:pt idx="91">
                  <c:v>1.5320760030127176</c:v>
                </c:pt>
                <c:pt idx="92">
                  <c:v>1.564630004483891</c:v>
                </c:pt>
                <c:pt idx="93">
                  <c:v>1.5968795451536892</c:v>
                </c:pt>
                <c:pt idx="94">
                  <c:v>1.6288405408655728</c:v>
                </c:pt>
                <c:pt idx="95">
                  <c:v>1.6605277300053396</c:v>
                </c:pt>
                <c:pt idx="96">
                  <c:v>1.6919547864978153</c:v>
                </c:pt>
                <c:pt idx="97">
                  <c:v>1.7231344195316041</c:v>
                </c:pt>
                <c:pt idx="98">
                  <c:v>1.7540784618415466</c:v>
                </c:pt>
                <c:pt idx="99">
                  <c:v>1.784797948091748</c:v>
                </c:pt>
                <c:pt idx="100">
                  <c:v>1.8153031846650443</c:v>
                </c:pt>
                <c:pt idx="101">
                  <c:v>1.8456038119681673</c:v>
                </c:pt>
                <c:pt idx="102">
                  <c:v>1.8757088601985508</c:v>
                </c:pt>
                <c:pt idx="103">
                  <c:v>1.9056267993815943</c:v>
                </c:pt>
                <c:pt idx="104">
                  <c:v>1.9353655843735111</c:v>
                </c:pt>
                <c:pt idx="105">
                  <c:v>1.9649326954270232</c:v>
                </c:pt>
                <c:pt idx="106">
                  <c:v>1.9943351748372034</c:v>
                </c:pt>
                <c:pt idx="107">
                  <c:v>2.0235796601146583</c:v>
                </c:pt>
                <c:pt idx="108">
                  <c:v>2.0526724140749582</c:v>
                </c:pt>
                <c:pt idx="109">
                  <c:v>2.0816193521834907</c:v>
                </c:pt>
                <c:pt idx="110">
                  <c:v>2.1104260674514124</c:v>
                </c:pt>
                <c:pt idx="111">
                  <c:v>2.1390978531422586</c:v>
                </c:pt>
                <c:pt idx="112">
                  <c:v>2.1676397235169129</c:v>
                </c:pt>
                <c:pt idx="113">
                  <c:v>2.1960564328174632</c:v>
                </c:pt>
                <c:pt idx="114">
                  <c:v>2.2243524926666738</c:v>
                </c:pt>
                <c:pt idx="115">
                  <c:v>2.2525321880396008</c:v>
                </c:pt>
                <c:pt idx="116">
                  <c:v>2.2805995919461983</c:v>
                </c:pt>
                <c:pt idx="117">
                  <c:v>2.3085585789475376</c:v>
                </c:pt>
                <c:pt idx="118">
                  <c:v>2.3364128376158191</c:v>
                </c:pt>
                <c:pt idx="119">
                  <c:v>2.3641658820353921</c:v>
                </c:pt>
                <c:pt idx="120">
                  <c:v>2.3918210624324319</c:v>
                </c:pt>
                <c:pt idx="121">
                  <c:v>2.4193815750111383</c:v>
                </c:pt>
                <c:pt idx="122">
                  <c:v>2.446850471066762</c:v>
                </c:pt>
                <c:pt idx="123">
                  <c:v>2.4742306654381965</c:v>
                </c:pt>
                <c:pt idx="124">
                  <c:v>2.5015249443567495</c:v>
                </c:pt>
                <c:pt idx="125">
                  <c:v>2.5287359727423215</c:v>
                </c:pt>
                <c:pt idx="126">
                  <c:v>2.5558663009927973</c:v>
                </c:pt>
                <c:pt idx="127">
                  <c:v>2.5829183713083435</c:v>
                </c:pt>
                <c:pt idx="128">
                  <c:v>2.6098945235883337</c:v>
                </c:pt>
                <c:pt idx="129">
                  <c:v>2.6367970009351547</c:v>
                </c:pt>
                <c:pt idx="130">
                  <c:v>2.6636279547955346</c:v>
                </c:pt>
                <c:pt idx="131">
                  <c:v>2.6903894497681251</c:v>
                </c:pt>
                <c:pt idx="132">
                  <c:v>2.7170834681024334</c:v>
                </c:pt>
                <c:pt idx="133">
                  <c:v>2.7437119139130122</c:v>
                </c:pt>
                <c:pt idx="134">
                  <c:v>2.7702766171298143</c:v>
                </c:pt>
                <c:pt idx="135">
                  <c:v>2.7967793372045282</c:v>
                </c:pt>
                <c:pt idx="136">
                  <c:v>2.8232217665904868</c:v>
                </c:pt>
                <c:pt idx="137">
                  <c:v>2.8496055340127131</c:v>
                </c:pt>
                <c:pt idx="138">
                  <c:v>2.8759322075428546</c:v>
                </c:pt>
                <c:pt idx="139">
                  <c:v>2.9022032974929082</c:v>
                </c:pt>
                <c:pt idx="140">
                  <c:v>2.928420259140287</c:v>
                </c:pt>
                <c:pt idx="141">
                  <c:v>2.9545844952959341</c:v>
                </c:pt>
                <c:pt idx="142">
                  <c:v>2.9806973587259891</c:v>
                </c:pt>
                <c:pt idx="143">
                  <c:v>3.0067601544369169</c:v>
                </c:pt>
                <c:pt idx="144">
                  <c:v>3.0327741418334941</c:v>
                </c:pt>
                <c:pt idx="145">
                  <c:v>3.0587405367575924</c:v>
                </c:pt>
                <c:pt idx="146">
                  <c:v>3.0846605134156588</c:v>
                </c:pt>
                <c:pt idx="147">
                  <c:v>3.1105352062022296</c:v>
                </c:pt>
                <c:pt idx="148">
                  <c:v>3.13636571142596</c:v>
                </c:pt>
                <c:pt idx="149">
                  <c:v>3.1621530889444136</c:v>
                </c:pt>
                <c:pt idx="150">
                  <c:v>3.1878983637129363</c:v>
                </c:pt>
                <c:pt idx="151">
                  <c:v>3.2136025272538107</c:v>
                </c:pt>
                <c:pt idx="152">
                  <c:v>3.2392665390493804</c:v>
                </c:pt>
                <c:pt idx="153">
                  <c:v>3.2648913278648726</c:v>
                </c:pt>
                <c:pt idx="154">
                  <c:v>3.2904777930042628</c:v>
                </c:pt>
                <c:pt idx="155">
                  <c:v>3.3160268055037396</c:v>
                </c:pt>
                <c:pt idx="156">
                  <c:v>3.3415392092661329</c:v>
                </c:pt>
                <c:pt idx="157">
                  <c:v>3.367015822140055</c:v>
                </c:pt>
                <c:pt idx="158">
                  <c:v>3.3924574369462599</c:v>
                </c:pt>
                <c:pt idx="159">
                  <c:v>3.417864822455261</c:v>
                </c:pt>
                <c:pt idx="160">
                  <c:v>3.4432387243181188</c:v>
                </c:pt>
                <c:pt idx="161">
                  <c:v>3.4685798659533935</c:v>
                </c:pt>
                <c:pt idx="162">
                  <c:v>3.4938889493925567</c:v>
                </c:pt>
                <c:pt idx="163">
                  <c:v>3.5191666560865165</c:v>
                </c:pt>
                <c:pt idx="164">
                  <c:v>3.5444136476746566</c:v>
                </c:pt>
                <c:pt idx="165">
                  <c:v>3.5696305667193893</c:v>
                </c:pt>
                <c:pt idx="166">
                  <c:v>3.5948180374069714</c:v>
                </c:pt>
                <c:pt idx="167">
                  <c:v>3.6199766662175787</c:v>
                </c:pt>
                <c:pt idx="168">
                  <c:v>3.6451070425650558</c:v>
                </c:pt>
                <c:pt idx="169">
                  <c:v>3.6702097394089455</c:v>
                </c:pt>
                <c:pt idx="170">
                  <c:v>3.695285313839531</c:v>
                </c:pt>
                <c:pt idx="171">
                  <c:v>3.7203343076377715</c:v>
                </c:pt>
                <c:pt idx="172">
                  <c:v>3.7453572478109503</c:v>
                </c:pt>
                <c:pt idx="173">
                  <c:v>3.7703546471057812</c:v>
                </c:pt>
                <c:pt idx="174">
                  <c:v>3.7953270044995873</c:v>
                </c:pt>
                <c:pt idx="175">
                  <c:v>3.820274805670981</c:v>
                </c:pt>
                <c:pt idx="176">
                  <c:v>3.8451985234510691</c:v>
                </c:pt>
                <c:pt idx="177">
                  <c:v>3.8700986182559225</c:v>
                </c:pt>
                <c:pt idx="178">
                  <c:v>3.894975538501249</c:v>
                </c:pt>
                <c:pt idx="179">
                  <c:v>3.9198297210004536</c:v>
                </c:pt>
                <c:pt idx="180">
                  <c:v>3.9446615913464651</c:v>
                </c:pt>
                <c:pt idx="181">
                  <c:v>3.9694715642783569</c:v>
                </c:pt>
                <c:pt idx="182">
                  <c:v>3.9942600440332501</c:v>
                </c:pt>
                <c:pt idx="183">
                  <c:v>4.0190274246845972</c:v>
                </c:pt>
                <c:pt idx="184">
                  <c:v>4.0437740904670516</c:v>
                </c:pt>
                <c:pt idx="185">
                  <c:v>4.0685004160886171</c:v>
                </c:pt>
                <c:pt idx="186">
                  <c:v>4.0932067670310586</c:v>
                </c:pt>
                <c:pt idx="187">
                  <c:v>4.1178934998385115</c:v>
                </c:pt>
                <c:pt idx="188">
                  <c:v>4.1425609623952244</c:v>
                </c:pt>
                <c:pt idx="189">
                  <c:v>4.1672094941929023</c:v>
                </c:pt>
                <c:pt idx="190">
                  <c:v>4.1918394265877037</c:v>
                </c:pt>
                <c:pt idx="191">
                  <c:v>4.2164510830481987</c:v>
                </c:pt>
                <c:pt idx="192">
                  <c:v>4.2410447793936354</c:v>
                </c:pt>
                <c:pt idx="193">
                  <c:v>4.2656208240236761</c:v>
                </c:pt>
                <c:pt idx="194">
                  <c:v>4.2901795181398175</c:v>
                </c:pt>
                <c:pt idx="195">
                  <c:v>4.3147211559587202</c:v>
                </c:pt>
                <c:pt idx="196">
                  <c:v>4.3392460249177276</c:v>
                </c:pt>
                <c:pt idx="197">
                  <c:v>4.363754405873312</c:v>
                </c:pt>
                <c:pt idx="198">
                  <c:v>4.3882465732920917</c:v>
                </c:pt>
                <c:pt idx="199">
                  <c:v>4.4127227954355908</c:v>
                </c:pt>
                <c:pt idx="200">
                  <c:v>4.4371833345381013</c:v>
                </c:pt>
                <c:pt idx="201">
                  <c:v>4.461628446978505</c:v>
                </c:pt>
                <c:pt idx="202">
                  <c:v>4.4860583834461734</c:v>
                </c:pt>
                <c:pt idx="203">
                  <c:v>4.5104733891010707</c:v>
                </c:pt>
                <c:pt idx="204">
                  <c:v>4.5348737037286684</c:v>
                </c:pt>
                <c:pt idx="205">
                  <c:v>4.5592595618891183</c:v>
                </c:pt>
                <c:pt idx="206">
                  <c:v>4.5836311930616978</c:v>
                </c:pt>
                <c:pt idx="207">
                  <c:v>4.6079888217845504</c:v>
                </c:pt>
                <c:pt idx="208">
                  <c:v>4.6323326677893739</c:v>
                </c:pt>
                <c:pt idx="209">
                  <c:v>4.65666294613189</c:v>
                </c:pt>
                <c:pt idx="210">
                  <c:v>4.6809798673180811</c:v>
                </c:pt>
                <c:pt idx="211">
                  <c:v>4.7052836374261151</c:v>
                </c:pt>
                <c:pt idx="212">
                  <c:v>4.7295744582243779</c:v>
                </c:pt>
                <c:pt idx="213">
                  <c:v>4.7538525272856864</c:v>
                </c:pt>
                <c:pt idx="214">
                  <c:v>4.7781180380978956</c:v>
                </c:pt>
                <c:pt idx="215">
                  <c:v>4.8023711801708497</c:v>
                </c:pt>
                <c:pt idx="216">
                  <c:v>4.8266121391400123</c:v>
                </c:pt>
                <c:pt idx="217">
                  <c:v>4.8508410968667084</c:v>
                </c:pt>
                <c:pt idx="218">
                  <c:v>4.8750582315355953</c:v>
                </c:pt>
                <c:pt idx="219">
                  <c:v>4.8992637177484175</c:v>
                </c:pt>
                <c:pt idx="220">
                  <c:v>4.9234577266155659</c:v>
                </c:pt>
                <c:pt idx="221">
                  <c:v>4.947640425844301</c:v>
                </c:pt>
                <c:pt idx="222">
                  <c:v>4.9718119798244924</c:v>
                </c:pt>
                <c:pt idx="223">
                  <c:v>4.9959725497116851</c:v>
                </c:pt>
                <c:pt idx="224">
                  <c:v>5.0201222935076997</c:v>
                </c:pt>
                <c:pt idx="225">
                  <c:v>5.0442613661387945</c:v>
                </c:pt>
                <c:pt idx="226">
                  <c:v>5.0683899195312421</c:v>
                </c:pt>
                <c:pt idx="227">
                  <c:v>5.0925081026850849</c:v>
                </c:pt>
                <c:pt idx="228">
                  <c:v>5.1166160617452574</c:v>
                </c:pt>
                <c:pt idx="229">
                  <c:v>5.1407139400709552</c:v>
                </c:pt>
                <c:pt idx="230">
                  <c:v>5.1648018783027858</c:v>
                </c:pt>
                <c:pt idx="231">
                  <c:v>5.1888800144279648</c:v>
                </c:pt>
                <c:pt idx="232">
                  <c:v>5.2129484838436557</c:v>
                </c:pt>
                <c:pt idx="233">
                  <c:v>5.2370074194184673</c:v>
                </c:pt>
                <c:pt idx="234">
                  <c:v>5.2610569515521508</c:v>
                </c:pt>
                <c:pt idx="235">
                  <c:v>5.2850972082336929</c:v>
                </c:pt>
                <c:pt idx="236">
                  <c:v>5.3091283150976123</c:v>
                </c:pt>
                <c:pt idx="237">
                  <c:v>5.3331503954787447</c:v>
                </c:pt>
                <c:pt idx="238">
                  <c:v>5.3571635704654534</c:v>
                </c:pt>
                <c:pt idx="239">
                  <c:v>5.3811679589514396</c:v>
                </c:pt>
                <c:pt idx="240">
                  <c:v>5.4051636776858842</c:v>
                </c:pt>
                <c:pt idx="241">
                  <c:v>5.4291508413225262</c:v>
                </c:pt>
                <c:pt idx="242">
                  <c:v>5.4531295624670086</c:v>
                </c:pt>
                <c:pt idx="243">
                  <c:v>5.4770999517232575</c:v>
                </c:pt>
                <c:pt idx="244">
                  <c:v>5.501062117738492</c:v>
                </c:pt>
                <c:pt idx="245">
                  <c:v>5.5250161672468012</c:v>
                </c:pt>
              </c:numCache>
            </c:numRef>
          </c:yVal>
          <c:smooth val="1"/>
          <c:extLst>
            <c:ext xmlns:c16="http://schemas.microsoft.com/office/drawing/2014/chart" uri="{C3380CC4-5D6E-409C-BE32-E72D297353CC}">
              <c16:uniqueId val="{00000002-6DAF-4138-B35F-62B1F573EDC1}"/>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0.11109102118644669"/>
          <c:y val="0.13758318871723543"/>
          <c:w val="0.84530875623498913"/>
          <c:h val="0.1101086472635374"/>
        </c:manualLayout>
      </c:layout>
      <c:overlay val="0"/>
      <c:spPr>
        <a:noFill/>
      </c:spPr>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r>
              <a:rPr lang="en-US" b="1">
                <a:solidFill>
                  <a:srgbClr val="0E9ED9"/>
                </a:solidFill>
              </a:rPr>
              <a:t>Tuning</a:t>
            </a:r>
            <a:r>
              <a:rPr lang="en-US" b="1" baseline="0">
                <a:solidFill>
                  <a:srgbClr val="0E9ED9"/>
                </a:solidFill>
              </a:rPr>
              <a:t> Reactor </a:t>
            </a:r>
            <a:r>
              <a:rPr lang="en-US" b="1">
                <a:solidFill>
                  <a:srgbClr val="0E9ED9"/>
                </a:solidFill>
              </a:rPr>
              <a:t>Harmonic</a:t>
            </a:r>
            <a:r>
              <a:rPr lang="en-US" b="1" baseline="0">
                <a:solidFill>
                  <a:srgbClr val="0E9ED9"/>
                </a:solidFill>
              </a:rPr>
              <a:t> Current Comparison </a:t>
            </a:r>
            <a:endParaRPr lang="en-US" b="1">
              <a:solidFill>
                <a:srgbClr val="0E9ED9"/>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endParaRPr lang="en-US"/>
        </a:p>
      </c:txPr>
    </c:title>
    <c:autoTitleDeleted val="0"/>
    <c:plotArea>
      <c:layout/>
      <c:barChart>
        <c:barDir val="col"/>
        <c:grouping val="clustered"/>
        <c:varyColors val="0"/>
        <c:ser>
          <c:idx val="0"/>
          <c:order val="0"/>
          <c:tx>
            <c:v>I(n) Filter Current</c:v>
          </c:tx>
          <c:spPr>
            <a:solidFill>
              <a:srgbClr val="00B0F0"/>
            </a:solidFill>
            <a:ln>
              <a:noFill/>
            </a:ln>
            <a:effectLst/>
          </c:spPr>
          <c:invertIfNegative val="0"/>
          <c:cat>
            <c:strRef>
              <c:f>'Notch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'Notch Filter Design'!$DS$6:$DS$21</c:f>
              <c:numCache>
                <c:formatCode>0</c:formatCode>
                <c:ptCount val="16"/>
                <c:pt idx="0">
                  <c:v>278.12414534767834</c:v>
                </c:pt>
                <c:pt idx="1">
                  <c:v>0</c:v>
                </c:pt>
                <c:pt idx="2">
                  <c:v>0</c:v>
                </c:pt>
                <c:pt idx="3">
                  <c:v>0</c:v>
                </c:pt>
                <c:pt idx="4">
                  <c:v>136</c:v>
                </c:pt>
                <c:pt idx="5">
                  <c:v>60</c:v>
                </c:pt>
                <c:pt idx="6">
                  <c:v>50</c:v>
                </c:pt>
                <c:pt idx="7">
                  <c:v>0</c:v>
                </c:pt>
                <c:pt idx="8">
                  <c:v>0</c:v>
                </c:pt>
                <c:pt idx="9">
                  <c:v>0</c:v>
                </c:pt>
                <c:pt idx="10">
                  <c:v>0</c:v>
                </c:pt>
                <c:pt idx="11">
                  <c:v>0</c:v>
                </c:pt>
                <c:pt idx="12">
                  <c:v>0</c:v>
                </c:pt>
                <c:pt idx="13">
                  <c:v>0</c:v>
                </c:pt>
                <c:pt idx="14">
                  <c:v>0</c:v>
                </c:pt>
                <c:pt idx="15">
                  <c:v>0</c:v>
                </c:pt>
              </c:numCache>
            </c:numRef>
          </c:val>
          <c:extLst xmlns:c15="http://schemas.microsoft.com/office/drawing/2012/chart">
            <c:ext xmlns:c16="http://schemas.microsoft.com/office/drawing/2014/chart" uri="{C3380CC4-5D6E-409C-BE32-E72D297353CC}">
              <c16:uniqueId val="{00000003-B806-4B01-9DFD-78EA2EF35D23}"/>
            </c:ext>
          </c:extLst>
        </c:ser>
        <c:ser>
          <c:idx val="1"/>
          <c:order val="1"/>
          <c:tx>
            <c:v>Calculated Reactor Current (n)</c:v>
          </c:tx>
          <c:spPr>
            <a:solidFill>
              <a:srgbClr val="0070C0"/>
            </a:solidFill>
            <a:ln>
              <a:noFill/>
            </a:ln>
            <a:effectLst/>
          </c:spPr>
          <c:invertIfNegative val="0"/>
          <c:cat>
            <c:strRef>
              <c:f>'Notch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'Notch Filter Design'!$DT$6:$DT$21</c:f>
              <c:numCache>
                <c:formatCode>0</c:formatCode>
                <c:ptCount val="16"/>
                <c:pt idx="0">
                  <c:v>278.12414534767834</c:v>
                </c:pt>
                <c:pt idx="1">
                  <c:v>0</c:v>
                </c:pt>
                <c:pt idx="2">
                  <c:v>0</c:v>
                </c:pt>
                <c:pt idx="3">
                  <c:v>0</c:v>
                </c:pt>
                <c:pt idx="4">
                  <c:v>136</c:v>
                </c:pt>
                <c:pt idx="5">
                  <c:v>60</c:v>
                </c:pt>
                <c:pt idx="6">
                  <c:v>50</c:v>
                </c:pt>
                <c:pt idx="7">
                  <c:v>0</c:v>
                </c:pt>
                <c:pt idx="8">
                  <c:v>0</c:v>
                </c:pt>
                <c:pt idx="9">
                  <c:v>0</c:v>
                </c:pt>
                <c:pt idx="10">
                  <c:v>0</c:v>
                </c:pt>
                <c:pt idx="11">
                  <c:v>0</c:v>
                </c:pt>
                <c:pt idx="12">
                  <c:v>0</c:v>
                </c:pt>
                <c:pt idx="13">
                  <c:v>0</c:v>
                </c:pt>
                <c:pt idx="14">
                  <c:v>0</c:v>
                </c:pt>
                <c:pt idx="15">
                  <c:v>0</c:v>
                </c:pt>
              </c:numCache>
            </c:numRef>
          </c:val>
          <c:extLst xmlns:c15="http://schemas.microsoft.com/office/drawing/2012/chart">
            <c:ext xmlns:c16="http://schemas.microsoft.com/office/drawing/2014/chart" uri="{C3380CC4-5D6E-409C-BE32-E72D297353CC}">
              <c16:uniqueId val="{00000004-B806-4B01-9DFD-78EA2EF35D23}"/>
            </c:ext>
          </c:extLst>
        </c:ser>
        <c:ser>
          <c:idx val="2"/>
          <c:order val="2"/>
          <c:tx>
            <c:v>VarStec Rating (n)</c:v>
          </c:tx>
          <c:spPr>
            <a:solidFill>
              <a:srgbClr val="FF0000"/>
            </a:solidFill>
            <a:ln>
              <a:noFill/>
            </a:ln>
            <a:effectLst/>
          </c:spPr>
          <c:invertIfNegative val="0"/>
          <c:cat>
            <c:strRef>
              <c:f>'Notch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'Notch Filter Design'!$DU$6:$DU$21</c:f>
              <c:numCache>
                <c:formatCode>0</c:formatCode>
                <c:ptCount val="16"/>
                <c:pt idx="0">
                  <c:v>417.1862180215175</c:v>
                </c:pt>
                <c:pt idx="1">
                  <c:v>0</c:v>
                </c:pt>
                <c:pt idx="2">
                  <c:v>0</c:v>
                </c:pt>
                <c:pt idx="3">
                  <c:v>0</c:v>
                </c:pt>
                <c:pt idx="4">
                  <c:v>204</c:v>
                </c:pt>
                <c:pt idx="5">
                  <c:v>90</c:v>
                </c:pt>
                <c:pt idx="6">
                  <c:v>75</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B806-4B01-9DFD-78EA2EF35D23}"/>
            </c:ext>
          </c:extLst>
        </c:ser>
        <c:dLbls>
          <c:showLegendKey val="0"/>
          <c:showVal val="0"/>
          <c:showCatName val="0"/>
          <c:showSerName val="0"/>
          <c:showPercent val="0"/>
          <c:showBubbleSize val="0"/>
        </c:dLbls>
        <c:gapWidth val="219"/>
        <c:overlap val="-27"/>
        <c:axId val="320270991"/>
        <c:axId val="320271951"/>
        <c:extLst/>
      </c:barChart>
      <c:catAx>
        <c:axId val="320270991"/>
        <c:scaling>
          <c:orientation val="minMax"/>
        </c:scaling>
        <c:delete val="0"/>
        <c:axPos val="b"/>
        <c:title>
          <c:tx>
            <c:rich>
              <a:bodyPr rot="0" spcFirstLastPara="1" vertOverflow="ellipsis" vert="horz" wrap="square" anchor="ctr" anchorCtr="1"/>
              <a:lstStyle/>
              <a:p>
                <a:pPr>
                  <a:defRPr sz="1400" b="0" i="0" u="none" strike="noStrike" kern="1200" baseline="0">
                    <a:solidFill>
                      <a:srgbClr val="0E9ED9"/>
                    </a:solidFill>
                    <a:latin typeface="+mn-lt"/>
                    <a:ea typeface="+mn-ea"/>
                    <a:cs typeface="+mn-cs"/>
                  </a:defRPr>
                </a:pPr>
                <a:r>
                  <a:rPr lang="en-US" sz="1400">
                    <a:solidFill>
                      <a:srgbClr val="0E9ED9"/>
                    </a:solidFill>
                  </a:rPr>
                  <a:t>Harmonic Number (n)</a:t>
                </a:r>
              </a:p>
            </c:rich>
          </c:tx>
          <c:overlay val="0"/>
          <c:spPr>
            <a:noFill/>
            <a:ln>
              <a:noFill/>
            </a:ln>
            <a:effectLst/>
          </c:spPr>
          <c:txPr>
            <a:bodyPr rot="0" spcFirstLastPara="1" vertOverflow="ellipsis" vert="horz" wrap="square" anchor="ctr" anchorCtr="1"/>
            <a:lstStyle/>
            <a:p>
              <a:pPr>
                <a:defRPr sz="1400" b="0" i="0" u="none" strike="noStrike" kern="1200" baseline="0">
                  <a:solidFill>
                    <a:srgbClr val="0E9ED9"/>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1951"/>
        <c:crosses val="autoZero"/>
        <c:auto val="1"/>
        <c:lblAlgn val="ctr"/>
        <c:lblOffset val="100"/>
        <c:noMultiLvlLbl val="0"/>
      </c:catAx>
      <c:valAx>
        <c:axId val="320271951"/>
        <c:scaling>
          <c:orientation val="minMax"/>
        </c:scaling>
        <c:delete val="0"/>
        <c:axPos val="l"/>
        <c:majorGridlines>
          <c:spPr>
            <a:ln w="9525" cap="flat" cmpd="sng" algn="ctr">
              <a:solidFill>
                <a:srgbClr val="C00000"/>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solidFill>
                      <a:srgbClr val="0E9ED9"/>
                    </a:solidFill>
                  </a:rPr>
                  <a:t>amps</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0991"/>
        <c:crosses val="autoZero"/>
        <c:crossBetween val="between"/>
      </c:valAx>
      <c:spPr>
        <a:noFill/>
        <a:ln>
          <a:solidFill>
            <a:srgbClr val="C00000"/>
          </a:solid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9050" cap="flat" cmpd="sng" algn="ctr">
      <a:solidFill>
        <a:srgbClr val="C00000"/>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u="none" strike="noStrike" kern="1200" baseline="0">
                <a:solidFill>
                  <a:srgbClr val="0E9ED9"/>
                </a:solidFill>
              </a:rPr>
              <a:t>Driving-Point Harmonic Impedance Scan</a:t>
            </a:r>
            <a:r>
              <a:rPr lang="en-US" sz="1400" b="1" i="0" u="none" strike="noStrike" kern="1200" baseline="0">
                <a:solidFill>
                  <a:sysClr val="windowText" lastClr="000000"/>
                </a:solidFill>
              </a:rPr>
              <a:t>  </a:t>
            </a:r>
          </a:p>
        </c:rich>
      </c:tx>
      <c:layout>
        <c:manualLayout>
          <c:xMode val="edge"/>
          <c:yMode val="edge"/>
          <c:x val="0.26743787182850581"/>
          <c:y val="3.2352772661576282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spPr>
            <a:ln>
              <a:solidFill>
                <a:srgbClr val="00B0F0"/>
              </a:solidFill>
            </a:ln>
          </c:spPr>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Design'!$CU$6:$CU$251</c:f>
              <c:numCache>
                <c:formatCode>General</c:formatCode>
                <c:ptCount val="246"/>
                <c:pt idx="0">
                  <c:v>25.9</c:v>
                </c:pt>
                <c:pt idx="1">
                  <c:v>21.2</c:v>
                </c:pt>
                <c:pt idx="2">
                  <c:v>17.8</c:v>
                </c:pt>
                <c:pt idx="3">
                  <c:v>15.1</c:v>
                </c:pt>
                <c:pt idx="4">
                  <c:v>13.1</c:v>
                </c:pt>
                <c:pt idx="5">
                  <c:v>11.3</c:v>
                </c:pt>
                <c:pt idx="6">
                  <c:v>9.9</c:v>
                </c:pt>
                <c:pt idx="7">
                  <c:v>8.6999999999999993</c:v>
                </c:pt>
                <c:pt idx="8">
                  <c:v>7.6</c:v>
                </c:pt>
                <c:pt idx="9">
                  <c:v>6.6</c:v>
                </c:pt>
                <c:pt idx="10">
                  <c:v>5.8</c:v>
                </c:pt>
                <c:pt idx="11">
                  <c:v>5</c:v>
                </c:pt>
                <c:pt idx="12">
                  <c:v>4.3</c:v>
                </c:pt>
                <c:pt idx="13">
                  <c:v>3.6</c:v>
                </c:pt>
                <c:pt idx="14">
                  <c:v>3</c:v>
                </c:pt>
                <c:pt idx="15">
                  <c:v>2.4</c:v>
                </c:pt>
                <c:pt idx="16">
                  <c:v>1.9</c:v>
                </c:pt>
                <c:pt idx="17">
                  <c:v>1.4</c:v>
                </c:pt>
                <c:pt idx="18">
                  <c:v>0.9</c:v>
                </c:pt>
                <c:pt idx="19">
                  <c:v>0.4</c:v>
                </c:pt>
                <c:pt idx="20">
                  <c:v>0</c:v>
                </c:pt>
                <c:pt idx="21">
                  <c:v>0.4</c:v>
                </c:pt>
                <c:pt idx="22">
                  <c:v>0.8</c:v>
                </c:pt>
                <c:pt idx="23">
                  <c:v>1.2</c:v>
                </c:pt>
                <c:pt idx="24">
                  <c:v>1.6</c:v>
                </c:pt>
                <c:pt idx="25">
                  <c:v>2</c:v>
                </c:pt>
                <c:pt idx="26">
                  <c:v>2.2999999999999998</c:v>
                </c:pt>
                <c:pt idx="27">
                  <c:v>2.7</c:v>
                </c:pt>
                <c:pt idx="28">
                  <c:v>3</c:v>
                </c:pt>
                <c:pt idx="29">
                  <c:v>3.4</c:v>
                </c:pt>
                <c:pt idx="30">
                  <c:v>3.7</c:v>
                </c:pt>
                <c:pt idx="31">
                  <c:v>4</c:v>
                </c:pt>
                <c:pt idx="32">
                  <c:v>4.3</c:v>
                </c:pt>
                <c:pt idx="33">
                  <c:v>4.7</c:v>
                </c:pt>
                <c:pt idx="34">
                  <c:v>5</c:v>
                </c:pt>
                <c:pt idx="35">
                  <c:v>5.3</c:v>
                </c:pt>
                <c:pt idx="36">
                  <c:v>5.6</c:v>
                </c:pt>
                <c:pt idx="37">
                  <c:v>5.9</c:v>
                </c:pt>
                <c:pt idx="38">
                  <c:v>6.1</c:v>
                </c:pt>
                <c:pt idx="39">
                  <c:v>6.4</c:v>
                </c:pt>
                <c:pt idx="40">
                  <c:v>6.7</c:v>
                </c:pt>
                <c:pt idx="41">
                  <c:v>7</c:v>
                </c:pt>
                <c:pt idx="42">
                  <c:v>7.3</c:v>
                </c:pt>
                <c:pt idx="43">
                  <c:v>7.6</c:v>
                </c:pt>
                <c:pt idx="44">
                  <c:v>7.8</c:v>
                </c:pt>
                <c:pt idx="45">
                  <c:v>8.1</c:v>
                </c:pt>
                <c:pt idx="46">
                  <c:v>8.4</c:v>
                </c:pt>
                <c:pt idx="47">
                  <c:v>8.6</c:v>
                </c:pt>
                <c:pt idx="48">
                  <c:v>8.9</c:v>
                </c:pt>
                <c:pt idx="49">
                  <c:v>9.1999999999999993</c:v>
                </c:pt>
                <c:pt idx="50">
                  <c:v>9.4</c:v>
                </c:pt>
                <c:pt idx="51">
                  <c:v>9.6999999999999993</c:v>
                </c:pt>
                <c:pt idx="52">
                  <c:v>9.9</c:v>
                </c:pt>
                <c:pt idx="53">
                  <c:v>10.199999999999999</c:v>
                </c:pt>
                <c:pt idx="54">
                  <c:v>10.5</c:v>
                </c:pt>
                <c:pt idx="55">
                  <c:v>10.7</c:v>
                </c:pt>
                <c:pt idx="56">
                  <c:v>11</c:v>
                </c:pt>
                <c:pt idx="57">
                  <c:v>11.2</c:v>
                </c:pt>
                <c:pt idx="58">
                  <c:v>11.5</c:v>
                </c:pt>
                <c:pt idx="59">
                  <c:v>11.7</c:v>
                </c:pt>
                <c:pt idx="60">
                  <c:v>12</c:v>
                </c:pt>
                <c:pt idx="61">
                  <c:v>12.2</c:v>
                </c:pt>
                <c:pt idx="62">
                  <c:v>12.5</c:v>
                </c:pt>
                <c:pt idx="63">
                  <c:v>12.7</c:v>
                </c:pt>
                <c:pt idx="64">
                  <c:v>12.9</c:v>
                </c:pt>
                <c:pt idx="65">
                  <c:v>13.2</c:v>
                </c:pt>
                <c:pt idx="66">
                  <c:v>13.4</c:v>
                </c:pt>
                <c:pt idx="67">
                  <c:v>13.7</c:v>
                </c:pt>
                <c:pt idx="68">
                  <c:v>13.9</c:v>
                </c:pt>
                <c:pt idx="69">
                  <c:v>14.2</c:v>
                </c:pt>
                <c:pt idx="70">
                  <c:v>14.4</c:v>
                </c:pt>
                <c:pt idx="71">
                  <c:v>14.6</c:v>
                </c:pt>
                <c:pt idx="72">
                  <c:v>14.9</c:v>
                </c:pt>
                <c:pt idx="73">
                  <c:v>15.1</c:v>
                </c:pt>
                <c:pt idx="74">
                  <c:v>15.4</c:v>
                </c:pt>
                <c:pt idx="75">
                  <c:v>15.6</c:v>
                </c:pt>
                <c:pt idx="76">
                  <c:v>15.8</c:v>
                </c:pt>
                <c:pt idx="77">
                  <c:v>16.100000000000001</c:v>
                </c:pt>
                <c:pt idx="78">
                  <c:v>16.3</c:v>
                </c:pt>
                <c:pt idx="79">
                  <c:v>16.5</c:v>
                </c:pt>
                <c:pt idx="80">
                  <c:v>16.8</c:v>
                </c:pt>
                <c:pt idx="81">
                  <c:v>17</c:v>
                </c:pt>
                <c:pt idx="82">
                  <c:v>17.2</c:v>
                </c:pt>
                <c:pt idx="83">
                  <c:v>17.5</c:v>
                </c:pt>
                <c:pt idx="84">
                  <c:v>17.7</c:v>
                </c:pt>
                <c:pt idx="85">
                  <c:v>17.899999999999999</c:v>
                </c:pt>
                <c:pt idx="86">
                  <c:v>18.2</c:v>
                </c:pt>
                <c:pt idx="87">
                  <c:v>18.399999999999999</c:v>
                </c:pt>
                <c:pt idx="88">
                  <c:v>18.600000000000001</c:v>
                </c:pt>
                <c:pt idx="89">
                  <c:v>18.899999999999999</c:v>
                </c:pt>
                <c:pt idx="90">
                  <c:v>19.100000000000001</c:v>
                </c:pt>
                <c:pt idx="91">
                  <c:v>19.3</c:v>
                </c:pt>
                <c:pt idx="92">
                  <c:v>19.600000000000001</c:v>
                </c:pt>
                <c:pt idx="93">
                  <c:v>19.8</c:v>
                </c:pt>
                <c:pt idx="94">
                  <c:v>20</c:v>
                </c:pt>
                <c:pt idx="95">
                  <c:v>20.2</c:v>
                </c:pt>
                <c:pt idx="96">
                  <c:v>20.5</c:v>
                </c:pt>
                <c:pt idx="97">
                  <c:v>20.7</c:v>
                </c:pt>
                <c:pt idx="98">
                  <c:v>20.9</c:v>
                </c:pt>
                <c:pt idx="99">
                  <c:v>21.2</c:v>
                </c:pt>
                <c:pt idx="100">
                  <c:v>21.4</c:v>
                </c:pt>
                <c:pt idx="101">
                  <c:v>21.6</c:v>
                </c:pt>
                <c:pt idx="102">
                  <c:v>21.8</c:v>
                </c:pt>
                <c:pt idx="103">
                  <c:v>22.1</c:v>
                </c:pt>
                <c:pt idx="104">
                  <c:v>22.3</c:v>
                </c:pt>
                <c:pt idx="105">
                  <c:v>22.5</c:v>
                </c:pt>
                <c:pt idx="106">
                  <c:v>22.8</c:v>
                </c:pt>
                <c:pt idx="107">
                  <c:v>23</c:v>
                </c:pt>
                <c:pt idx="108">
                  <c:v>23.2</c:v>
                </c:pt>
                <c:pt idx="109">
                  <c:v>23.4</c:v>
                </c:pt>
                <c:pt idx="110">
                  <c:v>23.7</c:v>
                </c:pt>
                <c:pt idx="111">
                  <c:v>23.9</c:v>
                </c:pt>
                <c:pt idx="112">
                  <c:v>24.1</c:v>
                </c:pt>
                <c:pt idx="113">
                  <c:v>24.3</c:v>
                </c:pt>
                <c:pt idx="114">
                  <c:v>24.6</c:v>
                </c:pt>
                <c:pt idx="115">
                  <c:v>24.8</c:v>
                </c:pt>
                <c:pt idx="116">
                  <c:v>25</c:v>
                </c:pt>
                <c:pt idx="117">
                  <c:v>25.2</c:v>
                </c:pt>
                <c:pt idx="118">
                  <c:v>25.5</c:v>
                </c:pt>
                <c:pt idx="119">
                  <c:v>25.7</c:v>
                </c:pt>
                <c:pt idx="120">
                  <c:v>25.9</c:v>
                </c:pt>
                <c:pt idx="121">
                  <c:v>26.1</c:v>
                </c:pt>
                <c:pt idx="122">
                  <c:v>26.4</c:v>
                </c:pt>
                <c:pt idx="123">
                  <c:v>26.6</c:v>
                </c:pt>
                <c:pt idx="124">
                  <c:v>26.8</c:v>
                </c:pt>
                <c:pt idx="125">
                  <c:v>27</c:v>
                </c:pt>
                <c:pt idx="126">
                  <c:v>27.3</c:v>
                </c:pt>
                <c:pt idx="127">
                  <c:v>27.5</c:v>
                </c:pt>
                <c:pt idx="128">
                  <c:v>27.7</c:v>
                </c:pt>
                <c:pt idx="129">
                  <c:v>27.9</c:v>
                </c:pt>
                <c:pt idx="130">
                  <c:v>28.2</c:v>
                </c:pt>
                <c:pt idx="131">
                  <c:v>28.4</c:v>
                </c:pt>
                <c:pt idx="132">
                  <c:v>28.6</c:v>
                </c:pt>
                <c:pt idx="133">
                  <c:v>28.8</c:v>
                </c:pt>
                <c:pt idx="134">
                  <c:v>29</c:v>
                </c:pt>
                <c:pt idx="135">
                  <c:v>29.3</c:v>
                </c:pt>
                <c:pt idx="136">
                  <c:v>29.5</c:v>
                </c:pt>
                <c:pt idx="137">
                  <c:v>29.7</c:v>
                </c:pt>
                <c:pt idx="138">
                  <c:v>29.9</c:v>
                </c:pt>
                <c:pt idx="139">
                  <c:v>30.2</c:v>
                </c:pt>
                <c:pt idx="140">
                  <c:v>30.4</c:v>
                </c:pt>
                <c:pt idx="141">
                  <c:v>30.6</c:v>
                </c:pt>
                <c:pt idx="142">
                  <c:v>30.8</c:v>
                </c:pt>
                <c:pt idx="143">
                  <c:v>31.1</c:v>
                </c:pt>
                <c:pt idx="144">
                  <c:v>31.3</c:v>
                </c:pt>
                <c:pt idx="145">
                  <c:v>31.5</c:v>
                </c:pt>
                <c:pt idx="146">
                  <c:v>31.7</c:v>
                </c:pt>
                <c:pt idx="147">
                  <c:v>31.9</c:v>
                </c:pt>
                <c:pt idx="148">
                  <c:v>32.200000000000003</c:v>
                </c:pt>
                <c:pt idx="149">
                  <c:v>32.4</c:v>
                </c:pt>
                <c:pt idx="150">
                  <c:v>32.6</c:v>
                </c:pt>
                <c:pt idx="151">
                  <c:v>32.799999999999997</c:v>
                </c:pt>
                <c:pt idx="152">
                  <c:v>33</c:v>
                </c:pt>
                <c:pt idx="153">
                  <c:v>33.299999999999997</c:v>
                </c:pt>
                <c:pt idx="154">
                  <c:v>33.5</c:v>
                </c:pt>
                <c:pt idx="155">
                  <c:v>33.700000000000003</c:v>
                </c:pt>
                <c:pt idx="156">
                  <c:v>33.9</c:v>
                </c:pt>
                <c:pt idx="157">
                  <c:v>34.200000000000003</c:v>
                </c:pt>
                <c:pt idx="158">
                  <c:v>34.4</c:v>
                </c:pt>
                <c:pt idx="159">
                  <c:v>34.6</c:v>
                </c:pt>
                <c:pt idx="160">
                  <c:v>34.799999999999997</c:v>
                </c:pt>
                <c:pt idx="161">
                  <c:v>35</c:v>
                </c:pt>
                <c:pt idx="162">
                  <c:v>35.299999999999997</c:v>
                </c:pt>
                <c:pt idx="163">
                  <c:v>35.5</c:v>
                </c:pt>
                <c:pt idx="164">
                  <c:v>35.700000000000003</c:v>
                </c:pt>
                <c:pt idx="165">
                  <c:v>35.9</c:v>
                </c:pt>
                <c:pt idx="166">
                  <c:v>36.1</c:v>
                </c:pt>
                <c:pt idx="167">
                  <c:v>36.4</c:v>
                </c:pt>
                <c:pt idx="168">
                  <c:v>36.6</c:v>
                </c:pt>
                <c:pt idx="169">
                  <c:v>36.799999999999997</c:v>
                </c:pt>
                <c:pt idx="170">
                  <c:v>37</c:v>
                </c:pt>
                <c:pt idx="171">
                  <c:v>37.200000000000003</c:v>
                </c:pt>
                <c:pt idx="172">
                  <c:v>37.5</c:v>
                </c:pt>
                <c:pt idx="173">
                  <c:v>37.700000000000003</c:v>
                </c:pt>
                <c:pt idx="174">
                  <c:v>37.9</c:v>
                </c:pt>
                <c:pt idx="175">
                  <c:v>38.1</c:v>
                </c:pt>
                <c:pt idx="176">
                  <c:v>38.299999999999997</c:v>
                </c:pt>
                <c:pt idx="177">
                  <c:v>38.6</c:v>
                </c:pt>
                <c:pt idx="178">
                  <c:v>38.799999999999997</c:v>
                </c:pt>
                <c:pt idx="179">
                  <c:v>39</c:v>
                </c:pt>
                <c:pt idx="180">
                  <c:v>39.200000000000003</c:v>
                </c:pt>
                <c:pt idx="181">
                  <c:v>39.4</c:v>
                </c:pt>
                <c:pt idx="182">
                  <c:v>39.700000000000003</c:v>
                </c:pt>
                <c:pt idx="183">
                  <c:v>39.9</c:v>
                </c:pt>
                <c:pt idx="184">
                  <c:v>40.1</c:v>
                </c:pt>
                <c:pt idx="185">
                  <c:v>40.299999999999997</c:v>
                </c:pt>
                <c:pt idx="186">
                  <c:v>40.5</c:v>
                </c:pt>
                <c:pt idx="187">
                  <c:v>40.799999999999997</c:v>
                </c:pt>
                <c:pt idx="188">
                  <c:v>41</c:v>
                </c:pt>
                <c:pt idx="189">
                  <c:v>41.2</c:v>
                </c:pt>
                <c:pt idx="190">
                  <c:v>41.4</c:v>
                </c:pt>
                <c:pt idx="191">
                  <c:v>41.6</c:v>
                </c:pt>
                <c:pt idx="192">
                  <c:v>41.9</c:v>
                </c:pt>
                <c:pt idx="193">
                  <c:v>42.1</c:v>
                </c:pt>
                <c:pt idx="194">
                  <c:v>42.3</c:v>
                </c:pt>
                <c:pt idx="195">
                  <c:v>42.5</c:v>
                </c:pt>
                <c:pt idx="196">
                  <c:v>42.7</c:v>
                </c:pt>
                <c:pt idx="197">
                  <c:v>43</c:v>
                </c:pt>
                <c:pt idx="198">
                  <c:v>43.2</c:v>
                </c:pt>
                <c:pt idx="199">
                  <c:v>43.4</c:v>
                </c:pt>
                <c:pt idx="200">
                  <c:v>43.6</c:v>
                </c:pt>
                <c:pt idx="201">
                  <c:v>43.8</c:v>
                </c:pt>
                <c:pt idx="202">
                  <c:v>44.1</c:v>
                </c:pt>
                <c:pt idx="203">
                  <c:v>44.3</c:v>
                </c:pt>
                <c:pt idx="204">
                  <c:v>44.5</c:v>
                </c:pt>
                <c:pt idx="205">
                  <c:v>44.7</c:v>
                </c:pt>
                <c:pt idx="206">
                  <c:v>44.9</c:v>
                </c:pt>
                <c:pt idx="207">
                  <c:v>45.1</c:v>
                </c:pt>
                <c:pt idx="208">
                  <c:v>45.4</c:v>
                </c:pt>
                <c:pt idx="209">
                  <c:v>45.6</c:v>
                </c:pt>
                <c:pt idx="210">
                  <c:v>45.8</c:v>
                </c:pt>
                <c:pt idx="211">
                  <c:v>46</c:v>
                </c:pt>
                <c:pt idx="212">
                  <c:v>46.2</c:v>
                </c:pt>
                <c:pt idx="213">
                  <c:v>46.5</c:v>
                </c:pt>
                <c:pt idx="214">
                  <c:v>46.7</c:v>
                </c:pt>
                <c:pt idx="215">
                  <c:v>46.9</c:v>
                </c:pt>
                <c:pt idx="216">
                  <c:v>47.1</c:v>
                </c:pt>
                <c:pt idx="217">
                  <c:v>47.3</c:v>
                </c:pt>
                <c:pt idx="218">
                  <c:v>47.6</c:v>
                </c:pt>
                <c:pt idx="219">
                  <c:v>47.8</c:v>
                </c:pt>
                <c:pt idx="220">
                  <c:v>48</c:v>
                </c:pt>
                <c:pt idx="221">
                  <c:v>48.2</c:v>
                </c:pt>
                <c:pt idx="222">
                  <c:v>48.4</c:v>
                </c:pt>
                <c:pt idx="223">
                  <c:v>48.6</c:v>
                </c:pt>
                <c:pt idx="224">
                  <c:v>48.9</c:v>
                </c:pt>
                <c:pt idx="225">
                  <c:v>49.1</c:v>
                </c:pt>
                <c:pt idx="226">
                  <c:v>49.3</c:v>
                </c:pt>
                <c:pt idx="227">
                  <c:v>49.5</c:v>
                </c:pt>
                <c:pt idx="228">
                  <c:v>49.7</c:v>
                </c:pt>
                <c:pt idx="229">
                  <c:v>50</c:v>
                </c:pt>
                <c:pt idx="230">
                  <c:v>50.2</c:v>
                </c:pt>
                <c:pt idx="231">
                  <c:v>50.4</c:v>
                </c:pt>
                <c:pt idx="232">
                  <c:v>50.6</c:v>
                </c:pt>
                <c:pt idx="233">
                  <c:v>50.8</c:v>
                </c:pt>
                <c:pt idx="234">
                  <c:v>51.1</c:v>
                </c:pt>
                <c:pt idx="235">
                  <c:v>51.3</c:v>
                </c:pt>
                <c:pt idx="236">
                  <c:v>51.5</c:v>
                </c:pt>
                <c:pt idx="237">
                  <c:v>51.7</c:v>
                </c:pt>
                <c:pt idx="238">
                  <c:v>51.9</c:v>
                </c:pt>
                <c:pt idx="239">
                  <c:v>52.1</c:v>
                </c:pt>
                <c:pt idx="240">
                  <c:v>52.4</c:v>
                </c:pt>
                <c:pt idx="241">
                  <c:v>52.6</c:v>
                </c:pt>
                <c:pt idx="242">
                  <c:v>52.8</c:v>
                </c:pt>
                <c:pt idx="243">
                  <c:v>53</c:v>
                </c:pt>
                <c:pt idx="244">
                  <c:v>53.2</c:v>
                </c:pt>
                <c:pt idx="245">
                  <c:v>53.5</c:v>
                </c:pt>
              </c:numCache>
            </c:numRef>
          </c:yVal>
          <c:smooth val="1"/>
          <c:extLst>
            <c:ext xmlns:c16="http://schemas.microsoft.com/office/drawing/2014/chart" uri="{C3380CC4-5D6E-409C-BE32-E72D297353CC}">
              <c16:uniqueId val="{00000000-55CB-4F2E-A194-DD13C8F91AC5}"/>
            </c:ext>
          </c:extLst>
        </c:ser>
        <c:ser>
          <c:idx val="1"/>
          <c:order val="1"/>
          <c:tx>
            <c:v>Source Impedance</c:v>
          </c:tx>
          <c:spPr>
            <a:ln>
              <a:solidFill>
                <a:srgbClr val="FF0000"/>
              </a:solidFill>
            </a:ln>
          </c:spPr>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Design'!$CV$6:$CV$251</c:f>
              <c:numCache>
                <c:formatCode>0.00</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2.2061836394766701</c:v>
                </c:pt>
                <c:pt idx="19">
                  <c:v>2.3020975659025749</c:v>
                </c:pt>
                <c:pt idx="20">
                  <c:v>2.3980117703209007</c:v>
                </c:pt>
                <c:pt idx="21">
                  <c:v>2.4939262206576061</c:v>
                </c:pt>
                <c:pt idx="22">
                  <c:v>2.589840889590036</c:v>
                </c:pt>
                <c:pt idx="23">
                  <c:v>2.6857557536984653</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3.8367440186048443</c:v>
                </c:pt>
                <c:pt idx="36">
                  <c:v>3.9326602504069372</c:v>
                </c:pt>
                <c:pt idx="37">
                  <c:v>4.0285765379082026</c:v>
                </c:pt>
                <c:pt idx="38">
                  <c:v>4.1244928772227283</c:v>
                </c:pt>
                <c:pt idx="39">
                  <c:v>4.2204092648178877</c:v>
                </c:pt>
                <c:pt idx="40">
                  <c:v>4.3163256974750173</c:v>
                </c:pt>
                <c:pt idx="41">
                  <c:v>4.4122421722553726</c:v>
                </c:pt>
                <c:pt idx="42">
                  <c:v>4.5081586864702743</c:v>
                </c:pt>
                <c:pt idx="43">
                  <c:v>4.6040752376551</c:v>
                </c:pt>
                <c:pt idx="44">
                  <c:v>4.6999918235464433</c:v>
                </c:pt>
                <c:pt idx="45">
                  <c:v>4.7959084420619256</c:v>
                </c:pt>
                <c:pt idx="46">
                  <c:v>4.8918250912825316</c:v>
                </c:pt>
                <c:pt idx="47">
                  <c:v>4.9877417694368305</c:v>
                </c:pt>
                <c:pt idx="48">
                  <c:v>5.0836584748870779</c:v>
                </c:pt>
                <c:pt idx="49">
                  <c:v>5.1795752061168736</c:v>
                </c:pt>
                <c:pt idx="50">
                  <c:v>5.2754919617200606</c:v>
                </c:pt>
                <c:pt idx="51">
                  <c:v>5.3714087403909589</c:v>
                </c:pt>
                <c:pt idx="52">
                  <c:v>5.4673255409154731</c:v>
                </c:pt>
                <c:pt idx="53">
                  <c:v>5.5632423621632769</c:v>
                </c:pt>
                <c:pt idx="54">
                  <c:v>5.6591592030806463</c:v>
                </c:pt>
                <c:pt idx="55">
                  <c:v>5.7550760626841067</c:v>
                </c:pt>
                <c:pt idx="56">
                  <c:v>5.8509929400546969</c:v>
                </c:pt>
                <c:pt idx="57">
                  <c:v>5.9469098343327085</c:v>
                </c:pt>
                <c:pt idx="58">
                  <c:v>6.0428267447130528</c:v>
                </c:pt>
                <c:pt idx="59">
                  <c:v>6.1387436704409319</c:v>
                </c:pt>
                <c:pt idx="60">
                  <c:v>6.2346606108079943</c:v>
                </c:pt>
                <c:pt idx="61">
                  <c:v>6.3305775651488476</c:v>
                </c:pt>
                <c:pt idx="62">
                  <c:v>6.426494532837788</c:v>
                </c:pt>
                <c:pt idx="63">
                  <c:v>6.5224115132859524</c:v>
                </c:pt>
                <c:pt idx="64">
                  <c:v>6.618328505938579</c:v>
                </c:pt>
                <c:pt idx="65">
                  <c:v>6.7142455102726402</c:v>
                </c:pt>
                <c:pt idx="66">
                  <c:v>6.8101625257945511</c:v>
                </c:pt>
                <c:pt idx="67">
                  <c:v>6.9060795520381442</c:v>
                </c:pt>
                <c:pt idx="68">
                  <c:v>7.001996588562827</c:v>
                </c:pt>
                <c:pt idx="69">
                  <c:v>7.0979136349517775</c:v>
                </c:pt>
                <c:pt idx="70">
                  <c:v>7.1938306908104526</c:v>
                </c:pt>
                <c:pt idx="71">
                  <c:v>7.2897477557650383</c:v>
                </c:pt>
                <c:pt idx="72">
                  <c:v>7.3856648294611409</c:v>
                </c:pt>
                <c:pt idx="73">
                  <c:v>7.4815819115625697</c:v>
                </c:pt>
                <c:pt idx="74">
                  <c:v>7.5774990017501187</c:v>
                </c:pt>
                <c:pt idx="75">
                  <c:v>7.673416099720578</c:v>
                </c:pt>
                <c:pt idx="76">
                  <c:v>7.7693332051856867</c:v>
                </c:pt>
                <c:pt idx="77">
                  <c:v>7.8652503178712401</c:v>
                </c:pt>
                <c:pt idx="78">
                  <c:v>7.9611674375162789</c:v>
                </c:pt>
                <c:pt idx="79">
                  <c:v>8.0570845638722322</c:v>
                </c:pt>
                <c:pt idx="80">
                  <c:v>8.1530016967022689</c:v>
                </c:pt>
                <c:pt idx="81">
                  <c:v>8.2489188357805219</c:v>
                </c:pt>
                <c:pt idx="82">
                  <c:v>8.3448359808915651</c:v>
                </c:pt>
                <c:pt idx="83">
                  <c:v>8.4407531318297231</c:v>
                </c:pt>
                <c:pt idx="84">
                  <c:v>8.5366702883985663</c:v>
                </c:pt>
                <c:pt idx="85">
                  <c:v>8.6325874504104281</c:v>
                </c:pt>
                <c:pt idx="86">
                  <c:v>8.7285046176858483</c:v>
                </c:pt>
                <c:pt idx="87">
                  <c:v>8.824421790053206</c:v>
                </c:pt>
                <c:pt idx="88">
                  <c:v>8.9203389673482434</c:v>
                </c:pt>
                <c:pt idx="89">
                  <c:v>9.0162561494136799</c:v>
                </c:pt>
                <c:pt idx="90">
                  <c:v>9.112173336098893</c:v>
                </c:pt>
                <c:pt idx="91">
                  <c:v>9.2080905272594986</c:v>
                </c:pt>
                <c:pt idx="92">
                  <c:v>9.3040077227570954</c:v>
                </c:pt>
                <c:pt idx="93">
                  <c:v>9.3999249224589061</c:v>
                </c:pt>
                <c:pt idx="94">
                  <c:v>9.4958421262375481</c:v>
                </c:pt>
                <c:pt idx="95">
                  <c:v>9.5917593339707068</c:v>
                </c:pt>
                <c:pt idx="96">
                  <c:v>9.6876765455409135</c:v>
                </c:pt>
                <c:pt idx="97">
                  <c:v>9.7835937608353323</c:v>
                </c:pt>
                <c:pt idx="98">
                  <c:v>9.8795109797454721</c:v>
                </c:pt>
                <c:pt idx="99">
                  <c:v>9.9754282021670537</c:v>
                </c:pt>
                <c:pt idx="100">
                  <c:v>10.071345427999766</c:v>
                </c:pt>
                <c:pt idx="101">
                  <c:v>10.167262657147017</c:v>
                </c:pt>
                <c:pt idx="102">
                  <c:v>10.263179889515904</c:v>
                </c:pt>
                <c:pt idx="103">
                  <c:v>10.359097125016932</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12.181525096240435</c:v>
                </c:pt>
                <c:pt idx="123">
                  <c:v>12.277442379737138</c:v>
                </c:pt>
                <c:pt idx="124">
                  <c:v>12.373359665063427</c:v>
                </c:pt>
                <c:pt idx="125">
                  <c:v>12.469276952177076</c:v>
                </c:pt>
                <c:pt idx="126">
                  <c:v>12.565194241037158</c:v>
                </c:pt>
                <c:pt idx="127">
                  <c:v>12.661111531603982</c:v>
                </c:pt>
                <c:pt idx="128">
                  <c:v>12.757028823839043</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14.291705699072494</c:v>
                </c:pt>
                <c:pt idx="145">
                  <c:v>14.387623014745584</c:v>
                </c:pt>
                <c:pt idx="146">
                  <c:v>14.483540331555519</c:v>
                </c:pt>
                <c:pt idx="147">
                  <c:v>14.579457649479863</c:v>
                </c:pt>
                <c:pt idx="148">
                  <c:v>14.675374968496763</c:v>
                </c:pt>
                <c:pt idx="149">
                  <c:v>14.77129228858494</c:v>
                </c:pt>
                <c:pt idx="150">
                  <c:v>14.867209609723655</c:v>
                </c:pt>
                <c:pt idx="151">
                  <c:v>14.963126931892704</c:v>
                </c:pt>
                <c:pt idx="152">
                  <c:v>15.059044255072404</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17.07330824513982</c:v>
                </c:pt>
                <c:pt idx="174">
                  <c:v>17.169225586436959</c:v>
                </c:pt>
                <c:pt idx="175">
                  <c:v>17.265142928403066</c:v>
                </c:pt>
                <c:pt idx="176">
                  <c:v>17.361060271027064</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19.75899402241658</c:v>
                </c:pt>
                <c:pt idx="202">
                  <c:v>19.854911378934421</c:v>
                </c:pt>
                <c:pt idx="203">
                  <c:v>19.950828735884837</c:v>
                </c:pt>
                <c:pt idx="204">
                  <c:v>20.046746093261604</c:v>
                </c:pt>
                <c:pt idx="205">
                  <c:v>20.142663451058645</c:v>
                </c:pt>
                <c:pt idx="206">
                  <c:v>20.238580809269983</c:v>
                </c:pt>
                <c:pt idx="207">
                  <c:v>20.334498167889748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22.061010686814029</c:v>
                </c:pt>
                <c:pt idx="226">
                  <c:v>22.156928052212471</c:v>
                </c:pt>
                <c:pt idx="227">
                  <c:v>22.252845417922174</c:v>
                </c:pt>
                <c:pt idx="228">
                  <c:v>22.348762783939129</c:v>
                </c:pt>
                <c:pt idx="229">
                  <c:v>22.444680150259408</c:v>
                </c:pt>
                <c:pt idx="230">
                  <c:v>22.540597516879124</c:v>
                </c:pt>
                <c:pt idx="231">
                  <c:v>22.63651488379449</c:v>
                </c:pt>
                <c:pt idx="232">
                  <c:v>22.732432251001743</c:v>
                </c:pt>
                <c:pt idx="233">
                  <c:v>22.828349618497217</c:v>
                </c:pt>
                <c:pt idx="234">
                  <c:v>22.924266986277289</c:v>
                </c:pt>
                <c:pt idx="235">
                  <c:v>23.020184354338404</c:v>
                </c:pt>
                <c:pt idx="236">
                  <c:v>23.116101722677062</c:v>
                </c:pt>
                <c:pt idx="237">
                  <c:v>23.212019091289822</c:v>
                </c:pt>
                <c:pt idx="238">
                  <c:v>23.307936460173305</c:v>
                </c:pt>
                <c:pt idx="239">
                  <c:v>23.40385382932417</c:v>
                </c:pt>
                <c:pt idx="240">
                  <c:v>23.499771198739158</c:v>
                </c:pt>
                <c:pt idx="241">
                  <c:v>23.595688568415035</c:v>
                </c:pt>
                <c:pt idx="242">
                  <c:v>23.691605938348644</c:v>
                </c:pt>
                <c:pt idx="243">
                  <c:v>23.787523308536855</c:v>
                </c:pt>
                <c:pt idx="244">
                  <c:v>23.883440678976616</c:v>
                </c:pt>
                <c:pt idx="245">
                  <c:v>23.979358049664892</c:v>
                </c:pt>
              </c:numCache>
            </c:numRef>
          </c:yVal>
          <c:smooth val="1"/>
          <c:extLst>
            <c:ext xmlns:c16="http://schemas.microsoft.com/office/drawing/2014/chart" uri="{C3380CC4-5D6E-409C-BE32-E72D297353CC}">
              <c16:uniqueId val="{00000000-A5D3-4E67-9EF7-F07DCFE3E4CE}"/>
            </c:ext>
          </c:extLst>
        </c:ser>
        <c:ser>
          <c:idx val="2"/>
          <c:order val="2"/>
          <c:tx>
            <c:v>Source + Filter Impedance</c:v>
          </c:tx>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Design'!$CW$6:$CW$251</c:f>
              <c:numCache>
                <c:formatCode>General</c:formatCode>
                <c:ptCount val="246"/>
                <c:pt idx="0">
                  <c:v>0.48901946776842992</c:v>
                </c:pt>
                <c:pt idx="1">
                  <c:v>0.5918901608234246</c:v>
                </c:pt>
                <c:pt idx="2">
                  <c:v>0.6980684463168314</c:v>
                </c:pt>
                <c:pt idx="3">
                  <c:v>0.80854289150592706</c:v>
                </c:pt>
                <c:pt idx="4">
                  <c:v>0.92460969057102271</c:v>
                </c:pt>
                <c:pt idx="5">
                  <c:v>1.0480179084723857</c:v>
                </c:pt>
                <c:pt idx="6">
                  <c:v>1.1812041575446295</c:v>
                </c:pt>
                <c:pt idx="7">
                  <c:v>1.3276869577859807</c:v>
                </c:pt>
                <c:pt idx="8">
                  <c:v>1.4927637538253167</c:v>
                </c:pt>
                <c:pt idx="9">
                  <c:v>1.684821905181364</c:v>
                </c:pt>
                <c:pt idx="10">
                  <c:v>1.9180040991305833</c:v>
                </c:pt>
                <c:pt idx="11">
                  <c:v>2.2182014399880212</c:v>
                </c:pt>
                <c:pt idx="12">
                  <c:v>2.6384958991153349</c:v>
                </c:pt>
                <c:pt idx="13">
                  <c:v>3.3076293113639923</c:v>
                </c:pt>
                <c:pt idx="14">
                  <c:v>4.6395067197874296</c:v>
                </c:pt>
                <c:pt idx="15">
                  <c:v>9.0999675384626446</c:v>
                </c:pt>
                <c:pt idx="16">
                  <c:v>30.359569973759932</c:v>
                </c:pt>
                <c:pt idx="17">
                  <c:v>4.0202020318015927</c:v>
                </c:pt>
                <c:pt idx="18">
                  <c:v>1.5240856462222556</c:v>
                </c:pt>
                <c:pt idx="19">
                  <c:v>0.54553132247295821</c:v>
                </c:pt>
                <c:pt idx="20">
                  <c:v>1.079817514023711E-2</c:v>
                </c:pt>
                <c:pt idx="21">
                  <c:v>0.36223396867454799</c:v>
                </c:pt>
                <c:pt idx="22">
                  <c:v>0.629687625031775</c:v>
                </c:pt>
                <c:pt idx="23">
                  <c:v>0.84197512235544048</c:v>
                </c:pt>
                <c:pt idx="24">
                  <c:v>1.0192338055826324</c:v>
                </c:pt>
                <c:pt idx="25">
                  <c:v>1.1728576594113045</c:v>
                </c:pt>
                <c:pt idx="26">
                  <c:v>1.3097749901313698</c:v>
                </c:pt>
                <c:pt idx="27">
                  <c:v>1.4344411783056668</c:v>
                </c:pt>
                <c:pt idx="28">
                  <c:v>1.5498520063974002</c:v>
                </c:pt>
                <c:pt idx="29">
                  <c:v>1.6580964644213045</c:v>
                </c:pt>
                <c:pt idx="30">
                  <c:v>1.7606759850137284</c:v>
                </c:pt>
                <c:pt idx="31">
                  <c:v>1.858697664702748</c:v>
                </c:pt>
                <c:pt idx="32">
                  <c:v>1.952995922055778</c:v>
                </c:pt>
                <c:pt idx="33">
                  <c:v>2.044211718375859</c:v>
                </c:pt>
                <c:pt idx="34">
                  <c:v>2.1328456638364655</c:v>
                </c:pt>
                <c:pt idx="35">
                  <c:v>2.2192945303935008</c:v>
                </c:pt>
                <c:pt idx="36">
                  <c:v>2.3038769217494446</c:v>
                </c:pt>
                <c:pt idx="37">
                  <c:v>2.3868516805869042</c:v>
                </c:pt>
                <c:pt idx="38">
                  <c:v>2.4684313230424113</c:v>
                </c:pt>
                <c:pt idx="39">
                  <c:v>2.5487920007061704</c:v>
                </c:pt>
                <c:pt idx="40">
                  <c:v>2.6280809944533376</c:v>
                </c:pt>
                <c:pt idx="41">
                  <c:v>2.7064224255804654</c:v>
                </c:pt>
                <c:pt idx="42">
                  <c:v>2.7839216604173278</c:v>
                </c:pt>
                <c:pt idx="43">
                  <c:v>2.8606687445397045</c:v>
                </c:pt>
                <c:pt idx="44">
                  <c:v>2.9367411073605401</c:v>
                </c:pt>
                <c:pt idx="45">
                  <c:v>3.0122057119183725</c:v>
                </c:pt>
                <c:pt idx="46">
                  <c:v>3.0871207783784493</c:v>
                </c:pt>
                <c:pt idx="47">
                  <c:v>3.1615371768173164</c:v>
                </c:pt>
                <c:pt idx="48">
                  <c:v>3.2354995611224266</c:v>
                </c:pt>
                <c:pt idx="49">
                  <c:v>3.3090472985363828</c:v>
                </c:pt>
                <c:pt idx="50">
                  <c:v>3.3822152366235807</c:v>
                </c:pt>
                <c:pt idx="51">
                  <c:v>3.4550343399480186</c:v>
                </c:pt>
                <c:pt idx="52">
                  <c:v>3.527532221617999</c:v>
                </c:pt>
                <c:pt idx="53">
                  <c:v>3.599733589448125</c:v>
                </c:pt>
                <c:pt idx="54">
                  <c:v>3.6716606223552661</c:v>
                </c:pt>
                <c:pt idx="55">
                  <c:v>3.7433332894208733</c:v>
                </c:pt>
                <c:pt idx="56">
                  <c:v>3.8147696215805222</c:v>
                </c:pt>
                <c:pt idx="57">
                  <c:v>3.8859859439689086</c:v>
                </c:pt>
                <c:pt idx="58">
                  <c:v>3.9569970754295354</c:v>
                </c:pt>
                <c:pt idx="59">
                  <c:v>4.0278165004927899</c:v>
                </c:pt>
                <c:pt idx="60">
                  <c:v>4.0984565181693577</c:v>
                </c:pt>
                <c:pt idx="61">
                  <c:v>4.1689283711366425</c:v>
                </c:pt>
                <c:pt idx="62">
                  <c:v>4.2392423582776688</c:v>
                </c:pt>
                <c:pt idx="63">
                  <c:v>4.3094079330319035</c:v>
                </c:pt>
                <c:pt idx="64">
                  <c:v>4.3794337896089859</c:v>
                </c:pt>
                <c:pt idx="65">
                  <c:v>4.4493279387847862</c:v>
                </c:pt>
                <c:pt idx="66">
                  <c:v>4.5190977747249255</c:v>
                </c:pt>
                <c:pt idx="67">
                  <c:v>4.5887501340563395</c:v>
                </c:pt>
                <c:pt idx="68">
                  <c:v>4.6582913482206321</c:v>
                </c:pt>
                <c:pt idx="69">
                  <c:v>4.7277272899879055</c:v>
                </c:pt>
                <c:pt idx="70">
                  <c:v>4.7970634148805615</c:v>
                </c:pt>
                <c:pt idx="71">
                  <c:v>4.8663047981490388</c:v>
                </c:pt>
                <c:pt idx="72">
                  <c:v>4.9354561678482458</c:v>
                </c:pt>
                <c:pt idx="73">
                  <c:v>5.0045219344904801</c:v>
                </c:pt>
                <c:pt idx="74">
                  <c:v>5.0735062176815857</c:v>
                </c:pt>
                <c:pt idx="75">
                  <c:v>5.1424128700955203</c:v>
                </c:pt>
                <c:pt idx="76">
                  <c:v>5.211245499093704</c:v>
                </c:pt>
                <c:pt idx="77">
                  <c:v>5.2800074862566886</c:v>
                </c:pt>
                <c:pt idx="78">
                  <c:v>5.3487020050603125</c:v>
                </c:pt>
                <c:pt idx="79">
                  <c:v>5.4173320369005573</c:v>
                </c:pt>
                <c:pt idx="80">
                  <c:v>5.4859003856454498</c:v>
                </c:pt>
                <c:pt idx="81">
                  <c:v>5.5544096908700098</c:v>
                </c:pt>
                <c:pt idx="82">
                  <c:v>5.622862439912554</c:v>
                </c:pt>
                <c:pt idx="83">
                  <c:v>5.6912609788737525</c:v>
                </c:pt>
                <c:pt idx="84">
                  <c:v>5.7596075226654255</c:v>
                </c:pt>
                <c:pt idx="85">
                  <c:v>5.8279041642047593</c:v>
                </c:pt>
                <c:pt idx="86">
                  <c:v>5.8961528828373675</c:v>
                </c:pt>
                <c:pt idx="87">
                  <c:v>5.9643555520646023</c:v>
                </c:pt>
                <c:pt idx="88">
                  <c:v>6.0325139466417239</c:v>
                </c:pt>
                <c:pt idx="89">
                  <c:v>6.1006297491059591</c:v>
                </c:pt>
                <c:pt idx="90">
                  <c:v>6.1687045557880262</c:v>
                </c:pt>
                <c:pt idx="91">
                  <c:v>6.2367398823540379</c:v>
                </c:pt>
                <c:pt idx="92">
                  <c:v>6.3047371689206946</c:v>
                </c:pt>
                <c:pt idx="93">
                  <c:v>6.3726977847817574</c:v>
                </c:pt>
                <c:pt idx="94">
                  <c:v>6.4406230327801124</c:v>
                </c:pt>
                <c:pt idx="95">
                  <c:v>6.5085141533563649</c:v>
                </c:pt>
                <c:pt idx="96">
                  <c:v>6.5763723283013444</c:v>
                </c:pt>
                <c:pt idx="97">
                  <c:v>6.6441986842385106</c:v>
                </c:pt>
                <c:pt idx="98">
                  <c:v>6.7119942958577266</c:v>
                </c:pt>
                <c:pt idx="99">
                  <c:v>6.779760188922209</c:v>
                </c:pt>
                <c:pt idx="100">
                  <c:v>6.8474973430661823</c:v>
                </c:pt>
                <c:pt idx="101">
                  <c:v>6.9152066944006112</c:v>
                </c:pt>
                <c:pt idx="102">
                  <c:v>6.9828891379424292</c:v>
                </c:pt>
                <c:pt idx="103">
                  <c:v>7.0505455298808055</c:v>
                </c:pt>
                <c:pt idx="104">
                  <c:v>7.1181766896934864</c:v>
                </c:pt>
                <c:pt idx="105">
                  <c:v>7.185783402124736</c:v>
                </c:pt>
                <c:pt idx="106">
                  <c:v>7.2533664190348137</c:v>
                </c:pt>
                <c:pt idx="107">
                  <c:v>7.3209264611317311</c:v>
                </c:pt>
                <c:pt idx="108">
                  <c:v>7.3884642195932431</c:v>
                </c:pt>
                <c:pt idx="109">
                  <c:v>7.4559803575872845</c:v>
                </c:pt>
                <c:pt idx="110">
                  <c:v>7.5234755116984893</c:v>
                </c:pt>
                <c:pt idx="111">
                  <c:v>7.5909502932673432</c:v>
                </c:pt>
                <c:pt idx="112">
                  <c:v>7.6584052896483401</c:v>
                </c:pt>
                <c:pt idx="113">
                  <c:v>7.7258410653926877</c:v>
                </c:pt>
                <c:pt idx="114">
                  <c:v>7.7932581633610285</c:v>
                </c:pt>
                <c:pt idx="115">
                  <c:v>7.8606571057707537</c:v>
                </c:pt>
                <c:pt idx="116">
                  <c:v>7.9280383951826163</c:v>
                </c:pt>
                <c:pt idx="117">
                  <c:v>7.9954025154307837</c:v>
                </c:pt>
                <c:pt idx="118">
                  <c:v>8.0627499324997416</c:v>
                </c:pt>
                <c:pt idx="119">
                  <c:v>8.1300810953519687</c:v>
                </c:pt>
                <c:pt idx="120">
                  <c:v>8.1973964367093846</c:v>
                </c:pt>
                <c:pt idx="121">
                  <c:v>8.2646963737918053</c:v>
                </c:pt>
                <c:pt idx="122">
                  <c:v>8.3319813090148749</c:v>
                </c:pt>
                <c:pt idx="123">
                  <c:v>8.3992516306503742</c:v>
                </c:pt>
                <c:pt idx="124">
                  <c:v>8.4665077134507314</c:v>
                </c:pt>
                <c:pt idx="125">
                  <c:v>8.5337499192408917</c:v>
                </c:pt>
                <c:pt idx="126">
                  <c:v>8.6009785974787167</c:v>
                </c:pt>
                <c:pt idx="127">
                  <c:v>8.6681940857861512</c:v>
                </c:pt>
                <c:pt idx="128">
                  <c:v>8.7353967104530241</c:v>
                </c:pt>
                <c:pt idx="129">
                  <c:v>8.8025867869149561</c:v>
                </c:pt>
                <c:pt idx="130">
                  <c:v>8.8697646202074569</c:v>
                </c:pt>
                <c:pt idx="131">
                  <c:v>8.9369305053963366</c:v>
                </c:pt>
                <c:pt idx="132">
                  <c:v>9.004084727987502</c:v>
                </c:pt>
                <c:pt idx="133">
                  <c:v>9.0712275643160218</c:v>
                </c:pt>
                <c:pt idx="134">
                  <c:v>9.1383592819163475</c:v>
                </c:pt>
                <c:pt idx="135">
                  <c:v>9.2054801398744122</c:v>
                </c:pt>
                <c:pt idx="136">
                  <c:v>9.2725903891629606</c:v>
                </c:pt>
                <c:pt idx="137">
                  <c:v>9.3396902729606452</c:v>
                </c:pt>
                <c:pt idx="138">
                  <c:v>9.4067800269561967</c:v>
                </c:pt>
                <c:pt idx="139">
                  <c:v>9.4738598796382902</c:v>
                </c:pt>
                <c:pt idx="140">
                  <c:v>9.5409300525717864</c:v>
                </c:pt>
                <c:pt idx="141">
                  <c:v>9.6079907606613482</c:v>
                </c:pt>
                <c:pt idx="142">
                  <c:v>9.6750422124030351</c:v>
                </c:pt>
                <c:pt idx="143">
                  <c:v>9.7420846101242322</c:v>
                </c:pt>
                <c:pt idx="144">
                  <c:v>9.8091181502129583</c:v>
                </c:pt>
                <c:pt idx="145">
                  <c:v>9.8761430233369278</c:v>
                </c:pt>
                <c:pt idx="146">
                  <c:v>9.9431594146528202</c:v>
                </c:pt>
                <c:pt idx="147">
                  <c:v>10.010167504006249</c:v>
                </c:pt>
                <c:pt idx="148">
                  <c:v>10.077167466123159</c:v>
                </c:pt>
                <c:pt idx="149">
                  <c:v>10.144159470792998</c:v>
                </c:pt>
                <c:pt idx="150">
                  <c:v>10.211143683043767</c:v>
                </c:pt>
                <c:pt idx="151">
                  <c:v>10.278120263309431</c:v>
                </c:pt>
                <c:pt idx="152">
                  <c:v>10.345089367591129</c:v>
                </c:pt>
                <c:pt idx="153">
                  <c:v>10.412051147610555</c:v>
                </c:pt>
                <c:pt idx="154">
                  <c:v>10.479005750957267</c:v>
                </c:pt>
                <c:pt idx="155">
                  <c:v>10.545953321230378</c:v>
                </c:pt>
                <c:pt idx="156">
                  <c:v>10.612893998173842</c:v>
                </c:pt>
                <c:pt idx="157">
                  <c:v>10.679827917806163</c:v>
                </c:pt>
                <c:pt idx="158">
                  <c:v>10.746755212545688</c:v>
                </c:pt>
                <c:pt idx="159">
                  <c:v>10.813676011329395</c:v>
                </c:pt>
                <c:pt idx="160">
                  <c:v>10.880590439728701</c:v>
                </c:pt>
                <c:pt idx="161">
                  <c:v>10.947498620059051</c:v>
                </c:pt>
                <c:pt idx="162">
                  <c:v>11.014400671486218</c:v>
                </c:pt>
                <c:pt idx="163">
                  <c:v>11.081296710128191</c:v>
                </c:pt>
                <c:pt idx="164">
                  <c:v>11.14818684915258</c:v>
                </c:pt>
                <c:pt idx="165">
                  <c:v>11.215071198871419</c:v>
                </c:pt>
                <c:pt idx="166">
                  <c:v>11.281949866830747</c:v>
                </c:pt>
                <c:pt idx="167">
                  <c:v>11.348822957898417</c:v>
                </c:pt>
                <c:pt idx="168">
                  <c:v>11.41569057434749</c:v>
                </c:pt>
                <c:pt idx="169">
                  <c:v>11.482552815936527</c:v>
                </c:pt>
                <c:pt idx="170">
                  <c:v>11.549409779987693</c:v>
                </c:pt>
                <c:pt idx="171">
                  <c:v>11.616261561461151</c:v>
                </c:pt>
                <c:pt idx="172">
                  <c:v>11.68310825302696</c:v>
                </c:pt>
                <c:pt idx="173">
                  <c:v>11.749949945134478</c:v>
                </c:pt>
                <c:pt idx="174">
                  <c:v>11.816786726079147</c:v>
                </c:pt>
                <c:pt idx="175">
                  <c:v>11.883618682066704</c:v>
                </c:pt>
                <c:pt idx="176">
                  <c:v>11.950445897275367</c:v>
                </c:pt>
                <c:pt idx="177">
                  <c:v>12.017268453915642</c:v>
                </c:pt>
                <c:pt idx="178">
                  <c:v>12.084086432288021</c:v>
                </c:pt>
                <c:pt idx="179">
                  <c:v>12.150899910838666</c:v>
                </c:pt>
                <c:pt idx="180">
                  <c:v>12.217708966213031</c:v>
                </c:pt>
                <c:pt idx="181">
                  <c:v>12.284513673307831</c:v>
                </c:pt>
                <c:pt idx="182">
                  <c:v>12.35131410532107</c:v>
                </c:pt>
                <c:pt idx="183">
                  <c:v>12.418110333800318</c:v>
                </c:pt>
                <c:pt idx="184">
                  <c:v>12.484902428689415</c:v>
                </c:pt>
                <c:pt idx="185">
                  <c:v>12.551690458373464</c:v>
                </c:pt>
                <c:pt idx="186">
                  <c:v>12.618474489722653</c:v>
                </c:pt>
                <c:pt idx="187">
                  <c:v>12.68525458813412</c:v>
                </c:pt>
                <c:pt idx="188">
                  <c:v>12.752030817572674</c:v>
                </c:pt>
                <c:pt idx="189">
                  <c:v>12.818803240610082</c:v>
                </c:pt>
                <c:pt idx="190">
                  <c:v>12.885571918463478</c:v>
                </c:pt>
                <c:pt idx="191">
                  <c:v>12.952336911031555</c:v>
                </c:pt>
                <c:pt idx="192">
                  <c:v>13.019098276930753</c:v>
                </c:pt>
                <c:pt idx="193">
                  <c:v>13.08585607352909</c:v>
                </c:pt>
                <c:pt idx="194">
                  <c:v>13.152610356980215</c:v>
                </c:pt>
                <c:pt idx="195">
                  <c:v>13.219361182254755</c:v>
                </c:pt>
                <c:pt idx="196">
                  <c:v>13.286108603172567</c:v>
                </c:pt>
                <c:pt idx="197">
                  <c:v>13.352852672431878</c:v>
                </c:pt>
                <c:pt idx="198">
                  <c:v>13.419593441639655</c:v>
                </c:pt>
                <c:pt idx="199">
                  <c:v>13.486330961339021</c:v>
                </c:pt>
                <c:pt idx="200">
                  <c:v>13.553065281037343</c:v>
                </c:pt>
                <c:pt idx="201">
                  <c:v>13.619796449232537</c:v>
                </c:pt>
                <c:pt idx="202">
                  <c:v>13.686524513439059</c:v>
                </c:pt>
                <c:pt idx="203">
                  <c:v>13.753249520212719</c:v>
                </c:pt>
                <c:pt idx="204">
                  <c:v>13.819971515175165</c:v>
                </c:pt>
                <c:pt idx="205">
                  <c:v>13.886690543036892</c:v>
                </c:pt>
                <c:pt idx="206">
                  <c:v>13.95340664762073</c:v>
                </c:pt>
                <c:pt idx="207">
                  <c:v>14.020119871883562</c:v>
                </c:pt>
                <c:pt idx="208">
                  <c:v>14.086830257937594</c:v>
                </c:pt>
                <c:pt idx="209">
                  <c:v>14.15353784707149</c:v>
                </c:pt>
                <c:pt idx="210">
                  <c:v>14.220242679770438</c:v>
                </c:pt>
                <c:pt idx="211">
                  <c:v>14.286944795735771</c:v>
                </c:pt>
                <c:pt idx="212">
                  <c:v>14.353644233903957</c:v>
                </c:pt>
                <c:pt idx="213">
                  <c:v>14.420341032465</c:v>
                </c:pt>
                <c:pt idx="214">
                  <c:v>14.487035228880535</c:v>
                </c:pt>
                <c:pt idx="215">
                  <c:v>14.553726859900939</c:v>
                </c:pt>
                <c:pt idx="216">
                  <c:v>14.620415961582809</c:v>
                </c:pt>
                <c:pt idx="217">
                  <c:v>14.687102569304701</c:v>
                </c:pt>
                <c:pt idx="218">
                  <c:v>14.753786717783573</c:v>
                </c:pt>
                <c:pt idx="219">
                  <c:v>14.820468441089931</c:v>
                </c:pt>
                <c:pt idx="220">
                  <c:v>14.887147772663516</c:v>
                </c:pt>
                <c:pt idx="221">
                  <c:v>14.953824745327077</c:v>
                </c:pt>
                <c:pt idx="222">
                  <c:v>15.020499391301625</c:v>
                </c:pt>
                <c:pt idx="223">
                  <c:v>15.087171742218967</c:v>
                </c:pt>
                <c:pt idx="224">
                  <c:v>15.153841829136663</c:v>
                </c:pt>
                <c:pt idx="225">
                  <c:v>15.220509682549988</c:v>
                </c:pt>
                <c:pt idx="226">
                  <c:v>15.287175332405251</c:v>
                </c:pt>
                <c:pt idx="227">
                  <c:v>15.353838808111883</c:v>
                </c:pt>
                <c:pt idx="228">
                  <c:v>15.420500138554635</c:v>
                </c:pt>
                <c:pt idx="229">
                  <c:v>15.4871593521052</c:v>
                </c:pt>
                <c:pt idx="230">
                  <c:v>15.553816476633983</c:v>
                </c:pt>
                <c:pt idx="231">
                  <c:v>15.620471539520715</c:v>
                </c:pt>
                <c:pt idx="232">
                  <c:v>15.68712456766516</c:v>
                </c:pt>
                <c:pt idx="233">
                  <c:v>15.753775587498591</c:v>
                </c:pt>
                <c:pt idx="234">
                  <c:v>15.820424624992915</c:v>
                </c:pt>
                <c:pt idx="235">
                  <c:v>15.887071705671358</c:v>
                </c:pt>
                <c:pt idx="236">
                  <c:v>15.953716854617868</c:v>
                </c:pt>
                <c:pt idx="237">
                  <c:v>16.020360096486716</c:v>
                </c:pt>
                <c:pt idx="238">
                  <c:v>16.087001455511491</c:v>
                </c:pt>
                <c:pt idx="239">
                  <c:v>16.153640955514504</c:v>
                </c:pt>
                <c:pt idx="240">
                  <c:v>16.220278619915295</c:v>
                </c:pt>
                <c:pt idx="241">
                  <c:v>16.286914471738907</c:v>
                </c:pt>
                <c:pt idx="242">
                  <c:v>16.353548533624519</c:v>
                </c:pt>
                <c:pt idx="243">
                  <c:v>16.420180827833718</c:v>
                </c:pt>
                <c:pt idx="244">
                  <c:v>16.486811376258114</c:v>
                </c:pt>
                <c:pt idx="245">
                  <c:v>16.55344020042654</c:v>
                </c:pt>
              </c:numCache>
            </c:numRef>
          </c:yVal>
          <c:smooth val="1"/>
          <c:extLst>
            <c:ext xmlns:c16="http://schemas.microsoft.com/office/drawing/2014/chart" uri="{C3380CC4-5D6E-409C-BE32-E72D297353CC}">
              <c16:uniqueId val="{00000001-A5D3-4E67-9EF7-F07DCFE3E4CE}"/>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8.3813274322358411E-2"/>
          <c:y val="0.13453863928777682"/>
          <c:w val="0.85078639180979543"/>
          <c:h val="0.1101086472635374"/>
        </c:manualLayout>
      </c:layout>
      <c:overlay val="0"/>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Source Current</a:t>
            </a:r>
            <a:r>
              <a:rPr lang="en-US" sz="1400" baseline="0">
                <a:solidFill>
                  <a:srgbClr val="0E9ED9"/>
                </a:solidFill>
              </a:rPr>
              <a:t> Flow in Amps for 1 Amp 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4699348346557944"/>
          <c:w val="0.85488298501358573"/>
          <c:h val="0.69438740908603824"/>
        </c:manualLayout>
      </c:layout>
      <c:scatterChart>
        <c:scatterStyle val="smoothMarker"/>
        <c:varyColors val="0"/>
        <c:ser>
          <c:idx val="0"/>
          <c:order val="0"/>
          <c:marker>
            <c:symbol val="none"/>
          </c:marker>
          <c:xVal>
            <c:numRef>
              <c:f>'Notch Filter Design'!$CX$6:$CX$251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Design'!$CY$6:$CY$251</c:f>
              <c:numCache>
                <c:formatCode>General</c:formatCode>
                <c:ptCount val="246"/>
                <c:pt idx="0">
                  <c:v>1.0188531243767667</c:v>
                </c:pt>
                <c:pt idx="1">
                  <c:v>1.0279010854539166</c:v>
                </c:pt>
                <c:pt idx="2">
                  <c:v>1.0392627760922988</c:v>
                </c:pt>
                <c:pt idx="3">
                  <c:v>1.0533676991169232</c:v>
                </c:pt>
                <c:pt idx="4">
                  <c:v>1.0708072917105689</c:v>
                </c:pt>
                <c:pt idx="5">
                  <c:v>1.0924069577668349</c:v>
                </c:pt>
                <c:pt idx="6">
                  <c:v>1.1193427858946501</c:v>
                </c:pt>
                <c:pt idx="7">
                  <c:v>1.1533383362464142</c:v>
                </c:pt>
                <c:pt idx="8">
                  <c:v>1.1970131859649376</c:v>
                </c:pt>
                <c:pt idx="9">
                  <c:v>1.2545392363294419</c:v>
                </c:pt>
                <c:pt idx="10">
                  <c:v>1.3329758052324296</c:v>
                </c:pt>
                <c:pt idx="11">
                  <c:v>1.445272265838728</c:v>
                </c:pt>
                <c:pt idx="12">
                  <c:v>1.6180056895745842</c:v>
                </c:pt>
                <c:pt idx="13">
                  <c:v>1.9156674294291667</c:v>
                </c:pt>
                <c:pt idx="14">
                  <c:v>2.5456385729943825</c:v>
                </c:pt>
                <c:pt idx="15">
                  <c:v>4.7434107009895907</c:v>
                </c:pt>
                <c:pt idx="16">
                  <c:v>15.071595202798015</c:v>
                </c:pt>
                <c:pt idx="17">
                  <c:v>1.9050652175566023</c:v>
                </c:pt>
                <c:pt idx="18">
                  <c:v>0.69082447125017221</c:v>
                </c:pt>
                <c:pt idx="19">
                  <c:v>0.236971417090688</c:v>
                </c:pt>
                <c:pt idx="20">
                  <c:v>4.5029700328752149E-3</c:v>
                </c:pt>
                <c:pt idx="21">
                  <c:v>0.14524646546241129</c:v>
                </c:pt>
                <c:pt idx="22">
                  <c:v>0.24313757171833553</c:v>
                </c:pt>
                <c:pt idx="23">
                  <c:v>0.31349653489375789</c:v>
                </c:pt>
                <c:pt idx="24">
                  <c:v>0.36641065083015528</c:v>
                </c:pt>
                <c:pt idx="25">
                  <c:v>0.40758387889751074</c:v>
                </c:pt>
                <c:pt idx="26">
                  <c:v>0.44048239619266177</c:v>
                </c:pt>
                <c:pt idx="27">
                  <c:v>0.46733346223839428</c:v>
                </c:pt>
                <c:pt idx="28">
                  <c:v>0.48963325802778151</c:v>
                </c:pt>
                <c:pt idx="29">
                  <c:v>0.50842390013454275</c:v>
                </c:pt>
                <c:pt idx="30">
                  <c:v>0.52445339497763199</c:v>
                </c:pt>
                <c:pt idx="31">
                  <c:v>0.5382724419932946</c:v>
                </c:pt>
                <c:pt idx="32">
                  <c:v>0.55029537529458794</c:v>
                </c:pt>
                <c:pt idx="33">
                  <c:v>0.56083984040487056</c:v>
                </c:pt>
                <c:pt idx="34">
                  <c:v>0.57015338614652444</c:v>
                </c:pt>
                <c:pt idx="35">
                  <c:v>0.57843174306961054</c:v>
                </c:pt>
                <c:pt idx="36">
                  <c:v>0.58583166992649649</c:v>
                </c:pt>
                <c:pt idx="37">
                  <c:v>0.5924801621930339</c:v>
                </c:pt>
                <c:pt idx="38">
                  <c:v>0.5984811700546695</c:v>
                </c:pt>
                <c:pt idx="39">
                  <c:v>0.60392057754999573</c:v>
                </c:pt>
                <c:pt idx="40">
                  <c:v>0.60886994602625355</c:v>
                </c:pt>
                <c:pt idx="41">
                  <c:v>0.61338936529792709</c:v>
                </c:pt>
                <c:pt idx="42">
                  <c:v>0.61752965102411705</c:v>
                </c:pt>
                <c:pt idx="43">
                  <c:v>0.62133405665122765</c:v>
                </c:pt>
                <c:pt idx="44">
                  <c:v>0.62483962049631547</c:v>
                </c:pt>
                <c:pt idx="45">
                  <c:v>0.62807823550178465</c:v>
                </c:pt>
                <c:pt idx="46">
                  <c:v>0.63107750599665791</c:v>
                </c:pt>
                <c:pt idx="47">
                  <c:v>0.63386143929706407</c:v>
                </c:pt>
                <c:pt idx="48">
                  <c:v>0.63645100808907074</c:v>
                </c:pt>
                <c:pt idx="49">
                  <c:v>0.63886461087166457</c:v>
                </c:pt>
                <c:pt idx="50">
                  <c:v>0.64111845135307943</c:v>
                </c:pt>
                <c:pt idx="51">
                  <c:v>0.64322685294222093</c:v>
                </c:pt>
                <c:pt idx="52">
                  <c:v>0.64520252090702079</c:v>
                </c:pt>
                <c:pt idx="53">
                  <c:v>0.64705676206570317</c:v>
                </c:pt>
                <c:pt idx="54">
                  <c:v>0.64879966980899717</c:v>
                </c:pt>
                <c:pt idx="55">
                  <c:v>0.65044028065808412</c:v>
                </c:pt>
                <c:pt idx="56">
                  <c:v>0.6519867073271256</c:v>
                </c:pt>
                <c:pt idx="57">
                  <c:v>0.65344625229296927</c:v>
                </c:pt>
                <c:pt idx="58">
                  <c:v>0.65482550511506155</c:v>
                </c:pt>
                <c:pt idx="59">
                  <c:v>0.65613042614686734</c:v>
                </c:pt>
                <c:pt idx="60">
                  <c:v>0.65736641880145741</c:v>
                </c:pt>
                <c:pt idx="61">
                  <c:v>0.65853839215041943</c:v>
                </c:pt>
                <c:pt idx="62">
                  <c:v>0.65965081532648928</c:v>
                </c:pt>
                <c:pt idx="63">
                  <c:v>0.66070776495070405</c:v>
                </c:pt>
                <c:pt idx="64">
                  <c:v>0.66171296660166579</c:v>
                </c:pt>
                <c:pt idx="65">
                  <c:v>0.66266983117871014</c:v>
                </c:pt>
                <c:pt idx="66">
                  <c:v>0.66358148687467222</c:v>
                </c:pt>
                <c:pt idx="67">
                  <c:v>0.66445080736176765</c:v>
                </c:pt>
                <c:pt idx="68">
                  <c:v>0.66528043670137837</c:v>
                </c:pt>
                <c:pt idx="69">
                  <c:v>0.66607281141143437</c:v>
                </c:pt>
                <c:pt idx="70">
                  <c:v>0.66683018006087524</c:v>
                </c:pt>
                <c:pt idx="71">
                  <c:v>0.66755462070694271</c:v>
                </c:pt>
                <c:pt idx="72">
                  <c:v>0.66824805644589913</c:v>
                </c:pt>
                <c:pt idx="73">
                  <c:v>0.66891226930980197</c:v>
                </c:pt>
                <c:pt idx="74">
                  <c:v>0.6695489127098283</c:v>
                </c:pt>
                <c:pt idx="75">
                  <c:v>0.67015952259942857</c:v>
                </c:pt>
                <c:pt idx="76">
                  <c:v>0.67074552750748939</c:v>
                </c:pt>
                <c:pt idx="77">
                  <c:v>0.67130825757186563</c:v>
                </c:pt>
                <c:pt idx="78">
                  <c:v>0.67184895268689149</c:v>
                </c:pt>
                <c:pt idx="79">
                  <c:v>0.67236876986394434</c:v>
                </c:pt>
                <c:pt idx="80">
                  <c:v>0.6728687898917517</c:v>
                </c:pt>
                <c:pt idx="81">
                  <c:v>0.67335002337242156</c:v>
                </c:pt>
                <c:pt idx="82">
                  <c:v>0.67381341619992108</c:v>
                </c:pt>
                <c:pt idx="83">
                  <c:v>0.6742598545397841</c:v>
                </c:pt>
                <c:pt idx="84">
                  <c:v>0.67469016936179305</c:v>
                </c:pt>
                <c:pt idx="85">
                  <c:v>0.67510514057146009</c:v>
                </c:pt>
                <c:pt idx="86">
                  <c:v>0.67550550078079474</c:v>
                </c:pt>
                <c:pt idx="87">
                  <c:v>0.67589193875428133</c:v>
                </c:pt>
                <c:pt idx="88">
                  <c:v>0.67626510256201755</c:v>
                </c:pt>
                <c:pt idx="89">
                  <c:v>0.6766256024683448</c:v>
                </c:pt>
                <c:pt idx="90">
                  <c:v>0.67697401358137155</c:v>
                </c:pt>
                <c:pt idx="91">
                  <c:v>0.67731087828588066</c:v>
                </c:pt>
                <c:pt idx="92">
                  <c:v>0.67763670847989876</c:v>
                </c:pt>
                <c:pt idx="93">
                  <c:v>0.6779519876329736</c:v>
                </c:pt>
                <c:pt idx="94">
                  <c:v>0.67825717268238028</c:v>
                </c:pt>
                <c:pt idx="95">
                  <c:v>0.67855269578183064</c:v>
                </c:pt>
                <c:pt idx="96">
                  <c:v>0.67883896591576043</c:v>
                </c:pt>
                <c:pt idx="97">
                  <c:v>0.67911637039099815</c:v>
                </c:pt>
                <c:pt idx="98">
                  <c:v>0.67938527621643963</c:v>
                </c:pt>
                <c:pt idx="99">
                  <c:v>0.67964603138032509</c:v>
                </c:pt>
                <c:pt idx="100">
                  <c:v>0.67989896603379074</c:v>
                </c:pt>
                <c:pt idx="101">
                  <c:v>0.6801443935885344</c:v>
                </c:pt>
                <c:pt idx="102">
                  <c:v>0.68038261173572678</c:v>
                </c:pt>
                <c:pt idx="103">
                  <c:v>0.68061390339259642</c:v>
                </c:pt>
                <c:pt idx="104">
                  <c:v>0.6808385375825653</c:v>
                </c:pt>
                <c:pt idx="105">
                  <c:v>0.68105677025423117</c:v>
                </c:pt>
                <c:pt idx="106">
                  <c:v>0.68126884504408292</c:v>
                </c:pt>
                <c:pt idx="107">
                  <c:v>0.68147499398733291</c:v>
                </c:pt>
                <c:pt idx="108">
                  <c:v>0.68167543818089316</c:v>
                </c:pt>
                <c:pt idx="109">
                  <c:v>0.68187038840219572</c:v>
                </c:pt>
                <c:pt idx="110">
                  <c:v>0.68206004568718304</c:v>
                </c:pt>
                <c:pt idx="111">
                  <c:v>0.68224460187056957</c:v>
                </c:pt>
                <c:pt idx="112">
                  <c:v>0.68242424009116465</c:v>
                </c:pt>
                <c:pt idx="113">
                  <c:v>0.68259913526484806</c:v>
                </c:pt>
                <c:pt idx="114">
                  <c:v>0.68276945452755788</c:v>
                </c:pt>
                <c:pt idx="115">
                  <c:v>0.68293535765045355</c:v>
                </c:pt>
                <c:pt idx="116">
                  <c:v>0.68309699742925345</c:v>
                </c:pt>
                <c:pt idx="117">
                  <c:v>0.68325452004959475</c:v>
                </c:pt>
                <c:pt idx="118">
                  <c:v>0.68340806543006494</c:v>
                </c:pt>
                <c:pt idx="119">
                  <c:v>0.68355776754450437</c:v>
                </c:pt>
                <c:pt idx="120">
                  <c:v>0.68370375472497058</c:v>
                </c:pt>
                <c:pt idx="121">
                  <c:v>0.68384614994672455</c:v>
                </c:pt>
                <c:pt idx="122">
                  <c:v>0.68398507109642415</c:v>
                </c:pt>
                <c:pt idx="123">
                  <c:v>0.68412063122467603</c:v>
                </c:pt>
                <c:pt idx="124">
                  <c:v>0.68425293878397231</c:v>
                </c:pt>
                <c:pt idx="125">
                  <c:v>0.68438209785299076</c:v>
                </c:pt>
                <c:pt idx="126">
                  <c:v>0.68450820834814075</c:v>
                </c:pt>
                <c:pt idx="127">
                  <c:v>0.68463136622318499</c:v>
                </c:pt>
                <c:pt idx="128">
                  <c:v>0.68475166365770002</c:v>
                </c:pt>
                <c:pt idx="129">
                  <c:v>0.68486918923509821</c:v>
                </c:pt>
                <c:pt idx="130">
                  <c:v>0.68498402811086079</c:v>
                </c:pt>
                <c:pt idx="131">
                  <c:v>0.68509626217159914</c:v>
                </c:pt>
                <c:pt idx="132">
                  <c:v>0.68520597018552243</c:v>
                </c:pt>
                <c:pt idx="133">
                  <c:v>0.68531322794482008</c:v>
                </c:pt>
                <c:pt idx="134">
                  <c:v>0.6854181084004809</c:v>
                </c:pt>
                <c:pt idx="135">
                  <c:v>0.68552068178999437</c:v>
                </c:pt>
                <c:pt idx="136">
                  <c:v>0.68562101575835954</c:v>
                </c:pt>
                <c:pt idx="137">
                  <c:v>0.68571917547280692</c:v>
                </c:pt>
                <c:pt idx="138">
                  <c:v>0.68581522373160697</c:v>
                </c:pt>
                <c:pt idx="139">
                  <c:v>0.68590922106731278</c:v>
                </c:pt>
                <c:pt idx="140">
                  <c:v>0.68600122584475398</c:v>
                </c:pt>
                <c:pt idx="141">
                  <c:v>0.6860912943541031</c:v>
                </c:pt>
                <c:pt idx="142">
                  <c:v>0.6861794808992725</c:v>
                </c:pt>
                <c:pt idx="143">
                  <c:v>0.68626583788193452</c:v>
                </c:pt>
                <c:pt idx="144">
                  <c:v>0.68635041588139878</c:v>
                </c:pt>
                <c:pt idx="145">
                  <c:v>0.68643326373057423</c:v>
                </c:pt>
                <c:pt idx="146">
                  <c:v>0.68651442858825751</c:v>
                </c:pt>
                <c:pt idx="147">
                  <c:v>0.68659395600791517</c:v>
                </c:pt>
                <c:pt idx="148">
                  <c:v>0.68667189000318918</c:v>
                </c:pt>
                <c:pt idx="149">
                  <c:v>0.68674827311028874</c:v>
                </c:pt>
                <c:pt idx="150">
                  <c:v>0.68682314644742104</c:v>
                </c:pt>
                <c:pt idx="151">
                  <c:v>0.68689654977145631</c:v>
                </c:pt>
                <c:pt idx="152">
                  <c:v>0.68696852153194177</c:v>
                </c:pt>
                <c:pt idx="153">
                  <c:v>0.68703909892263126</c:v>
                </c:pt>
                <c:pt idx="154">
                  <c:v>0.68710831793062543</c:v>
                </c:pt>
                <c:pt idx="155">
                  <c:v>0.68717621338330437</c:v>
                </c:pt>
                <c:pt idx="156">
                  <c:v>0.68724281899311102</c:v>
                </c:pt>
                <c:pt idx="157">
                  <c:v>0.68730816740032175</c:v>
                </c:pt>
                <c:pt idx="158">
                  <c:v>0.68737229021391832</c:v>
                </c:pt>
                <c:pt idx="159">
                  <c:v>0.68743521805062957</c:v>
                </c:pt>
                <c:pt idx="160">
                  <c:v>0.68749698057226072</c:v>
                </c:pt>
                <c:pt idx="161">
                  <c:v>0.68755760652138853</c:v>
                </c:pt>
                <c:pt idx="162">
                  <c:v>0.68761712375549333</c:v>
                </c:pt>
                <c:pt idx="163">
                  <c:v>0.68767555927962321</c:v>
                </c:pt>
                <c:pt idx="164">
                  <c:v>0.68773293927765111</c:v>
                </c:pt>
                <c:pt idx="165">
                  <c:v>0.68778928914218973</c:v>
                </c:pt>
                <c:pt idx="166">
                  <c:v>0.68784463350325531</c:v>
                </c:pt>
                <c:pt idx="167">
                  <c:v>0.68789899625570206</c:v>
                </c:pt>
                <c:pt idx="168">
                  <c:v>0.6879524005855201</c:v>
                </c:pt>
                <c:pt idx="169">
                  <c:v>0.68800486899502777</c:v>
                </c:pt>
                <c:pt idx="170">
                  <c:v>0.68805642332703354</c:v>
                </c:pt>
                <c:pt idx="171">
                  <c:v>0.68810708478799265</c:v>
                </c:pt>
                <c:pt idx="172">
                  <c:v>0.68815687397021852</c:v>
                </c:pt>
                <c:pt idx="173">
                  <c:v>0.68820581087319843</c:v>
                </c:pt>
                <c:pt idx="174">
                  <c:v>0.68825391492403587</c:v>
                </c:pt>
                <c:pt idx="175">
                  <c:v>0.68830120499708281</c:v>
                </c:pt>
                <c:pt idx="176">
                  <c:v>0.68834769943278162</c:v>
                </c:pt>
                <c:pt idx="177">
                  <c:v>0.68839341605576376</c:v>
                </c:pt>
                <c:pt idx="178">
                  <c:v>0.68843837219222004</c:v>
                </c:pt>
                <c:pt idx="179">
                  <c:v>0.68848258468661205</c:v>
                </c:pt>
                <c:pt idx="180">
                  <c:v>0.68852606991771592</c:v>
                </c:pt>
                <c:pt idx="181">
                  <c:v>0.68856884381404271</c:v>
                </c:pt>
                <c:pt idx="182">
                  <c:v>0.68861092186867223</c:v>
                </c:pt>
                <c:pt idx="183">
                  <c:v>0.68865231915351344</c:v>
                </c:pt>
                <c:pt idx="184">
                  <c:v>0.6886930503330192</c:v>
                </c:pt>
                <c:pt idx="185">
                  <c:v>0.68873312967738609</c:v>
                </c:pt>
                <c:pt idx="186">
                  <c:v>0.68877257107525203</c:v>
                </c:pt>
                <c:pt idx="187">
                  <c:v>0.68881138804591724</c:v>
                </c:pt>
                <c:pt idx="188">
                  <c:v>0.68884959375111277</c:v>
                </c:pt>
                <c:pt idx="189">
                  <c:v>0.6888872010063305</c:v>
                </c:pt>
                <c:pt idx="190">
                  <c:v>0.68892422229173333</c:v>
                </c:pt>
                <c:pt idx="191">
                  <c:v>0.68896066976266757</c:v>
                </c:pt>
                <c:pt idx="192">
                  <c:v>0.6889965552597902</c:v>
                </c:pt>
                <c:pt idx="193">
                  <c:v>0.68903189031883127</c:v>
                </c:pt>
                <c:pt idx="194">
                  <c:v>0.68906668617999878</c:v>
                </c:pt>
                <c:pt idx="195">
                  <c:v>0.68910095379704572</c:v>
                </c:pt>
                <c:pt idx="196">
                  <c:v>0.68913470384602049</c:v>
                </c:pt>
                <c:pt idx="197">
                  <c:v>0.68916794673369863</c:v>
                </c:pt>
                <c:pt idx="198">
                  <c:v>0.68920069260571981</c:v>
                </c:pt>
                <c:pt idx="199">
                  <c:v>0.68923295135443585</c:v>
                </c:pt>
                <c:pt idx="200">
                  <c:v>0.68926473262648646</c:v>
                </c:pt>
                <c:pt idx="201">
                  <c:v>0.68929604583011195</c:v>
                </c:pt>
                <c:pt idx="202">
                  <c:v>0.68932690014220699</c:v>
                </c:pt>
                <c:pt idx="203">
                  <c:v>0.68935730451514021</c:v>
                </c:pt>
                <c:pt idx="204">
                  <c:v>0.68938726768333225</c:v>
                </c:pt>
                <c:pt idx="205">
                  <c:v>0.68941679816961099</c:v>
                </c:pt>
                <c:pt idx="206">
                  <c:v>0.68944590429135344</c:v>
                </c:pt>
                <c:pt idx="207">
                  <c:v>0.68947459416641754</c:v>
                </c:pt>
                <c:pt idx="208">
                  <c:v>0.68950287571887736</c:v>
                </c:pt>
                <c:pt idx="209">
                  <c:v>0.6895307566845611</c:v>
                </c:pt>
                <c:pt idx="210">
                  <c:v>0.68955824461640969</c:v>
                </c:pt>
                <c:pt idx="211">
                  <c:v>0.68958534688965623</c:v>
                </c:pt>
                <c:pt idx="212">
                  <c:v>0.68961207070683572</c:v>
                </c:pt>
                <c:pt idx="213">
                  <c:v>0.68963842310262791</c:v>
                </c:pt>
                <c:pt idx="214">
                  <c:v>0.68966441094854158</c:v>
                </c:pt>
                <c:pt idx="215">
                  <c:v>0.68969004095744924</c:v>
                </c:pt>
                <c:pt idx="216">
                  <c:v>0.68971531968797739</c:v>
                </c:pt>
                <c:pt idx="217">
                  <c:v>0.68974025354874724</c:v>
                </c:pt>
                <c:pt idx="218">
                  <c:v>0.68976484880248767</c:v>
                </c:pt>
                <c:pt idx="219">
                  <c:v>0.68978911157000966</c:v>
                </c:pt>
                <c:pt idx="220">
                  <c:v>0.68981304783406427</c:v>
                </c:pt>
                <c:pt idx="221">
                  <c:v>0.68983666344306838</c:v>
                </c:pt>
                <c:pt idx="222">
                  <c:v>0.68985996411471862</c:v>
                </c:pt>
                <c:pt idx="223">
                  <c:v>0.68988295543949152</c:v>
                </c:pt>
                <c:pt idx="224">
                  <c:v>0.68990564288403344</c:v>
                </c:pt>
                <c:pt idx="225">
                  <c:v>0.6899280317944505</c:v>
                </c:pt>
                <c:pt idx="226">
                  <c:v>0.6899501273994848</c:v>
                </c:pt>
                <c:pt idx="227">
                  <c:v>0.68997193481360608</c:v>
                </c:pt>
                <c:pt idx="228">
                  <c:v>0.68999345904000076</c:v>
                </c:pt>
                <c:pt idx="229">
                  <c:v>0.6900147049734755</c:v>
                </c:pt>
                <c:pt idx="230">
                  <c:v>0.6900356774032651</c:v>
                </c:pt>
                <c:pt idx="231">
                  <c:v>0.69005638101576294</c:v>
                </c:pt>
                <c:pt idx="232">
                  <c:v>0.69007682039716323</c:v>
                </c:pt>
                <c:pt idx="233">
                  <c:v>0.69009700003603236</c:v>
                </c:pt>
                <c:pt idx="234">
                  <c:v>0.69011692432579175</c:v>
                </c:pt>
                <c:pt idx="235">
                  <c:v>0.69013659756713974</c:v>
                </c:pt>
                <c:pt idx="236">
                  <c:v>0.69015602397039044</c:v>
                </c:pt>
                <c:pt idx="237">
                  <c:v>0.69017520765775342</c:v>
                </c:pt>
                <c:pt idx="238">
                  <c:v>0.69019415266553674</c:v>
                </c:pt>
                <c:pt idx="239">
                  <c:v>0.6902128629462988</c:v>
                </c:pt>
                <c:pt idx="240">
                  <c:v>0.69023134237092143</c:v>
                </c:pt>
                <c:pt idx="241">
                  <c:v>0.69024959473063807</c:v>
                </c:pt>
                <c:pt idx="242">
                  <c:v>0.69026762373899253</c:v>
                </c:pt>
                <c:pt idx="243">
                  <c:v>0.69028543303374901</c:v>
                </c:pt>
                <c:pt idx="244">
                  <c:v>0.69030302617874206</c:v>
                </c:pt>
                <c:pt idx="245">
                  <c:v>0.6903204066656784</c:v>
                </c:pt>
              </c:numCache>
            </c:numRef>
          </c:yVal>
          <c:smooth val="1"/>
          <c:extLst>
            <c:ext xmlns:c16="http://schemas.microsoft.com/office/drawing/2014/chart" uri="{C3380CC4-5D6E-409C-BE32-E72D297353CC}">
              <c16:uniqueId val="{00000000-55CB-4F2E-A194-DD13C8F91AC5}"/>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Harmonic Filter Current Flow for 1 Amp </a:t>
            </a:r>
            <a:r>
              <a:rPr lang="en-US" sz="1400" baseline="0">
                <a:solidFill>
                  <a:srgbClr val="0E9ED9"/>
                </a:solidFill>
              </a:rPr>
              <a:t>of Harmonic Current Injection at the Harmonic Filter Bus</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4699348346557944"/>
          <c:w val="0.85488298501358573"/>
          <c:h val="0.69438740908603824"/>
        </c:manualLayout>
      </c:layout>
      <c:scatterChart>
        <c:scatterStyle val="smoothMarker"/>
        <c:varyColors val="0"/>
        <c:ser>
          <c:idx val="0"/>
          <c:order val="0"/>
          <c:marker>
            <c:symbol val="none"/>
          </c:marker>
          <c:xVal>
            <c:numRef>
              <c:f>'Notch Filter Design'!$CZ$6:$CZ$251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Design'!$DA$6:$DA$251</c:f>
              <c:numCache>
                <c:formatCode>General</c:formatCode>
                <c:ptCount val="246"/>
                <c:pt idx="0">
                  <c:v>1.8868807524027056E-2</c:v>
                </c:pt>
                <c:pt idx="1">
                  <c:v>2.7917505434762274E-2</c:v>
                </c:pt>
                <c:pt idx="2">
                  <c:v>3.9280144215506872E-2</c:v>
                </c:pt>
                <c:pt idx="3">
                  <c:v>5.3386281003834718E-2</c:v>
                </c:pt>
                <c:pt idx="4">
                  <c:v>7.0827431292561055E-2</c:v>
                </c:pt>
                <c:pt idx="5">
                  <c:v>9.2429114636625953E-2</c:v>
                </c:pt>
                <c:pt idx="6">
                  <c:v>0.11936759572604631</c:v>
                </c:pt>
                <c:pt idx="7">
                  <c:v>0.15336671321361622</c:v>
                </c:pt>
                <c:pt idx="8">
                  <c:v>0.19704650636017326</c:v>
                </c:pt>
                <c:pt idx="9">
                  <c:v>0.25457969109125733</c:v>
                </c:pt>
                <c:pt idx="10">
                  <c:v>0.33302713776250331</c:v>
                </c:pt>
                <c:pt idx="11">
                  <c:v>0.44534150063609573</c:v>
                </c:pt>
                <c:pt idx="12">
                  <c:v>0.61810786154806463</c:v>
                </c:pt>
                <c:pt idx="13">
                  <c:v>0.91584185947518559</c:v>
                </c:pt>
                <c:pt idx="14">
                  <c:v>1.5460312205060727</c:v>
                </c:pt>
                <c:pt idx="15">
                  <c:v>3.7452655931160304</c:v>
                </c:pt>
                <c:pt idx="16">
                  <c:v>16.043148585043685</c:v>
                </c:pt>
                <c:pt idx="17">
                  <c:v>2.9042755635860424</c:v>
                </c:pt>
                <c:pt idx="18">
                  <c:v>1.6905748618091234</c:v>
                </c:pt>
                <c:pt idx="19">
                  <c:v>1.2368135866205006</c:v>
                </c:pt>
                <c:pt idx="20">
                  <c:v>0.99995383962031026</c:v>
                </c:pt>
                <c:pt idx="21">
                  <c:v>0.85477318558670612</c:v>
                </c:pt>
                <c:pt idx="22">
                  <c:v>0.75686528574648526</c:v>
                </c:pt>
                <c:pt idx="23">
                  <c:v>0.68650376237085198</c:v>
                </c:pt>
                <c:pt idx="24">
                  <c:v>0.63358935308183639</c:v>
                </c:pt>
                <c:pt idx="25">
                  <c:v>0.5924162984699719</c:v>
                </c:pt>
                <c:pt idx="26">
                  <c:v>0.5595180203132899</c:v>
                </c:pt>
                <c:pt idx="27">
                  <c:v>0.5326671622373681</c:v>
                </c:pt>
                <c:pt idx="28">
                  <c:v>0.51036752570842314</c:v>
                </c:pt>
                <c:pt idx="29">
                  <c:v>0.49157699794017162</c:v>
                </c:pt>
                <c:pt idx="30">
                  <c:v>0.47554758097962385</c:v>
                </c:pt>
                <c:pt idx="31">
                  <c:v>0.46172858368686337</c:v>
                </c:pt>
                <c:pt idx="32">
                  <c:v>0.44970567885441848</c:v>
                </c:pt>
                <c:pt idx="33">
                  <c:v>0.4391612263758114</c:v>
                </c:pt>
                <c:pt idx="34">
                  <c:v>0.42984768157197706</c:v>
                </c:pt>
                <c:pt idx="35">
                  <c:v>0.42156931702740641</c:v>
                </c:pt>
                <c:pt idx="36">
                  <c:v>0.4141693763506803</c:v>
                </c:pt>
                <c:pt idx="37">
                  <c:v>0.40752086584185337</c:v>
                </c:pt>
                <c:pt idx="38">
                  <c:v>0.40151983665126406</c:v>
                </c:pt>
                <c:pt idx="39">
                  <c:v>0.39608040574527142</c:v>
                </c:pt>
                <c:pt idx="40">
                  <c:v>0.39113101253255683</c:v>
                </c:pt>
                <c:pt idx="41">
                  <c:v>0.38661156776660932</c:v>
                </c:pt>
                <c:pt idx="42">
                  <c:v>0.38247125621405259</c:v>
                </c:pt>
                <c:pt idx="43">
                  <c:v>0.37866682474617697</c:v>
                </c:pt>
                <c:pt idx="44">
                  <c:v>0.37516123528135814</c:v>
                </c:pt>
                <c:pt idx="45">
                  <c:v>0.37192259504987057</c:v>
                </c:pt>
                <c:pt idx="46">
                  <c:v>0.36892329984737249</c:v>
                </c:pt>
                <c:pt idx="47">
                  <c:v>0.36613934244567803</c:v>
                </c:pt>
                <c:pt idx="48">
                  <c:v>0.36354975021853364</c:v>
                </c:pt>
                <c:pt idx="49">
                  <c:v>0.36113612470525491</c:v>
                </c:pt>
                <c:pt idx="50">
                  <c:v>0.35888226221948016</c:v>
                </c:pt>
                <c:pt idx="51">
                  <c:v>0.3567738393616906</c:v>
                </c:pt>
                <c:pt idx="52">
                  <c:v>0.35479815086389793</c:v>
                </c:pt>
                <c:pt idx="53">
                  <c:v>0.352943889900726</c:v>
                </c:pt>
                <c:pt idx="54">
                  <c:v>0.35120096306905874</c:v>
                </c:pt>
                <c:pt idx="55">
                  <c:v>0.34956033383148583</c:v>
                </c:pt>
                <c:pt idx="56">
                  <c:v>0.34801388945490813</c:v>
                </c:pt>
                <c:pt idx="57">
                  <c:v>0.34655432744166398</c:v>
                </c:pt>
                <c:pt idx="58">
                  <c:v>0.34517505821031569</c:v>
                </c:pt>
                <c:pt idx="59">
                  <c:v>0.34387012138471856</c:v>
                </c:pt>
                <c:pt idx="60">
                  <c:v>0.3426341135288376</c:v>
                </c:pt>
                <c:pt idx="61">
                  <c:v>0.34146212554813482</c:v>
                </c:pt>
                <c:pt idx="62">
                  <c:v>0.34034968828717255</c:v>
                </c:pt>
                <c:pt idx="63">
                  <c:v>0.33929272510261904</c:v>
                </c:pt>
                <c:pt idx="64">
                  <c:v>0.33828751039412297</c:v>
                </c:pt>
                <c:pt idx="65">
                  <c:v>0.33733063324122242</c:v>
                </c:pt>
                <c:pt idx="66">
                  <c:v>0.33641896543064975</c:v>
                </c:pt>
                <c:pt idx="67">
                  <c:v>0.33554963327048176</c:v>
                </c:pt>
                <c:pt idx="68">
                  <c:v>0.33471999268038161</c:v>
                </c:pt>
                <c:pt idx="69">
                  <c:v>0.3339276071242242</c:v>
                </c:pt>
                <c:pt idx="70">
                  <c:v>0.33317022801563373</c:v>
                </c:pt>
                <c:pt idx="71">
                  <c:v>0.33244577728068264</c:v>
                </c:pt>
                <c:pt idx="72">
                  <c:v>0.33175233180716118</c:v>
                </c:pt>
                <c:pt idx="73">
                  <c:v>0.3310881095477794</c:v>
                </c:pt>
                <c:pt idx="74">
                  <c:v>0.33045145707682483</c:v>
                </c:pt>
                <c:pt idx="75">
                  <c:v>0.32984083842698353</c:v>
                </c:pt>
                <c:pt idx="76">
                  <c:v>0.32925482505615233</c:v>
                </c:pt>
                <c:pt idx="77">
                  <c:v>0.32869208681387974</c:v>
                </c:pt>
                <c:pt idx="78">
                  <c:v>0.32815138379383313</c:v>
                </c:pt>
                <c:pt idx="79">
                  <c:v>0.32763155897320179</c:v>
                </c:pt>
                <c:pt idx="80">
                  <c:v>0.32713153155236946</c:v>
                </c:pt>
                <c:pt idx="81">
                  <c:v>0.32665029091886011</c:v>
                </c:pt>
                <c:pt idx="82">
                  <c:v>0.32618689116881877</c:v>
                </c:pt>
                <c:pt idx="83">
                  <c:v>0.32574044612730768</c:v>
                </c:pt>
                <c:pt idx="84">
                  <c:v>0.32531012481557903</c:v>
                </c:pt>
                <c:pt idx="85">
                  <c:v>0.32489514731958008</c:v>
                </c:pt>
                <c:pt idx="86">
                  <c:v>0.32449478101916351</c:v>
                </c:pt>
                <c:pt idx="87">
                  <c:v>0.3241083371420887</c:v>
                </c:pt>
                <c:pt idx="88">
                  <c:v>0.32373516761086479</c:v>
                </c:pt>
                <c:pt idx="89">
                  <c:v>0.32337466215410038</c:v>
                </c:pt>
                <c:pt idx="90">
                  <c:v>0.32302624565696669</c:v>
                </c:pt>
                <c:pt idx="91">
                  <c:v>0.32268937572826745</c:v>
                </c:pt>
                <c:pt idx="92">
                  <c:v>0.3223635404638579</c:v>
                </c:pt>
                <c:pt idx="93">
                  <c:v>0.32204825638835177</c:v>
                </c:pt>
                <c:pt idx="94">
                  <c:v>0.32174306655889928</c:v>
                </c:pt>
                <c:pt idx="95">
                  <c:v>0.32144753881646626</c:v>
                </c:pt>
                <c:pt idx="96">
                  <c:v>0.32116126417153168</c:v>
                </c:pt>
                <c:pt idx="97">
                  <c:v>0.32088385531241276</c:v>
                </c:pt>
                <c:pt idx="98">
                  <c:v>0.32061494522556705</c:v>
                </c:pt>
                <c:pt idx="99">
                  <c:v>0.32035418591831932</c:v>
                </c:pt>
                <c:pt idx="100">
                  <c:v>0.32010124723528899</c:v>
                </c:pt>
                <c:pt idx="101">
                  <c:v>0.31985581576071642</c:v>
                </c:pt>
                <c:pt idx="102">
                  <c:v>0.31961759379954768</c:v>
                </c:pt>
                <c:pt idx="103">
                  <c:v>0.31938629843083532</c:v>
                </c:pt>
                <c:pt idx="104">
                  <c:v>0.31916166062759799</c:v>
                </c:pt>
                <c:pt idx="105">
                  <c:v>0.31894342443782825</c:v>
                </c:pt>
                <c:pt idx="106">
                  <c:v>0.31873134622177118</c:v>
                </c:pt>
                <c:pt idx="107">
                  <c:v>0.31852519394108431</c:v>
                </c:pt>
                <c:pt idx="108">
                  <c:v>0.3183247464958554</c:v>
                </c:pt>
                <c:pt idx="109">
                  <c:v>0.31812979310577522</c:v>
                </c:pt>
                <c:pt idx="110">
                  <c:v>0.31794013273214244</c:v>
                </c:pt>
                <c:pt idx="111">
                  <c:v>0.31775557353759509</c:v>
                </c:pt>
                <c:pt idx="112">
                  <c:v>0.31757593238078391</c:v>
                </c:pt>
                <c:pt idx="113">
                  <c:v>0.31740103434338751</c:v>
                </c:pt>
                <c:pt idx="114">
                  <c:v>0.31723071228712846</c:v>
                </c:pt>
                <c:pt idx="115">
                  <c:v>0.3170648064385968</c:v>
                </c:pt>
                <c:pt idx="116">
                  <c:v>0.31690316399991264</c:v>
                </c:pt>
                <c:pt idx="117">
                  <c:v>0.31674563878336293</c:v>
                </c:pt>
                <c:pt idx="118">
                  <c:v>0.31659209086835999</c:v>
                </c:pt>
                <c:pt idx="119">
                  <c:v>0.31644238627914628</c:v>
                </c:pt>
                <c:pt idx="120">
                  <c:v>0.31629639668181603</c:v>
                </c:pt>
                <c:pt idx="121">
                  <c:v>0.31615399909933156</c:v>
                </c:pt>
                <c:pt idx="122">
                  <c:v>0.31601507564332493</c:v>
                </c:pt>
                <c:pt idx="123">
                  <c:v>0.3158795132615429</c:v>
                </c:pt>
                <c:pt idx="124">
                  <c:v>0.31574720349990848</c:v>
                </c:pt>
                <c:pt idx="125">
                  <c:v>0.31561804227821733</c:v>
                </c:pt>
                <c:pt idx="126">
                  <c:v>0.31549192967858891</c:v>
                </c:pt>
                <c:pt idx="127">
                  <c:v>0.31536876974584355</c:v>
                </c:pt>
                <c:pt idx="128">
                  <c:v>0.31524847029903869</c:v>
                </c:pt>
                <c:pt idx="129">
                  <c:v>0.31513094275344478</c:v>
                </c:pt>
                <c:pt idx="130">
                  <c:v>0.31501610195231167</c:v>
                </c:pt>
                <c:pt idx="131">
                  <c:v>0.31490386600779996</c:v>
                </c:pt>
                <c:pt idx="132">
                  <c:v>0.31479415615052164</c:v>
                </c:pt>
                <c:pt idx="133">
                  <c:v>0.3146868965871456</c:v>
                </c:pt>
                <c:pt idx="134">
                  <c:v>0.31458201436558209</c:v>
                </c:pt>
                <c:pt idx="135">
                  <c:v>0.31447943924727867</c:v>
                </c:pt>
                <c:pt idx="136">
                  <c:v>0.31437910358620985</c:v>
                </c:pt>
                <c:pt idx="137">
                  <c:v>0.3142809422141537</c:v>
                </c:pt>
                <c:pt idx="138">
                  <c:v>0.31418489233188168</c:v>
                </c:pt>
                <c:pt idx="139">
                  <c:v>0.31409089340591489</c:v>
                </c:pt>
                <c:pt idx="140">
                  <c:v>0.31399888707052931</c:v>
                </c:pt>
                <c:pt idx="141">
                  <c:v>0.31390881703468693</c:v>
                </c:pt>
                <c:pt idx="142">
                  <c:v>0.31382062899363899</c:v>
                </c:pt>
                <c:pt idx="143">
                  <c:v>0.31373427054490471</c:v>
                </c:pt>
                <c:pt idx="144">
                  <c:v>0.31364969110839108</c:v>
                </c:pt>
                <c:pt idx="145">
                  <c:v>0.31356684185043232</c:v>
                </c:pt>
                <c:pt idx="146">
                  <c:v>0.31348567561149859</c:v>
                </c:pt>
                <c:pt idx="147">
                  <c:v>0.31340614683741425</c:v>
                </c:pt>
                <c:pt idx="148">
                  <c:v>0.3133282115138501</c:v>
                </c:pt>
                <c:pt idx="149">
                  <c:v>0.31325182710393201</c:v>
                </c:pt>
                <c:pt idx="150">
                  <c:v>0.31317695248880867</c:v>
                </c:pt>
                <c:pt idx="151">
                  <c:v>0.31310354791098549</c:v>
                </c:pt>
                <c:pt idx="152">
                  <c:v>0.31303157492030964</c:v>
                </c:pt>
                <c:pt idx="153">
                  <c:v>0.31296099632244434</c:v>
                </c:pt>
                <c:pt idx="154">
                  <c:v>0.31289177612971775</c:v>
                </c:pt>
                <c:pt idx="155">
                  <c:v>0.31282387951420004</c:v>
                </c:pt>
                <c:pt idx="156">
                  <c:v>0.31275727276291437</c:v>
                </c:pt>
                <c:pt idx="157">
                  <c:v>0.31269192323506645</c:v>
                </c:pt>
                <c:pt idx="158">
                  <c:v>0.31262779932117213</c:v>
                </c:pt>
                <c:pt idx="159">
                  <c:v>0.31256487040401504</c:v>
                </c:pt>
                <c:pt idx="160">
                  <c:v>0.31250310682131704</c:v>
                </c:pt>
                <c:pt idx="161">
                  <c:v>0.31244247983004253</c:v>
                </c:pt>
                <c:pt idx="162">
                  <c:v>0.31238296157226542</c:v>
                </c:pt>
                <c:pt idx="163">
                  <c:v>0.3123245250425053</c:v>
                </c:pt>
                <c:pt idx="164">
                  <c:v>0.31226714405646977</c:v>
                </c:pt>
                <c:pt idx="165">
                  <c:v>0.31221079322113554</c:v>
                </c:pt>
                <c:pt idx="166">
                  <c:v>0.31215544790609306</c:v>
                </c:pt>
                <c:pt idx="167">
                  <c:v>0.31210108421610194</c:v>
                </c:pt>
                <c:pt idx="168">
                  <c:v>0.31204767896479835</c:v>
                </c:pt>
                <c:pt idx="169">
                  <c:v>0.31199520964949995</c:v>
                </c:pt>
                <c:pt idx="170">
                  <c:v>0.31194365442704558</c:v>
                </c:pt>
                <c:pt idx="171">
                  <c:v>0.31189299209063626</c:v>
                </c:pt>
                <c:pt idx="172">
                  <c:v>0.31184320204762428</c:v>
                </c:pt>
                <c:pt idx="173">
                  <c:v>0.31179426429819823</c:v>
                </c:pt>
                <c:pt idx="174">
                  <c:v>0.31174615941493833</c:v>
                </c:pt>
                <c:pt idx="175">
                  <c:v>0.31169886852318585</c:v>
                </c:pt>
                <c:pt idx="176">
                  <c:v>0.31165237328219902</c:v>
                </c:pt>
                <c:pt idx="177">
                  <c:v>0.31160665586705599</c:v>
                </c:pt>
                <c:pt idx="178">
                  <c:v>0.31156169895128272</c:v>
                </c:pt>
                <c:pt idx="179">
                  <c:v>0.31151748569014237</c:v>
                </c:pt>
                <c:pt idx="180">
                  <c:v>0.31147399970459066</c:v>
                </c:pt>
                <c:pt idx="181">
                  <c:v>0.31143122506585541</c:v>
                </c:pt>
                <c:pt idx="182">
                  <c:v>0.31138914628060266</c:v>
                </c:pt>
                <c:pt idx="183">
                  <c:v>0.31134774827667611</c:v>
                </c:pt>
                <c:pt idx="184">
                  <c:v>0.31130701638938252</c:v>
                </c:pt>
                <c:pt idx="185">
                  <c:v>0.31126693634828795</c:v>
                </c:pt>
                <c:pt idx="186">
                  <c:v>0.31122749426452845</c:v>
                </c:pt>
                <c:pt idx="187">
                  <c:v>0.31118867661857991</c:v>
                </c:pt>
                <c:pt idx="188">
                  <c:v>0.31115047024849424</c:v>
                </c:pt>
                <c:pt idx="189">
                  <c:v>0.3111128623385675</c:v>
                </c:pt>
                <c:pt idx="190">
                  <c:v>0.31107584040843095</c:v>
                </c:pt>
                <c:pt idx="191">
                  <c:v>0.31103939230253674</c:v>
                </c:pt>
                <c:pt idx="192">
                  <c:v>0.31100350618003181</c:v>
                </c:pt>
                <c:pt idx="193">
                  <c:v>0.3109681705049942</c:v>
                </c:pt>
                <c:pt idx="194">
                  <c:v>0.31093337403703186</c:v>
                </c:pt>
                <c:pt idx="195">
                  <c:v>0.31089910582220737</c:v>
                </c:pt>
                <c:pt idx="196">
                  <c:v>0.31086535518429564</c:v>
                </c:pt>
                <c:pt idx="197">
                  <c:v>0.310832111716348</c:v>
                </c:pt>
                <c:pt idx="198">
                  <c:v>0.31079936527255625</c:v>
                </c:pt>
                <c:pt idx="199">
                  <c:v>0.31076710596040308</c:v>
                </c:pt>
                <c:pt idx="200">
                  <c:v>0.3107353241330888</c:v>
                </c:pt>
                <c:pt idx="201">
                  <c:v>0.31070401038221535</c:v>
                </c:pt>
                <c:pt idx="202">
                  <c:v>0.31067315553073499</c:v>
                </c:pt>
                <c:pt idx="203">
                  <c:v>0.31064275062612962</c:v>
                </c:pt>
                <c:pt idx="204">
                  <c:v>0.31061278693383243</c:v>
                </c:pt>
                <c:pt idx="205">
                  <c:v>0.31058325593087299</c:v>
                </c:pt>
                <c:pt idx="206">
                  <c:v>0.31055414929973491</c:v>
                </c:pt>
                <c:pt idx="207">
                  <c:v>0.31052545892242417</c:v>
                </c:pt>
                <c:pt idx="208">
                  <c:v>0.31049717687473377</c:v>
                </c:pt>
                <c:pt idx="209">
                  <c:v>0.31046929542070567</c:v>
                </c:pt>
                <c:pt idx="210">
                  <c:v>0.31044180700727203</c:v>
                </c:pt>
                <c:pt idx="211">
                  <c:v>0.31041470425907597</c:v>
                </c:pt>
                <c:pt idx="212">
                  <c:v>0.31038797997346029</c:v>
                </c:pt>
                <c:pt idx="213">
                  <c:v>0.31036162711562981</c:v>
                </c:pt>
                <c:pt idx="214">
                  <c:v>0.31033563881395709</c:v>
                </c:pt>
                <c:pt idx="215">
                  <c:v>0.3103100083554573</c:v>
                </c:pt>
                <c:pt idx="216">
                  <c:v>0.31028472918139371</c:v>
                </c:pt>
                <c:pt idx="217">
                  <c:v>0.31025979488303679</c:v>
                </c:pt>
                <c:pt idx="218">
                  <c:v>0.31023519919755183</c:v>
                </c:pt>
                <c:pt idx="219">
                  <c:v>0.31021093600402466</c:v>
                </c:pt>
                <c:pt idx="220">
                  <c:v>0.31018699931960275</c:v>
                </c:pt>
                <c:pt idx="221">
                  <c:v>0.31016338329577087</c:v>
                </c:pt>
                <c:pt idx="222">
                  <c:v>0.31014008221473544</c:v>
                </c:pt>
                <c:pt idx="223">
                  <c:v>0.31011709048592606</c:v>
                </c:pt>
                <c:pt idx="224">
                  <c:v>0.31009440264260091</c:v>
                </c:pt>
                <c:pt idx="225">
                  <c:v>0.31007201333856643</c:v>
                </c:pt>
                <c:pt idx="226">
                  <c:v>0.31004991734499038</c:v>
                </c:pt>
                <c:pt idx="227">
                  <c:v>0.31002810954731674</c:v>
                </c:pt>
                <c:pt idx="228">
                  <c:v>0.31000658494227384</c:v>
                </c:pt>
                <c:pt idx="229">
                  <c:v>0.30998533863497219</c:v>
                </c:pt>
                <c:pt idx="230">
                  <c:v>0.30996436583609538</c:v>
                </c:pt>
                <c:pt idx="231">
                  <c:v>0.30994366185917033</c:v>
                </c:pt>
                <c:pt idx="232">
                  <c:v>0.30992322211792483</c:v>
                </c:pt>
                <c:pt idx="233">
                  <c:v>0.30990304212371605</c:v>
                </c:pt>
                <c:pt idx="234">
                  <c:v>0.30988311748304809</c:v>
                </c:pt>
                <c:pt idx="235">
                  <c:v>0.30986344389514903</c:v>
                </c:pt>
                <c:pt idx="236">
                  <c:v>0.30984401714963306</c:v>
                </c:pt>
                <c:pt idx="237">
                  <c:v>0.30982483312422043</c:v>
                </c:pt>
                <c:pt idx="238">
                  <c:v>0.30980588778253415</c:v>
                </c:pt>
                <c:pt idx="239">
                  <c:v>0.30978717717194837</c:v>
                </c:pt>
                <c:pt idx="240">
                  <c:v>0.30976869742151497</c:v>
                </c:pt>
                <c:pt idx="241">
                  <c:v>0.30975044473993602</c:v>
                </c:pt>
                <c:pt idx="242">
                  <c:v>0.30973241541360413</c:v>
                </c:pt>
                <c:pt idx="243">
                  <c:v>0.30971460580469307</c:v>
                </c:pt>
                <c:pt idx="244">
                  <c:v>0.30969701234930719</c:v>
                </c:pt>
                <c:pt idx="245">
                  <c:v>0.3096796315556799</c:v>
                </c:pt>
              </c:numCache>
            </c:numRef>
          </c:yVal>
          <c:smooth val="1"/>
          <c:extLst>
            <c:ext xmlns:c16="http://schemas.microsoft.com/office/drawing/2014/chart" uri="{C3380CC4-5D6E-409C-BE32-E72D297353CC}">
              <c16:uniqueId val="{00000000-2F44-4FE7-81BE-8E5C88A5CD6D}"/>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b="1" i="0" u="none" strike="noStrike" kern="1200" baseline="0">
                <a:solidFill>
                  <a:srgbClr val="0E9ED9"/>
                </a:solidFill>
              </a:rPr>
              <a:t>Driving-Point Harmonic Impedance Scan</a:t>
            </a:r>
            <a:r>
              <a:rPr lang="en-US" sz="1400" b="1" i="0" u="none" strike="noStrike" kern="1200" baseline="0">
                <a:solidFill>
                  <a:sysClr val="windowText" lastClr="000000"/>
                </a:solidFill>
              </a:rPr>
              <a:t>  </a:t>
            </a:r>
          </a:p>
        </c:rich>
      </c:tx>
      <c:layout>
        <c:manualLayout>
          <c:xMode val="edge"/>
          <c:yMode val="edge"/>
          <c:x val="0.26743787182850581"/>
          <c:y val="3.2352772661576282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spPr>
            <a:ln>
              <a:solidFill>
                <a:srgbClr val="00B0F0"/>
              </a:solidFill>
            </a:ln>
          </c:spPr>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Design'!$CU$6:$CU$251</c:f>
              <c:numCache>
                <c:formatCode>General</c:formatCode>
                <c:ptCount val="246"/>
                <c:pt idx="0">
                  <c:v>25.9</c:v>
                </c:pt>
                <c:pt idx="1">
                  <c:v>21.2</c:v>
                </c:pt>
                <c:pt idx="2">
                  <c:v>17.8</c:v>
                </c:pt>
                <c:pt idx="3">
                  <c:v>15.1</c:v>
                </c:pt>
                <c:pt idx="4">
                  <c:v>13.1</c:v>
                </c:pt>
                <c:pt idx="5">
                  <c:v>11.3</c:v>
                </c:pt>
                <c:pt idx="6">
                  <c:v>9.9</c:v>
                </c:pt>
                <c:pt idx="7">
                  <c:v>8.6999999999999993</c:v>
                </c:pt>
                <c:pt idx="8">
                  <c:v>7.6</c:v>
                </c:pt>
                <c:pt idx="9">
                  <c:v>6.6</c:v>
                </c:pt>
                <c:pt idx="10">
                  <c:v>5.8</c:v>
                </c:pt>
                <c:pt idx="11">
                  <c:v>5</c:v>
                </c:pt>
                <c:pt idx="12">
                  <c:v>4.3</c:v>
                </c:pt>
                <c:pt idx="13">
                  <c:v>3.6</c:v>
                </c:pt>
                <c:pt idx="14">
                  <c:v>3</c:v>
                </c:pt>
                <c:pt idx="15">
                  <c:v>2.4</c:v>
                </c:pt>
                <c:pt idx="16">
                  <c:v>1.9</c:v>
                </c:pt>
                <c:pt idx="17">
                  <c:v>1.4</c:v>
                </c:pt>
                <c:pt idx="18">
                  <c:v>0.9</c:v>
                </c:pt>
                <c:pt idx="19">
                  <c:v>0.4</c:v>
                </c:pt>
                <c:pt idx="20">
                  <c:v>0</c:v>
                </c:pt>
                <c:pt idx="21">
                  <c:v>0.4</c:v>
                </c:pt>
                <c:pt idx="22">
                  <c:v>0.8</c:v>
                </c:pt>
                <c:pt idx="23">
                  <c:v>1.2</c:v>
                </c:pt>
                <c:pt idx="24">
                  <c:v>1.6</c:v>
                </c:pt>
                <c:pt idx="25">
                  <c:v>2</c:v>
                </c:pt>
                <c:pt idx="26">
                  <c:v>2.2999999999999998</c:v>
                </c:pt>
                <c:pt idx="27">
                  <c:v>2.7</c:v>
                </c:pt>
                <c:pt idx="28">
                  <c:v>3</c:v>
                </c:pt>
                <c:pt idx="29">
                  <c:v>3.4</c:v>
                </c:pt>
                <c:pt idx="30">
                  <c:v>3.7</c:v>
                </c:pt>
                <c:pt idx="31">
                  <c:v>4</c:v>
                </c:pt>
                <c:pt idx="32">
                  <c:v>4.3</c:v>
                </c:pt>
                <c:pt idx="33">
                  <c:v>4.7</c:v>
                </c:pt>
                <c:pt idx="34">
                  <c:v>5</c:v>
                </c:pt>
                <c:pt idx="35">
                  <c:v>5.3</c:v>
                </c:pt>
                <c:pt idx="36">
                  <c:v>5.6</c:v>
                </c:pt>
                <c:pt idx="37">
                  <c:v>5.9</c:v>
                </c:pt>
                <c:pt idx="38">
                  <c:v>6.1</c:v>
                </c:pt>
                <c:pt idx="39">
                  <c:v>6.4</c:v>
                </c:pt>
                <c:pt idx="40">
                  <c:v>6.7</c:v>
                </c:pt>
                <c:pt idx="41">
                  <c:v>7</c:v>
                </c:pt>
                <c:pt idx="42">
                  <c:v>7.3</c:v>
                </c:pt>
                <c:pt idx="43">
                  <c:v>7.6</c:v>
                </c:pt>
                <c:pt idx="44">
                  <c:v>7.8</c:v>
                </c:pt>
                <c:pt idx="45">
                  <c:v>8.1</c:v>
                </c:pt>
                <c:pt idx="46">
                  <c:v>8.4</c:v>
                </c:pt>
                <c:pt idx="47">
                  <c:v>8.6</c:v>
                </c:pt>
                <c:pt idx="48">
                  <c:v>8.9</c:v>
                </c:pt>
                <c:pt idx="49">
                  <c:v>9.1999999999999993</c:v>
                </c:pt>
                <c:pt idx="50">
                  <c:v>9.4</c:v>
                </c:pt>
                <c:pt idx="51">
                  <c:v>9.6999999999999993</c:v>
                </c:pt>
                <c:pt idx="52">
                  <c:v>9.9</c:v>
                </c:pt>
                <c:pt idx="53">
                  <c:v>10.199999999999999</c:v>
                </c:pt>
                <c:pt idx="54">
                  <c:v>10.5</c:v>
                </c:pt>
                <c:pt idx="55">
                  <c:v>10.7</c:v>
                </c:pt>
                <c:pt idx="56">
                  <c:v>11</c:v>
                </c:pt>
                <c:pt idx="57">
                  <c:v>11.2</c:v>
                </c:pt>
                <c:pt idx="58">
                  <c:v>11.5</c:v>
                </c:pt>
                <c:pt idx="59">
                  <c:v>11.7</c:v>
                </c:pt>
                <c:pt idx="60">
                  <c:v>12</c:v>
                </c:pt>
                <c:pt idx="61">
                  <c:v>12.2</c:v>
                </c:pt>
                <c:pt idx="62">
                  <c:v>12.5</c:v>
                </c:pt>
                <c:pt idx="63">
                  <c:v>12.7</c:v>
                </c:pt>
                <c:pt idx="64">
                  <c:v>12.9</c:v>
                </c:pt>
                <c:pt idx="65">
                  <c:v>13.2</c:v>
                </c:pt>
                <c:pt idx="66">
                  <c:v>13.4</c:v>
                </c:pt>
                <c:pt idx="67">
                  <c:v>13.7</c:v>
                </c:pt>
                <c:pt idx="68">
                  <c:v>13.9</c:v>
                </c:pt>
                <c:pt idx="69">
                  <c:v>14.2</c:v>
                </c:pt>
                <c:pt idx="70">
                  <c:v>14.4</c:v>
                </c:pt>
                <c:pt idx="71">
                  <c:v>14.6</c:v>
                </c:pt>
                <c:pt idx="72">
                  <c:v>14.9</c:v>
                </c:pt>
                <c:pt idx="73">
                  <c:v>15.1</c:v>
                </c:pt>
                <c:pt idx="74">
                  <c:v>15.4</c:v>
                </c:pt>
                <c:pt idx="75">
                  <c:v>15.6</c:v>
                </c:pt>
                <c:pt idx="76">
                  <c:v>15.8</c:v>
                </c:pt>
                <c:pt idx="77">
                  <c:v>16.100000000000001</c:v>
                </c:pt>
                <c:pt idx="78">
                  <c:v>16.3</c:v>
                </c:pt>
                <c:pt idx="79">
                  <c:v>16.5</c:v>
                </c:pt>
                <c:pt idx="80">
                  <c:v>16.8</c:v>
                </c:pt>
                <c:pt idx="81">
                  <c:v>17</c:v>
                </c:pt>
                <c:pt idx="82">
                  <c:v>17.2</c:v>
                </c:pt>
                <c:pt idx="83">
                  <c:v>17.5</c:v>
                </c:pt>
                <c:pt idx="84">
                  <c:v>17.7</c:v>
                </c:pt>
                <c:pt idx="85">
                  <c:v>17.899999999999999</c:v>
                </c:pt>
                <c:pt idx="86">
                  <c:v>18.2</c:v>
                </c:pt>
                <c:pt idx="87">
                  <c:v>18.399999999999999</c:v>
                </c:pt>
                <c:pt idx="88">
                  <c:v>18.600000000000001</c:v>
                </c:pt>
                <c:pt idx="89">
                  <c:v>18.899999999999999</c:v>
                </c:pt>
                <c:pt idx="90">
                  <c:v>19.100000000000001</c:v>
                </c:pt>
                <c:pt idx="91">
                  <c:v>19.3</c:v>
                </c:pt>
                <c:pt idx="92">
                  <c:v>19.600000000000001</c:v>
                </c:pt>
                <c:pt idx="93">
                  <c:v>19.8</c:v>
                </c:pt>
                <c:pt idx="94">
                  <c:v>20</c:v>
                </c:pt>
                <c:pt idx="95">
                  <c:v>20.2</c:v>
                </c:pt>
                <c:pt idx="96">
                  <c:v>20.5</c:v>
                </c:pt>
                <c:pt idx="97">
                  <c:v>20.7</c:v>
                </c:pt>
                <c:pt idx="98">
                  <c:v>20.9</c:v>
                </c:pt>
                <c:pt idx="99">
                  <c:v>21.2</c:v>
                </c:pt>
                <c:pt idx="100">
                  <c:v>21.4</c:v>
                </c:pt>
                <c:pt idx="101">
                  <c:v>21.6</c:v>
                </c:pt>
                <c:pt idx="102">
                  <c:v>21.8</c:v>
                </c:pt>
                <c:pt idx="103">
                  <c:v>22.1</c:v>
                </c:pt>
                <c:pt idx="104">
                  <c:v>22.3</c:v>
                </c:pt>
                <c:pt idx="105">
                  <c:v>22.5</c:v>
                </c:pt>
                <c:pt idx="106">
                  <c:v>22.8</c:v>
                </c:pt>
                <c:pt idx="107">
                  <c:v>23</c:v>
                </c:pt>
                <c:pt idx="108">
                  <c:v>23.2</c:v>
                </c:pt>
                <c:pt idx="109">
                  <c:v>23.4</c:v>
                </c:pt>
                <c:pt idx="110">
                  <c:v>23.7</c:v>
                </c:pt>
                <c:pt idx="111">
                  <c:v>23.9</c:v>
                </c:pt>
                <c:pt idx="112">
                  <c:v>24.1</c:v>
                </c:pt>
                <c:pt idx="113">
                  <c:v>24.3</c:v>
                </c:pt>
                <c:pt idx="114">
                  <c:v>24.6</c:v>
                </c:pt>
                <c:pt idx="115">
                  <c:v>24.8</c:v>
                </c:pt>
                <c:pt idx="116">
                  <c:v>25</c:v>
                </c:pt>
                <c:pt idx="117">
                  <c:v>25.2</c:v>
                </c:pt>
                <c:pt idx="118">
                  <c:v>25.5</c:v>
                </c:pt>
                <c:pt idx="119">
                  <c:v>25.7</c:v>
                </c:pt>
                <c:pt idx="120">
                  <c:v>25.9</c:v>
                </c:pt>
                <c:pt idx="121">
                  <c:v>26.1</c:v>
                </c:pt>
                <c:pt idx="122">
                  <c:v>26.4</c:v>
                </c:pt>
                <c:pt idx="123">
                  <c:v>26.6</c:v>
                </c:pt>
                <c:pt idx="124">
                  <c:v>26.8</c:v>
                </c:pt>
                <c:pt idx="125">
                  <c:v>27</c:v>
                </c:pt>
                <c:pt idx="126">
                  <c:v>27.3</c:v>
                </c:pt>
                <c:pt idx="127">
                  <c:v>27.5</c:v>
                </c:pt>
                <c:pt idx="128">
                  <c:v>27.7</c:v>
                </c:pt>
                <c:pt idx="129">
                  <c:v>27.9</c:v>
                </c:pt>
                <c:pt idx="130">
                  <c:v>28.2</c:v>
                </c:pt>
                <c:pt idx="131">
                  <c:v>28.4</c:v>
                </c:pt>
                <c:pt idx="132">
                  <c:v>28.6</c:v>
                </c:pt>
                <c:pt idx="133">
                  <c:v>28.8</c:v>
                </c:pt>
                <c:pt idx="134">
                  <c:v>29</c:v>
                </c:pt>
                <c:pt idx="135">
                  <c:v>29.3</c:v>
                </c:pt>
                <c:pt idx="136">
                  <c:v>29.5</c:v>
                </c:pt>
                <c:pt idx="137">
                  <c:v>29.7</c:v>
                </c:pt>
                <c:pt idx="138">
                  <c:v>29.9</c:v>
                </c:pt>
                <c:pt idx="139">
                  <c:v>30.2</c:v>
                </c:pt>
                <c:pt idx="140">
                  <c:v>30.4</c:v>
                </c:pt>
                <c:pt idx="141">
                  <c:v>30.6</c:v>
                </c:pt>
                <c:pt idx="142">
                  <c:v>30.8</c:v>
                </c:pt>
                <c:pt idx="143">
                  <c:v>31.1</c:v>
                </c:pt>
                <c:pt idx="144">
                  <c:v>31.3</c:v>
                </c:pt>
                <c:pt idx="145">
                  <c:v>31.5</c:v>
                </c:pt>
                <c:pt idx="146">
                  <c:v>31.7</c:v>
                </c:pt>
                <c:pt idx="147">
                  <c:v>31.9</c:v>
                </c:pt>
                <c:pt idx="148">
                  <c:v>32.200000000000003</c:v>
                </c:pt>
                <c:pt idx="149">
                  <c:v>32.4</c:v>
                </c:pt>
                <c:pt idx="150">
                  <c:v>32.6</c:v>
                </c:pt>
                <c:pt idx="151">
                  <c:v>32.799999999999997</c:v>
                </c:pt>
                <c:pt idx="152">
                  <c:v>33</c:v>
                </c:pt>
                <c:pt idx="153">
                  <c:v>33.299999999999997</c:v>
                </c:pt>
                <c:pt idx="154">
                  <c:v>33.5</c:v>
                </c:pt>
                <c:pt idx="155">
                  <c:v>33.700000000000003</c:v>
                </c:pt>
                <c:pt idx="156">
                  <c:v>33.9</c:v>
                </c:pt>
                <c:pt idx="157">
                  <c:v>34.200000000000003</c:v>
                </c:pt>
                <c:pt idx="158">
                  <c:v>34.4</c:v>
                </c:pt>
                <c:pt idx="159">
                  <c:v>34.6</c:v>
                </c:pt>
                <c:pt idx="160">
                  <c:v>34.799999999999997</c:v>
                </c:pt>
                <c:pt idx="161">
                  <c:v>35</c:v>
                </c:pt>
                <c:pt idx="162">
                  <c:v>35.299999999999997</c:v>
                </c:pt>
                <c:pt idx="163">
                  <c:v>35.5</c:v>
                </c:pt>
                <c:pt idx="164">
                  <c:v>35.700000000000003</c:v>
                </c:pt>
                <c:pt idx="165">
                  <c:v>35.9</c:v>
                </c:pt>
                <c:pt idx="166">
                  <c:v>36.1</c:v>
                </c:pt>
                <c:pt idx="167">
                  <c:v>36.4</c:v>
                </c:pt>
                <c:pt idx="168">
                  <c:v>36.6</c:v>
                </c:pt>
                <c:pt idx="169">
                  <c:v>36.799999999999997</c:v>
                </c:pt>
                <c:pt idx="170">
                  <c:v>37</c:v>
                </c:pt>
                <c:pt idx="171">
                  <c:v>37.200000000000003</c:v>
                </c:pt>
                <c:pt idx="172">
                  <c:v>37.5</c:v>
                </c:pt>
                <c:pt idx="173">
                  <c:v>37.700000000000003</c:v>
                </c:pt>
                <c:pt idx="174">
                  <c:v>37.9</c:v>
                </c:pt>
                <c:pt idx="175">
                  <c:v>38.1</c:v>
                </c:pt>
                <c:pt idx="176">
                  <c:v>38.299999999999997</c:v>
                </c:pt>
                <c:pt idx="177">
                  <c:v>38.6</c:v>
                </c:pt>
                <c:pt idx="178">
                  <c:v>38.799999999999997</c:v>
                </c:pt>
                <c:pt idx="179">
                  <c:v>39</c:v>
                </c:pt>
                <c:pt idx="180">
                  <c:v>39.200000000000003</c:v>
                </c:pt>
                <c:pt idx="181">
                  <c:v>39.4</c:v>
                </c:pt>
                <c:pt idx="182">
                  <c:v>39.700000000000003</c:v>
                </c:pt>
                <c:pt idx="183">
                  <c:v>39.9</c:v>
                </c:pt>
                <c:pt idx="184">
                  <c:v>40.1</c:v>
                </c:pt>
                <c:pt idx="185">
                  <c:v>40.299999999999997</c:v>
                </c:pt>
                <c:pt idx="186">
                  <c:v>40.5</c:v>
                </c:pt>
                <c:pt idx="187">
                  <c:v>40.799999999999997</c:v>
                </c:pt>
                <c:pt idx="188">
                  <c:v>41</c:v>
                </c:pt>
                <c:pt idx="189">
                  <c:v>41.2</c:v>
                </c:pt>
                <c:pt idx="190">
                  <c:v>41.4</c:v>
                </c:pt>
                <c:pt idx="191">
                  <c:v>41.6</c:v>
                </c:pt>
                <c:pt idx="192">
                  <c:v>41.9</c:v>
                </c:pt>
                <c:pt idx="193">
                  <c:v>42.1</c:v>
                </c:pt>
                <c:pt idx="194">
                  <c:v>42.3</c:v>
                </c:pt>
                <c:pt idx="195">
                  <c:v>42.5</c:v>
                </c:pt>
                <c:pt idx="196">
                  <c:v>42.7</c:v>
                </c:pt>
                <c:pt idx="197">
                  <c:v>43</c:v>
                </c:pt>
                <c:pt idx="198">
                  <c:v>43.2</c:v>
                </c:pt>
                <c:pt idx="199">
                  <c:v>43.4</c:v>
                </c:pt>
                <c:pt idx="200">
                  <c:v>43.6</c:v>
                </c:pt>
                <c:pt idx="201">
                  <c:v>43.8</c:v>
                </c:pt>
                <c:pt idx="202">
                  <c:v>44.1</c:v>
                </c:pt>
                <c:pt idx="203">
                  <c:v>44.3</c:v>
                </c:pt>
                <c:pt idx="204">
                  <c:v>44.5</c:v>
                </c:pt>
                <c:pt idx="205">
                  <c:v>44.7</c:v>
                </c:pt>
                <c:pt idx="206">
                  <c:v>44.9</c:v>
                </c:pt>
                <c:pt idx="207">
                  <c:v>45.1</c:v>
                </c:pt>
                <c:pt idx="208">
                  <c:v>45.4</c:v>
                </c:pt>
                <c:pt idx="209">
                  <c:v>45.6</c:v>
                </c:pt>
                <c:pt idx="210">
                  <c:v>45.8</c:v>
                </c:pt>
                <c:pt idx="211">
                  <c:v>46</c:v>
                </c:pt>
                <c:pt idx="212">
                  <c:v>46.2</c:v>
                </c:pt>
                <c:pt idx="213">
                  <c:v>46.5</c:v>
                </c:pt>
                <c:pt idx="214">
                  <c:v>46.7</c:v>
                </c:pt>
                <c:pt idx="215">
                  <c:v>46.9</c:v>
                </c:pt>
                <c:pt idx="216">
                  <c:v>47.1</c:v>
                </c:pt>
                <c:pt idx="217">
                  <c:v>47.3</c:v>
                </c:pt>
                <c:pt idx="218">
                  <c:v>47.6</c:v>
                </c:pt>
                <c:pt idx="219">
                  <c:v>47.8</c:v>
                </c:pt>
                <c:pt idx="220">
                  <c:v>48</c:v>
                </c:pt>
                <c:pt idx="221">
                  <c:v>48.2</c:v>
                </c:pt>
                <c:pt idx="222">
                  <c:v>48.4</c:v>
                </c:pt>
                <c:pt idx="223">
                  <c:v>48.6</c:v>
                </c:pt>
                <c:pt idx="224">
                  <c:v>48.9</c:v>
                </c:pt>
                <c:pt idx="225">
                  <c:v>49.1</c:v>
                </c:pt>
                <c:pt idx="226">
                  <c:v>49.3</c:v>
                </c:pt>
                <c:pt idx="227">
                  <c:v>49.5</c:v>
                </c:pt>
                <c:pt idx="228">
                  <c:v>49.7</c:v>
                </c:pt>
                <c:pt idx="229">
                  <c:v>50</c:v>
                </c:pt>
                <c:pt idx="230">
                  <c:v>50.2</c:v>
                </c:pt>
                <c:pt idx="231">
                  <c:v>50.4</c:v>
                </c:pt>
                <c:pt idx="232">
                  <c:v>50.6</c:v>
                </c:pt>
                <c:pt idx="233">
                  <c:v>50.8</c:v>
                </c:pt>
                <c:pt idx="234">
                  <c:v>51.1</c:v>
                </c:pt>
                <c:pt idx="235">
                  <c:v>51.3</c:v>
                </c:pt>
                <c:pt idx="236">
                  <c:v>51.5</c:v>
                </c:pt>
                <c:pt idx="237">
                  <c:v>51.7</c:v>
                </c:pt>
                <c:pt idx="238">
                  <c:v>51.9</c:v>
                </c:pt>
                <c:pt idx="239">
                  <c:v>52.1</c:v>
                </c:pt>
                <c:pt idx="240">
                  <c:v>52.4</c:v>
                </c:pt>
                <c:pt idx="241">
                  <c:v>52.6</c:v>
                </c:pt>
                <c:pt idx="242">
                  <c:v>52.8</c:v>
                </c:pt>
                <c:pt idx="243">
                  <c:v>53</c:v>
                </c:pt>
                <c:pt idx="244">
                  <c:v>53.2</c:v>
                </c:pt>
                <c:pt idx="245">
                  <c:v>53.5</c:v>
                </c:pt>
              </c:numCache>
            </c:numRef>
          </c:yVal>
          <c:smooth val="1"/>
          <c:extLst>
            <c:ext xmlns:c16="http://schemas.microsoft.com/office/drawing/2014/chart" uri="{C3380CC4-5D6E-409C-BE32-E72D297353CC}">
              <c16:uniqueId val="{00000000-0183-4572-A56D-2A93A8E613FA}"/>
            </c:ext>
          </c:extLst>
        </c:ser>
        <c:ser>
          <c:idx val="1"/>
          <c:order val="1"/>
          <c:tx>
            <c:v>Source Impedance</c:v>
          </c:tx>
          <c:spPr>
            <a:ln>
              <a:solidFill>
                <a:srgbClr val="FF0000"/>
              </a:solidFill>
            </a:ln>
          </c:spPr>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Design'!$CV$6:$CV$251</c:f>
              <c:numCache>
                <c:formatCode>0.00</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2.2061836394766701</c:v>
                </c:pt>
                <c:pt idx="19">
                  <c:v>2.3020975659025749</c:v>
                </c:pt>
                <c:pt idx="20">
                  <c:v>2.3980117703209007</c:v>
                </c:pt>
                <c:pt idx="21">
                  <c:v>2.4939262206576061</c:v>
                </c:pt>
                <c:pt idx="22">
                  <c:v>2.589840889590036</c:v>
                </c:pt>
                <c:pt idx="23">
                  <c:v>2.6857557536984653</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3.8367440186048443</c:v>
                </c:pt>
                <c:pt idx="36">
                  <c:v>3.9326602504069372</c:v>
                </c:pt>
                <c:pt idx="37">
                  <c:v>4.0285765379082026</c:v>
                </c:pt>
                <c:pt idx="38">
                  <c:v>4.1244928772227283</c:v>
                </c:pt>
                <c:pt idx="39">
                  <c:v>4.2204092648178877</c:v>
                </c:pt>
                <c:pt idx="40">
                  <c:v>4.3163256974750173</c:v>
                </c:pt>
                <c:pt idx="41">
                  <c:v>4.4122421722553726</c:v>
                </c:pt>
                <c:pt idx="42">
                  <c:v>4.5081586864702743</c:v>
                </c:pt>
                <c:pt idx="43">
                  <c:v>4.6040752376551</c:v>
                </c:pt>
                <c:pt idx="44">
                  <c:v>4.6999918235464433</c:v>
                </c:pt>
                <c:pt idx="45">
                  <c:v>4.7959084420619256</c:v>
                </c:pt>
                <c:pt idx="46">
                  <c:v>4.8918250912825316</c:v>
                </c:pt>
                <c:pt idx="47">
                  <c:v>4.9877417694368305</c:v>
                </c:pt>
                <c:pt idx="48">
                  <c:v>5.0836584748870779</c:v>
                </c:pt>
                <c:pt idx="49">
                  <c:v>5.1795752061168736</c:v>
                </c:pt>
                <c:pt idx="50">
                  <c:v>5.2754919617200606</c:v>
                </c:pt>
                <c:pt idx="51">
                  <c:v>5.3714087403909589</c:v>
                </c:pt>
                <c:pt idx="52">
                  <c:v>5.4673255409154731</c:v>
                </c:pt>
                <c:pt idx="53">
                  <c:v>5.5632423621632769</c:v>
                </c:pt>
                <c:pt idx="54">
                  <c:v>5.6591592030806463</c:v>
                </c:pt>
                <c:pt idx="55">
                  <c:v>5.7550760626841067</c:v>
                </c:pt>
                <c:pt idx="56">
                  <c:v>5.8509929400546969</c:v>
                </c:pt>
                <c:pt idx="57">
                  <c:v>5.9469098343327085</c:v>
                </c:pt>
                <c:pt idx="58">
                  <c:v>6.0428267447130528</c:v>
                </c:pt>
                <c:pt idx="59">
                  <c:v>6.1387436704409319</c:v>
                </c:pt>
                <c:pt idx="60">
                  <c:v>6.2346606108079943</c:v>
                </c:pt>
                <c:pt idx="61">
                  <c:v>6.3305775651488476</c:v>
                </c:pt>
                <c:pt idx="62">
                  <c:v>6.426494532837788</c:v>
                </c:pt>
                <c:pt idx="63">
                  <c:v>6.5224115132859524</c:v>
                </c:pt>
                <c:pt idx="64">
                  <c:v>6.618328505938579</c:v>
                </c:pt>
                <c:pt idx="65">
                  <c:v>6.7142455102726402</c:v>
                </c:pt>
                <c:pt idx="66">
                  <c:v>6.8101625257945511</c:v>
                </c:pt>
                <c:pt idx="67">
                  <c:v>6.9060795520381442</c:v>
                </c:pt>
                <c:pt idx="68">
                  <c:v>7.001996588562827</c:v>
                </c:pt>
                <c:pt idx="69">
                  <c:v>7.0979136349517775</c:v>
                </c:pt>
                <c:pt idx="70">
                  <c:v>7.1938306908104526</c:v>
                </c:pt>
                <c:pt idx="71">
                  <c:v>7.2897477557650383</c:v>
                </c:pt>
                <c:pt idx="72">
                  <c:v>7.3856648294611409</c:v>
                </c:pt>
                <c:pt idx="73">
                  <c:v>7.4815819115625697</c:v>
                </c:pt>
                <c:pt idx="74">
                  <c:v>7.5774990017501187</c:v>
                </c:pt>
                <c:pt idx="75">
                  <c:v>7.673416099720578</c:v>
                </c:pt>
                <c:pt idx="76">
                  <c:v>7.7693332051856867</c:v>
                </c:pt>
                <c:pt idx="77">
                  <c:v>7.8652503178712401</c:v>
                </c:pt>
                <c:pt idx="78">
                  <c:v>7.9611674375162789</c:v>
                </c:pt>
                <c:pt idx="79">
                  <c:v>8.0570845638722322</c:v>
                </c:pt>
                <c:pt idx="80">
                  <c:v>8.1530016967022689</c:v>
                </c:pt>
                <c:pt idx="81">
                  <c:v>8.2489188357805219</c:v>
                </c:pt>
                <c:pt idx="82">
                  <c:v>8.3448359808915651</c:v>
                </c:pt>
                <c:pt idx="83">
                  <c:v>8.4407531318297231</c:v>
                </c:pt>
                <c:pt idx="84">
                  <c:v>8.5366702883985663</c:v>
                </c:pt>
                <c:pt idx="85">
                  <c:v>8.6325874504104281</c:v>
                </c:pt>
                <c:pt idx="86">
                  <c:v>8.7285046176858483</c:v>
                </c:pt>
                <c:pt idx="87">
                  <c:v>8.824421790053206</c:v>
                </c:pt>
                <c:pt idx="88">
                  <c:v>8.9203389673482434</c:v>
                </c:pt>
                <c:pt idx="89">
                  <c:v>9.0162561494136799</c:v>
                </c:pt>
                <c:pt idx="90">
                  <c:v>9.112173336098893</c:v>
                </c:pt>
                <c:pt idx="91">
                  <c:v>9.2080905272594986</c:v>
                </c:pt>
                <c:pt idx="92">
                  <c:v>9.3040077227570954</c:v>
                </c:pt>
                <c:pt idx="93">
                  <c:v>9.3999249224589061</c:v>
                </c:pt>
                <c:pt idx="94">
                  <c:v>9.4958421262375481</c:v>
                </c:pt>
                <c:pt idx="95">
                  <c:v>9.5917593339707068</c:v>
                </c:pt>
                <c:pt idx="96">
                  <c:v>9.6876765455409135</c:v>
                </c:pt>
                <c:pt idx="97">
                  <c:v>9.7835937608353323</c:v>
                </c:pt>
                <c:pt idx="98">
                  <c:v>9.8795109797454721</c:v>
                </c:pt>
                <c:pt idx="99">
                  <c:v>9.9754282021670537</c:v>
                </c:pt>
                <c:pt idx="100">
                  <c:v>10.071345427999766</c:v>
                </c:pt>
                <c:pt idx="101">
                  <c:v>10.167262657147017</c:v>
                </c:pt>
                <c:pt idx="102">
                  <c:v>10.263179889515904</c:v>
                </c:pt>
                <c:pt idx="103">
                  <c:v>10.359097125016932</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12.181525096240435</c:v>
                </c:pt>
                <c:pt idx="123">
                  <c:v>12.277442379737138</c:v>
                </c:pt>
                <c:pt idx="124">
                  <c:v>12.373359665063427</c:v>
                </c:pt>
                <c:pt idx="125">
                  <c:v>12.469276952177076</c:v>
                </c:pt>
                <c:pt idx="126">
                  <c:v>12.565194241037158</c:v>
                </c:pt>
                <c:pt idx="127">
                  <c:v>12.661111531603982</c:v>
                </c:pt>
                <c:pt idx="128">
                  <c:v>12.757028823839043</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14.291705699072494</c:v>
                </c:pt>
                <c:pt idx="145">
                  <c:v>14.387623014745584</c:v>
                </c:pt>
                <c:pt idx="146">
                  <c:v>14.483540331555519</c:v>
                </c:pt>
                <c:pt idx="147">
                  <c:v>14.579457649479863</c:v>
                </c:pt>
                <c:pt idx="148">
                  <c:v>14.675374968496763</c:v>
                </c:pt>
                <c:pt idx="149">
                  <c:v>14.77129228858494</c:v>
                </c:pt>
                <c:pt idx="150">
                  <c:v>14.867209609723655</c:v>
                </c:pt>
                <c:pt idx="151">
                  <c:v>14.963126931892704</c:v>
                </c:pt>
                <c:pt idx="152">
                  <c:v>15.059044255072404</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17.07330824513982</c:v>
                </c:pt>
                <c:pt idx="174">
                  <c:v>17.169225586436959</c:v>
                </c:pt>
                <c:pt idx="175">
                  <c:v>17.265142928403066</c:v>
                </c:pt>
                <c:pt idx="176">
                  <c:v>17.361060271027064</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19.75899402241658</c:v>
                </c:pt>
                <c:pt idx="202">
                  <c:v>19.854911378934421</c:v>
                </c:pt>
                <c:pt idx="203">
                  <c:v>19.950828735884837</c:v>
                </c:pt>
                <c:pt idx="204">
                  <c:v>20.046746093261604</c:v>
                </c:pt>
                <c:pt idx="205">
                  <c:v>20.142663451058645</c:v>
                </c:pt>
                <c:pt idx="206">
                  <c:v>20.238580809269983</c:v>
                </c:pt>
                <c:pt idx="207">
                  <c:v>20.334498167889748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22.061010686814029</c:v>
                </c:pt>
                <c:pt idx="226">
                  <c:v>22.156928052212471</c:v>
                </c:pt>
                <c:pt idx="227">
                  <c:v>22.252845417922174</c:v>
                </c:pt>
                <c:pt idx="228">
                  <c:v>22.348762783939129</c:v>
                </c:pt>
                <c:pt idx="229">
                  <c:v>22.444680150259408</c:v>
                </c:pt>
                <c:pt idx="230">
                  <c:v>22.540597516879124</c:v>
                </c:pt>
                <c:pt idx="231">
                  <c:v>22.63651488379449</c:v>
                </c:pt>
                <c:pt idx="232">
                  <c:v>22.732432251001743</c:v>
                </c:pt>
                <c:pt idx="233">
                  <c:v>22.828349618497217</c:v>
                </c:pt>
                <c:pt idx="234">
                  <c:v>22.924266986277289</c:v>
                </c:pt>
                <c:pt idx="235">
                  <c:v>23.020184354338404</c:v>
                </c:pt>
                <c:pt idx="236">
                  <c:v>23.116101722677062</c:v>
                </c:pt>
                <c:pt idx="237">
                  <c:v>23.212019091289822</c:v>
                </c:pt>
                <c:pt idx="238">
                  <c:v>23.307936460173305</c:v>
                </c:pt>
                <c:pt idx="239">
                  <c:v>23.40385382932417</c:v>
                </c:pt>
                <c:pt idx="240">
                  <c:v>23.499771198739158</c:v>
                </c:pt>
                <c:pt idx="241">
                  <c:v>23.595688568415035</c:v>
                </c:pt>
                <c:pt idx="242">
                  <c:v>23.691605938348644</c:v>
                </c:pt>
                <c:pt idx="243">
                  <c:v>23.787523308536855</c:v>
                </c:pt>
                <c:pt idx="244">
                  <c:v>23.883440678976616</c:v>
                </c:pt>
                <c:pt idx="245">
                  <c:v>23.979358049664892</c:v>
                </c:pt>
              </c:numCache>
            </c:numRef>
          </c:yVal>
          <c:smooth val="1"/>
          <c:extLst>
            <c:ext xmlns:c16="http://schemas.microsoft.com/office/drawing/2014/chart" uri="{C3380CC4-5D6E-409C-BE32-E72D297353CC}">
              <c16:uniqueId val="{00000001-0183-4572-A56D-2A93A8E613FA}"/>
            </c:ext>
          </c:extLst>
        </c:ser>
        <c:ser>
          <c:idx val="2"/>
          <c:order val="2"/>
          <c:tx>
            <c:v>Source + Filter Impedance</c:v>
          </c:tx>
          <c:marker>
            <c:symbol val="none"/>
          </c:marker>
          <c:xVal>
            <c:numRef>
              <c:f>'Notch Filter Design'!$CT$6:$CT$251</c:f>
              <c:numCache>
                <c:formatCode>General</c:formatCode>
                <c:ptCount val="246"/>
                <c:pt idx="0">
                  <c:v>1</c:v>
                </c:pt>
                <c:pt idx="1">
                  <c:v>1.2</c:v>
                </c:pt>
                <c:pt idx="2">
                  <c:v>1.4</c:v>
                </c:pt>
                <c:pt idx="3">
                  <c:v>1.6</c:v>
                </c:pt>
                <c:pt idx="4">
                  <c:v>1.8</c:v>
                </c:pt>
                <c:pt idx="5">
                  <c:v>2</c:v>
                </c:pt>
                <c:pt idx="6">
                  <c:v>2.2000000000000002</c:v>
                </c:pt>
                <c:pt idx="7">
                  <c:v>2.4</c:v>
                </c:pt>
                <c:pt idx="8">
                  <c:v>2.6</c:v>
                </c:pt>
                <c:pt idx="9">
                  <c:v>2.8</c:v>
                </c:pt>
                <c:pt idx="10">
                  <c:v>3</c:v>
                </c:pt>
                <c:pt idx="11">
                  <c:v>3.2</c:v>
                </c:pt>
                <c:pt idx="12">
                  <c:v>3.4</c:v>
                </c:pt>
                <c:pt idx="13">
                  <c:v>3.6</c:v>
                </c:pt>
                <c:pt idx="14">
                  <c:v>3.8</c:v>
                </c:pt>
                <c:pt idx="15">
                  <c:v>4</c:v>
                </c:pt>
                <c:pt idx="16">
                  <c:v>4.2</c:v>
                </c:pt>
                <c:pt idx="17">
                  <c:v>4.4000000000000004</c:v>
                </c:pt>
                <c:pt idx="18">
                  <c:v>4.5999999999999996</c:v>
                </c:pt>
                <c:pt idx="19">
                  <c:v>4.8</c:v>
                </c:pt>
                <c:pt idx="20">
                  <c:v>5</c:v>
                </c:pt>
                <c:pt idx="21">
                  <c:v>5.2</c:v>
                </c:pt>
                <c:pt idx="22">
                  <c:v>5.4</c:v>
                </c:pt>
                <c:pt idx="23">
                  <c:v>5.6</c:v>
                </c:pt>
                <c:pt idx="24">
                  <c:v>5.8</c:v>
                </c:pt>
                <c:pt idx="25">
                  <c:v>6</c:v>
                </c:pt>
                <c:pt idx="26">
                  <c:v>6.2</c:v>
                </c:pt>
                <c:pt idx="27">
                  <c:v>6.4</c:v>
                </c:pt>
                <c:pt idx="28">
                  <c:v>6.6</c:v>
                </c:pt>
                <c:pt idx="29">
                  <c:v>6.8</c:v>
                </c:pt>
                <c:pt idx="30">
                  <c:v>7</c:v>
                </c:pt>
                <c:pt idx="31">
                  <c:v>7.2</c:v>
                </c:pt>
                <c:pt idx="32">
                  <c:v>7.4</c:v>
                </c:pt>
                <c:pt idx="33">
                  <c:v>7.6</c:v>
                </c:pt>
                <c:pt idx="34">
                  <c:v>7.8</c:v>
                </c:pt>
                <c:pt idx="35">
                  <c:v>8</c:v>
                </c:pt>
                <c:pt idx="36">
                  <c:v>8.1999999999999993</c:v>
                </c:pt>
                <c:pt idx="37">
                  <c:v>8.4</c:v>
                </c:pt>
                <c:pt idx="38">
                  <c:v>8.6</c:v>
                </c:pt>
                <c:pt idx="39">
                  <c:v>8.8000000000000007</c:v>
                </c:pt>
                <c:pt idx="40">
                  <c:v>9</c:v>
                </c:pt>
                <c:pt idx="41">
                  <c:v>9.1999999999999993</c:v>
                </c:pt>
                <c:pt idx="42">
                  <c:v>9.4</c:v>
                </c:pt>
                <c:pt idx="43">
                  <c:v>9.6</c:v>
                </c:pt>
                <c:pt idx="44">
                  <c:v>9.8000000000000007</c:v>
                </c:pt>
                <c:pt idx="45">
                  <c:v>10</c:v>
                </c:pt>
                <c:pt idx="46">
                  <c:v>10.199999999999999</c:v>
                </c:pt>
                <c:pt idx="47">
                  <c:v>10.4</c:v>
                </c:pt>
                <c:pt idx="48">
                  <c:v>10.6</c:v>
                </c:pt>
                <c:pt idx="49">
                  <c:v>10.8</c:v>
                </c:pt>
                <c:pt idx="50">
                  <c:v>11</c:v>
                </c:pt>
                <c:pt idx="51">
                  <c:v>11.2</c:v>
                </c:pt>
                <c:pt idx="52">
                  <c:v>11.4</c:v>
                </c:pt>
                <c:pt idx="53">
                  <c:v>11.6</c:v>
                </c:pt>
                <c:pt idx="54">
                  <c:v>11.8</c:v>
                </c:pt>
                <c:pt idx="55">
                  <c:v>12</c:v>
                </c:pt>
                <c:pt idx="56">
                  <c:v>12.2</c:v>
                </c:pt>
                <c:pt idx="57">
                  <c:v>12.4</c:v>
                </c:pt>
                <c:pt idx="58">
                  <c:v>12.6</c:v>
                </c:pt>
                <c:pt idx="59">
                  <c:v>12.8</c:v>
                </c:pt>
                <c:pt idx="60">
                  <c:v>13</c:v>
                </c:pt>
                <c:pt idx="61">
                  <c:v>13.2</c:v>
                </c:pt>
                <c:pt idx="62">
                  <c:v>13.4</c:v>
                </c:pt>
                <c:pt idx="63">
                  <c:v>13.6</c:v>
                </c:pt>
                <c:pt idx="64">
                  <c:v>13.8</c:v>
                </c:pt>
                <c:pt idx="65">
                  <c:v>14</c:v>
                </c:pt>
                <c:pt idx="66">
                  <c:v>14.2</c:v>
                </c:pt>
                <c:pt idx="67">
                  <c:v>14.4</c:v>
                </c:pt>
                <c:pt idx="68">
                  <c:v>14.6</c:v>
                </c:pt>
                <c:pt idx="69">
                  <c:v>14.8</c:v>
                </c:pt>
                <c:pt idx="70">
                  <c:v>15</c:v>
                </c:pt>
                <c:pt idx="71">
                  <c:v>15.2</c:v>
                </c:pt>
                <c:pt idx="72">
                  <c:v>15.4</c:v>
                </c:pt>
                <c:pt idx="73">
                  <c:v>15.6</c:v>
                </c:pt>
                <c:pt idx="74">
                  <c:v>15.8</c:v>
                </c:pt>
                <c:pt idx="75">
                  <c:v>16</c:v>
                </c:pt>
                <c:pt idx="76">
                  <c:v>16.2</c:v>
                </c:pt>
                <c:pt idx="77">
                  <c:v>16.399999999999999</c:v>
                </c:pt>
                <c:pt idx="78">
                  <c:v>16.600000000000001</c:v>
                </c:pt>
                <c:pt idx="79">
                  <c:v>16.8</c:v>
                </c:pt>
                <c:pt idx="80">
                  <c:v>17</c:v>
                </c:pt>
                <c:pt idx="81">
                  <c:v>17.2</c:v>
                </c:pt>
                <c:pt idx="82">
                  <c:v>17.399999999999999</c:v>
                </c:pt>
                <c:pt idx="83">
                  <c:v>17.600000000000001</c:v>
                </c:pt>
                <c:pt idx="84">
                  <c:v>17.8</c:v>
                </c:pt>
                <c:pt idx="85">
                  <c:v>18</c:v>
                </c:pt>
                <c:pt idx="86">
                  <c:v>18.2</c:v>
                </c:pt>
                <c:pt idx="87">
                  <c:v>18.399999999999999</c:v>
                </c:pt>
                <c:pt idx="88">
                  <c:v>18.600000000000001</c:v>
                </c:pt>
                <c:pt idx="89">
                  <c:v>18.8</c:v>
                </c:pt>
                <c:pt idx="90">
                  <c:v>19</c:v>
                </c:pt>
                <c:pt idx="91">
                  <c:v>19.2</c:v>
                </c:pt>
                <c:pt idx="92">
                  <c:v>19.399999999999999</c:v>
                </c:pt>
                <c:pt idx="93">
                  <c:v>19.600000000000001</c:v>
                </c:pt>
                <c:pt idx="94">
                  <c:v>19.8</c:v>
                </c:pt>
                <c:pt idx="95">
                  <c:v>20</c:v>
                </c:pt>
                <c:pt idx="96">
                  <c:v>20.2</c:v>
                </c:pt>
                <c:pt idx="97">
                  <c:v>20.399999999999999</c:v>
                </c:pt>
                <c:pt idx="98">
                  <c:v>20.6</c:v>
                </c:pt>
                <c:pt idx="99">
                  <c:v>20.8</c:v>
                </c:pt>
                <c:pt idx="100">
                  <c:v>21</c:v>
                </c:pt>
                <c:pt idx="101">
                  <c:v>21.2</c:v>
                </c:pt>
                <c:pt idx="102">
                  <c:v>21.4</c:v>
                </c:pt>
                <c:pt idx="103">
                  <c:v>21.6</c:v>
                </c:pt>
                <c:pt idx="104">
                  <c:v>21.8</c:v>
                </c:pt>
                <c:pt idx="105">
                  <c:v>22</c:v>
                </c:pt>
                <c:pt idx="106">
                  <c:v>22.2</c:v>
                </c:pt>
                <c:pt idx="107">
                  <c:v>22.4</c:v>
                </c:pt>
                <c:pt idx="108">
                  <c:v>22.6</c:v>
                </c:pt>
                <c:pt idx="109">
                  <c:v>22.8</c:v>
                </c:pt>
                <c:pt idx="110">
                  <c:v>23</c:v>
                </c:pt>
                <c:pt idx="111">
                  <c:v>23.2</c:v>
                </c:pt>
                <c:pt idx="112">
                  <c:v>23.4</c:v>
                </c:pt>
                <c:pt idx="113">
                  <c:v>23.6</c:v>
                </c:pt>
                <c:pt idx="114">
                  <c:v>23.8</c:v>
                </c:pt>
                <c:pt idx="115">
                  <c:v>24</c:v>
                </c:pt>
                <c:pt idx="116">
                  <c:v>24.2</c:v>
                </c:pt>
                <c:pt idx="117">
                  <c:v>24.4</c:v>
                </c:pt>
                <c:pt idx="118">
                  <c:v>24.6</c:v>
                </c:pt>
                <c:pt idx="119">
                  <c:v>24.8</c:v>
                </c:pt>
                <c:pt idx="120">
                  <c:v>25</c:v>
                </c:pt>
                <c:pt idx="121">
                  <c:v>25.2</c:v>
                </c:pt>
                <c:pt idx="122">
                  <c:v>25.4</c:v>
                </c:pt>
                <c:pt idx="123">
                  <c:v>25.6</c:v>
                </c:pt>
                <c:pt idx="124">
                  <c:v>25.8</c:v>
                </c:pt>
                <c:pt idx="125">
                  <c:v>26</c:v>
                </c:pt>
                <c:pt idx="126">
                  <c:v>26.2</c:v>
                </c:pt>
                <c:pt idx="127">
                  <c:v>26.4</c:v>
                </c:pt>
                <c:pt idx="128">
                  <c:v>26.6</c:v>
                </c:pt>
                <c:pt idx="129">
                  <c:v>26.8</c:v>
                </c:pt>
                <c:pt idx="130">
                  <c:v>27</c:v>
                </c:pt>
                <c:pt idx="131">
                  <c:v>27.2</c:v>
                </c:pt>
                <c:pt idx="132">
                  <c:v>27.4</c:v>
                </c:pt>
                <c:pt idx="133">
                  <c:v>27.6</c:v>
                </c:pt>
                <c:pt idx="134">
                  <c:v>27.8</c:v>
                </c:pt>
                <c:pt idx="135">
                  <c:v>28</c:v>
                </c:pt>
                <c:pt idx="136">
                  <c:v>28.2</c:v>
                </c:pt>
                <c:pt idx="137">
                  <c:v>28.4</c:v>
                </c:pt>
                <c:pt idx="138">
                  <c:v>28.6</c:v>
                </c:pt>
                <c:pt idx="139">
                  <c:v>28.8</c:v>
                </c:pt>
                <c:pt idx="140">
                  <c:v>29</c:v>
                </c:pt>
                <c:pt idx="141">
                  <c:v>29.2</c:v>
                </c:pt>
                <c:pt idx="142">
                  <c:v>29.4</c:v>
                </c:pt>
                <c:pt idx="143">
                  <c:v>29.6</c:v>
                </c:pt>
                <c:pt idx="144">
                  <c:v>29.8</c:v>
                </c:pt>
                <c:pt idx="145">
                  <c:v>30</c:v>
                </c:pt>
                <c:pt idx="146">
                  <c:v>30.2</c:v>
                </c:pt>
                <c:pt idx="147">
                  <c:v>30.4</c:v>
                </c:pt>
                <c:pt idx="148">
                  <c:v>30.6</c:v>
                </c:pt>
                <c:pt idx="149">
                  <c:v>30.8</c:v>
                </c:pt>
                <c:pt idx="150">
                  <c:v>31</c:v>
                </c:pt>
                <c:pt idx="151">
                  <c:v>31.2</c:v>
                </c:pt>
                <c:pt idx="152">
                  <c:v>31.4</c:v>
                </c:pt>
                <c:pt idx="153">
                  <c:v>31.6</c:v>
                </c:pt>
                <c:pt idx="154">
                  <c:v>31.8</c:v>
                </c:pt>
                <c:pt idx="155">
                  <c:v>32</c:v>
                </c:pt>
                <c:pt idx="156">
                  <c:v>32.200000000000003</c:v>
                </c:pt>
                <c:pt idx="157">
                  <c:v>32.4</c:v>
                </c:pt>
                <c:pt idx="158">
                  <c:v>32.6</c:v>
                </c:pt>
                <c:pt idx="159">
                  <c:v>32.799999999999997</c:v>
                </c:pt>
                <c:pt idx="160">
                  <c:v>33</c:v>
                </c:pt>
                <c:pt idx="161">
                  <c:v>33.200000000000003</c:v>
                </c:pt>
                <c:pt idx="162">
                  <c:v>33.4</c:v>
                </c:pt>
                <c:pt idx="163">
                  <c:v>33.6</c:v>
                </c:pt>
                <c:pt idx="164">
                  <c:v>33.799999999999997</c:v>
                </c:pt>
                <c:pt idx="165">
                  <c:v>34</c:v>
                </c:pt>
                <c:pt idx="166">
                  <c:v>34.200000000000003</c:v>
                </c:pt>
                <c:pt idx="167">
                  <c:v>34.4</c:v>
                </c:pt>
                <c:pt idx="168">
                  <c:v>34.6</c:v>
                </c:pt>
                <c:pt idx="169">
                  <c:v>34.799999999999997</c:v>
                </c:pt>
                <c:pt idx="170">
                  <c:v>35</c:v>
                </c:pt>
                <c:pt idx="171">
                  <c:v>35.200000000000003</c:v>
                </c:pt>
                <c:pt idx="172">
                  <c:v>35.4</c:v>
                </c:pt>
                <c:pt idx="173">
                  <c:v>35.6</c:v>
                </c:pt>
                <c:pt idx="174">
                  <c:v>35.799999999999997</c:v>
                </c:pt>
                <c:pt idx="175">
                  <c:v>36</c:v>
                </c:pt>
                <c:pt idx="176">
                  <c:v>36.200000000000003</c:v>
                </c:pt>
                <c:pt idx="177">
                  <c:v>36.4</c:v>
                </c:pt>
                <c:pt idx="178">
                  <c:v>36.6</c:v>
                </c:pt>
                <c:pt idx="179">
                  <c:v>36.799999999999997</c:v>
                </c:pt>
                <c:pt idx="180">
                  <c:v>37</c:v>
                </c:pt>
                <c:pt idx="181">
                  <c:v>37.200000000000003</c:v>
                </c:pt>
                <c:pt idx="182">
                  <c:v>37.4</c:v>
                </c:pt>
                <c:pt idx="183">
                  <c:v>37.6</c:v>
                </c:pt>
                <c:pt idx="184">
                  <c:v>37.799999999999997</c:v>
                </c:pt>
                <c:pt idx="185">
                  <c:v>38</c:v>
                </c:pt>
                <c:pt idx="186">
                  <c:v>38.200000000000003</c:v>
                </c:pt>
                <c:pt idx="187">
                  <c:v>38.4</c:v>
                </c:pt>
                <c:pt idx="188">
                  <c:v>38.6</c:v>
                </c:pt>
                <c:pt idx="189">
                  <c:v>38.799999999999997</c:v>
                </c:pt>
                <c:pt idx="190">
                  <c:v>39</c:v>
                </c:pt>
                <c:pt idx="191">
                  <c:v>39.200000000000003</c:v>
                </c:pt>
                <c:pt idx="192">
                  <c:v>39.4</c:v>
                </c:pt>
                <c:pt idx="193">
                  <c:v>39.6</c:v>
                </c:pt>
                <c:pt idx="194">
                  <c:v>39.799999999999997</c:v>
                </c:pt>
                <c:pt idx="195">
                  <c:v>40</c:v>
                </c:pt>
                <c:pt idx="196">
                  <c:v>40.200000000000003</c:v>
                </c:pt>
                <c:pt idx="197">
                  <c:v>40.4</c:v>
                </c:pt>
                <c:pt idx="198">
                  <c:v>40.6</c:v>
                </c:pt>
                <c:pt idx="199">
                  <c:v>40.799999999999997</c:v>
                </c:pt>
                <c:pt idx="200">
                  <c:v>41</c:v>
                </c:pt>
                <c:pt idx="201">
                  <c:v>41.2</c:v>
                </c:pt>
                <c:pt idx="202">
                  <c:v>41.4</c:v>
                </c:pt>
                <c:pt idx="203">
                  <c:v>41.6</c:v>
                </c:pt>
                <c:pt idx="204">
                  <c:v>41.8</c:v>
                </c:pt>
                <c:pt idx="205">
                  <c:v>42</c:v>
                </c:pt>
                <c:pt idx="206">
                  <c:v>42.2</c:v>
                </c:pt>
                <c:pt idx="207">
                  <c:v>42.4</c:v>
                </c:pt>
                <c:pt idx="208">
                  <c:v>42.6</c:v>
                </c:pt>
                <c:pt idx="209">
                  <c:v>42.8</c:v>
                </c:pt>
                <c:pt idx="210">
                  <c:v>43</c:v>
                </c:pt>
                <c:pt idx="211">
                  <c:v>43.2</c:v>
                </c:pt>
                <c:pt idx="212">
                  <c:v>43.4</c:v>
                </c:pt>
                <c:pt idx="213">
                  <c:v>43.6</c:v>
                </c:pt>
                <c:pt idx="214">
                  <c:v>43.8</c:v>
                </c:pt>
                <c:pt idx="215">
                  <c:v>44</c:v>
                </c:pt>
                <c:pt idx="216">
                  <c:v>44.2</c:v>
                </c:pt>
                <c:pt idx="217">
                  <c:v>44.4</c:v>
                </c:pt>
                <c:pt idx="218">
                  <c:v>44.6</c:v>
                </c:pt>
                <c:pt idx="219">
                  <c:v>44.8</c:v>
                </c:pt>
                <c:pt idx="220">
                  <c:v>45</c:v>
                </c:pt>
                <c:pt idx="221">
                  <c:v>45.2</c:v>
                </c:pt>
                <c:pt idx="222">
                  <c:v>45.4</c:v>
                </c:pt>
                <c:pt idx="223">
                  <c:v>45.6</c:v>
                </c:pt>
                <c:pt idx="224">
                  <c:v>45.8</c:v>
                </c:pt>
                <c:pt idx="225">
                  <c:v>46</c:v>
                </c:pt>
                <c:pt idx="226">
                  <c:v>46.2</c:v>
                </c:pt>
                <c:pt idx="227">
                  <c:v>46.4</c:v>
                </c:pt>
                <c:pt idx="228">
                  <c:v>46.6</c:v>
                </c:pt>
                <c:pt idx="229">
                  <c:v>46.8</c:v>
                </c:pt>
                <c:pt idx="230">
                  <c:v>47</c:v>
                </c:pt>
                <c:pt idx="231">
                  <c:v>47.2</c:v>
                </c:pt>
                <c:pt idx="232">
                  <c:v>47.4</c:v>
                </c:pt>
                <c:pt idx="233">
                  <c:v>47.6</c:v>
                </c:pt>
                <c:pt idx="234">
                  <c:v>47.8</c:v>
                </c:pt>
                <c:pt idx="235">
                  <c:v>48</c:v>
                </c:pt>
                <c:pt idx="236">
                  <c:v>48.2</c:v>
                </c:pt>
                <c:pt idx="237">
                  <c:v>48.4</c:v>
                </c:pt>
                <c:pt idx="238">
                  <c:v>48.6</c:v>
                </c:pt>
                <c:pt idx="239">
                  <c:v>48.8</c:v>
                </c:pt>
                <c:pt idx="240">
                  <c:v>49</c:v>
                </c:pt>
                <c:pt idx="241">
                  <c:v>49.2</c:v>
                </c:pt>
                <c:pt idx="242">
                  <c:v>49.4</c:v>
                </c:pt>
                <c:pt idx="243">
                  <c:v>49.6</c:v>
                </c:pt>
                <c:pt idx="244">
                  <c:v>49.8</c:v>
                </c:pt>
                <c:pt idx="245">
                  <c:v>50</c:v>
                </c:pt>
              </c:numCache>
            </c:numRef>
          </c:xVal>
          <c:yVal>
            <c:numRef>
              <c:f>'Notch Filter Design'!$CW$6:$CW$251</c:f>
              <c:numCache>
                <c:formatCode>General</c:formatCode>
                <c:ptCount val="246"/>
                <c:pt idx="0">
                  <c:v>0.48901946776842992</c:v>
                </c:pt>
                <c:pt idx="1">
                  <c:v>0.5918901608234246</c:v>
                </c:pt>
                <c:pt idx="2">
                  <c:v>0.6980684463168314</c:v>
                </c:pt>
                <c:pt idx="3">
                  <c:v>0.80854289150592706</c:v>
                </c:pt>
                <c:pt idx="4">
                  <c:v>0.92460969057102271</c:v>
                </c:pt>
                <c:pt idx="5">
                  <c:v>1.0480179084723857</c:v>
                </c:pt>
                <c:pt idx="6">
                  <c:v>1.1812041575446295</c:v>
                </c:pt>
                <c:pt idx="7">
                  <c:v>1.3276869577859807</c:v>
                </c:pt>
                <c:pt idx="8">
                  <c:v>1.4927637538253167</c:v>
                </c:pt>
                <c:pt idx="9">
                  <c:v>1.684821905181364</c:v>
                </c:pt>
                <c:pt idx="10">
                  <c:v>1.9180040991305833</c:v>
                </c:pt>
                <c:pt idx="11">
                  <c:v>2.2182014399880212</c:v>
                </c:pt>
                <c:pt idx="12">
                  <c:v>2.6384958991153349</c:v>
                </c:pt>
                <c:pt idx="13">
                  <c:v>3.3076293113639923</c:v>
                </c:pt>
                <c:pt idx="14">
                  <c:v>4.6395067197874296</c:v>
                </c:pt>
                <c:pt idx="15">
                  <c:v>9.0999675384626446</c:v>
                </c:pt>
                <c:pt idx="16">
                  <c:v>30.359569973759932</c:v>
                </c:pt>
                <c:pt idx="17">
                  <c:v>4.0202020318015927</c:v>
                </c:pt>
                <c:pt idx="18">
                  <c:v>1.5240856462222556</c:v>
                </c:pt>
                <c:pt idx="19">
                  <c:v>0.54553132247295821</c:v>
                </c:pt>
                <c:pt idx="20">
                  <c:v>1.079817514023711E-2</c:v>
                </c:pt>
                <c:pt idx="21">
                  <c:v>0.36223396867454799</c:v>
                </c:pt>
                <c:pt idx="22">
                  <c:v>0.629687625031775</c:v>
                </c:pt>
                <c:pt idx="23">
                  <c:v>0.84197512235544048</c:v>
                </c:pt>
                <c:pt idx="24">
                  <c:v>1.0192338055826324</c:v>
                </c:pt>
                <c:pt idx="25">
                  <c:v>1.1728576594113045</c:v>
                </c:pt>
                <c:pt idx="26">
                  <c:v>1.3097749901313698</c:v>
                </c:pt>
                <c:pt idx="27">
                  <c:v>1.4344411783056668</c:v>
                </c:pt>
                <c:pt idx="28">
                  <c:v>1.5498520063974002</c:v>
                </c:pt>
                <c:pt idx="29">
                  <c:v>1.6580964644213045</c:v>
                </c:pt>
                <c:pt idx="30">
                  <c:v>1.7606759850137284</c:v>
                </c:pt>
                <c:pt idx="31">
                  <c:v>1.858697664702748</c:v>
                </c:pt>
                <c:pt idx="32">
                  <c:v>1.952995922055778</c:v>
                </c:pt>
                <c:pt idx="33">
                  <c:v>2.044211718375859</c:v>
                </c:pt>
                <c:pt idx="34">
                  <c:v>2.1328456638364655</c:v>
                </c:pt>
                <c:pt idx="35">
                  <c:v>2.2192945303935008</c:v>
                </c:pt>
                <c:pt idx="36">
                  <c:v>2.3038769217494446</c:v>
                </c:pt>
                <c:pt idx="37">
                  <c:v>2.3868516805869042</c:v>
                </c:pt>
                <c:pt idx="38">
                  <c:v>2.4684313230424113</c:v>
                </c:pt>
                <c:pt idx="39">
                  <c:v>2.5487920007061704</c:v>
                </c:pt>
                <c:pt idx="40">
                  <c:v>2.6280809944533376</c:v>
                </c:pt>
                <c:pt idx="41">
                  <c:v>2.7064224255804654</c:v>
                </c:pt>
                <c:pt idx="42">
                  <c:v>2.7839216604173278</c:v>
                </c:pt>
                <c:pt idx="43">
                  <c:v>2.8606687445397045</c:v>
                </c:pt>
                <c:pt idx="44">
                  <c:v>2.9367411073605401</c:v>
                </c:pt>
                <c:pt idx="45">
                  <c:v>3.0122057119183725</c:v>
                </c:pt>
                <c:pt idx="46">
                  <c:v>3.0871207783784493</c:v>
                </c:pt>
                <c:pt idx="47">
                  <c:v>3.1615371768173164</c:v>
                </c:pt>
                <c:pt idx="48">
                  <c:v>3.2354995611224266</c:v>
                </c:pt>
                <c:pt idx="49">
                  <c:v>3.3090472985363828</c:v>
                </c:pt>
                <c:pt idx="50">
                  <c:v>3.3822152366235807</c:v>
                </c:pt>
                <c:pt idx="51">
                  <c:v>3.4550343399480186</c:v>
                </c:pt>
                <c:pt idx="52">
                  <c:v>3.527532221617999</c:v>
                </c:pt>
                <c:pt idx="53">
                  <c:v>3.599733589448125</c:v>
                </c:pt>
                <c:pt idx="54">
                  <c:v>3.6716606223552661</c:v>
                </c:pt>
                <c:pt idx="55">
                  <c:v>3.7433332894208733</c:v>
                </c:pt>
                <c:pt idx="56">
                  <c:v>3.8147696215805222</c:v>
                </c:pt>
                <c:pt idx="57">
                  <c:v>3.8859859439689086</c:v>
                </c:pt>
                <c:pt idx="58">
                  <c:v>3.9569970754295354</c:v>
                </c:pt>
                <c:pt idx="59">
                  <c:v>4.0278165004927899</c:v>
                </c:pt>
                <c:pt idx="60">
                  <c:v>4.0984565181693577</c:v>
                </c:pt>
                <c:pt idx="61">
                  <c:v>4.1689283711366425</c:v>
                </c:pt>
                <c:pt idx="62">
                  <c:v>4.2392423582776688</c:v>
                </c:pt>
                <c:pt idx="63">
                  <c:v>4.3094079330319035</c:v>
                </c:pt>
                <c:pt idx="64">
                  <c:v>4.3794337896089859</c:v>
                </c:pt>
                <c:pt idx="65">
                  <c:v>4.4493279387847862</c:v>
                </c:pt>
                <c:pt idx="66">
                  <c:v>4.5190977747249255</c:v>
                </c:pt>
                <c:pt idx="67">
                  <c:v>4.5887501340563395</c:v>
                </c:pt>
                <c:pt idx="68">
                  <c:v>4.6582913482206321</c:v>
                </c:pt>
                <c:pt idx="69">
                  <c:v>4.7277272899879055</c:v>
                </c:pt>
                <c:pt idx="70">
                  <c:v>4.7970634148805615</c:v>
                </c:pt>
                <c:pt idx="71">
                  <c:v>4.8663047981490388</c:v>
                </c:pt>
                <c:pt idx="72">
                  <c:v>4.9354561678482458</c:v>
                </c:pt>
                <c:pt idx="73">
                  <c:v>5.0045219344904801</c:v>
                </c:pt>
                <c:pt idx="74">
                  <c:v>5.0735062176815857</c:v>
                </c:pt>
                <c:pt idx="75">
                  <c:v>5.1424128700955203</c:v>
                </c:pt>
                <c:pt idx="76">
                  <c:v>5.211245499093704</c:v>
                </c:pt>
                <c:pt idx="77">
                  <c:v>5.2800074862566886</c:v>
                </c:pt>
                <c:pt idx="78">
                  <c:v>5.3487020050603125</c:v>
                </c:pt>
                <c:pt idx="79">
                  <c:v>5.4173320369005573</c:v>
                </c:pt>
                <c:pt idx="80">
                  <c:v>5.4859003856454498</c:v>
                </c:pt>
                <c:pt idx="81">
                  <c:v>5.5544096908700098</c:v>
                </c:pt>
                <c:pt idx="82">
                  <c:v>5.622862439912554</c:v>
                </c:pt>
                <c:pt idx="83">
                  <c:v>5.6912609788737525</c:v>
                </c:pt>
                <c:pt idx="84">
                  <c:v>5.7596075226654255</c:v>
                </c:pt>
                <c:pt idx="85">
                  <c:v>5.8279041642047593</c:v>
                </c:pt>
                <c:pt idx="86">
                  <c:v>5.8961528828373675</c:v>
                </c:pt>
                <c:pt idx="87">
                  <c:v>5.9643555520646023</c:v>
                </c:pt>
                <c:pt idx="88">
                  <c:v>6.0325139466417239</c:v>
                </c:pt>
                <c:pt idx="89">
                  <c:v>6.1006297491059591</c:v>
                </c:pt>
                <c:pt idx="90">
                  <c:v>6.1687045557880262</c:v>
                </c:pt>
                <c:pt idx="91">
                  <c:v>6.2367398823540379</c:v>
                </c:pt>
                <c:pt idx="92">
                  <c:v>6.3047371689206946</c:v>
                </c:pt>
                <c:pt idx="93">
                  <c:v>6.3726977847817574</c:v>
                </c:pt>
                <c:pt idx="94">
                  <c:v>6.4406230327801124</c:v>
                </c:pt>
                <c:pt idx="95">
                  <c:v>6.5085141533563649</c:v>
                </c:pt>
                <c:pt idx="96">
                  <c:v>6.5763723283013444</c:v>
                </c:pt>
                <c:pt idx="97">
                  <c:v>6.6441986842385106</c:v>
                </c:pt>
                <c:pt idx="98">
                  <c:v>6.7119942958577266</c:v>
                </c:pt>
                <c:pt idx="99">
                  <c:v>6.779760188922209</c:v>
                </c:pt>
                <c:pt idx="100">
                  <c:v>6.8474973430661823</c:v>
                </c:pt>
                <c:pt idx="101">
                  <c:v>6.9152066944006112</c:v>
                </c:pt>
                <c:pt idx="102">
                  <c:v>6.9828891379424292</c:v>
                </c:pt>
                <c:pt idx="103">
                  <c:v>7.0505455298808055</c:v>
                </c:pt>
                <c:pt idx="104">
                  <c:v>7.1181766896934864</c:v>
                </c:pt>
                <c:pt idx="105">
                  <c:v>7.185783402124736</c:v>
                </c:pt>
                <c:pt idx="106">
                  <c:v>7.2533664190348137</c:v>
                </c:pt>
                <c:pt idx="107">
                  <c:v>7.3209264611317311</c:v>
                </c:pt>
                <c:pt idx="108">
                  <c:v>7.3884642195932431</c:v>
                </c:pt>
                <c:pt idx="109">
                  <c:v>7.4559803575872845</c:v>
                </c:pt>
                <c:pt idx="110">
                  <c:v>7.5234755116984893</c:v>
                </c:pt>
                <c:pt idx="111">
                  <c:v>7.5909502932673432</c:v>
                </c:pt>
                <c:pt idx="112">
                  <c:v>7.6584052896483401</c:v>
                </c:pt>
                <c:pt idx="113">
                  <c:v>7.7258410653926877</c:v>
                </c:pt>
                <c:pt idx="114">
                  <c:v>7.7932581633610285</c:v>
                </c:pt>
                <c:pt idx="115">
                  <c:v>7.8606571057707537</c:v>
                </c:pt>
                <c:pt idx="116">
                  <c:v>7.9280383951826163</c:v>
                </c:pt>
                <c:pt idx="117">
                  <c:v>7.9954025154307837</c:v>
                </c:pt>
                <c:pt idx="118">
                  <c:v>8.0627499324997416</c:v>
                </c:pt>
                <c:pt idx="119">
                  <c:v>8.1300810953519687</c:v>
                </c:pt>
                <c:pt idx="120">
                  <c:v>8.1973964367093846</c:v>
                </c:pt>
                <c:pt idx="121">
                  <c:v>8.2646963737918053</c:v>
                </c:pt>
                <c:pt idx="122">
                  <c:v>8.3319813090148749</c:v>
                </c:pt>
                <c:pt idx="123">
                  <c:v>8.3992516306503742</c:v>
                </c:pt>
                <c:pt idx="124">
                  <c:v>8.4665077134507314</c:v>
                </c:pt>
                <c:pt idx="125">
                  <c:v>8.5337499192408917</c:v>
                </c:pt>
                <c:pt idx="126">
                  <c:v>8.6009785974787167</c:v>
                </c:pt>
                <c:pt idx="127">
                  <c:v>8.6681940857861512</c:v>
                </c:pt>
                <c:pt idx="128">
                  <c:v>8.7353967104530241</c:v>
                </c:pt>
                <c:pt idx="129">
                  <c:v>8.8025867869149561</c:v>
                </c:pt>
                <c:pt idx="130">
                  <c:v>8.8697646202074569</c:v>
                </c:pt>
                <c:pt idx="131">
                  <c:v>8.9369305053963366</c:v>
                </c:pt>
                <c:pt idx="132">
                  <c:v>9.004084727987502</c:v>
                </c:pt>
                <c:pt idx="133">
                  <c:v>9.0712275643160218</c:v>
                </c:pt>
                <c:pt idx="134">
                  <c:v>9.1383592819163475</c:v>
                </c:pt>
                <c:pt idx="135">
                  <c:v>9.2054801398744122</c:v>
                </c:pt>
                <c:pt idx="136">
                  <c:v>9.2725903891629606</c:v>
                </c:pt>
                <c:pt idx="137">
                  <c:v>9.3396902729606452</c:v>
                </c:pt>
                <c:pt idx="138">
                  <c:v>9.4067800269561967</c:v>
                </c:pt>
                <c:pt idx="139">
                  <c:v>9.4738598796382902</c:v>
                </c:pt>
                <c:pt idx="140">
                  <c:v>9.5409300525717864</c:v>
                </c:pt>
                <c:pt idx="141">
                  <c:v>9.6079907606613482</c:v>
                </c:pt>
                <c:pt idx="142">
                  <c:v>9.6750422124030351</c:v>
                </c:pt>
                <c:pt idx="143">
                  <c:v>9.7420846101242322</c:v>
                </c:pt>
                <c:pt idx="144">
                  <c:v>9.8091181502129583</c:v>
                </c:pt>
                <c:pt idx="145">
                  <c:v>9.8761430233369278</c:v>
                </c:pt>
                <c:pt idx="146">
                  <c:v>9.9431594146528202</c:v>
                </c:pt>
                <c:pt idx="147">
                  <c:v>10.010167504006249</c:v>
                </c:pt>
                <c:pt idx="148">
                  <c:v>10.077167466123159</c:v>
                </c:pt>
                <c:pt idx="149">
                  <c:v>10.144159470792998</c:v>
                </c:pt>
                <c:pt idx="150">
                  <c:v>10.211143683043767</c:v>
                </c:pt>
                <c:pt idx="151">
                  <c:v>10.278120263309431</c:v>
                </c:pt>
                <c:pt idx="152">
                  <c:v>10.345089367591129</c:v>
                </c:pt>
                <c:pt idx="153">
                  <c:v>10.412051147610555</c:v>
                </c:pt>
                <c:pt idx="154">
                  <c:v>10.479005750957267</c:v>
                </c:pt>
                <c:pt idx="155">
                  <c:v>10.545953321230378</c:v>
                </c:pt>
                <c:pt idx="156">
                  <c:v>10.612893998173842</c:v>
                </c:pt>
                <c:pt idx="157">
                  <c:v>10.679827917806163</c:v>
                </c:pt>
                <c:pt idx="158">
                  <c:v>10.746755212545688</c:v>
                </c:pt>
                <c:pt idx="159">
                  <c:v>10.813676011329395</c:v>
                </c:pt>
                <c:pt idx="160">
                  <c:v>10.880590439728701</c:v>
                </c:pt>
                <c:pt idx="161">
                  <c:v>10.947498620059051</c:v>
                </c:pt>
                <c:pt idx="162">
                  <c:v>11.014400671486218</c:v>
                </c:pt>
                <c:pt idx="163">
                  <c:v>11.081296710128191</c:v>
                </c:pt>
                <c:pt idx="164">
                  <c:v>11.14818684915258</c:v>
                </c:pt>
                <c:pt idx="165">
                  <c:v>11.215071198871419</c:v>
                </c:pt>
                <c:pt idx="166">
                  <c:v>11.281949866830747</c:v>
                </c:pt>
                <c:pt idx="167">
                  <c:v>11.348822957898417</c:v>
                </c:pt>
                <c:pt idx="168">
                  <c:v>11.41569057434749</c:v>
                </c:pt>
                <c:pt idx="169">
                  <c:v>11.482552815936527</c:v>
                </c:pt>
                <c:pt idx="170">
                  <c:v>11.549409779987693</c:v>
                </c:pt>
                <c:pt idx="171">
                  <c:v>11.616261561461151</c:v>
                </c:pt>
                <c:pt idx="172">
                  <c:v>11.68310825302696</c:v>
                </c:pt>
                <c:pt idx="173">
                  <c:v>11.749949945134478</c:v>
                </c:pt>
                <c:pt idx="174">
                  <c:v>11.816786726079147</c:v>
                </c:pt>
                <c:pt idx="175">
                  <c:v>11.883618682066704</c:v>
                </c:pt>
                <c:pt idx="176">
                  <c:v>11.950445897275367</c:v>
                </c:pt>
                <c:pt idx="177">
                  <c:v>12.017268453915642</c:v>
                </c:pt>
                <c:pt idx="178">
                  <c:v>12.084086432288021</c:v>
                </c:pt>
                <c:pt idx="179">
                  <c:v>12.150899910838666</c:v>
                </c:pt>
                <c:pt idx="180">
                  <c:v>12.217708966213031</c:v>
                </c:pt>
                <c:pt idx="181">
                  <c:v>12.284513673307831</c:v>
                </c:pt>
                <c:pt idx="182">
                  <c:v>12.35131410532107</c:v>
                </c:pt>
                <c:pt idx="183">
                  <c:v>12.418110333800318</c:v>
                </c:pt>
                <c:pt idx="184">
                  <c:v>12.484902428689415</c:v>
                </c:pt>
                <c:pt idx="185">
                  <c:v>12.551690458373464</c:v>
                </c:pt>
                <c:pt idx="186">
                  <c:v>12.618474489722653</c:v>
                </c:pt>
                <c:pt idx="187">
                  <c:v>12.68525458813412</c:v>
                </c:pt>
                <c:pt idx="188">
                  <c:v>12.752030817572674</c:v>
                </c:pt>
                <c:pt idx="189">
                  <c:v>12.818803240610082</c:v>
                </c:pt>
                <c:pt idx="190">
                  <c:v>12.885571918463478</c:v>
                </c:pt>
                <c:pt idx="191">
                  <c:v>12.952336911031555</c:v>
                </c:pt>
                <c:pt idx="192">
                  <c:v>13.019098276930753</c:v>
                </c:pt>
                <c:pt idx="193">
                  <c:v>13.08585607352909</c:v>
                </c:pt>
                <c:pt idx="194">
                  <c:v>13.152610356980215</c:v>
                </c:pt>
                <c:pt idx="195">
                  <c:v>13.219361182254755</c:v>
                </c:pt>
                <c:pt idx="196">
                  <c:v>13.286108603172567</c:v>
                </c:pt>
                <c:pt idx="197">
                  <c:v>13.352852672431878</c:v>
                </c:pt>
                <c:pt idx="198">
                  <c:v>13.419593441639655</c:v>
                </c:pt>
                <c:pt idx="199">
                  <c:v>13.486330961339021</c:v>
                </c:pt>
                <c:pt idx="200">
                  <c:v>13.553065281037343</c:v>
                </c:pt>
                <c:pt idx="201">
                  <c:v>13.619796449232537</c:v>
                </c:pt>
                <c:pt idx="202">
                  <c:v>13.686524513439059</c:v>
                </c:pt>
                <c:pt idx="203">
                  <c:v>13.753249520212719</c:v>
                </c:pt>
                <c:pt idx="204">
                  <c:v>13.819971515175165</c:v>
                </c:pt>
                <c:pt idx="205">
                  <c:v>13.886690543036892</c:v>
                </c:pt>
                <c:pt idx="206">
                  <c:v>13.95340664762073</c:v>
                </c:pt>
                <c:pt idx="207">
                  <c:v>14.020119871883562</c:v>
                </c:pt>
                <c:pt idx="208">
                  <c:v>14.086830257937594</c:v>
                </c:pt>
                <c:pt idx="209">
                  <c:v>14.15353784707149</c:v>
                </c:pt>
                <c:pt idx="210">
                  <c:v>14.220242679770438</c:v>
                </c:pt>
                <c:pt idx="211">
                  <c:v>14.286944795735771</c:v>
                </c:pt>
                <c:pt idx="212">
                  <c:v>14.353644233903957</c:v>
                </c:pt>
                <c:pt idx="213">
                  <c:v>14.420341032465</c:v>
                </c:pt>
                <c:pt idx="214">
                  <c:v>14.487035228880535</c:v>
                </c:pt>
                <c:pt idx="215">
                  <c:v>14.553726859900939</c:v>
                </c:pt>
                <c:pt idx="216">
                  <c:v>14.620415961582809</c:v>
                </c:pt>
                <c:pt idx="217">
                  <c:v>14.687102569304701</c:v>
                </c:pt>
                <c:pt idx="218">
                  <c:v>14.753786717783573</c:v>
                </c:pt>
                <c:pt idx="219">
                  <c:v>14.820468441089931</c:v>
                </c:pt>
                <c:pt idx="220">
                  <c:v>14.887147772663516</c:v>
                </c:pt>
                <c:pt idx="221">
                  <c:v>14.953824745327077</c:v>
                </c:pt>
                <c:pt idx="222">
                  <c:v>15.020499391301625</c:v>
                </c:pt>
                <c:pt idx="223">
                  <c:v>15.087171742218967</c:v>
                </c:pt>
                <c:pt idx="224">
                  <c:v>15.153841829136663</c:v>
                </c:pt>
                <c:pt idx="225">
                  <c:v>15.220509682549988</c:v>
                </c:pt>
                <c:pt idx="226">
                  <c:v>15.287175332405251</c:v>
                </c:pt>
                <c:pt idx="227">
                  <c:v>15.353838808111883</c:v>
                </c:pt>
                <c:pt idx="228">
                  <c:v>15.420500138554635</c:v>
                </c:pt>
                <c:pt idx="229">
                  <c:v>15.4871593521052</c:v>
                </c:pt>
                <c:pt idx="230">
                  <c:v>15.553816476633983</c:v>
                </c:pt>
                <c:pt idx="231">
                  <c:v>15.620471539520715</c:v>
                </c:pt>
                <c:pt idx="232">
                  <c:v>15.68712456766516</c:v>
                </c:pt>
                <c:pt idx="233">
                  <c:v>15.753775587498591</c:v>
                </c:pt>
                <c:pt idx="234">
                  <c:v>15.820424624992915</c:v>
                </c:pt>
                <c:pt idx="235">
                  <c:v>15.887071705671358</c:v>
                </c:pt>
                <c:pt idx="236">
                  <c:v>15.953716854617868</c:v>
                </c:pt>
                <c:pt idx="237">
                  <c:v>16.020360096486716</c:v>
                </c:pt>
                <c:pt idx="238">
                  <c:v>16.087001455511491</c:v>
                </c:pt>
                <c:pt idx="239">
                  <c:v>16.153640955514504</c:v>
                </c:pt>
                <c:pt idx="240">
                  <c:v>16.220278619915295</c:v>
                </c:pt>
                <c:pt idx="241">
                  <c:v>16.286914471738907</c:v>
                </c:pt>
                <c:pt idx="242">
                  <c:v>16.353548533624519</c:v>
                </c:pt>
                <c:pt idx="243">
                  <c:v>16.420180827833718</c:v>
                </c:pt>
                <c:pt idx="244">
                  <c:v>16.486811376258114</c:v>
                </c:pt>
                <c:pt idx="245">
                  <c:v>16.55344020042654</c:v>
                </c:pt>
              </c:numCache>
            </c:numRef>
          </c:yVal>
          <c:smooth val="1"/>
          <c:extLst>
            <c:ext xmlns:c16="http://schemas.microsoft.com/office/drawing/2014/chart" uri="{C3380CC4-5D6E-409C-BE32-E72D297353CC}">
              <c16:uniqueId val="{00000002-0183-4572-A56D-2A93A8E613FA}"/>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8.3813274322358411E-2"/>
          <c:y val="0.13453863928777682"/>
          <c:w val="0.85078639180979543"/>
          <c:h val="0.1101086472635374"/>
        </c:manualLayout>
      </c:layout>
      <c:overlay val="0"/>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r>
              <a:rPr lang="en-US" b="1">
                <a:solidFill>
                  <a:srgbClr val="0E9ED9"/>
                </a:solidFill>
              </a:rPr>
              <a:t>Tuning</a:t>
            </a:r>
            <a:r>
              <a:rPr lang="en-US" b="1" baseline="0">
                <a:solidFill>
                  <a:srgbClr val="0E9ED9"/>
                </a:solidFill>
              </a:rPr>
              <a:t> Reactor </a:t>
            </a:r>
            <a:r>
              <a:rPr lang="en-US" b="1">
                <a:solidFill>
                  <a:srgbClr val="0E9ED9"/>
                </a:solidFill>
              </a:rPr>
              <a:t>Harmonic</a:t>
            </a:r>
            <a:r>
              <a:rPr lang="en-US" b="1" baseline="0">
                <a:solidFill>
                  <a:srgbClr val="0E9ED9"/>
                </a:solidFill>
              </a:rPr>
              <a:t> Current Comparison </a:t>
            </a:r>
            <a:endParaRPr lang="en-US" b="1">
              <a:solidFill>
                <a:srgbClr val="0E9ED9"/>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endParaRPr lang="en-US"/>
        </a:p>
      </c:txPr>
    </c:title>
    <c:autoTitleDeleted val="0"/>
    <c:plotArea>
      <c:layout/>
      <c:barChart>
        <c:barDir val="col"/>
        <c:grouping val="clustered"/>
        <c:varyColors val="0"/>
        <c:ser>
          <c:idx val="1"/>
          <c:order val="0"/>
          <c:tx>
            <c:v>(In) Filter Current</c:v>
          </c:tx>
          <c:spPr>
            <a:solidFill>
              <a:schemeClr val="tx2">
                <a:lumMod val="20000"/>
                <a:lumOff val="80000"/>
              </a:schemeClr>
            </a:solidFill>
            <a:ln>
              <a:noFill/>
            </a:ln>
            <a:effectLst/>
          </c:spPr>
          <c:invertIfNegative val="0"/>
          <c:cat>
            <c:strRef>
              <c:f>'HP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'HP Filter Design'!$ED$4:$ED$19</c:f>
              <c:numCache>
                <c:formatCode>0</c:formatCode>
                <c:ptCount val="16"/>
                <c:pt idx="0">
                  <c:v>139.06207267383917</c:v>
                </c:pt>
                <c:pt idx="1">
                  <c:v>0</c:v>
                </c:pt>
                <c:pt idx="2">
                  <c:v>0</c:v>
                </c:pt>
                <c:pt idx="3">
                  <c:v>0</c:v>
                </c:pt>
                <c:pt idx="4">
                  <c:v>100</c:v>
                </c:pt>
                <c:pt idx="5">
                  <c:v>100</c:v>
                </c:pt>
                <c:pt idx="6">
                  <c:v>100</c:v>
                </c:pt>
                <c:pt idx="7">
                  <c:v>0</c:v>
                </c:pt>
                <c:pt idx="8">
                  <c:v>0</c:v>
                </c:pt>
                <c:pt idx="9">
                  <c:v>0</c:v>
                </c:pt>
                <c:pt idx="10">
                  <c:v>0</c:v>
                </c:pt>
                <c:pt idx="11">
                  <c:v>0</c:v>
                </c:pt>
                <c:pt idx="12">
                  <c:v>0</c:v>
                </c:pt>
                <c:pt idx="13">
                  <c:v>0</c:v>
                </c:pt>
                <c:pt idx="14">
                  <c:v>0</c:v>
                </c:pt>
                <c:pt idx="15">
                  <c:v>0</c:v>
                </c:pt>
              </c:numCache>
            </c:numRef>
          </c:val>
          <c:extLst xmlns:c15="http://schemas.microsoft.com/office/drawing/2012/chart">
            <c:ext xmlns:c16="http://schemas.microsoft.com/office/drawing/2014/chart" uri="{C3380CC4-5D6E-409C-BE32-E72D297353CC}">
              <c16:uniqueId val="{00000004-24CA-478E-A531-5019D5E72012}"/>
            </c:ext>
          </c:extLst>
        </c:ser>
        <c:ser>
          <c:idx val="2"/>
          <c:order val="1"/>
          <c:tx>
            <c:v>Calculated Reactor Current</c:v>
          </c:tx>
          <c:spPr>
            <a:solidFill>
              <a:srgbClr val="00B0F0"/>
            </a:solidFill>
            <a:ln>
              <a:noFill/>
            </a:ln>
            <a:effectLst/>
          </c:spPr>
          <c:invertIfNegative val="0"/>
          <c:cat>
            <c:strRef>
              <c:f>'HP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'HP Filter Design'!$EE$4:$EE$19</c:f>
              <c:numCache>
                <c:formatCode>0.00</c:formatCode>
                <c:ptCount val="16"/>
                <c:pt idx="0">
                  <c:v>138.98391185794279</c:v>
                </c:pt>
                <c:pt idx="1">
                  <c:v>0</c:v>
                </c:pt>
                <c:pt idx="2">
                  <c:v>0</c:v>
                </c:pt>
                <c:pt idx="3">
                  <c:v>0</c:v>
                </c:pt>
                <c:pt idx="4">
                  <c:v>99.203368333751428</c:v>
                </c:pt>
                <c:pt idx="5">
                  <c:v>98.479158413784276</c:v>
                </c:pt>
                <c:pt idx="6">
                  <c:v>96.398133939080594</c:v>
                </c:pt>
                <c:pt idx="7">
                  <c:v>0</c:v>
                </c:pt>
                <c:pt idx="8">
                  <c:v>0</c:v>
                </c:pt>
                <c:pt idx="9">
                  <c:v>0</c:v>
                </c:pt>
                <c:pt idx="10">
                  <c:v>0</c:v>
                </c:pt>
                <c:pt idx="11">
                  <c:v>0</c:v>
                </c:pt>
                <c:pt idx="12">
                  <c:v>0</c:v>
                </c:pt>
                <c:pt idx="13">
                  <c:v>0</c:v>
                </c:pt>
                <c:pt idx="14">
                  <c:v>0</c:v>
                </c:pt>
                <c:pt idx="15">
                  <c:v>0</c:v>
                </c:pt>
              </c:numCache>
            </c:numRef>
          </c:val>
          <c:extLst xmlns:c15="http://schemas.microsoft.com/office/drawing/2012/chart">
            <c:ext xmlns:c16="http://schemas.microsoft.com/office/drawing/2014/chart" uri="{C3380CC4-5D6E-409C-BE32-E72D297353CC}">
              <c16:uniqueId val="{00000000-24CA-478E-A531-5019D5E72012}"/>
            </c:ext>
          </c:extLst>
        </c:ser>
        <c:ser>
          <c:idx val="3"/>
          <c:order val="2"/>
          <c:tx>
            <c:v>VarStec Reactor Rating</c:v>
          </c:tx>
          <c:spPr>
            <a:solidFill>
              <a:srgbClr val="FF0000"/>
            </a:solidFill>
            <a:ln>
              <a:noFill/>
            </a:ln>
            <a:effectLst/>
          </c:spPr>
          <c:invertIfNegative val="0"/>
          <c:cat>
            <c:strRef>
              <c:f>'HP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'HP Filter Design'!$EF$4:$EF$19</c:f>
              <c:numCache>
                <c:formatCode>0</c:formatCode>
                <c:ptCount val="16"/>
                <c:pt idx="0">
                  <c:v>208.47586778691419</c:v>
                </c:pt>
                <c:pt idx="1">
                  <c:v>0</c:v>
                </c:pt>
                <c:pt idx="2">
                  <c:v>0</c:v>
                </c:pt>
                <c:pt idx="3">
                  <c:v>0</c:v>
                </c:pt>
                <c:pt idx="4">
                  <c:v>148.80505250062714</c:v>
                </c:pt>
                <c:pt idx="5">
                  <c:v>147.71873762067642</c:v>
                </c:pt>
                <c:pt idx="6">
                  <c:v>144.59720090862089</c:v>
                </c:pt>
                <c:pt idx="7">
                  <c:v>0</c:v>
                </c:pt>
                <c:pt idx="8">
                  <c:v>0</c:v>
                </c:pt>
                <c:pt idx="9">
                  <c:v>0</c:v>
                </c:pt>
                <c:pt idx="10">
                  <c:v>0</c:v>
                </c:pt>
                <c:pt idx="11">
                  <c:v>0</c:v>
                </c:pt>
                <c:pt idx="12">
                  <c:v>0</c:v>
                </c:pt>
                <c:pt idx="13">
                  <c:v>0</c:v>
                </c:pt>
                <c:pt idx="14">
                  <c:v>0</c:v>
                </c:pt>
                <c:pt idx="15">
                  <c:v>0</c:v>
                </c:pt>
              </c:numCache>
            </c:numRef>
          </c:val>
          <c:extLst xmlns:c15="http://schemas.microsoft.com/office/drawing/2012/chart">
            <c:ext xmlns:c16="http://schemas.microsoft.com/office/drawing/2014/chart" uri="{C3380CC4-5D6E-409C-BE32-E72D297353CC}">
              <c16:uniqueId val="{00000005-24CA-478E-A531-5019D5E72012}"/>
            </c:ext>
          </c:extLst>
        </c:ser>
        <c:dLbls>
          <c:showLegendKey val="0"/>
          <c:showVal val="0"/>
          <c:showCatName val="0"/>
          <c:showSerName val="0"/>
          <c:showPercent val="0"/>
          <c:showBubbleSize val="0"/>
        </c:dLbls>
        <c:gapWidth val="219"/>
        <c:overlap val="-27"/>
        <c:axId val="320270991"/>
        <c:axId val="320271951"/>
        <c:extLst/>
      </c:barChart>
      <c:catAx>
        <c:axId val="320270991"/>
        <c:scaling>
          <c:orientation val="minMax"/>
        </c:scaling>
        <c:delete val="0"/>
        <c:axPos val="b"/>
        <c:title>
          <c:tx>
            <c:rich>
              <a:bodyPr rot="0" spcFirstLastPara="1" vertOverflow="ellipsis" vert="horz" wrap="square" anchor="ctr" anchorCtr="1"/>
              <a:lstStyle/>
              <a:p>
                <a:pPr>
                  <a:defRPr sz="1400" b="0" i="0" u="none" strike="noStrike" kern="1200" baseline="0">
                    <a:solidFill>
                      <a:srgbClr val="0E9ED9"/>
                    </a:solidFill>
                    <a:latin typeface="+mn-lt"/>
                    <a:ea typeface="+mn-ea"/>
                    <a:cs typeface="+mn-cs"/>
                  </a:defRPr>
                </a:pPr>
                <a:r>
                  <a:rPr lang="en-US" sz="1400">
                    <a:solidFill>
                      <a:srgbClr val="0E9ED9"/>
                    </a:solidFill>
                  </a:rPr>
                  <a:t>Harmonic Number (n)</a:t>
                </a:r>
              </a:p>
            </c:rich>
          </c:tx>
          <c:overlay val="0"/>
          <c:spPr>
            <a:noFill/>
            <a:ln>
              <a:noFill/>
            </a:ln>
            <a:effectLst/>
          </c:spPr>
          <c:txPr>
            <a:bodyPr rot="0" spcFirstLastPara="1" vertOverflow="ellipsis" vert="horz" wrap="square" anchor="ctr" anchorCtr="1"/>
            <a:lstStyle/>
            <a:p>
              <a:pPr>
                <a:defRPr sz="1400" b="0" i="0" u="none" strike="noStrike" kern="1200" baseline="0">
                  <a:solidFill>
                    <a:srgbClr val="0E9ED9"/>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1951"/>
        <c:crosses val="autoZero"/>
        <c:auto val="1"/>
        <c:lblAlgn val="ctr"/>
        <c:lblOffset val="100"/>
        <c:noMultiLvlLbl val="0"/>
      </c:catAx>
      <c:valAx>
        <c:axId val="320271951"/>
        <c:scaling>
          <c:orientation val="minMax"/>
        </c:scaling>
        <c:delete val="0"/>
        <c:axPos val="l"/>
        <c:majorGridlines>
          <c:spPr>
            <a:ln w="9525" cap="flat" cmpd="sng" algn="ctr">
              <a:solidFill>
                <a:srgbClr val="C00000"/>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en-US" sz="1400">
                    <a:solidFill>
                      <a:srgbClr val="0E9ED9"/>
                    </a:solidFill>
                  </a:rPr>
                  <a:t>amps</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0991"/>
        <c:crosses val="autoZero"/>
        <c:crossBetween val="between"/>
      </c:valAx>
      <c:spPr>
        <a:noFill/>
        <a:ln>
          <a:solidFill>
            <a:srgbClr val="C00000"/>
          </a:solid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9050" cap="flat" cmpd="sng" algn="ctr">
      <a:solidFill>
        <a:srgbClr val="C00000"/>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 Harmonic Impedance Scan</a:t>
            </a:r>
            <a:r>
              <a:rPr lang="en-US" sz="1400"/>
              <a:t>   </a:t>
            </a:r>
          </a:p>
        </c:rich>
      </c:tx>
      <c:layout>
        <c:manualLayout>
          <c:xMode val="edge"/>
          <c:yMode val="edge"/>
          <c:x val="0.32738817787403141"/>
          <c:y val="2.3219124373200388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spPr>
            <a:ln>
              <a:solidFill>
                <a:srgbClr val="00B0F0"/>
              </a:solidFill>
            </a:ln>
          </c:spPr>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Design'!$CY$5:$CY$250</c:f>
              <c:numCache>
                <c:formatCode>General</c:formatCode>
                <c:ptCount val="246"/>
                <c:pt idx="0">
                  <c:v>51.836115438901551</c:v>
                </c:pt>
                <c:pt idx="1">
                  <c:v>42.406531217229784</c:v>
                </c:pt>
                <c:pt idx="2">
                  <c:v>35.548497434901471</c:v>
                </c:pt>
                <c:pt idx="3">
                  <c:v>30.297940985009486</c:v>
                </c:pt>
                <c:pt idx="4">
                  <c:v>26.119320351161601</c:v>
                </c:pt>
                <c:pt idx="5">
                  <c:v>22.691370804617058</c:v>
                </c:pt>
                <c:pt idx="6">
                  <c:v>19.809720240595414</c:v>
                </c:pt>
                <c:pt idx="7">
                  <c:v>17.338203211501241</c:v>
                </c:pt>
                <c:pt idx="8">
                  <c:v>15.182654250537404</c:v>
                </c:pt>
                <c:pt idx="9">
                  <c:v>13.27594591178212</c:v>
                </c:pt>
                <c:pt idx="10">
                  <c:v>11.569032379619419</c:v>
                </c:pt>
                <c:pt idx="11">
                  <c:v>10.025385760974306</c:v>
                </c:pt>
                <c:pt idx="12">
                  <c:v>8.6174547233665812</c:v>
                </c:pt>
                <c:pt idx="13">
                  <c:v>7.3244109761748462</c:v>
                </c:pt>
                <c:pt idx="14">
                  <c:v>6.1308181323862216</c:v>
                </c:pt>
                <c:pt idx="15">
                  <c:v>5.0261493328088118</c:v>
                </c:pt>
                <c:pt idx="16">
                  <c:v>4.0055013190312048</c:v>
                </c:pt>
                <c:pt idx="17">
                  <c:v>3.0729151574606219</c:v>
                </c:pt>
                <c:pt idx="18">
                  <c:v>2.2521717471844318</c:v>
                </c:pt>
                <c:pt idx="19">
                  <c:v>1.620006581039513</c:v>
                </c:pt>
                <c:pt idx="20">
                  <c:v>1.3605089265976003</c:v>
                </c:pt>
                <c:pt idx="21">
                  <c:v>1.5968555055616862</c:v>
                </c:pt>
                <c:pt idx="22">
                  <c:v>2.1343448724118548</c:v>
                </c:pt>
                <c:pt idx="23">
                  <c:v>2.7802990156826985</c:v>
                </c:pt>
                <c:pt idx="24">
                  <c:v>3.4582068113386408</c:v>
                </c:pt>
                <c:pt idx="25">
                  <c:v>4.1408204737277829</c:v>
                </c:pt>
                <c:pt idx="26">
                  <c:v>4.8176734264627594</c:v>
                </c:pt>
                <c:pt idx="27">
                  <c:v>5.4845482286805174</c:v>
                </c:pt>
                <c:pt idx="28">
                  <c:v>6.1398244735226015</c:v>
                </c:pt>
                <c:pt idx="29">
                  <c:v>6.7830526040671222</c:v>
                </c:pt>
                <c:pt idx="30">
                  <c:v>7.4143364485847236</c:v>
                </c:pt>
                <c:pt idx="31">
                  <c:v>8.0340436559559194</c:v>
                </c:pt>
                <c:pt idx="32">
                  <c:v>8.6426617232614209</c:v>
                </c:pt>
                <c:pt idx="33">
                  <c:v>9.2407235481349108</c:v>
                </c:pt>
                <c:pt idx="34">
                  <c:v>9.8287681430696487</c:v>
                </c:pt>
                <c:pt idx="35">
                  <c:v>10.407319939717793</c:v>
                </c:pt>
                <c:pt idx="36">
                  <c:v>10.976878250319164</c:v>
                </c:pt>
                <c:pt idx="37">
                  <c:v>11.53791240249379</c:v>
                </c:pt>
                <c:pt idx="38">
                  <c:v>12.09086007715203</c:v>
                </c:pt>
                <c:pt idx="39">
                  <c:v>12.636127449812568</c:v>
                </c:pt>
                <c:pt idx="40">
                  <c:v>13.174090325217611</c:v>
                </c:pt>
                <c:pt idx="41">
                  <c:v>13.705095789612075</c:v>
                </c:pt>
                <c:pt idx="42">
                  <c:v>14.229464099486764</c:v>
                </c:pt>
                <c:pt idx="43">
                  <c:v>14.747490640851728</c:v>
                </c:pt>
                <c:pt idx="44">
                  <c:v>15.259447862494882</c:v>
                </c:pt>
                <c:pt idx="45">
                  <c:v>15.765587128866276</c:v>
                </c:pt>
                <c:pt idx="46">
                  <c:v>16.266140464031828</c:v>
                </c:pt>
                <c:pt idx="47">
                  <c:v>16.761322173893266</c:v>
                </c:pt>
                <c:pt idx="48">
                  <c:v>17.251330343416168</c:v>
                </c:pt>
                <c:pt idx="49">
                  <c:v>17.736348211261717</c:v>
                </c:pt>
                <c:pt idx="50">
                  <c:v>18.216545427446725</c:v>
                </c:pt>
                <c:pt idx="51">
                  <c:v>18.692079201350698</c:v>
                </c:pt>
                <c:pt idx="52">
                  <c:v>19.163095348134153</c:v>
                </c:pt>
                <c:pt idx="53">
                  <c:v>19.62972924179239</c:v>
                </c:pt>
                <c:pt idx="54">
                  <c:v>20.092106682872132</c:v>
                </c:pt>
                <c:pt idx="55">
                  <c:v>20.550344688487066</c:v>
                </c:pt>
                <c:pt idx="56">
                  <c:v>21.004552211761425</c:v>
                </c:pt>
                <c:pt idx="57">
                  <c:v>21.454830797290722</c:v>
                </c:pt>
                <c:pt idx="58">
                  <c:v>21.901275178642802</c:v>
                </c:pt>
                <c:pt idx="59">
                  <c:v>22.343973823393284</c:v>
                </c:pt>
                <c:pt idx="60">
                  <c:v>22.783009430668557</c:v>
                </c:pt>
                <c:pt idx="61">
                  <c:v>23.218459385694629</c:v>
                </c:pt>
                <c:pt idx="62">
                  <c:v>23.650396175414198</c:v>
                </c:pt>
                <c:pt idx="63">
                  <c:v>24.078887768825918</c:v>
                </c:pt>
                <c:pt idx="64">
                  <c:v>24.503997965341302</c:v>
                </c:pt>
                <c:pt idx="65">
                  <c:v>24.925786714125913</c:v>
                </c:pt>
                <c:pt idx="66">
                  <c:v>25.34431040708969</c:v>
                </c:pt>
                <c:pt idx="67">
                  <c:v>25.759622147932831</c:v>
                </c:pt>
                <c:pt idx="68">
                  <c:v>26.171771999408335</c:v>
                </c:pt>
                <c:pt idx="69">
                  <c:v>26.580807210751122</c:v>
                </c:pt>
                <c:pt idx="70">
                  <c:v>26.98677242703415</c:v>
                </c:pt>
                <c:pt idx="71">
                  <c:v>27.389709882033124</c:v>
                </c:pt>
                <c:pt idx="72">
                  <c:v>27.789659576036954</c:v>
                </c:pt>
                <c:pt idx="73">
                  <c:v>28.186659439894111</c:v>
                </c:pt>
                <c:pt idx="74">
                  <c:v>28.580745486469187</c:v>
                </c:pt>
                <c:pt idx="75">
                  <c:v>28.97195195056819</c:v>
                </c:pt>
                <c:pt idx="76">
                  <c:v>29.360311418292817</c:v>
                </c:pt>
                <c:pt idx="77">
                  <c:v>29.745854946697904</c:v>
                </c:pt>
                <c:pt idx="78">
                  <c:v>30.128612174540212</c:v>
                </c:pt>
                <c:pt idx="79">
                  <c:v>30.508611424841561</c:v>
                </c:pt>
                <c:pt idx="80">
                  <c:v>30.885879799916985</c:v>
                </c:pt>
                <c:pt idx="81">
                  <c:v>31.260443269467931</c:v>
                </c:pt>
                <c:pt idx="82">
                  <c:v>31.632326752282097</c:v>
                </c:pt>
                <c:pt idx="83">
                  <c:v>32.001554192034661</c:v>
                </c:pt>
                <c:pt idx="84">
                  <c:v>32.368148627647464</c:v>
                </c:pt>
                <c:pt idx="85">
                  <c:v>32.732132258617277</c:v>
                </c:pt>
                <c:pt idx="86">
                  <c:v>33.09352650569312</c:v>
                </c:pt>
                <c:pt idx="87">
                  <c:v>33.452352067250978</c:v>
                </c:pt>
                <c:pt idx="88">
                  <c:v>33.808628971684122</c:v>
                </c:pt>
                <c:pt idx="89">
                  <c:v>34.162376626099395</c:v>
                </c:pt>
                <c:pt idx="90">
                  <c:v>34.513613861592063</c:v>
                </c:pt>
                <c:pt idx="91">
                  <c:v>34.862358975340562</c:v>
                </c:pt>
                <c:pt idx="92">
                  <c:v>35.208629769755738</c:v>
                </c:pt>
                <c:pt idx="93">
                  <c:v>35.552443588885367</c:v>
                </c:pt>
                <c:pt idx="94">
                  <c:v>35.893817352274986</c:v>
                </c:pt>
                <c:pt idx="95">
                  <c:v>36.232767586457861</c:v>
                </c:pt>
                <c:pt idx="96">
                  <c:v>36.569310454240018</c:v>
                </c:pt>
                <c:pt idx="97">
                  <c:v>36.903461781934418</c:v>
                </c:pt>
                <c:pt idx="98">
                  <c:v>37.235237084680612</c:v>
                </c:pt>
                <c:pt idx="99">
                  <c:v>37.564651589984543</c:v>
                </c:pt>
                <c:pt idx="100">
                  <c:v>37.891720259596362</c:v>
                </c:pt>
                <c:pt idx="101">
                  <c:v>38.216457809838104</c:v>
                </c:pt>
                <c:pt idx="102">
                  <c:v>38.538878730487049</c:v>
                </c:pt>
                <c:pt idx="103">
                  <c:v>38.85899730230885</c:v>
                </c:pt>
                <c:pt idx="104">
                  <c:v>39.176827613330573</c:v>
                </c:pt>
                <c:pt idx="105">
                  <c:v>39.492383573937829</c:v>
                </c:pt>
                <c:pt idx="106">
                  <c:v>39.805678930871913</c:v>
                </c:pt>
                <c:pt idx="107">
                  <c:v>40.116727280200422</c:v>
                </c:pt>
                <c:pt idx="108">
                  <c:v>40.42554207932794</c:v>
                </c:pt>
                <c:pt idx="109">
                  <c:v>40.73213665810821</c:v>
                </c:pt>
                <c:pt idx="110">
                  <c:v>41.036524229119294</c:v>
                </c:pt>
                <c:pt idx="111">
                  <c:v>41.338717897152243</c:v>
                </c:pt>
                <c:pt idx="112">
                  <c:v>41.638730667967607</c:v>
                </c:pt>
                <c:pt idx="113">
                  <c:v>41.93657545636588</c:v>
                </c:pt>
                <c:pt idx="114">
                  <c:v>42.232265093614579</c:v>
                </c:pt>
                <c:pt idx="115">
                  <c:v>42.525812334278079</c:v>
                </c:pt>
                <c:pt idx="116">
                  <c:v>42.817229862484048</c:v>
                </c:pt>
                <c:pt idx="117">
                  <c:v>43.106530297666247</c:v>
                </c:pt>
                <c:pt idx="118">
                  <c:v>43.393726199816761</c:v>
                </c:pt>
                <c:pt idx="119">
                  <c:v>43.678830074278544</c:v>
                </c:pt>
                <c:pt idx="120">
                  <c:v>43.961854376111532</c:v>
                </c:pt>
                <c:pt idx="121">
                  <c:v>44.242811514054914</c:v>
                </c:pt>
                <c:pt idx="122">
                  <c:v>44.521713854117849</c:v>
                </c:pt>
                <c:pt idx="123">
                  <c:v>44.798573722819718</c:v>
                </c:pt>
                <c:pt idx="124">
                  <c:v>45.073403410102848</c:v>
                </c:pt>
                <c:pt idx="125">
                  <c:v>45.346215171942937</c:v>
                </c:pt>
                <c:pt idx="126">
                  <c:v>45.617021232673288</c:v>
                </c:pt>
                <c:pt idx="127">
                  <c:v>45.88583378704466</c:v>
                </c:pt>
                <c:pt idx="128">
                  <c:v>46.152665002039043</c:v>
                </c:pt>
                <c:pt idx="129">
                  <c:v>46.417527018452233</c:v>
                </c:pt>
                <c:pt idx="130">
                  <c:v>46.680431952263554</c:v>
                </c:pt>
                <c:pt idx="131">
                  <c:v>46.941391895805239</c:v>
                </c:pt>
                <c:pt idx="132">
                  <c:v>47.200418918748625</c:v>
                </c:pt>
                <c:pt idx="133">
                  <c:v>47.457525068916787</c:v>
                </c:pt>
                <c:pt idx="134">
                  <c:v>47.712722372939034</c:v>
                </c:pt>
                <c:pt idx="135">
                  <c:v>47.966022836758263</c:v>
                </c:pt>
                <c:pt idx="136">
                  <c:v>48.217438445999925</c:v>
                </c:pt>
                <c:pt idx="137">
                  <c:v>48.466981166217664</c:v>
                </c:pt>
                <c:pt idx="138">
                  <c:v>48.714662943019661</c:v>
                </c:pt>
                <c:pt idx="139">
                  <c:v>48.960495702089375</c:v>
                </c:pt>
                <c:pt idx="140">
                  <c:v>49.204491349107414</c:v>
                </c:pt>
                <c:pt idx="141">
                  <c:v>49.446661769582583</c:v>
                </c:pt>
                <c:pt idx="142">
                  <c:v>49.687018828600067</c:v>
                </c:pt>
                <c:pt idx="143">
                  <c:v>49.925574370493969</c:v>
                </c:pt>
                <c:pt idx="144">
                  <c:v>50.162340218449842</c:v>
                </c:pt>
                <c:pt idx="145">
                  <c:v>50.397328174046535</c:v>
                </c:pt>
                <c:pt idx="146">
                  <c:v>50.630550016738546</c:v>
                </c:pt>
                <c:pt idx="147">
                  <c:v>50.862017503289287</c:v>
                </c:pt>
                <c:pt idx="148">
                  <c:v>51.091742367156904</c:v>
                </c:pt>
                <c:pt idx="149">
                  <c:v>51.319736317839883</c:v>
                </c:pt>
                <c:pt idx="150">
                  <c:v>51.54601104018537</c:v>
                </c:pt>
                <c:pt idx="151">
                  <c:v>51.770578193665862</c:v>
                </c:pt>
                <c:pt idx="152">
                  <c:v>51.993449411627068</c:v>
                </c:pt>
                <c:pt idx="153">
                  <c:v>52.214636300512083</c:v>
                </c:pt>
                <c:pt idx="154">
                  <c:v>52.434150439063686</c:v>
                </c:pt>
                <c:pt idx="155">
                  <c:v>52.652003377510624</c:v>
                </c:pt>
                <c:pt idx="156">
                  <c:v>52.868206636737611</c:v>
                </c:pt>
                <c:pt idx="157">
                  <c:v>53.082771707444955</c:v>
                </c:pt>
                <c:pt idx="158">
                  <c:v>53.295710049299146</c:v>
                </c:pt>
                <c:pt idx="159">
                  <c:v>53.507033090076277</c:v>
                </c:pt>
                <c:pt idx="160">
                  <c:v>53.716752224802768</c:v>
                </c:pt>
                <c:pt idx="161">
                  <c:v>53.924878814893368</c:v>
                </c:pt>
                <c:pt idx="162">
                  <c:v>54.131424187288893</c:v>
                </c:pt>
                <c:pt idx="163">
                  <c:v>54.336399633597694</c:v>
                </c:pt>
                <c:pt idx="164">
                  <c:v>54.539816409238334</c:v>
                </c:pt>
                <c:pt idx="165">
                  <c:v>54.741685732591108</c:v>
                </c:pt>
                <c:pt idx="166">
                  <c:v>54.942018784153063</c:v>
                </c:pt>
                <c:pt idx="167">
                  <c:v>55.140826705703105</c:v>
                </c:pt>
                <c:pt idx="168">
                  <c:v>55.3381205994773</c:v>
                </c:pt>
                <c:pt idx="169">
                  <c:v>55.533911527352366</c:v>
                </c:pt>
                <c:pt idx="170">
                  <c:v>55.728210510043546</c:v>
                </c:pt>
                <c:pt idx="171">
                  <c:v>55.921028526314345</c:v>
                </c:pt>
                <c:pt idx="172">
                  <c:v>56.112376512198622</c:v>
                </c:pt>
                <c:pt idx="173">
                  <c:v>56.302265360239574</c:v>
                </c:pt>
                <c:pt idx="174">
                  <c:v>56.490705918741341</c:v>
                </c:pt>
                <c:pt idx="175">
                  <c:v>56.677708991038216</c:v>
                </c:pt>
                <c:pt idx="176">
                  <c:v>56.863285334779874</c:v>
                </c:pt>
                <c:pt idx="177">
                  <c:v>57.047445661232445</c:v>
                </c:pt>
                <c:pt idx="178">
                  <c:v>57.230200634598525</c:v>
                </c:pt>
                <c:pt idx="179">
                  <c:v>57.411560871354261</c:v>
                </c:pt>
                <c:pt idx="180">
                  <c:v>57.591536939603877</c:v>
                </c:pt>
                <c:pt idx="181">
                  <c:v>57.770139358454394</c:v>
                </c:pt>
                <c:pt idx="182">
                  <c:v>57.947378597406754</c:v>
                </c:pt>
                <c:pt idx="183">
                  <c:v>58.123265075768032</c:v>
                </c:pt>
                <c:pt idx="184">
                  <c:v>58.297809162081343</c:v>
                </c:pt>
                <c:pt idx="185">
                  <c:v>58.47102117357516</c:v>
                </c:pt>
                <c:pt idx="186">
                  <c:v>58.642911375632366</c:v>
                </c:pt>
                <c:pt idx="187">
                  <c:v>58.813489981278167</c:v>
                </c:pt>
                <c:pt idx="188">
                  <c:v>58.982767150687515</c:v>
                </c:pt>
                <c:pt idx="189">
                  <c:v>59.15075299071232</c:v>
                </c:pt>
                <c:pt idx="190">
                  <c:v>59.317457554426696</c:v>
                </c:pt>
                <c:pt idx="191">
                  <c:v>59.482890840693386</c:v>
                </c:pt>
                <c:pt idx="192">
                  <c:v>59.64706279374758</c:v>
                </c:pt>
                <c:pt idx="193">
                  <c:v>59.809983302800852</c:v>
                </c:pt>
                <c:pt idx="194">
                  <c:v>59.971662201663918</c:v>
                </c:pt>
                <c:pt idx="195">
                  <c:v>60.132109268387474</c:v>
                </c:pt>
                <c:pt idx="196">
                  <c:v>60.291334224922913</c:v>
                </c:pt>
                <c:pt idx="197">
                  <c:v>60.44934673680055</c:v>
                </c:pt>
                <c:pt idx="198">
                  <c:v>60.606156412825847</c:v>
                </c:pt>
                <c:pt idx="199">
                  <c:v>60.761772804795562</c:v>
                </c:pt>
                <c:pt idx="200">
                  <c:v>60.916205407229278</c:v>
                </c:pt>
                <c:pt idx="201">
                  <c:v>61.069463657119975</c:v>
                </c:pt>
                <c:pt idx="202">
                  <c:v>61.221556933701684</c:v>
                </c:pt>
                <c:pt idx="203">
                  <c:v>61.372494558234678</c:v>
                </c:pt>
                <c:pt idx="204">
                  <c:v>61.522285793806823</c:v>
                </c:pt>
                <c:pt idx="205">
                  <c:v>61.670939845151452</c:v>
                </c:pt>
                <c:pt idx="206">
                  <c:v>61.818465858482384</c:v>
                </c:pt>
                <c:pt idx="207">
                  <c:v>61.964872921344686</c:v>
                </c:pt>
                <c:pt idx="208">
                  <c:v>62.110170062480208</c:v>
                </c:pt>
                <c:pt idx="209">
                  <c:v>62.254366251710309</c:v>
                </c:pt>
                <c:pt idx="210">
                  <c:v>62.397470399832187</c:v>
                </c:pt>
                <c:pt idx="211">
                  <c:v>62.539491358530796</c:v>
                </c:pt>
                <c:pt idx="212">
                  <c:v>62.680437920305437</c:v>
                </c:pt>
                <c:pt idx="213">
                  <c:v>62.820318818410627</c:v>
                </c:pt>
                <c:pt idx="214">
                  <c:v>62.9591427268101</c:v>
                </c:pt>
                <c:pt idx="215">
                  <c:v>63.096918260145905</c:v>
                </c:pt>
                <c:pt idx="216">
                  <c:v>63.233653973719214</c:v>
                </c:pt>
                <c:pt idx="217">
                  <c:v>63.369358363485901</c:v>
                </c:pt>
                <c:pt idx="218">
                  <c:v>63.50403986606343</c:v>
                </c:pt>
                <c:pt idx="219">
                  <c:v>63.637706858750725</c:v>
                </c:pt>
                <c:pt idx="220">
                  <c:v>63.770367659560755</c:v>
                </c:pt>
                <c:pt idx="221">
                  <c:v>63.902030527263683</c:v>
                </c:pt>
                <c:pt idx="222">
                  <c:v>64.032703661442966</c:v>
                </c:pt>
                <c:pt idx="223">
                  <c:v>64.162395202561683</c:v>
                </c:pt>
                <c:pt idx="224">
                  <c:v>64.291113232039578</c:v>
                </c:pt>
                <c:pt idx="225">
                  <c:v>64.418865772342485</c:v>
                </c:pt>
                <c:pt idx="226">
                  <c:v>64.545660787079598</c:v>
                </c:pt>
                <c:pt idx="227">
                  <c:v>64.671506181113202</c:v>
                </c:pt>
                <c:pt idx="228">
                  <c:v>64.796409800676656</c:v>
                </c:pt>
                <c:pt idx="229">
                  <c:v>64.920379433501367</c:v>
                </c:pt>
                <c:pt idx="230">
                  <c:v>65.043422808955881</c:v>
                </c:pt>
                <c:pt idx="231">
                  <c:v>65.165547598189647</c:v>
                </c:pt>
                <c:pt idx="232">
                  <c:v>65.286761414289828</c:v>
                </c:pt>
                <c:pt idx="233">
                  <c:v>65.407071812442325</c:v>
                </c:pt>
                <c:pt idx="234">
                  <c:v>65.526486290104799</c:v>
                </c:pt>
                <c:pt idx="235">
                  <c:v>65.6450122871844</c:v>
                </c:pt>
                <c:pt idx="236">
                  <c:v>65.762657186224757</c:v>
                </c:pt>
                <c:pt idx="237">
                  <c:v>65.879428312600965</c:v>
                </c:pt>
                <c:pt idx="238">
                  <c:v>65.99533293471832</c:v>
                </c:pt>
                <c:pt idx="239">
                  <c:v>66.110378264223201</c:v>
                </c:pt>
                <c:pt idx="240">
                  <c:v>66.224571456214477</c:v>
                </c:pt>
                <c:pt idx="241">
                  <c:v>66.337919609467164</c:v>
                </c:pt>
                <c:pt idx="242">
                  <c:v>66.450429766657408</c:v>
                </c:pt>
                <c:pt idx="243">
                  <c:v>66.562108914596749</c:v>
                </c:pt>
                <c:pt idx="244">
                  <c:v>66.672963984469263</c:v>
                </c:pt>
                <c:pt idx="245">
                  <c:v>66.78300185207739</c:v>
                </c:pt>
              </c:numCache>
            </c:numRef>
          </c:yVal>
          <c:smooth val="1"/>
          <c:extLst>
            <c:ext xmlns:c16="http://schemas.microsoft.com/office/drawing/2014/chart" uri="{C3380CC4-5D6E-409C-BE32-E72D297353CC}">
              <c16:uniqueId val="{00000000-7004-4976-870A-21848A8F97AA}"/>
            </c:ext>
          </c:extLst>
        </c:ser>
        <c:ser>
          <c:idx val="1"/>
          <c:order val="1"/>
          <c:tx>
            <c:v>Source Impedance</c:v>
          </c:tx>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Design'!$CZ$5:$CZ$250</c:f>
              <c:numCache>
                <c:formatCode>General</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2.2061836394766798</c:v>
                </c:pt>
                <c:pt idx="19">
                  <c:v>2.3020975659025749</c:v>
                </c:pt>
                <c:pt idx="20">
                  <c:v>2.3980117703209007</c:v>
                </c:pt>
                <c:pt idx="21">
                  <c:v>2.4939262206576061</c:v>
                </c:pt>
                <c:pt idx="22">
                  <c:v>2.589840889590036</c:v>
                </c:pt>
                <c:pt idx="23">
                  <c:v>2.6857557536984755</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3.8367440186048545</c:v>
                </c:pt>
                <c:pt idx="36">
                  <c:v>3.9326602504069372</c:v>
                </c:pt>
                <c:pt idx="37">
                  <c:v>4.0285765379082026</c:v>
                </c:pt>
                <c:pt idx="38">
                  <c:v>4.1244928772227283</c:v>
                </c:pt>
                <c:pt idx="39">
                  <c:v>4.2204092648178877</c:v>
                </c:pt>
                <c:pt idx="40">
                  <c:v>4.3163256974750173</c:v>
                </c:pt>
                <c:pt idx="41">
                  <c:v>4.4122421722553726</c:v>
                </c:pt>
                <c:pt idx="42">
                  <c:v>4.5081586864702645</c:v>
                </c:pt>
                <c:pt idx="43">
                  <c:v>4.6040752376551</c:v>
                </c:pt>
                <c:pt idx="44">
                  <c:v>4.6999918235464433</c:v>
                </c:pt>
                <c:pt idx="45">
                  <c:v>4.7959084420619256</c:v>
                </c:pt>
                <c:pt idx="46">
                  <c:v>4.8918250912825316</c:v>
                </c:pt>
                <c:pt idx="47">
                  <c:v>4.9877417694368198</c:v>
                </c:pt>
                <c:pt idx="48">
                  <c:v>5.0836584748870779</c:v>
                </c:pt>
                <c:pt idx="49">
                  <c:v>5.179575206116863</c:v>
                </c:pt>
                <c:pt idx="50">
                  <c:v>5.2754919617200606</c:v>
                </c:pt>
                <c:pt idx="51">
                  <c:v>5.3714087403909589</c:v>
                </c:pt>
                <c:pt idx="52">
                  <c:v>5.4673255409154731</c:v>
                </c:pt>
                <c:pt idx="53">
                  <c:v>5.5632423621632769</c:v>
                </c:pt>
                <c:pt idx="54">
                  <c:v>5.6591592030806366</c:v>
                </c:pt>
                <c:pt idx="55">
                  <c:v>5.7550760626841067</c:v>
                </c:pt>
                <c:pt idx="56">
                  <c:v>5.8509929400546872</c:v>
                </c:pt>
                <c:pt idx="57">
                  <c:v>5.9469098343327085</c:v>
                </c:pt>
                <c:pt idx="58">
                  <c:v>6.042826744713043</c:v>
                </c:pt>
                <c:pt idx="59">
                  <c:v>6.1387436704409222</c:v>
                </c:pt>
                <c:pt idx="60">
                  <c:v>6.2346606108079845</c:v>
                </c:pt>
                <c:pt idx="61">
                  <c:v>6.3305775651488378</c:v>
                </c:pt>
                <c:pt idx="62">
                  <c:v>6.426494532837788</c:v>
                </c:pt>
                <c:pt idx="63">
                  <c:v>6.5224115132859426</c:v>
                </c:pt>
                <c:pt idx="64">
                  <c:v>6.618328505938579</c:v>
                </c:pt>
                <c:pt idx="65">
                  <c:v>6.7142455102726304</c:v>
                </c:pt>
                <c:pt idx="66">
                  <c:v>6.8101625257945413</c:v>
                </c:pt>
                <c:pt idx="67">
                  <c:v>6.9060795520381344</c:v>
                </c:pt>
                <c:pt idx="68">
                  <c:v>7.0019965885628173</c:v>
                </c:pt>
                <c:pt idx="69">
                  <c:v>7.0979136349517677</c:v>
                </c:pt>
                <c:pt idx="70">
                  <c:v>7.1938306908104428</c:v>
                </c:pt>
                <c:pt idx="71">
                  <c:v>7.2897477557650276</c:v>
                </c:pt>
                <c:pt idx="72">
                  <c:v>7.3856648294611311</c:v>
                </c:pt>
                <c:pt idx="73">
                  <c:v>7.481581911562559</c:v>
                </c:pt>
                <c:pt idx="74">
                  <c:v>7.5774990017501089</c:v>
                </c:pt>
                <c:pt idx="75">
                  <c:v>7.6734160997205674</c:v>
                </c:pt>
                <c:pt idx="76">
                  <c:v>7.7693332051856672</c:v>
                </c:pt>
                <c:pt idx="77">
                  <c:v>7.8652503178712294</c:v>
                </c:pt>
                <c:pt idx="78">
                  <c:v>7.9611674375162593</c:v>
                </c:pt>
                <c:pt idx="79">
                  <c:v>8.0570845638722233</c:v>
                </c:pt>
                <c:pt idx="80">
                  <c:v>8.1530016967022476</c:v>
                </c:pt>
                <c:pt idx="81">
                  <c:v>8.248918835780513</c:v>
                </c:pt>
                <c:pt idx="82">
                  <c:v>8.3448359808915544</c:v>
                </c:pt>
                <c:pt idx="83">
                  <c:v>8.4407531318297035</c:v>
                </c:pt>
                <c:pt idx="84">
                  <c:v>8.5366702883985557</c:v>
                </c:pt>
                <c:pt idx="85">
                  <c:v>8.6325874504104085</c:v>
                </c:pt>
                <c:pt idx="86">
                  <c:v>8.7285046176858376</c:v>
                </c:pt>
                <c:pt idx="87">
                  <c:v>8.8244217900531865</c:v>
                </c:pt>
                <c:pt idx="88">
                  <c:v>8.9203389673482238</c:v>
                </c:pt>
                <c:pt idx="89">
                  <c:v>9.016256149413671</c:v>
                </c:pt>
                <c:pt idx="90">
                  <c:v>9.1121733360988735</c:v>
                </c:pt>
                <c:pt idx="91">
                  <c:v>9.2080905272594897</c:v>
                </c:pt>
                <c:pt idx="92">
                  <c:v>9.3040077227570759</c:v>
                </c:pt>
                <c:pt idx="93">
                  <c:v>9.3999249224588972</c:v>
                </c:pt>
                <c:pt idx="94">
                  <c:v>9.4958421262375268</c:v>
                </c:pt>
                <c:pt idx="95">
                  <c:v>9.5917593339706873</c:v>
                </c:pt>
                <c:pt idx="96">
                  <c:v>9.6876765455408922</c:v>
                </c:pt>
                <c:pt idx="97">
                  <c:v>9.7835937608353127</c:v>
                </c:pt>
                <c:pt idx="98">
                  <c:v>9.8795109797454508</c:v>
                </c:pt>
                <c:pt idx="99">
                  <c:v>9.9754282021670342</c:v>
                </c:pt>
                <c:pt idx="100">
                  <c:v>10.071345427999667</c:v>
                </c:pt>
                <c:pt idx="101">
                  <c:v>10.167262657146917</c:v>
                </c:pt>
                <c:pt idx="102">
                  <c:v>10.263179889515802</c:v>
                </c:pt>
                <c:pt idx="103">
                  <c:v>10.359097125016833</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12.181525096240335</c:v>
                </c:pt>
                <c:pt idx="123">
                  <c:v>12.277442379737039</c:v>
                </c:pt>
                <c:pt idx="124">
                  <c:v>12.373359665063326</c:v>
                </c:pt>
                <c:pt idx="125">
                  <c:v>12.469276952176976</c:v>
                </c:pt>
                <c:pt idx="126">
                  <c:v>12.565194241037059</c:v>
                </c:pt>
                <c:pt idx="127">
                  <c:v>12.661111531603881</c:v>
                </c:pt>
                <c:pt idx="128">
                  <c:v>12.757028823838944</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14.291705699072395</c:v>
                </c:pt>
                <c:pt idx="145">
                  <c:v>14.387623014745484</c:v>
                </c:pt>
                <c:pt idx="146">
                  <c:v>14.483540331555417</c:v>
                </c:pt>
                <c:pt idx="147">
                  <c:v>14.579457649479764</c:v>
                </c:pt>
                <c:pt idx="148">
                  <c:v>14.675374968496664</c:v>
                </c:pt>
                <c:pt idx="149">
                  <c:v>14.771292288584839</c:v>
                </c:pt>
                <c:pt idx="150">
                  <c:v>14.867209609723556</c:v>
                </c:pt>
                <c:pt idx="151">
                  <c:v>14.963126931892605</c:v>
                </c:pt>
                <c:pt idx="152">
                  <c:v>15.059044255072305</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17.073308245139721</c:v>
                </c:pt>
                <c:pt idx="174">
                  <c:v>17.169225586436859</c:v>
                </c:pt>
                <c:pt idx="175">
                  <c:v>17.265142928402966</c:v>
                </c:pt>
                <c:pt idx="176">
                  <c:v>17.361060271026965</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19.75899402241668</c:v>
                </c:pt>
                <c:pt idx="202">
                  <c:v>19.854911378934521</c:v>
                </c:pt>
                <c:pt idx="203">
                  <c:v>19.950828735884937</c:v>
                </c:pt>
                <c:pt idx="204">
                  <c:v>20.046746093261703</c:v>
                </c:pt>
                <c:pt idx="205">
                  <c:v>20.142663451058745</c:v>
                </c:pt>
                <c:pt idx="206">
                  <c:v>20.238580809270083</c:v>
                </c:pt>
                <c:pt idx="207">
                  <c:v>20.334498167889848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22.061010686814129</c:v>
                </c:pt>
                <c:pt idx="226">
                  <c:v>22.156928052212571</c:v>
                </c:pt>
                <c:pt idx="227">
                  <c:v>22.252845417922277</c:v>
                </c:pt>
                <c:pt idx="228">
                  <c:v>22.348762783939229</c:v>
                </c:pt>
                <c:pt idx="229">
                  <c:v>22.444680150259508</c:v>
                </c:pt>
                <c:pt idx="230">
                  <c:v>22.540597516879227</c:v>
                </c:pt>
                <c:pt idx="231">
                  <c:v>22.63651488379459</c:v>
                </c:pt>
                <c:pt idx="232">
                  <c:v>22.732432251001843</c:v>
                </c:pt>
                <c:pt idx="233">
                  <c:v>22.82834961849732</c:v>
                </c:pt>
                <c:pt idx="234">
                  <c:v>22.924266986277388</c:v>
                </c:pt>
                <c:pt idx="235">
                  <c:v>23.020184354338504</c:v>
                </c:pt>
                <c:pt idx="236">
                  <c:v>23.116101722677165</c:v>
                </c:pt>
                <c:pt idx="237">
                  <c:v>23.212019091289921</c:v>
                </c:pt>
                <c:pt idx="238">
                  <c:v>23.307936460173405</c:v>
                </c:pt>
                <c:pt idx="239">
                  <c:v>23.403853829324273</c:v>
                </c:pt>
                <c:pt idx="240">
                  <c:v>23.499771198739257</c:v>
                </c:pt>
                <c:pt idx="241">
                  <c:v>23.595688568415135</c:v>
                </c:pt>
                <c:pt idx="242">
                  <c:v>23.691605938348744</c:v>
                </c:pt>
                <c:pt idx="243">
                  <c:v>23.787523308536954</c:v>
                </c:pt>
                <c:pt idx="244">
                  <c:v>23.883440678976715</c:v>
                </c:pt>
                <c:pt idx="245">
                  <c:v>23.979358049664892</c:v>
                </c:pt>
              </c:numCache>
            </c:numRef>
          </c:yVal>
          <c:smooth val="1"/>
          <c:extLst>
            <c:ext xmlns:c16="http://schemas.microsoft.com/office/drawing/2014/chart" uri="{C3380CC4-5D6E-409C-BE32-E72D297353CC}">
              <c16:uniqueId val="{00000001-DD2F-42A5-983E-3172A2DD9D4B}"/>
            </c:ext>
          </c:extLst>
        </c:ser>
        <c:ser>
          <c:idx val="2"/>
          <c:order val="2"/>
          <c:tx>
            <c:v>Source Impedance + Filter Impedance</c:v>
          </c:tx>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Design'!$DA$5:$DA$250</c:f>
              <c:numCache>
                <c:formatCode>General</c:formatCode>
                <c:ptCount val="246"/>
                <c:pt idx="0">
                  <c:v>0.48445236835778865</c:v>
                </c:pt>
                <c:pt idx="1">
                  <c:v>0.58374541914997191</c:v>
                </c:pt>
                <c:pt idx="2">
                  <c:v>0.68462511938758075</c:v>
                </c:pt>
                <c:pt idx="3">
                  <c:v>0.78752093726955308</c:v>
                </c:pt>
                <c:pt idx="4">
                  <c:v>0.89297686983483304</c:v>
                </c:pt>
                <c:pt idx="5">
                  <c:v>1.00169593682978</c:v>
                </c:pt>
                <c:pt idx="6">
                  <c:v>1.1146081453021348</c:v>
                </c:pt>
                <c:pt idx="7">
                  <c:v>1.232975917570905</c:v>
                </c:pt>
                <c:pt idx="8">
                  <c:v>1.3585626554395633</c:v>
                </c:pt>
                <c:pt idx="9">
                  <c:v>1.4939126518389103</c:v>
                </c:pt>
                <c:pt idx="10">
                  <c:v>1.6428371709071858</c:v>
                </c:pt>
                <c:pt idx="11">
                  <c:v>1.8113041272014563</c:v>
                </c:pt>
                <c:pt idx="12">
                  <c:v>2.0091704189322517</c:v>
                </c:pt>
                <c:pt idx="13">
                  <c:v>2.2538066853070231</c:v>
                </c:pt>
                <c:pt idx="14">
                  <c:v>2.5782987835801565</c:v>
                </c:pt>
                <c:pt idx="15">
                  <c:v>3.0510572883705476</c:v>
                </c:pt>
                <c:pt idx="16">
                  <c:v>3.8138968958317512</c:v>
                </c:pt>
                <c:pt idx="17">
                  <c:v>4.8966127477362091</c:v>
                </c:pt>
                <c:pt idx="18">
                  <c:v>4.147354742577444</c:v>
                </c:pt>
                <c:pt idx="19">
                  <c:v>2.081251439062282</c:v>
                </c:pt>
                <c:pt idx="20">
                  <c:v>1.2482412278212753</c:v>
                </c:pt>
                <c:pt idx="21">
                  <c:v>1.145179679841005</c:v>
                </c:pt>
                <c:pt idx="22">
                  <c:v>1.2738269600939702</c:v>
                </c:pt>
                <c:pt idx="23">
                  <c:v>1.439654625108322</c:v>
                </c:pt>
                <c:pt idx="24">
                  <c:v>1.5989233830778515</c:v>
                </c:pt>
                <c:pt idx="25">
                  <c:v>1.7453000276983308</c:v>
                </c:pt>
                <c:pt idx="26">
                  <c:v>1.8799455341171984</c:v>
                </c:pt>
                <c:pt idx="27">
                  <c:v>2.0051011896038862</c:v>
                </c:pt>
                <c:pt idx="28">
                  <c:v>2.1227725414453911</c:v>
                </c:pt>
                <c:pt idx="29">
                  <c:v>2.2345394147564628</c:v>
                </c:pt>
                <c:pt idx="30">
                  <c:v>2.3416070251495227</c:v>
                </c:pt>
                <c:pt idx="31">
                  <c:v>2.4448914217490678</c:v>
                </c:pt>
                <c:pt idx="32">
                  <c:v>2.5450934446870241</c:v>
                </c:pt>
                <c:pt idx="33">
                  <c:v>2.6427548723499639</c:v>
                </c:pt>
                <c:pt idx="34">
                  <c:v>2.7382993957200794</c:v>
                </c:pt>
                <c:pt idx="35">
                  <c:v>2.8320622359819767</c:v>
                </c:pt>
                <c:pt idx="36">
                  <c:v>2.9243116072797437</c:v>
                </c:pt>
                <c:pt idx="37">
                  <c:v>3.015264391559588</c:v>
                </c:pt>
                <c:pt idx="38">
                  <c:v>3.1050977020036399</c:v>
                </c:pt>
                <c:pt idx="39">
                  <c:v>3.1939575068257828</c:v>
                </c:pt>
                <c:pt idx="40">
                  <c:v>3.2819651319011331</c:v>
                </c:pt>
                <c:pt idx="41">
                  <c:v>3.3692222169974553</c:v>
                </c:pt>
                <c:pt idx="42">
                  <c:v>3.4558145325901837</c:v>
                </c:pt>
                <c:pt idx="43">
                  <c:v>3.5418149482273131</c:v>
                </c:pt>
                <c:pt idx="44">
                  <c:v>3.6272857625932025</c:v>
                </c:pt>
                <c:pt idx="45">
                  <c:v>3.7122805486149755</c:v>
                </c:pt>
                <c:pt idx="46">
                  <c:v>3.7968456266388069</c:v>
                </c:pt>
                <c:pt idx="47">
                  <c:v>3.8810212498041929</c:v>
                </c:pt>
                <c:pt idx="48">
                  <c:v>3.9648425648260122</c:v>
                </c:pt>
                <c:pt idx="49">
                  <c:v>4.0483403961040878</c:v>
                </c:pt>
                <c:pt idx="50">
                  <c:v>4.1315418898016905</c:v>
                </c:pt>
                <c:pt idx="51">
                  <c:v>4.2144710461380805</c:v>
                </c:pt>
                <c:pt idx="52">
                  <c:v>4.2971491618381572</c:v>
                </c:pt>
                <c:pt idx="53">
                  <c:v>4.3795951999104954</c:v>
                </c:pt>
                <c:pt idx="54">
                  <c:v>4.4618261002859834</c:v>
                </c:pt>
                <c:pt idx="55">
                  <c:v>4.5438570420515658</c:v>
                </c:pt>
                <c:pt idx="56">
                  <c:v>4.6257016658484948</c:v>
                </c:pt>
                <c:pt idx="57">
                  <c:v>4.7073722633171737</c:v>
                </c:pt>
                <c:pt idx="58">
                  <c:v>4.7888799391460841</c:v>
                </c:pt>
                <c:pt idx="59">
                  <c:v>4.8702347502393648</c:v>
                </c:pt>
                <c:pt idx="60">
                  <c:v>4.951445825686327</c:v>
                </c:pt>
                <c:pt idx="61">
                  <c:v>5.0325214705559125</c:v>
                </c:pt>
                <c:pt idx="62">
                  <c:v>5.113469256006387</c:v>
                </c:pt>
                <c:pt idx="63">
                  <c:v>5.1942960977729431</c:v>
                </c:pt>
                <c:pt idx="64">
                  <c:v>5.2750083247473194</c:v>
                </c:pt>
                <c:pt idx="65">
                  <c:v>5.3556117390813993</c:v>
                </c:pt>
                <c:pt idx="66">
                  <c:v>5.436111669014343</c:v>
                </c:pt>
                <c:pt idx="67">
                  <c:v>5.5165130154333264</c:v>
                </c:pt>
                <c:pt idx="68">
                  <c:v>5.5968202930198503</c:v>
                </c:pt>
                <c:pt idx="69">
                  <c:v>5.6770376667045088</c:v>
                </c:pt>
                <c:pt idx="70">
                  <c:v>5.7571689840443412</c:v>
                </c:pt>
                <c:pt idx="71">
                  <c:v>5.8372178040466309</c:v>
                </c:pt>
                <c:pt idx="72">
                  <c:v>5.9171874228874444</c:v>
                </c:pt>
                <c:pt idx="73">
                  <c:v>5.9970808969100657</c:v>
                </c:pt>
                <c:pt idx="74">
                  <c:v>6.0769010632336178</c:v>
                </c:pt>
                <c:pt idx="75">
                  <c:v>6.156650558258506</c:v>
                </c:pt>
                <c:pt idx="76">
                  <c:v>6.2363318343155933</c:v>
                </c:pt>
                <c:pt idx="77">
                  <c:v>6.3159471746735774</c:v>
                </c:pt>
                <c:pt idx="78">
                  <c:v>6.3954987070914857</c:v>
                </c:pt>
                <c:pt idx="79">
                  <c:v>6.4749884160787676</c:v>
                </c:pt>
                <c:pt idx="80">
                  <c:v>6.5544181540053339</c:v>
                </c:pt>
                <c:pt idx="81">
                  <c:v>6.6337896511861452</c:v>
                </c:pt>
                <c:pt idx="82">
                  <c:v>6.7131045250492916</c:v>
                </c:pt>
                <c:pt idx="83">
                  <c:v>6.7923642884843121</c:v>
                </c:pt>
                <c:pt idx="84">
                  <c:v>6.8715703574552851</c:v>
                </c:pt>
                <c:pt idx="85">
                  <c:v>6.9507240579531269</c:v>
                </c:pt>
                <c:pt idx="86">
                  <c:v>7.0298266323544372</c:v>
                </c:pt>
                <c:pt idx="87">
                  <c:v>7.1088792452442364</c:v>
                </c:pt>
                <c:pt idx="88">
                  <c:v>7.1878829887561819</c:v>
                </c:pt>
                <c:pt idx="89">
                  <c:v>7.2668388874756031</c:v>
                </c:pt>
                <c:pt idx="90">
                  <c:v>7.3457479029472506</c:v>
                </c:pt>
                <c:pt idx="91">
                  <c:v>7.4246109378247622</c:v>
                </c:pt>
                <c:pt idx="92">
                  <c:v>7.5034288396945632</c:v>
                </c:pt>
                <c:pt idx="93">
                  <c:v>7.5822024046040548</c:v>
                </c:pt>
                <c:pt idx="94">
                  <c:v>7.6609323803204221</c:v>
                </c:pt>
                <c:pt idx="95">
                  <c:v>7.7396194693442562</c:v>
                </c:pt>
                <c:pt idx="96">
                  <c:v>7.8182643316988711</c:v>
                </c:pt>
                <c:pt idx="97">
                  <c:v>7.8968675875153957</c:v>
                </c:pt>
                <c:pt idx="98">
                  <c:v>7.975429819430162</c:v>
                </c:pt>
                <c:pt idx="99">
                  <c:v>8.0539515748111672</c:v>
                </c:pt>
                <c:pt idx="100">
                  <c:v>8.1324333678267759</c:v>
                </c:pt>
                <c:pt idx="101">
                  <c:v>8.2108756813707053</c:v>
                </c:pt>
                <c:pt idx="102">
                  <c:v>8.2892789688538322</c:v>
                </c:pt>
                <c:pt idx="103">
                  <c:v>8.3676436558744403</c:v>
                </c:pt>
                <c:pt idx="104">
                  <c:v>8.4459701417759341</c:v>
                </c:pt>
                <c:pt idx="105">
                  <c:v>8.5242588011011229</c:v>
                </c:pt>
                <c:pt idx="106">
                  <c:v>8.6025099849509026</c:v>
                </c:pt>
                <c:pt idx="107">
                  <c:v>8.6807240222547808</c:v>
                </c:pt>
                <c:pt idx="108">
                  <c:v>8.7589012209598511</c:v>
                </c:pt>
                <c:pt idx="109">
                  <c:v>8.8370418691442314</c:v>
                </c:pt>
                <c:pt idx="110">
                  <c:v>8.9151462360607852</c:v>
                </c:pt>
                <c:pt idx="111">
                  <c:v>8.9932145731159405</c:v>
                </c:pt>
                <c:pt idx="112">
                  <c:v>9.0712471147885054</c:v>
                </c:pt>
                <c:pt idx="113">
                  <c:v>9.1492440794926715</c:v>
                </c:pt>
                <c:pt idx="114">
                  <c:v>9.227205670389214</c:v>
                </c:pt>
                <c:pt idx="115">
                  <c:v>9.3051320761484888</c:v>
                </c:pt>
                <c:pt idx="116">
                  <c:v>9.3830234716685261</c:v>
                </c:pt>
                <c:pt idx="117">
                  <c:v>9.4608800187514568</c:v>
                </c:pt>
                <c:pt idx="118">
                  <c:v>9.5387018667408885</c:v>
                </c:pt>
                <c:pt idx="119">
                  <c:v>9.6164891531229983</c:v>
                </c:pt>
                <c:pt idx="120">
                  <c:v>9.6942420040937609</c:v>
                </c:pt>
                <c:pt idx="121">
                  <c:v>9.7719605350944114</c:v>
                </c:pt>
                <c:pt idx="122">
                  <c:v>9.8496448513173682</c:v>
                </c:pt>
                <c:pt idx="123">
                  <c:v>9.9272950481846696</c:v>
                </c:pt>
                <c:pt idx="124">
                  <c:v>10.00491121179992</c:v>
                </c:pt>
                <c:pt idx="125">
                  <c:v>10.082493419376593</c:v>
                </c:pt>
                <c:pt idx="126">
                  <c:v>10.160041739643177</c:v>
                </c:pt>
                <c:pt idx="127">
                  <c:v>10.237556233227334</c:v>
                </c:pt>
                <c:pt idx="128">
                  <c:v>10.315036953019586</c:v>
                </c:pt>
                <c:pt idx="129">
                  <c:v>10.392483944518439</c:v>
                </c:pt>
                <c:pt idx="130">
                  <c:v>10.469897246158192</c:v>
                </c:pt>
                <c:pt idx="131">
                  <c:v>10.547276889619281</c:v>
                </c:pt>
                <c:pt idx="132">
                  <c:v>10.624622900124139</c:v>
                </c:pt>
                <c:pt idx="133">
                  <c:v>10.701935296717121</c:v>
                </c:pt>
                <c:pt idx="134">
                  <c:v>10.779214092531873</c:v>
                </c:pt>
                <c:pt idx="135">
                  <c:v>10.856459295044306</c:v>
                </c:pt>
                <c:pt idx="136">
                  <c:v>10.93367090631461</c:v>
                </c:pt>
                <c:pt idx="137">
                  <c:v>11.010848923216656</c:v>
                </c:pt>
                <c:pt idx="138">
                  <c:v>11.087993337657027</c:v>
                </c:pt>
                <c:pt idx="139">
                  <c:v>11.165104136783487</c:v>
                </c:pt>
                <c:pt idx="140">
                  <c:v>11.242181303183855</c:v>
                </c:pt>
                <c:pt idx="141">
                  <c:v>11.31922481507533</c:v>
                </c:pt>
                <c:pt idx="142">
                  <c:v>11.396234646485816</c:v>
                </c:pt>
                <c:pt idx="143">
                  <c:v>11.473210767425854</c:v>
                </c:pt>
                <c:pt idx="144">
                  <c:v>11.550153144053928</c:v>
                </c:pt>
                <c:pt idx="145">
                  <c:v>11.627061738833785</c:v>
                </c:pt>
                <c:pt idx="146">
                  <c:v>11.703936510684809</c:v>
                </c:pt>
                <c:pt idx="147">
                  <c:v>11.780777415125531</c:v>
                </c:pt>
                <c:pt idx="148">
                  <c:v>11.857584404411689</c:v>
                </c:pt>
                <c:pt idx="149">
                  <c:v>11.934357427667125</c:v>
                </c:pt>
                <c:pt idx="150">
                  <c:v>12.011096431010319</c:v>
                </c:pt>
                <c:pt idx="151">
                  <c:v>12.087801357674417</c:v>
                </c:pt>
                <c:pt idx="152">
                  <c:v>12.164472148122693</c:v>
                </c:pt>
                <c:pt idx="153">
                  <c:v>12.241108740159259</c:v>
                </c:pt>
                <c:pt idx="154">
                  <c:v>12.317711069034909</c:v>
                </c:pt>
                <c:pt idx="155">
                  <c:v>12.394279067548919</c:v>
                </c:pt>
                <c:pt idx="156">
                  <c:v>12.470812666145937</c:v>
                </c:pt>
                <c:pt idx="157">
                  <c:v>12.547311793010058</c:v>
                </c:pt>
                <c:pt idx="158">
                  <c:v>12.623776374153982</c:v>
                </c:pt>
                <c:pt idx="159">
                  <c:v>12.700206333505266</c:v>
                </c:pt>
                <c:pt idx="160">
                  <c:v>12.77660159298939</c:v>
                </c:pt>
                <c:pt idx="161">
                  <c:v>12.852962072608321</c:v>
                </c:pt>
                <c:pt idx="162">
                  <c:v>12.929287690517466</c:v>
                </c:pt>
                <c:pt idx="163">
                  <c:v>13.005578363098788</c:v>
                </c:pt>
                <c:pt idx="164">
                  <c:v>13.081834005031181</c:v>
                </c:pt>
                <c:pt idx="165">
                  <c:v>13.158054529358548</c:v>
                </c:pt>
                <c:pt idx="166">
                  <c:v>13.234239847554798</c:v>
                </c:pt>
                <c:pt idx="167">
                  <c:v>13.310389869586469</c:v>
                </c:pt>
                <c:pt idx="168">
                  <c:v>13.38650450397353</c:v>
                </c:pt>
                <c:pt idx="169">
                  <c:v>13.462583657847148</c:v>
                </c:pt>
                <c:pt idx="170">
                  <c:v>13.538627237006192</c:v>
                </c:pt>
                <c:pt idx="171">
                  <c:v>13.614635145970619</c:v>
                </c:pt>
                <c:pt idx="172">
                  <c:v>13.690607288033894</c:v>
                </c:pt>
                <c:pt idx="173">
                  <c:v>13.766543565312769</c:v>
                </c:pt>
                <c:pt idx="174">
                  <c:v>13.84244387879613</c:v>
                </c:pt>
                <c:pt idx="175">
                  <c:v>13.918308128391075</c:v>
                </c:pt>
                <c:pt idx="176">
                  <c:v>13.994136212968218</c:v>
                </c:pt>
                <c:pt idx="177">
                  <c:v>14.069928030404803</c:v>
                </c:pt>
                <c:pt idx="178">
                  <c:v>14.14568347762682</c:v>
                </c:pt>
                <c:pt idx="179">
                  <c:v>14.22140245064926</c:v>
                </c:pt>
                <c:pt idx="180">
                  <c:v>14.297084844615245</c:v>
                </c:pt>
                <c:pt idx="181">
                  <c:v>14.372730553833675</c:v>
                </c:pt>
                <c:pt idx="182">
                  <c:v>14.44833947181583</c:v>
                </c:pt>
                <c:pt idx="183">
                  <c:v>14.523911491310013</c:v>
                </c:pt>
                <c:pt idx="184">
                  <c:v>14.599446504336219</c:v>
                </c:pt>
                <c:pt idx="185">
                  <c:v>14.674944402218868</c:v>
                </c:pt>
                <c:pt idx="186">
                  <c:v>14.750405075618342</c:v>
                </c:pt>
                <c:pt idx="187">
                  <c:v>14.825828414561901</c:v>
                </c:pt>
                <c:pt idx="188">
                  <c:v>14.901214308473403</c:v>
                </c:pt>
                <c:pt idx="189">
                  <c:v>14.976562646202376</c:v>
                </c:pt>
                <c:pt idx="190">
                  <c:v>15.05187331605141</c:v>
                </c:pt>
                <c:pt idx="191">
                  <c:v>15.127146205803623</c:v>
                </c:pt>
                <c:pt idx="192">
                  <c:v>15.202381202748397</c:v>
                </c:pt>
                <c:pt idx="193">
                  <c:v>15.277578193707006</c:v>
                </c:pt>
                <c:pt idx="194">
                  <c:v>15.352737065056861</c:v>
                </c:pt>
                <c:pt idx="195">
                  <c:v>15.42785770275537</c:v>
                </c:pt>
                <c:pt idx="196">
                  <c:v>15.502939992363045</c:v>
                </c:pt>
                <c:pt idx="197">
                  <c:v>15.577983819065739</c:v>
                </c:pt>
                <c:pt idx="198">
                  <c:v>15.652989067696312</c:v>
                </c:pt>
                <c:pt idx="199">
                  <c:v>15.727955622755442</c:v>
                </c:pt>
                <c:pt idx="200">
                  <c:v>15.80288336843223</c:v>
                </c:pt>
                <c:pt idx="201">
                  <c:v>15.877772188623783</c:v>
                </c:pt>
                <c:pt idx="202">
                  <c:v>15.952621966954391</c:v>
                </c:pt>
                <c:pt idx="203">
                  <c:v>16.027432586794045</c:v>
                </c:pt>
                <c:pt idx="204">
                  <c:v>16.102203931276669</c:v>
                </c:pt>
                <c:pt idx="205">
                  <c:v>16.176935883317455</c:v>
                </c:pt>
                <c:pt idx="206">
                  <c:v>16.251628325629881</c:v>
                </c:pt>
                <c:pt idx="207">
                  <c:v>16.326281140742307</c:v>
                </c:pt>
                <c:pt idx="208">
                  <c:v>16.400894211014005</c:v>
                </c:pt>
                <c:pt idx="209">
                  <c:v>16.475467418650659</c:v>
                </c:pt>
                <c:pt idx="210">
                  <c:v>16.550000645719578</c:v>
                </c:pt>
                <c:pt idx="211">
                  <c:v>16.624493774164428</c:v>
                </c:pt>
                <c:pt idx="212">
                  <c:v>16.698946685819415</c:v>
                </c:pt>
                <c:pt idx="213">
                  <c:v>16.773359262423359</c:v>
                </c:pt>
                <c:pt idx="214">
                  <c:v>16.847731385633136</c:v>
                </c:pt>
                <c:pt idx="215">
                  <c:v>16.922062937036703</c:v>
                </c:pt>
                <c:pt idx="216">
                  <c:v>16.996353798166201</c:v>
                </c:pt>
                <c:pt idx="217">
                  <c:v>17.070603850510011</c:v>
                </c:pt>
                <c:pt idx="218">
                  <c:v>17.14481297552534</c:v>
                </c:pt>
                <c:pt idx="219">
                  <c:v>17.218981054649255</c:v>
                </c:pt>
                <c:pt idx="220">
                  <c:v>17.293107969311109</c:v>
                </c:pt>
                <c:pt idx="221">
                  <c:v>17.367193600942713</c:v>
                </c:pt>
                <c:pt idx="222">
                  <c:v>17.441237830990236</c:v>
                </c:pt>
                <c:pt idx="223">
                  <c:v>17.515240540923788</c:v>
                </c:pt>
                <c:pt idx="224">
                  <c:v>17.58920161224826</c:v>
                </c:pt>
                <c:pt idx="225">
                  <c:v>17.663120926513464</c:v>
                </c:pt>
                <c:pt idx="226">
                  <c:v>17.736998365323398</c:v>
                </c:pt>
                <c:pt idx="227">
                  <c:v>17.810833810346431</c:v>
                </c:pt>
                <c:pt idx="228">
                  <c:v>17.884627143323932</c:v>
                </c:pt>
                <c:pt idx="229">
                  <c:v>17.958378246079512</c:v>
                </c:pt>
                <c:pt idx="230">
                  <c:v>18.032087000528509</c:v>
                </c:pt>
                <c:pt idx="231">
                  <c:v>18.105753288685417</c:v>
                </c:pt>
                <c:pt idx="232">
                  <c:v>18.179376992673017</c:v>
                </c:pt>
                <c:pt idx="233">
                  <c:v>18.252957994730263</c:v>
                </c:pt>
                <c:pt idx="234">
                  <c:v>18.326496177220594</c:v>
                </c:pt>
                <c:pt idx="235">
                  <c:v>18.399991422639179</c:v>
                </c:pt>
                <c:pt idx="236">
                  <c:v>18.473443613621026</c:v>
                </c:pt>
                <c:pt idx="237">
                  <c:v>18.546852632947676</c:v>
                </c:pt>
                <c:pt idx="238">
                  <c:v>18.620218363555246</c:v>
                </c:pt>
                <c:pt idx="239">
                  <c:v>18.693540688540743</c:v>
                </c:pt>
                <c:pt idx="240">
                  <c:v>18.766819491169496</c:v>
                </c:pt>
                <c:pt idx="241">
                  <c:v>18.840054654881143</c:v>
                </c:pt>
                <c:pt idx="242">
                  <c:v>18.913246063296963</c:v>
                </c:pt>
                <c:pt idx="243">
                  <c:v>18.986393600225671</c:v>
                </c:pt>
                <c:pt idx="244">
                  <c:v>19.05949714967003</c:v>
                </c:pt>
                <c:pt idx="245">
                  <c:v>19.132556595832543</c:v>
                </c:pt>
              </c:numCache>
            </c:numRef>
          </c:yVal>
          <c:smooth val="1"/>
          <c:extLst>
            <c:ext xmlns:c16="http://schemas.microsoft.com/office/drawing/2014/chart" uri="{C3380CC4-5D6E-409C-BE32-E72D297353CC}">
              <c16:uniqueId val="{00000002-DD2F-42A5-983E-3172A2DD9D4B}"/>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9.8364562517254839E-2"/>
          <c:y val="0.13758318871723543"/>
          <c:w val="0.84531848331876658"/>
          <c:h val="0.1101086472635374"/>
        </c:manualLayout>
      </c:layout>
      <c:overlay val="0"/>
      <c:txPr>
        <a:bodyPr/>
        <a:lstStyle/>
        <a:p>
          <a:pPr>
            <a:defRPr sz="1200" b="1">
              <a:solidFill>
                <a:schemeClr val="tx1"/>
              </a:solidFill>
            </a:defRPr>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Source Current</a:t>
            </a:r>
            <a:r>
              <a:rPr lang="en-US" sz="1400" baseline="0">
                <a:solidFill>
                  <a:srgbClr val="0E9ED9"/>
                </a:solidFill>
              </a:rPr>
              <a:t> Flow in Amps for 1 Amp of Harmonic Current Injection at the Harmonic Filter</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marker>
            <c:symbol val="none"/>
          </c:marker>
          <c:xVal>
            <c:numRef>
              <c:f>'HP Filter Design'!$CT$5:$CT$250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Design'!$CU$5:$CU$250</c:f>
              <c:numCache>
                <c:formatCode>General</c:formatCode>
                <c:ptCount val="246"/>
                <c:pt idx="0">
                  <c:v>1.0093377496103806</c:v>
                </c:pt>
                <c:pt idx="1">
                  <c:v>1.0137565881113104</c:v>
                </c:pt>
                <c:pt idx="2">
                  <c:v>1.0192487655205138</c:v>
                </c:pt>
                <c:pt idx="3">
                  <c:v>1.0259803486157462</c:v>
                </c:pt>
                <c:pt idx="4">
                  <c:v>1.0341727469430697</c:v>
                </c:pt>
                <c:pt idx="5">
                  <c:v>1.0441230079308781</c:v>
                </c:pt>
                <c:pt idx="6">
                  <c:v>1.0562345032181399</c:v>
                </c:pt>
                <c:pt idx="7">
                  <c:v>1.0710645194364741</c:v>
                </c:pt>
                <c:pt idx="8">
                  <c:v>1.0894003879404159</c:v>
                </c:pt>
                <c:pt idx="9">
                  <c:v>1.112385844235054</c:v>
                </c:pt>
                <c:pt idx="10">
                  <c:v>1.1417401045954041</c:v>
                </c:pt>
                <c:pt idx="11">
                  <c:v>1.180157749810868</c:v>
                </c:pt>
                <c:pt idx="12">
                  <c:v>1.2320842227752855</c:v>
                </c:pt>
                <c:pt idx="13">
                  <c:v>1.3053288784322361</c:v>
                </c:pt>
                <c:pt idx="14">
                  <c:v>1.4146798857286351</c:v>
                </c:pt>
                <c:pt idx="15">
                  <c:v>1.5903812546384222</c:v>
                </c:pt>
                <c:pt idx="16">
                  <c:v>1.8933571921099726</c:v>
                </c:pt>
                <c:pt idx="17">
                  <c:v>2.3203725971393911</c:v>
                </c:pt>
                <c:pt idx="18">
                  <c:v>1.8798773902435524</c:v>
                </c:pt>
                <c:pt idx="19">
                  <c:v>0.90406743393010391</c:v>
                </c:pt>
                <c:pt idx="20">
                  <c:v>0.5205317351942097</c:v>
                </c:pt>
                <c:pt idx="21">
                  <c:v>0.45918747329222981</c:v>
                </c:pt>
                <c:pt idx="22">
                  <c:v>0.49185529706252279</c:v>
                </c:pt>
                <c:pt idx="23">
                  <c:v>0.53603333926616792</c:v>
                </c:pt>
                <c:pt idx="24">
                  <c:v>0.5748068345184133</c:v>
                </c:pt>
                <c:pt idx="25">
                  <c:v>0.60651533408263314</c:v>
                </c:pt>
                <c:pt idx="26">
                  <c:v>0.6322329559038059</c:v>
                </c:pt>
                <c:pt idx="27">
                  <c:v>0.65325152069513803</c:v>
                </c:pt>
                <c:pt idx="28">
                  <c:v>0.6706317966034967</c:v>
                </c:pt>
                <c:pt idx="29">
                  <c:v>0.68517922125317432</c:v>
                </c:pt>
                <c:pt idx="30">
                  <c:v>0.69749560083513806</c:v>
                </c:pt>
                <c:pt idx="31">
                  <c:v>0.7080321350722677</c:v>
                </c:pt>
                <c:pt idx="32">
                  <c:v>0.71713060764078862</c:v>
                </c:pt>
                <c:pt idx="33">
                  <c:v>0.72505318676850783</c:v>
                </c:pt>
                <c:pt idx="34">
                  <c:v>0.73200358526855669</c:v>
                </c:pt>
                <c:pt idx="35">
                  <c:v>0.73814208668833603</c:v>
                </c:pt>
                <c:pt idx="36">
                  <c:v>0.74359629896255275</c:v>
                </c:pt>
                <c:pt idx="37">
                  <c:v>0.7484689351651832</c:v>
                </c:pt>
                <c:pt idx="38">
                  <c:v>0.75284351178089293</c:v>
                </c:pt>
                <c:pt idx="39">
                  <c:v>0.75678857343319861</c:v>
                </c:pt>
                <c:pt idx="40">
                  <c:v>0.76036086290268556</c:v>
                </c:pt>
                <c:pt idx="41">
                  <c:v>0.76360772719672187</c:v>
                </c:pt>
                <c:pt idx="42">
                  <c:v>0.76656896372384975</c:v>
                </c:pt>
                <c:pt idx="43">
                  <c:v>0.76927825141953921</c:v>
                </c:pt>
                <c:pt idx="44">
                  <c:v>0.77176427082721666</c:v>
                </c:pt>
                <c:pt idx="45">
                  <c:v>0.77405158865354418</c:v>
                </c:pt>
                <c:pt idx="46">
                  <c:v>0.77616136222960463</c:v>
                </c:pt>
                <c:pt idx="47">
                  <c:v>0.77811190498789762</c:v>
                </c:pt>
                <c:pt idx="48">
                  <c:v>0.77991914374501281</c:v>
                </c:pt>
                <c:pt idx="49">
                  <c:v>0.7815969910665973</c:v>
                </c:pt>
                <c:pt idx="50">
                  <c:v>0.78315765046765573</c:v>
                </c:pt>
                <c:pt idx="51">
                  <c:v>0.78461186810209693</c:v>
                </c:pt>
                <c:pt idx="52">
                  <c:v>0.78596914152630126</c:v>
                </c:pt>
                <c:pt idx="53">
                  <c:v>0.78723789380398213</c:v>
                </c:pt>
                <c:pt idx="54">
                  <c:v>0.78842561945547318</c:v>
                </c:pt>
                <c:pt idx="55">
                  <c:v>0.78953900740147087</c:v>
                </c:pt>
                <c:pt idx="56">
                  <c:v>0.79058404500574631</c:v>
                </c:pt>
                <c:pt idx="57">
                  <c:v>0.79156610650804748</c:v>
                </c:pt>
                <c:pt idx="58">
                  <c:v>0.79249002850130323</c:v>
                </c:pt>
                <c:pt idx="59">
                  <c:v>0.79336017460549091</c:v>
                </c:pt>
                <c:pt idx="60">
                  <c:v>0.79418049109246536</c:v>
                </c:pt>
                <c:pt idx="61">
                  <c:v>0.79495455489890765</c:v>
                </c:pt>
                <c:pt idx="62">
                  <c:v>0.7956856152102566</c:v>
                </c:pt>
                <c:pt idx="63">
                  <c:v>0.79637662959356814</c:v>
                </c:pt>
                <c:pt idx="64">
                  <c:v>0.79703029549139182</c:v>
                </c:pt>
                <c:pt idx="65">
                  <c:v>0.79764907775377414</c:v>
                </c:pt>
                <c:pt idx="66">
                  <c:v>0.79823523277516939</c:v>
                </c:pt>
                <c:pt idx="67">
                  <c:v>0.79879082971253634</c:v>
                </c:pt>
                <c:pt idx="68">
                  <c:v>0.79931776918626363</c:v>
                </c:pt>
                <c:pt idx="69">
                  <c:v>0.79981779980379963</c:v>
                </c:pt>
                <c:pt idx="70">
                  <c:v>0.80029253279461832</c:v>
                </c:pt>
                <c:pt idx="71">
                  <c:v>0.80074345500230948</c:v>
                </c:pt>
                <c:pt idx="72">
                  <c:v>0.80117194044387463</c:v>
                </c:pt>
                <c:pt idx="73">
                  <c:v>0.80157926061622953</c:v>
                </c:pt>
                <c:pt idx="74">
                  <c:v>0.80196659370460932</c:v>
                </c:pt>
                <c:pt idx="75">
                  <c:v>0.80233503282621565</c:v>
                </c:pt>
                <c:pt idx="76">
                  <c:v>0.80268559342430346</c:v>
                </c:pt>
                <c:pt idx="77">
                  <c:v>0.80301921991251113</c:v>
                </c:pt>
                <c:pt idx="78">
                  <c:v>0.80333679165612071</c:v>
                </c:pt>
                <c:pt idx="79">
                  <c:v>0.80363912836566953</c:v>
                </c:pt>
                <c:pt idx="80">
                  <c:v>0.8039269949687976</c:v>
                </c:pt>
                <c:pt idx="81">
                  <c:v>0.80420110601784722</c:v>
                </c:pt>
                <c:pt idx="82">
                  <c:v>0.80446212968371122</c:v>
                </c:pt>
                <c:pt idx="83">
                  <c:v>0.80471069138020557</c:v>
                </c:pt>
                <c:pt idx="84">
                  <c:v>0.80494737705798725</c:v>
                </c:pt>
                <c:pt idx="85">
                  <c:v>0.80517273620236318</c:v>
                </c:pt>
                <c:pt idx="86">
                  <c:v>0.80538728456538577</c:v>
                </c:pt>
                <c:pt idx="87">
                  <c:v>0.80559150665908696</c:v>
                </c:pt>
                <c:pt idx="88">
                  <c:v>0.80578585803370506</c:v>
                </c:pt>
                <c:pt idx="89">
                  <c:v>0.80597076736203344</c:v>
                </c:pt>
                <c:pt idx="90">
                  <c:v>0.80614663834875244</c:v>
                </c:pt>
                <c:pt idx="91">
                  <c:v>0.80631385148148271</c:v>
                </c:pt>
                <c:pt idx="92">
                  <c:v>0.8064727656385754</c:v>
                </c:pt>
                <c:pt idx="93">
                  <c:v>0.80662371956696866</c:v>
                </c:pt>
                <c:pt idx="94">
                  <c:v>0.80676703324214349</c:v>
                </c:pt>
                <c:pt idx="95">
                  <c:v>0.80690300912088153</c:v>
                </c:pt>
                <c:pt idx="96">
                  <c:v>0.80703193329648448</c:v>
                </c:pt>
                <c:pt idx="97">
                  <c:v>0.80715407656512939</c:v>
                </c:pt>
                <c:pt idx="98">
                  <c:v>0.80726969541114491</c:v>
                </c:pt>
                <c:pt idx="99">
                  <c:v>0.80737903291826174</c:v>
                </c:pt>
                <c:pt idx="100">
                  <c:v>0.80748231961318073</c:v>
                </c:pt>
                <c:pt idx="101">
                  <c:v>0.80757977424720095</c:v>
                </c:pt>
                <c:pt idx="102">
                  <c:v>0.80767160452109166</c:v>
                </c:pt>
                <c:pt idx="103">
                  <c:v>0.80775800775792439</c:v>
                </c:pt>
                <c:pt idx="104">
                  <c:v>0.8078391715281158</c:v>
                </c:pt>
                <c:pt idx="105">
                  <c:v>0.80791527423057685</c:v>
                </c:pt>
                <c:pt idx="106">
                  <c:v>0.80798648563346176</c:v>
                </c:pt>
                <c:pt idx="107">
                  <c:v>0.80805296737774823</c:v>
                </c:pt>
                <c:pt idx="108">
                  <c:v>0.80811487344655186</c:v>
                </c:pt>
                <c:pt idx="109">
                  <c:v>0.80817235060282977</c:v>
                </c:pt>
                <c:pt idx="110">
                  <c:v>0.8082255387979298</c:v>
                </c:pt>
                <c:pt idx="111">
                  <c:v>0.80827457155317184</c:v>
                </c:pt>
                <c:pt idx="112">
                  <c:v>0.80831957631651552</c:v>
                </c:pt>
                <c:pt idx="113">
                  <c:v>0.80836067479616058</c:v>
                </c:pt>
                <c:pt idx="114">
                  <c:v>0.80839798327278645</c:v>
                </c:pt>
                <c:pt idx="115">
                  <c:v>0.80843161289199683</c:v>
                </c:pt>
                <c:pt idx="116">
                  <c:v>0.80846166993838675</c:v>
                </c:pt>
                <c:pt idx="117">
                  <c:v>0.80848825609257435</c:v>
                </c:pt>
                <c:pt idx="118">
                  <c:v>0.80851146867238399</c:v>
                </c:pt>
                <c:pt idx="119">
                  <c:v>0.80853140085930653</c:v>
                </c:pt>
                <c:pt idx="120">
                  <c:v>0.80854814191126878</c:v>
                </c:pt>
                <c:pt idx="121">
                  <c:v>0.80856177736263768</c:v>
                </c:pt>
                <c:pt idx="122">
                  <c:v>0.80857238921235897</c:v>
                </c:pt>
                <c:pt idx="123">
                  <c:v>0.80858005610100825</c:v>
                </c:pt>
                <c:pt idx="124">
                  <c:v>0.80858485347752318</c:v>
                </c:pt>
                <c:pt idx="125">
                  <c:v>0.80858685375628891</c:v>
                </c:pt>
                <c:pt idx="126">
                  <c:v>0.80858612646521866</c:v>
                </c:pt>
                <c:pt idx="127">
                  <c:v>0.80858273838541173</c:v>
                </c:pt>
                <c:pt idx="128">
                  <c:v>0.80857675368295534</c:v>
                </c:pt>
                <c:pt idx="129">
                  <c:v>0.80856823403334954</c:v>
                </c:pt>
                <c:pt idx="130">
                  <c:v>0.8085572387390455</c:v>
                </c:pt>
                <c:pt idx="131">
                  <c:v>0.80854382484051901</c:v>
                </c:pt>
                <c:pt idx="132">
                  <c:v>0.80852804722130078</c:v>
                </c:pt>
                <c:pt idx="133">
                  <c:v>0.80850995870732023</c:v>
                </c:pt>
                <c:pt idx="134">
                  <c:v>0.80848961016092402</c:v>
                </c:pt>
                <c:pt idx="135">
                  <c:v>0.80846705056990587</c:v>
                </c:pt>
                <c:pt idx="136">
                  <c:v>0.80844232713181963</c:v>
                </c:pt>
                <c:pt idx="137">
                  <c:v>0.80841548533389707</c:v>
                </c:pt>
                <c:pt idx="138">
                  <c:v>0.80838656902880279</c:v>
                </c:pt>
                <c:pt idx="139">
                  <c:v>0.80835562050649246</c:v>
                </c:pt>
                <c:pt idx="140">
                  <c:v>0.8083226805623891</c:v>
                </c:pt>
                <c:pt idx="141">
                  <c:v>0.8082877885621097</c:v>
                </c:pt>
                <c:pt idx="142">
                  <c:v>0.80825098250291616</c:v>
                </c:pt>
                <c:pt idx="143">
                  <c:v>0.80821229907211245</c:v>
                </c:pt>
                <c:pt idx="144">
                  <c:v>0.80817177370253157</c:v>
                </c:pt>
                <c:pt idx="145">
                  <c:v>0.80812944062529013</c:v>
                </c:pt>
                <c:pt idx="146">
                  <c:v>0.80808533291997064</c:v>
                </c:pt>
                <c:pt idx="147">
                  <c:v>0.80803948256236413</c:v>
                </c:pt>
                <c:pt idx="148">
                  <c:v>0.80799192046990886</c:v>
                </c:pt>
                <c:pt idx="149">
                  <c:v>0.80794267654495877</c:v>
                </c:pt>
                <c:pt idx="150">
                  <c:v>0.80789177971599802</c:v>
                </c:pt>
                <c:pt idx="151">
                  <c:v>0.80783925797690836</c:v>
                </c:pt>
                <c:pt idx="152">
                  <c:v>0.80778513842439592</c:v>
                </c:pt>
                <c:pt idx="153">
                  <c:v>0.80772944729367779</c:v>
                </c:pt>
                <c:pt idx="154">
                  <c:v>0.8076722099925262</c:v>
                </c:pt>
                <c:pt idx="155">
                  <c:v>0.8076134511337395</c:v>
                </c:pt>
                <c:pt idx="156">
                  <c:v>0.80755319456614327</c:v>
                </c:pt>
                <c:pt idx="157">
                  <c:v>0.80749146340418154</c:v>
                </c:pt>
                <c:pt idx="158">
                  <c:v>0.80742828005618139</c:v>
                </c:pt>
                <c:pt idx="159">
                  <c:v>0.80736366625135181</c:v>
                </c:pt>
                <c:pt idx="160">
                  <c:v>0.80729764306558693</c:v>
                </c:pt>
                <c:pt idx="161">
                  <c:v>0.80723023094613455</c:v>
                </c:pt>
                <c:pt idx="162">
                  <c:v>0.80716144973517434</c:v>
                </c:pt>
                <c:pt idx="163">
                  <c:v>0.80709131869238371</c:v>
                </c:pt>
                <c:pt idx="164">
                  <c:v>0.80701985651651331</c:v>
                </c:pt>
                <c:pt idx="165">
                  <c:v>0.80694708136604965</c:v>
                </c:pt>
                <c:pt idx="166">
                  <c:v>0.80687301087898544</c:v>
                </c:pt>
                <c:pt idx="167">
                  <c:v>0.80679766219175431</c:v>
                </c:pt>
                <c:pt idx="168">
                  <c:v>0.80672105195737176</c:v>
                </c:pt>
                <c:pt idx="169">
                  <c:v>0.80664319636280513</c:v>
                </c:pt>
                <c:pt idx="170">
                  <c:v>0.80656411114563276</c:v>
                </c:pt>
                <c:pt idx="171">
                  <c:v>0.80648381161000593</c:v>
                </c:pt>
                <c:pt idx="172">
                  <c:v>0.80640231264195583</c:v>
                </c:pt>
                <c:pt idx="173">
                  <c:v>0.8063196287240737</c:v>
                </c:pt>
                <c:pt idx="174">
                  <c:v>0.80623577394959467</c:v>
                </c:pt>
                <c:pt idx="175">
                  <c:v>0.8061507620359164</c:v>
                </c:pt>
                <c:pt idx="176">
                  <c:v>0.80606460633757071</c:v>
                </c:pt>
                <c:pt idx="177">
                  <c:v>0.80597731985867416</c:v>
                </c:pt>
                <c:pt idx="178">
                  <c:v>0.80588891526489059</c:v>
                </c:pt>
                <c:pt idx="179">
                  <c:v>0.80579940489491919</c:v>
                </c:pt>
                <c:pt idx="180">
                  <c:v>0.80570880077152984</c:v>
                </c:pt>
                <c:pt idx="181">
                  <c:v>0.80561711461217167</c:v>
                </c:pt>
                <c:pt idx="182">
                  <c:v>0.80552435783916376</c:v>
                </c:pt>
                <c:pt idx="183">
                  <c:v>0.80543054158949912</c:v>
                </c:pt>
                <c:pt idx="184">
                  <c:v>0.80533567672426964</c:v>
                </c:pt>
                <c:pt idx="185">
                  <c:v>0.80523977383773016</c:v>
                </c:pt>
                <c:pt idx="186">
                  <c:v>0.8051428432660217</c:v>
                </c:pt>
                <c:pt idx="187">
                  <c:v>0.8050448950955631</c:v>
                </c:pt>
                <c:pt idx="188">
                  <c:v>0.80494593917112645</c:v>
                </c:pt>
                <c:pt idx="189">
                  <c:v>0.80484598510361771</c:v>
                </c:pt>
                <c:pt idx="190">
                  <c:v>0.80474504227755761</c:v>
                </c:pt>
                <c:pt idx="191">
                  <c:v>0.80464311985829773</c:v>
                </c:pt>
                <c:pt idx="192">
                  <c:v>0.80454022679896298</c:v>
                </c:pt>
                <c:pt idx="193">
                  <c:v>0.80443637184714534</c:v>
                </c:pt>
                <c:pt idx="194">
                  <c:v>0.80433156355134916</c:v>
                </c:pt>
                <c:pt idx="195">
                  <c:v>0.80422581026721307</c:v>
                </c:pt>
                <c:pt idx="196">
                  <c:v>0.80411912016349496</c:v>
                </c:pt>
                <c:pt idx="197">
                  <c:v>0.80401150122785414</c:v>
                </c:pt>
                <c:pt idx="198">
                  <c:v>0.803902961272419</c:v>
                </c:pt>
                <c:pt idx="199">
                  <c:v>0.80379350793916837</c:v>
                </c:pt>
                <c:pt idx="200">
                  <c:v>0.80368314870510693</c:v>
                </c:pt>
                <c:pt idx="201">
                  <c:v>0.8035718908872771</c:v>
                </c:pt>
                <c:pt idx="202">
                  <c:v>0.80345974164758149</c:v>
                </c:pt>
                <c:pt idx="203">
                  <c:v>0.80334670799744612</c:v>
                </c:pt>
                <c:pt idx="204">
                  <c:v>0.80323279680232307</c:v>
                </c:pt>
                <c:pt idx="205">
                  <c:v>0.80311801478603007</c:v>
                </c:pt>
                <c:pt idx="206">
                  <c:v>0.80300236853495022</c:v>
                </c:pt>
                <c:pt idx="207">
                  <c:v>0.80288586450208554</c:v>
                </c:pt>
                <c:pt idx="208">
                  <c:v>0.80276850901097407</c:v>
                </c:pt>
                <c:pt idx="209">
                  <c:v>0.80265030825947092</c:v>
                </c:pt>
                <c:pt idx="210">
                  <c:v>0.80253126832340871</c:v>
                </c:pt>
                <c:pt idx="211">
                  <c:v>0.80241139516012927</c:v>
                </c:pt>
                <c:pt idx="212">
                  <c:v>0.80229069461190583</c:v>
                </c:pt>
                <c:pt idx="213">
                  <c:v>0.8021691724092439</c:v>
                </c:pt>
                <c:pt idx="214">
                  <c:v>0.80204683417407618</c:v>
                </c:pt>
                <c:pt idx="215">
                  <c:v>0.80192368542285486</c:v>
                </c:pt>
                <c:pt idx="216">
                  <c:v>0.80179973156954421</c:v>
                </c:pt>
                <c:pt idx="217">
                  <c:v>0.80167497792850595</c:v>
                </c:pt>
                <c:pt idx="218">
                  <c:v>0.80154942971730525</c:v>
                </c:pt>
                <c:pt idx="219">
                  <c:v>0.80142309205941897</c:v>
                </c:pt>
                <c:pt idx="220">
                  <c:v>0.80129596998685171</c:v>
                </c:pt>
                <c:pt idx="221">
                  <c:v>0.80116806844268407</c:v>
                </c:pt>
                <c:pt idx="222">
                  <c:v>0.8010393922835205</c:v>
                </c:pt>
                <c:pt idx="223">
                  <c:v>0.80090994628187873</c:v>
                </c:pt>
                <c:pt idx="224">
                  <c:v>0.80077973512848566</c:v>
                </c:pt>
                <c:pt idx="225">
                  <c:v>0.80064876343451885</c:v>
                </c:pt>
                <c:pt idx="226">
                  <c:v>0.80051703573376043</c:v>
                </c:pt>
                <c:pt idx="227">
                  <c:v>0.80038455648470419</c:v>
                </c:pt>
                <c:pt idx="228">
                  <c:v>0.80025133007257598</c:v>
                </c:pt>
                <c:pt idx="229">
                  <c:v>0.80011736081130758</c:v>
                </c:pt>
                <c:pt idx="230">
                  <c:v>0.79998265294544468</c:v>
                </c:pt>
                <c:pt idx="231">
                  <c:v>0.79984721065199127</c:v>
                </c:pt>
                <c:pt idx="232">
                  <c:v>0.799711038042213</c:v>
                </c:pt>
                <c:pt idx="233">
                  <c:v>0.7995741391633614</c:v>
                </c:pt>
                <c:pt idx="234">
                  <c:v>0.79943651800037652</c:v>
                </c:pt>
                <c:pt idx="235">
                  <c:v>0.79929817847750939</c:v>
                </c:pt>
                <c:pt idx="236">
                  <c:v>0.79915912445991311</c:v>
                </c:pt>
                <c:pt idx="237">
                  <c:v>0.79901935975518878</c:v>
                </c:pt>
                <c:pt idx="238">
                  <c:v>0.79887888811486396</c:v>
                </c:pt>
                <c:pt idx="239">
                  <c:v>0.7987377132358594</c:v>
                </c:pt>
                <c:pt idx="240">
                  <c:v>0.79859583876187867</c:v>
                </c:pt>
                <c:pt idx="241">
                  <c:v>0.79845326828478924</c:v>
                </c:pt>
                <c:pt idx="242">
                  <c:v>0.79831000534593211</c:v>
                </c:pt>
                <c:pt idx="243">
                  <c:v>0.79816605343742419</c:v>
                </c:pt>
                <c:pt idx="244">
                  <c:v>0.79802141600339382</c:v>
                </c:pt>
                <c:pt idx="245">
                  <c:v>0.79787609644120416</c:v>
                </c:pt>
              </c:numCache>
            </c:numRef>
          </c:yVal>
          <c:smooth val="1"/>
          <c:extLst>
            <c:ext xmlns:c16="http://schemas.microsoft.com/office/drawing/2014/chart" uri="{C3380CC4-5D6E-409C-BE32-E72D297353CC}">
              <c16:uniqueId val="{00000000-A8E3-485D-AEBF-4E3E81EC5D6B}"/>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Harmonic Filter Current</a:t>
            </a:r>
            <a:r>
              <a:rPr lang="en-US" sz="1400" baseline="0">
                <a:solidFill>
                  <a:srgbClr val="0E9ED9"/>
                </a:solidFill>
              </a:rPr>
              <a:t> Flow in Amps for 1 Amp of Harmonic Current Injection at the Harmonic Filter</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marker>
            <c:symbol val="none"/>
          </c:marker>
          <c:xVal>
            <c:numRef>
              <c:f>'HP Filter Design'!$CR$5:$CR$250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Design'!$CS$5:$CS$250</c:f>
              <c:numCache>
                <c:formatCode>General</c:formatCode>
                <c:ptCount val="246"/>
                <c:pt idx="0">
                  <c:v>9.3458463130557147E-3</c:v>
                </c:pt>
                <c:pt idx="1">
                  <c:v>1.3765460234408283E-2</c:v>
                </c:pt>
                <c:pt idx="2">
                  <c:v>1.9258904561052323E-2</c:v>
                </c:pt>
                <c:pt idx="3">
                  <c:v>2.59925563146087E-2</c:v>
                </c:pt>
                <c:pt idx="4">
                  <c:v>3.418836546392446E-2</c:v>
                </c:pt>
                <c:pt idx="5">
                  <c:v>4.414435537874016E-2</c:v>
                </c:pt>
                <c:pt idx="6">
                  <c:v>5.6265718635339516E-2</c:v>
                </c:pt>
                <c:pt idx="7">
                  <c:v>7.1113246426423929E-2</c:v>
                </c:pt>
                <c:pt idx="8">
                  <c:v>8.948123516620779E-2</c:v>
                </c:pt>
                <c:pt idx="9">
                  <c:v>0.11252777480157526</c:v>
                </c:pt>
                <c:pt idx="10">
                  <c:v>0.14200298840906422</c:v>
                </c:pt>
                <c:pt idx="11">
                  <c:v>0.18067176369933796</c:v>
                </c:pt>
                <c:pt idx="12">
                  <c:v>0.23315125909327891</c:v>
                </c:pt>
                <c:pt idx="13">
                  <c:v>0.30771166345502687</c:v>
                </c:pt>
                <c:pt idx="14">
                  <c:v>0.42054726268264558</c:v>
                </c:pt>
                <c:pt idx="15">
                  <c:v>0.60703673654389756</c:v>
                </c:pt>
                <c:pt idx="16">
                  <c:v>0.95216468353434636</c:v>
                </c:pt>
                <c:pt idx="17">
                  <c:v>1.5934747615299074</c:v>
                </c:pt>
                <c:pt idx="18">
                  <c:v>1.8414913284310073</c:v>
                </c:pt>
                <c:pt idx="19">
                  <c:v>1.2847178915327602</c:v>
                </c:pt>
                <c:pt idx="20">
                  <c:v>0.91748110094574209</c:v>
                </c:pt>
                <c:pt idx="21">
                  <c:v>0.71714671481073911</c:v>
                </c:pt>
                <c:pt idx="22">
                  <c:v>0.59682339839227694</c:v>
                </c:pt>
                <c:pt idx="23">
                  <c:v>0.51780568096730917</c:v>
                </c:pt>
                <c:pt idx="24">
                  <c:v>0.46235620664309507</c:v>
                </c:pt>
                <c:pt idx="25">
                  <c:v>0.4214865239320853</c:v>
                </c:pt>
                <c:pt idx="26">
                  <c:v>0.39021854901806724</c:v>
                </c:pt>
                <c:pt idx="27">
                  <c:v>0.36559094860695018</c:v>
                </c:pt>
                <c:pt idx="28">
                  <c:v>0.34573831069595662</c:v>
                </c:pt>
                <c:pt idx="29">
                  <c:v>0.3294297634396387</c:v>
                </c:pt>
                <c:pt idx="30">
                  <c:v>0.3158215224501304</c:v>
                </c:pt>
                <c:pt idx="31">
                  <c:v>0.30431642227094224</c:v>
                </c:pt>
                <c:pt idx="32">
                  <c:v>0.29448028005504234</c:v>
                </c:pt>
                <c:pt idx="33">
                  <c:v>0.28599003731513656</c:v>
                </c:pt>
                <c:pt idx="34">
                  <c:v>0.27860046710440362</c:v>
                </c:pt>
                <c:pt idx="35">
                  <c:v>0.2721221459882181</c:v>
                </c:pt>
                <c:pt idx="36">
                  <c:v>0.26640649013254036</c:v>
                </c:pt>
                <c:pt idx="37">
                  <c:v>0.26133535135072372</c:v>
                </c:pt>
                <c:pt idx="38">
                  <c:v>0.25681363295827953</c:v>
                </c:pt>
                <c:pt idx="39">
                  <c:v>0.25276395157546178</c:v>
                </c:pt>
                <c:pt idx="40">
                  <c:v>0.24912271366614697</c:v>
                </c:pt>
                <c:pt idx="41">
                  <c:v>0.24583718849679184</c:v>
                </c:pt>
                <c:pt idx="42">
                  <c:v>0.24286329467002388</c:v>
                </c:pt>
                <c:pt idx="43">
                  <c:v>0.24016390547258296</c:v>
                </c:pt>
                <c:pt idx="44">
                  <c:v>0.23770753668672684</c:v>
                </c:pt>
                <c:pt idx="45">
                  <c:v>0.23546731994636055</c:v>
                </c:pt>
                <c:pt idx="46">
                  <c:v>0.23342019178025042</c:v>
                </c:pt>
                <c:pt idx="47">
                  <c:v>0.23154624733895457</c:v>
                </c:pt>
                <c:pt idx="48">
                  <c:v>0.22982822112261947</c:v>
                </c:pt>
                <c:pt idx="49">
                  <c:v>0.2282510665602282</c:v>
                </c:pt>
                <c:pt idx="50">
                  <c:v>0.22680161319592021</c:v>
                </c:pt>
                <c:pt idx="51">
                  <c:v>0.22546828529559956</c:v>
                </c:pt>
                <c:pt idx="52">
                  <c:v>0.22424086943013413</c:v>
                </c:pt>
                <c:pt idx="53">
                  <c:v>0.22311032138875339</c:v>
                </c:pt>
                <c:pt idx="54">
                  <c:v>0.22206860488599539</c:v>
                </c:pt>
                <c:pt idx="55">
                  <c:v>0.22110855613031088</c:v>
                </c:pt>
                <c:pt idx="56">
                  <c:v>0.22022376955307596</c:v>
                </c:pt>
                <c:pt idx="57">
                  <c:v>0.21940850094756267</c:v>
                </c:pt>
                <c:pt idx="58">
                  <c:v>0.21865758500746965</c:v>
                </c:pt>
                <c:pt idx="59">
                  <c:v>0.21796636483436987</c:v>
                </c:pt>
                <c:pt idx="60">
                  <c:v>0.21733063144068757</c:v>
                </c:pt>
                <c:pt idx="61">
                  <c:v>0.21674657163758843</c:v>
                </c:pt>
                <c:pt idx="62">
                  <c:v>0.21621072298662347</c:v>
                </c:pt>
                <c:pt idx="63">
                  <c:v>0.2157199347262968</c:v>
                </c:pt>
                <c:pt idx="64">
                  <c:v>0.21527133377207899</c:v>
                </c:pt>
                <c:pt idx="65">
                  <c:v>0.21486229504027124</c:v>
                </c:pt>
                <c:pt idx="66">
                  <c:v>0.21449041546988298</c:v>
                </c:pt>
                <c:pt idx="67">
                  <c:v>0.21415349121788291</c:v>
                </c:pt>
                <c:pt idx="68">
                  <c:v>0.21384949758642161</c:v>
                </c:pt>
                <c:pt idx="69">
                  <c:v>0.21357657130925403</c:v>
                </c:pt>
                <c:pt idx="70">
                  <c:v>0.21333299488148744</c:v>
                </c:pt>
                <c:pt idx="71">
                  <c:v>0.21311718266412391</c:v>
                </c:pt>
                <c:pt idx="72">
                  <c:v>0.21292766853430051</c:v>
                </c:pt>
                <c:pt idx="73">
                  <c:v>0.21276309488530845</c:v>
                </c:pt>
                <c:pt idx="74">
                  <c:v>0.21262220280820029</c:v>
                </c:pt>
                <c:pt idx="75">
                  <c:v>0.21250382331031656</c:v>
                </c:pt>
                <c:pt idx="76">
                  <c:v>0.21240686944587653</c:v>
                </c:pt>
                <c:pt idx="77">
                  <c:v>0.2123303292506209</c:v>
                </c:pt>
                <c:pt idx="78">
                  <c:v>0.21227325938683331</c:v>
                </c:pt>
                <c:pt idx="79">
                  <c:v>0.21223477941727978</c:v>
                </c:pt>
                <c:pt idx="80">
                  <c:v>0.21221406663710929</c:v>
                </c:pt>
                <c:pt idx="81">
                  <c:v>0.21221035140168176</c:v>
                </c:pt>
                <c:pt idx="82">
                  <c:v>0.2122229128960598</c:v>
                </c:pt>
                <c:pt idx="83">
                  <c:v>0.21225107529855475</c:v>
                </c:pt>
                <c:pt idx="84">
                  <c:v>0.21229420429643836</c:v>
                </c:pt>
                <c:pt idx="85">
                  <c:v>0.21235170391697406</c:v>
                </c:pt>
                <c:pt idx="86">
                  <c:v>0.21242301364120494</c:v>
                </c:pt>
                <c:pt idx="87">
                  <c:v>0.21250760577172245</c:v>
                </c:pt>
                <c:pt idx="88">
                  <c:v>0.21260498302892691</c:v>
                </c:pt>
                <c:pt idx="89">
                  <c:v>0.21271467635316296</c:v>
                </c:pt>
                <c:pt idx="90">
                  <c:v>0.21283624289260067</c:v>
                </c:pt>
                <c:pt idx="91">
                  <c:v>0.21296926415898773</c:v>
                </c:pt>
                <c:pt idx="92">
                  <c:v>0.21311334433525755</c:v>
                </c:pt>
                <c:pt idx="93">
                  <c:v>0.21326810872078678</c:v>
                </c:pt>
                <c:pt idx="94">
                  <c:v>0.21343320230147783</c:v>
                </c:pt>
                <c:pt idx="95">
                  <c:v>0.21360828843328472</c:v>
                </c:pt>
                <c:pt idx="96">
                  <c:v>0.2137930476288869</c:v>
                </c:pt>
                <c:pt idx="97">
                  <c:v>0.21398717643831441</c:v>
                </c:pt>
                <c:pt idx="98">
                  <c:v>0.21419038641522228</c:v>
                </c:pt>
                <c:pt idx="99">
                  <c:v>0.21440240316134074</c:v>
                </c:pt>
                <c:pt idx="100">
                  <c:v>0.21462296544235601</c:v>
                </c:pt>
                <c:pt idx="101">
                  <c:v>0.21485182436915856</c:v>
                </c:pt>
                <c:pt idx="102">
                  <c:v>0.21508874263890829</c:v>
                </c:pt>
                <c:pt idx="103">
                  <c:v>0.21533349383097075</c:v>
                </c:pt>
                <c:pt idx="104">
                  <c:v>0.21558586175318745</c:v>
                </c:pt>
                <c:pt idx="105">
                  <c:v>0.21584563983437371</c:v>
                </c:pt>
                <c:pt idx="106">
                  <c:v>0.21611263055933169</c:v>
                </c:pt>
                <c:pt idx="107">
                  <c:v>0.21638664494297247</c:v>
                </c:pt>
                <c:pt idx="108">
                  <c:v>0.21666750204046925</c:v>
                </c:pt>
                <c:pt idx="109">
                  <c:v>0.21695502849063286</c:v>
                </c:pt>
                <c:pt idx="110">
                  <c:v>0.21724905808993059</c:v>
                </c:pt>
                <c:pt idx="111">
                  <c:v>0.21754943139481073</c:v>
                </c:pt>
                <c:pt idx="112">
                  <c:v>0.21785599535018829</c:v>
                </c:pt>
                <c:pt idx="113">
                  <c:v>0.21816860294213256</c:v>
                </c:pt>
                <c:pt idx="114">
                  <c:v>0.21848711287295719</c:v>
                </c:pt>
                <c:pt idx="115">
                  <c:v>0.21881138925706217</c:v>
                </c:pt>
                <c:pt idx="116">
                  <c:v>0.21914130133602661</c:v>
                </c:pt>
                <c:pt idx="117">
                  <c:v>0.21947672321155653</c:v>
                </c:pt>
                <c:pt idx="118">
                  <c:v>0.21981753359500966</c:v>
                </c:pt>
                <c:pt idx="119">
                  <c:v>0.22016361557233896</c:v>
                </c:pt>
                <c:pt idx="120">
                  <c:v>0.22051485638334473</c:v>
                </c:pt>
                <c:pt idx="121">
                  <c:v>0.22087114721427892</c:v>
                </c:pt>
                <c:pt idx="122">
                  <c:v>0.2212323830028472</c:v>
                </c:pt>
                <c:pt idx="123">
                  <c:v>0.22159846225478952</c:v>
                </c:pt>
                <c:pt idx="124">
                  <c:v>0.22196928687123255</c:v>
                </c:pt>
                <c:pt idx="125">
                  <c:v>0.22234476198611047</c:v>
                </c:pt>
                <c:pt idx="126">
                  <c:v>0.22272479581297289</c:v>
                </c:pt>
                <c:pt idx="127">
                  <c:v>0.22310929950057523</c:v>
                </c:pt>
                <c:pt idx="128">
                  <c:v>0.22349818699665239</c:v>
                </c:pt>
                <c:pt idx="129">
                  <c:v>0.22389137491937328</c:v>
                </c:pt>
                <c:pt idx="130">
                  <c:v>0.22428878243596617</c:v>
                </c:pt>
                <c:pt idx="131">
                  <c:v>0.22469033114805909</c:v>
                </c:pt>
                <c:pt idx="132">
                  <c:v>0.22509594498331606</c:v>
                </c:pt>
                <c:pt idx="133">
                  <c:v>0.22550555009297316</c:v>
                </c:pt>
                <c:pt idx="134">
                  <c:v>0.22591907475490178</c:v>
                </c:pt>
                <c:pt idx="135">
                  <c:v>0.22633644928185731</c:v>
                </c:pt>
                <c:pt idx="136">
                  <c:v>0.22675760593461497</c:v>
                </c:pt>
                <c:pt idx="137">
                  <c:v>0.22718247883966361</c:v>
                </c:pt>
                <c:pt idx="138">
                  <c:v>0.22761100391121136</c:v>
                </c:pt>
                <c:pt idx="139">
                  <c:v>0.22804311877722666</c:v>
                </c:pt>
                <c:pt idx="140">
                  <c:v>0.22847876270928613</c:v>
                </c:pt>
                <c:pt idx="141">
                  <c:v>0.22891787655599588</c:v>
                </c:pt>
                <c:pt idx="142">
                  <c:v>0.22936040267978611</c:v>
                </c:pt>
                <c:pt idx="143">
                  <c:v>0.22980628489687518</c:v>
                </c:pt>
                <c:pt idx="144">
                  <c:v>0.23025546842022654</c:v>
                </c:pt>
                <c:pt idx="145">
                  <c:v>0.2307078998053213</c:v>
                </c:pt>
                <c:pt idx="146">
                  <c:v>0.23116352689859138</c:v>
                </c:pt>
                <c:pt idx="147">
                  <c:v>0.23162229878835738</c:v>
                </c:pt>
                <c:pt idx="148">
                  <c:v>0.23208416575814456</c:v>
                </c:pt>
                <c:pt idx="149">
                  <c:v>0.2325490792422189</c:v>
                </c:pt>
                <c:pt idx="150">
                  <c:v>0.23301699178325297</c:v>
                </c:pt>
                <c:pt idx="151">
                  <c:v>0.23348785699197283</c:v>
                </c:pt>
                <c:pt idx="152">
                  <c:v>0.2339616295087048</c:v>
                </c:pt>
                <c:pt idx="153">
                  <c:v>0.23443826496669853</c:v>
                </c:pt>
                <c:pt idx="154">
                  <c:v>0.23491771995714836</c:v>
                </c:pt>
                <c:pt idx="155">
                  <c:v>0.23539995199580399</c:v>
                </c:pt>
                <c:pt idx="156">
                  <c:v>0.23588491949110518</c:v>
                </c:pt>
                <c:pt idx="157">
                  <c:v>0.23637258171374376</c:v>
                </c:pt>
                <c:pt idx="158">
                  <c:v>0.23686289876758904</c:v>
                </c:pt>
                <c:pt idx="159">
                  <c:v>0.23735583156190329</c:v>
                </c:pt>
                <c:pt idx="160">
                  <c:v>0.23785134178477019</c:v>
                </c:pt>
                <c:pt idx="161">
                  <c:v>0.23834939187769619</c:v>
                </c:pt>
                <c:pt idx="162">
                  <c:v>0.23884994501130277</c:v>
                </c:pt>
                <c:pt idx="163">
                  <c:v>0.23935296506206244</c:v>
                </c:pt>
                <c:pt idx="164">
                  <c:v>0.23985841659003679</c:v>
                </c:pt>
                <c:pt idx="165">
                  <c:v>0.24036626481754067</c:v>
                </c:pt>
                <c:pt idx="166">
                  <c:v>0.24087647560871803</c:v>
                </c:pt>
                <c:pt idx="167">
                  <c:v>0.24138901544995825</c:v>
                </c:pt>
                <c:pt idx="168">
                  <c:v>0.24190385143112222</c:v>
                </c:pt>
                <c:pt idx="169">
                  <c:v>0.2424209512275467</c:v>
                </c:pt>
                <c:pt idx="170">
                  <c:v>0.24294028308277049</c:v>
                </c:pt>
                <c:pt idx="171">
                  <c:v>0.24346181579196291</c:v>
                </c:pt>
                <c:pt idx="172">
                  <c:v>0.24398551868601659</c:v>
                </c:pt>
                <c:pt idx="173">
                  <c:v>0.24451136161626946</c:v>
                </c:pt>
                <c:pt idx="174">
                  <c:v>0.24503931493983527</c:v>
                </c:pt>
                <c:pt idx="175">
                  <c:v>0.24556934950549583</c:v>
                </c:pt>
                <c:pt idx="176">
                  <c:v>0.24610143664015144</c:v>
                </c:pt>
                <c:pt idx="177">
                  <c:v>0.24663554813578986</c:v>
                </c:pt>
                <c:pt idx="178">
                  <c:v>0.24717165623695195</c:v>
                </c:pt>
                <c:pt idx="179">
                  <c:v>0.24770973362866813</c:v>
                </c:pt>
                <c:pt idx="180">
                  <c:v>0.24824975342485761</c:v>
                </c:pt>
                <c:pt idx="181">
                  <c:v>0.24879168915714822</c:v>
                </c:pt>
                <c:pt idx="182">
                  <c:v>0.24933551476412061</c:v>
                </c:pt>
                <c:pt idx="183">
                  <c:v>0.24988120458093654</c:v>
                </c:pt>
                <c:pt idx="184">
                  <c:v>0.25042873332935073</c:v>
                </c:pt>
                <c:pt idx="185">
                  <c:v>0.25097807610808359</c:v>
                </c:pt>
                <c:pt idx="186">
                  <c:v>0.25152920838353071</c:v>
                </c:pt>
                <c:pt idx="187">
                  <c:v>0.25208210598080938</c:v>
                </c:pt>
                <c:pt idx="188">
                  <c:v>0.25263674507511946</c:v>
                </c:pt>
                <c:pt idx="189">
                  <c:v>0.25319310218339758</c:v>
                </c:pt>
                <c:pt idx="190">
                  <c:v>0.25375115415627153</c:v>
                </c:pt>
                <c:pt idx="191">
                  <c:v>0.25431087817027986</c:v>
                </c:pt>
                <c:pt idx="192">
                  <c:v>0.25487225172036482</c:v>
                </c:pt>
                <c:pt idx="193">
                  <c:v>0.25543525261261218</c:v>
                </c:pt>
                <c:pt idx="194">
                  <c:v>0.25599985895723387</c:v>
                </c:pt>
                <c:pt idx="195">
                  <c:v>0.25656604916179182</c:v>
                </c:pt>
                <c:pt idx="196">
                  <c:v>0.25713380192463092</c:v>
                </c:pt>
                <c:pt idx="197">
                  <c:v>0.25770309622853443</c:v>
                </c:pt>
                <c:pt idx="198">
                  <c:v>0.25827391133458732</c:v>
                </c:pt>
                <c:pt idx="199">
                  <c:v>0.25884622677622304</c:v>
                </c:pt>
                <c:pt idx="200">
                  <c:v>0.25942002235347411</c:v>
                </c:pt>
                <c:pt idx="201">
                  <c:v>0.25999527812739559</c:v>
                </c:pt>
                <c:pt idx="202">
                  <c:v>0.26057197441466284</c:v>
                </c:pt>
                <c:pt idx="203">
                  <c:v>0.26115009178233795</c:v>
                </c:pt>
                <c:pt idx="204">
                  <c:v>0.26172961104279369</c:v>
                </c:pt>
                <c:pt idx="205">
                  <c:v>0.26231051324879767</c:v>
                </c:pt>
                <c:pt idx="206">
                  <c:v>0.2628927796887392</c:v>
                </c:pt>
                <c:pt idx="207">
                  <c:v>0.26347639188199623</c:v>
                </c:pt>
                <c:pt idx="208">
                  <c:v>0.264061331574448</c:v>
                </c:pt>
                <c:pt idx="209">
                  <c:v>0.26464758073411454</c:v>
                </c:pt>
                <c:pt idx="210">
                  <c:v>0.26523512154691636</c:v>
                </c:pt>
                <c:pt idx="211">
                  <c:v>0.26582393641256802</c:v>
                </c:pt>
                <c:pt idx="212">
                  <c:v>0.26641400794058218</c:v>
                </c:pt>
                <c:pt idx="213">
                  <c:v>0.26700531894638602</c:v>
                </c:pt>
                <c:pt idx="214">
                  <c:v>0.2675978524475493</c:v>
                </c:pt>
                <c:pt idx="215">
                  <c:v>0.26819159166011536</c:v>
                </c:pt>
                <c:pt idx="216">
                  <c:v>0.26878651999503406</c:v>
                </c:pt>
                <c:pt idx="217">
                  <c:v>0.26938262105469435</c:v>
                </c:pt>
                <c:pt idx="218">
                  <c:v>0.26997987862954015</c:v>
                </c:pt>
                <c:pt idx="219">
                  <c:v>0.27057827669479417</c:v>
                </c:pt>
                <c:pt idx="220">
                  <c:v>0.27117779940725134</c:v>
                </c:pt>
                <c:pt idx="221">
                  <c:v>0.27177843110217031</c:v>
                </c:pt>
                <c:pt idx="222">
                  <c:v>0.27238015629023643</c:v>
                </c:pt>
                <c:pt idx="223">
                  <c:v>0.27298295965460534</c:v>
                </c:pt>
                <c:pt idx="224">
                  <c:v>0.2735868260480312</c:v>
                </c:pt>
                <c:pt idx="225">
                  <c:v>0.27419174049004946</c:v>
                </c:pt>
                <c:pt idx="226">
                  <c:v>0.2747976881642506</c:v>
                </c:pt>
                <c:pt idx="227">
                  <c:v>0.27540465441560913</c:v>
                </c:pt>
                <c:pt idx="228">
                  <c:v>0.27601262474787747</c:v>
                </c:pt>
                <c:pt idx="229">
                  <c:v>0.27662158482105781</c:v>
                </c:pt>
                <c:pt idx="230">
                  <c:v>0.27723152044891608</c:v>
                </c:pt>
                <c:pt idx="231">
                  <c:v>0.27784241759657036</c:v>
                </c:pt>
                <c:pt idx="232">
                  <c:v>0.27845426237812893</c:v>
                </c:pt>
                <c:pt idx="233">
                  <c:v>0.27906704105438968</c:v>
                </c:pt>
                <c:pt idx="234">
                  <c:v>0.27968074003058646</c:v>
                </c:pt>
                <c:pt idx="235">
                  <c:v>0.28029534585419508</c:v>
                </c:pt>
                <c:pt idx="236">
                  <c:v>0.28091084521278437</c:v>
                </c:pt>
                <c:pt idx="237">
                  <c:v>0.2815272249319164</c:v>
                </c:pt>
                <c:pt idx="238">
                  <c:v>0.28214447197310327</c:v>
                </c:pt>
                <c:pt idx="239">
                  <c:v>0.28276257343178934</c:v>
                </c:pt>
                <c:pt idx="240">
                  <c:v>0.28338151653540594</c:v>
                </c:pt>
                <c:pt idx="241">
                  <c:v>0.28400128864144308</c:v>
                </c:pt>
                <c:pt idx="242">
                  <c:v>0.28462187723557714</c:v>
                </c:pt>
                <c:pt idx="243">
                  <c:v>0.28524326992983923</c:v>
                </c:pt>
                <c:pt idx="244">
                  <c:v>0.28586545446081757</c:v>
                </c:pt>
                <c:pt idx="245">
                  <c:v>0.28648841868789759</c:v>
                </c:pt>
              </c:numCache>
            </c:numRef>
          </c:yVal>
          <c:smooth val="1"/>
          <c:extLst>
            <c:ext xmlns:c16="http://schemas.microsoft.com/office/drawing/2014/chart" uri="{C3380CC4-5D6E-409C-BE32-E72D297353CC}">
              <c16:uniqueId val="{00000000-1993-49F8-9D0F-8E90E03F1292}"/>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 Harmonic Impedance Scan</a:t>
            </a:r>
            <a:r>
              <a:rPr lang="en-US" sz="1400"/>
              <a:t>   </a:t>
            </a:r>
          </a:p>
        </c:rich>
      </c:tx>
      <c:layout>
        <c:manualLayout>
          <c:xMode val="edge"/>
          <c:yMode val="edge"/>
          <c:x val="0.32738817787403141"/>
          <c:y val="2.3219124373200388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0"/>
          <c:order val="0"/>
          <c:tx>
            <c:v>Filter Impedance</c:v>
          </c:tx>
          <c:spPr>
            <a:ln>
              <a:solidFill>
                <a:srgbClr val="00B0F0"/>
              </a:solidFill>
            </a:ln>
          </c:spPr>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Design'!$CY$5:$CY$250</c:f>
              <c:numCache>
                <c:formatCode>General</c:formatCode>
                <c:ptCount val="246"/>
                <c:pt idx="0">
                  <c:v>51.836115438901551</c:v>
                </c:pt>
                <c:pt idx="1">
                  <c:v>42.406531217229784</c:v>
                </c:pt>
                <c:pt idx="2">
                  <c:v>35.548497434901471</c:v>
                </c:pt>
                <c:pt idx="3">
                  <c:v>30.297940985009486</c:v>
                </c:pt>
                <c:pt idx="4">
                  <c:v>26.119320351161601</c:v>
                </c:pt>
                <c:pt idx="5">
                  <c:v>22.691370804617058</c:v>
                </c:pt>
                <c:pt idx="6">
                  <c:v>19.809720240595414</c:v>
                </c:pt>
                <c:pt idx="7">
                  <c:v>17.338203211501241</c:v>
                </c:pt>
                <c:pt idx="8">
                  <c:v>15.182654250537404</c:v>
                </c:pt>
                <c:pt idx="9">
                  <c:v>13.27594591178212</c:v>
                </c:pt>
                <c:pt idx="10">
                  <c:v>11.569032379619419</c:v>
                </c:pt>
                <c:pt idx="11">
                  <c:v>10.025385760974306</c:v>
                </c:pt>
                <c:pt idx="12">
                  <c:v>8.6174547233665812</c:v>
                </c:pt>
                <c:pt idx="13">
                  <c:v>7.3244109761748462</c:v>
                </c:pt>
                <c:pt idx="14">
                  <c:v>6.1308181323862216</c:v>
                </c:pt>
                <c:pt idx="15">
                  <c:v>5.0261493328088118</c:v>
                </c:pt>
                <c:pt idx="16">
                  <c:v>4.0055013190312048</c:v>
                </c:pt>
                <c:pt idx="17">
                  <c:v>3.0729151574606219</c:v>
                </c:pt>
                <c:pt idx="18">
                  <c:v>2.2521717471844318</c:v>
                </c:pt>
                <c:pt idx="19">
                  <c:v>1.620006581039513</c:v>
                </c:pt>
                <c:pt idx="20">
                  <c:v>1.3605089265976003</c:v>
                </c:pt>
                <c:pt idx="21">
                  <c:v>1.5968555055616862</c:v>
                </c:pt>
                <c:pt idx="22">
                  <c:v>2.1343448724118548</c:v>
                </c:pt>
                <c:pt idx="23">
                  <c:v>2.7802990156826985</c:v>
                </c:pt>
                <c:pt idx="24">
                  <c:v>3.4582068113386408</c:v>
                </c:pt>
                <c:pt idx="25">
                  <c:v>4.1408204737277829</c:v>
                </c:pt>
                <c:pt idx="26">
                  <c:v>4.8176734264627594</c:v>
                </c:pt>
                <c:pt idx="27">
                  <c:v>5.4845482286805174</c:v>
                </c:pt>
                <c:pt idx="28">
                  <c:v>6.1398244735226015</c:v>
                </c:pt>
                <c:pt idx="29">
                  <c:v>6.7830526040671222</c:v>
                </c:pt>
                <c:pt idx="30">
                  <c:v>7.4143364485847236</c:v>
                </c:pt>
                <c:pt idx="31">
                  <c:v>8.0340436559559194</c:v>
                </c:pt>
                <c:pt idx="32">
                  <c:v>8.6426617232614209</c:v>
                </c:pt>
                <c:pt idx="33">
                  <c:v>9.2407235481349108</c:v>
                </c:pt>
                <c:pt idx="34">
                  <c:v>9.8287681430696487</c:v>
                </c:pt>
                <c:pt idx="35">
                  <c:v>10.407319939717793</c:v>
                </c:pt>
                <c:pt idx="36">
                  <c:v>10.976878250319164</c:v>
                </c:pt>
                <c:pt idx="37">
                  <c:v>11.53791240249379</c:v>
                </c:pt>
                <c:pt idx="38">
                  <c:v>12.09086007715203</c:v>
                </c:pt>
                <c:pt idx="39">
                  <c:v>12.636127449812568</c:v>
                </c:pt>
                <c:pt idx="40">
                  <c:v>13.174090325217611</c:v>
                </c:pt>
                <c:pt idx="41">
                  <c:v>13.705095789612075</c:v>
                </c:pt>
                <c:pt idx="42">
                  <c:v>14.229464099486764</c:v>
                </c:pt>
                <c:pt idx="43">
                  <c:v>14.747490640851728</c:v>
                </c:pt>
                <c:pt idx="44">
                  <c:v>15.259447862494882</c:v>
                </c:pt>
                <c:pt idx="45">
                  <c:v>15.765587128866276</c:v>
                </c:pt>
                <c:pt idx="46">
                  <c:v>16.266140464031828</c:v>
                </c:pt>
                <c:pt idx="47">
                  <c:v>16.761322173893266</c:v>
                </c:pt>
                <c:pt idx="48">
                  <c:v>17.251330343416168</c:v>
                </c:pt>
                <c:pt idx="49">
                  <c:v>17.736348211261717</c:v>
                </c:pt>
                <c:pt idx="50">
                  <c:v>18.216545427446725</c:v>
                </c:pt>
                <c:pt idx="51">
                  <c:v>18.692079201350698</c:v>
                </c:pt>
                <c:pt idx="52">
                  <c:v>19.163095348134153</c:v>
                </c:pt>
                <c:pt idx="53">
                  <c:v>19.62972924179239</c:v>
                </c:pt>
                <c:pt idx="54">
                  <c:v>20.092106682872132</c:v>
                </c:pt>
                <c:pt idx="55">
                  <c:v>20.550344688487066</c:v>
                </c:pt>
                <c:pt idx="56">
                  <c:v>21.004552211761425</c:v>
                </c:pt>
                <c:pt idx="57">
                  <c:v>21.454830797290722</c:v>
                </c:pt>
                <c:pt idx="58">
                  <c:v>21.901275178642802</c:v>
                </c:pt>
                <c:pt idx="59">
                  <c:v>22.343973823393284</c:v>
                </c:pt>
                <c:pt idx="60">
                  <c:v>22.783009430668557</c:v>
                </c:pt>
                <c:pt idx="61">
                  <c:v>23.218459385694629</c:v>
                </c:pt>
                <c:pt idx="62">
                  <c:v>23.650396175414198</c:v>
                </c:pt>
                <c:pt idx="63">
                  <c:v>24.078887768825918</c:v>
                </c:pt>
                <c:pt idx="64">
                  <c:v>24.503997965341302</c:v>
                </c:pt>
                <c:pt idx="65">
                  <c:v>24.925786714125913</c:v>
                </c:pt>
                <c:pt idx="66">
                  <c:v>25.34431040708969</c:v>
                </c:pt>
                <c:pt idx="67">
                  <c:v>25.759622147932831</c:v>
                </c:pt>
                <c:pt idx="68">
                  <c:v>26.171771999408335</c:v>
                </c:pt>
                <c:pt idx="69">
                  <c:v>26.580807210751122</c:v>
                </c:pt>
                <c:pt idx="70">
                  <c:v>26.98677242703415</c:v>
                </c:pt>
                <c:pt idx="71">
                  <c:v>27.389709882033124</c:v>
                </c:pt>
                <c:pt idx="72">
                  <c:v>27.789659576036954</c:v>
                </c:pt>
                <c:pt idx="73">
                  <c:v>28.186659439894111</c:v>
                </c:pt>
                <c:pt idx="74">
                  <c:v>28.580745486469187</c:v>
                </c:pt>
                <c:pt idx="75">
                  <c:v>28.97195195056819</c:v>
                </c:pt>
                <c:pt idx="76">
                  <c:v>29.360311418292817</c:v>
                </c:pt>
                <c:pt idx="77">
                  <c:v>29.745854946697904</c:v>
                </c:pt>
                <c:pt idx="78">
                  <c:v>30.128612174540212</c:v>
                </c:pt>
                <c:pt idx="79">
                  <c:v>30.508611424841561</c:v>
                </c:pt>
                <c:pt idx="80">
                  <c:v>30.885879799916985</c:v>
                </c:pt>
                <c:pt idx="81">
                  <c:v>31.260443269467931</c:v>
                </c:pt>
                <c:pt idx="82">
                  <c:v>31.632326752282097</c:v>
                </c:pt>
                <c:pt idx="83">
                  <c:v>32.001554192034661</c:v>
                </c:pt>
                <c:pt idx="84">
                  <c:v>32.368148627647464</c:v>
                </c:pt>
                <c:pt idx="85">
                  <c:v>32.732132258617277</c:v>
                </c:pt>
                <c:pt idx="86">
                  <c:v>33.09352650569312</c:v>
                </c:pt>
                <c:pt idx="87">
                  <c:v>33.452352067250978</c:v>
                </c:pt>
                <c:pt idx="88">
                  <c:v>33.808628971684122</c:v>
                </c:pt>
                <c:pt idx="89">
                  <c:v>34.162376626099395</c:v>
                </c:pt>
                <c:pt idx="90">
                  <c:v>34.513613861592063</c:v>
                </c:pt>
                <c:pt idx="91">
                  <c:v>34.862358975340562</c:v>
                </c:pt>
                <c:pt idx="92">
                  <c:v>35.208629769755738</c:v>
                </c:pt>
                <c:pt idx="93">
                  <c:v>35.552443588885367</c:v>
                </c:pt>
                <c:pt idx="94">
                  <c:v>35.893817352274986</c:v>
                </c:pt>
                <c:pt idx="95">
                  <c:v>36.232767586457861</c:v>
                </c:pt>
                <c:pt idx="96">
                  <c:v>36.569310454240018</c:v>
                </c:pt>
                <c:pt idx="97">
                  <c:v>36.903461781934418</c:v>
                </c:pt>
                <c:pt idx="98">
                  <c:v>37.235237084680612</c:v>
                </c:pt>
                <c:pt idx="99">
                  <c:v>37.564651589984543</c:v>
                </c:pt>
                <c:pt idx="100">
                  <c:v>37.891720259596362</c:v>
                </c:pt>
                <c:pt idx="101">
                  <c:v>38.216457809838104</c:v>
                </c:pt>
                <c:pt idx="102">
                  <c:v>38.538878730487049</c:v>
                </c:pt>
                <c:pt idx="103">
                  <c:v>38.85899730230885</c:v>
                </c:pt>
                <c:pt idx="104">
                  <c:v>39.176827613330573</c:v>
                </c:pt>
                <c:pt idx="105">
                  <c:v>39.492383573937829</c:v>
                </c:pt>
                <c:pt idx="106">
                  <c:v>39.805678930871913</c:v>
                </c:pt>
                <c:pt idx="107">
                  <c:v>40.116727280200422</c:v>
                </c:pt>
                <c:pt idx="108">
                  <c:v>40.42554207932794</c:v>
                </c:pt>
                <c:pt idx="109">
                  <c:v>40.73213665810821</c:v>
                </c:pt>
                <c:pt idx="110">
                  <c:v>41.036524229119294</c:v>
                </c:pt>
                <c:pt idx="111">
                  <c:v>41.338717897152243</c:v>
                </c:pt>
                <c:pt idx="112">
                  <c:v>41.638730667967607</c:v>
                </c:pt>
                <c:pt idx="113">
                  <c:v>41.93657545636588</c:v>
                </c:pt>
                <c:pt idx="114">
                  <c:v>42.232265093614579</c:v>
                </c:pt>
                <c:pt idx="115">
                  <c:v>42.525812334278079</c:v>
                </c:pt>
                <c:pt idx="116">
                  <c:v>42.817229862484048</c:v>
                </c:pt>
                <c:pt idx="117">
                  <c:v>43.106530297666247</c:v>
                </c:pt>
                <c:pt idx="118">
                  <c:v>43.393726199816761</c:v>
                </c:pt>
                <c:pt idx="119">
                  <c:v>43.678830074278544</c:v>
                </c:pt>
                <c:pt idx="120">
                  <c:v>43.961854376111532</c:v>
                </c:pt>
                <c:pt idx="121">
                  <c:v>44.242811514054914</c:v>
                </c:pt>
                <c:pt idx="122">
                  <c:v>44.521713854117849</c:v>
                </c:pt>
                <c:pt idx="123">
                  <c:v>44.798573722819718</c:v>
                </c:pt>
                <c:pt idx="124">
                  <c:v>45.073403410102848</c:v>
                </c:pt>
                <c:pt idx="125">
                  <c:v>45.346215171942937</c:v>
                </c:pt>
                <c:pt idx="126">
                  <c:v>45.617021232673288</c:v>
                </c:pt>
                <c:pt idx="127">
                  <c:v>45.88583378704466</c:v>
                </c:pt>
                <c:pt idx="128">
                  <c:v>46.152665002039043</c:v>
                </c:pt>
                <c:pt idx="129">
                  <c:v>46.417527018452233</c:v>
                </c:pt>
                <c:pt idx="130">
                  <c:v>46.680431952263554</c:v>
                </c:pt>
                <c:pt idx="131">
                  <c:v>46.941391895805239</c:v>
                </c:pt>
                <c:pt idx="132">
                  <c:v>47.200418918748625</c:v>
                </c:pt>
                <c:pt idx="133">
                  <c:v>47.457525068916787</c:v>
                </c:pt>
                <c:pt idx="134">
                  <c:v>47.712722372939034</c:v>
                </c:pt>
                <c:pt idx="135">
                  <c:v>47.966022836758263</c:v>
                </c:pt>
                <c:pt idx="136">
                  <c:v>48.217438445999925</c:v>
                </c:pt>
                <c:pt idx="137">
                  <c:v>48.466981166217664</c:v>
                </c:pt>
                <c:pt idx="138">
                  <c:v>48.714662943019661</c:v>
                </c:pt>
                <c:pt idx="139">
                  <c:v>48.960495702089375</c:v>
                </c:pt>
                <c:pt idx="140">
                  <c:v>49.204491349107414</c:v>
                </c:pt>
                <c:pt idx="141">
                  <c:v>49.446661769582583</c:v>
                </c:pt>
                <c:pt idx="142">
                  <c:v>49.687018828600067</c:v>
                </c:pt>
                <c:pt idx="143">
                  <c:v>49.925574370493969</c:v>
                </c:pt>
                <c:pt idx="144">
                  <c:v>50.162340218449842</c:v>
                </c:pt>
                <c:pt idx="145">
                  <c:v>50.397328174046535</c:v>
                </c:pt>
                <c:pt idx="146">
                  <c:v>50.630550016738546</c:v>
                </c:pt>
                <c:pt idx="147">
                  <c:v>50.862017503289287</c:v>
                </c:pt>
                <c:pt idx="148">
                  <c:v>51.091742367156904</c:v>
                </c:pt>
                <c:pt idx="149">
                  <c:v>51.319736317839883</c:v>
                </c:pt>
                <c:pt idx="150">
                  <c:v>51.54601104018537</c:v>
                </c:pt>
                <c:pt idx="151">
                  <c:v>51.770578193665862</c:v>
                </c:pt>
                <c:pt idx="152">
                  <c:v>51.993449411627068</c:v>
                </c:pt>
                <c:pt idx="153">
                  <c:v>52.214636300512083</c:v>
                </c:pt>
                <c:pt idx="154">
                  <c:v>52.434150439063686</c:v>
                </c:pt>
                <c:pt idx="155">
                  <c:v>52.652003377510624</c:v>
                </c:pt>
                <c:pt idx="156">
                  <c:v>52.868206636737611</c:v>
                </c:pt>
                <c:pt idx="157">
                  <c:v>53.082771707444955</c:v>
                </c:pt>
                <c:pt idx="158">
                  <c:v>53.295710049299146</c:v>
                </c:pt>
                <c:pt idx="159">
                  <c:v>53.507033090076277</c:v>
                </c:pt>
                <c:pt idx="160">
                  <c:v>53.716752224802768</c:v>
                </c:pt>
                <c:pt idx="161">
                  <c:v>53.924878814893368</c:v>
                </c:pt>
                <c:pt idx="162">
                  <c:v>54.131424187288893</c:v>
                </c:pt>
                <c:pt idx="163">
                  <c:v>54.336399633597694</c:v>
                </c:pt>
                <c:pt idx="164">
                  <c:v>54.539816409238334</c:v>
                </c:pt>
                <c:pt idx="165">
                  <c:v>54.741685732591108</c:v>
                </c:pt>
                <c:pt idx="166">
                  <c:v>54.942018784153063</c:v>
                </c:pt>
                <c:pt idx="167">
                  <c:v>55.140826705703105</c:v>
                </c:pt>
                <c:pt idx="168">
                  <c:v>55.3381205994773</c:v>
                </c:pt>
                <c:pt idx="169">
                  <c:v>55.533911527352366</c:v>
                </c:pt>
                <c:pt idx="170">
                  <c:v>55.728210510043546</c:v>
                </c:pt>
                <c:pt idx="171">
                  <c:v>55.921028526314345</c:v>
                </c:pt>
                <c:pt idx="172">
                  <c:v>56.112376512198622</c:v>
                </c:pt>
                <c:pt idx="173">
                  <c:v>56.302265360239574</c:v>
                </c:pt>
                <c:pt idx="174">
                  <c:v>56.490705918741341</c:v>
                </c:pt>
                <c:pt idx="175">
                  <c:v>56.677708991038216</c:v>
                </c:pt>
                <c:pt idx="176">
                  <c:v>56.863285334779874</c:v>
                </c:pt>
                <c:pt idx="177">
                  <c:v>57.047445661232445</c:v>
                </c:pt>
                <c:pt idx="178">
                  <c:v>57.230200634598525</c:v>
                </c:pt>
                <c:pt idx="179">
                  <c:v>57.411560871354261</c:v>
                </c:pt>
                <c:pt idx="180">
                  <c:v>57.591536939603877</c:v>
                </c:pt>
                <c:pt idx="181">
                  <c:v>57.770139358454394</c:v>
                </c:pt>
                <c:pt idx="182">
                  <c:v>57.947378597406754</c:v>
                </c:pt>
                <c:pt idx="183">
                  <c:v>58.123265075768032</c:v>
                </c:pt>
                <c:pt idx="184">
                  <c:v>58.297809162081343</c:v>
                </c:pt>
                <c:pt idx="185">
                  <c:v>58.47102117357516</c:v>
                </c:pt>
                <c:pt idx="186">
                  <c:v>58.642911375632366</c:v>
                </c:pt>
                <c:pt idx="187">
                  <c:v>58.813489981278167</c:v>
                </c:pt>
                <c:pt idx="188">
                  <c:v>58.982767150687515</c:v>
                </c:pt>
                <c:pt idx="189">
                  <c:v>59.15075299071232</c:v>
                </c:pt>
                <c:pt idx="190">
                  <c:v>59.317457554426696</c:v>
                </c:pt>
                <c:pt idx="191">
                  <c:v>59.482890840693386</c:v>
                </c:pt>
                <c:pt idx="192">
                  <c:v>59.64706279374758</c:v>
                </c:pt>
                <c:pt idx="193">
                  <c:v>59.809983302800852</c:v>
                </c:pt>
                <c:pt idx="194">
                  <c:v>59.971662201663918</c:v>
                </c:pt>
                <c:pt idx="195">
                  <c:v>60.132109268387474</c:v>
                </c:pt>
                <c:pt idx="196">
                  <c:v>60.291334224922913</c:v>
                </c:pt>
                <c:pt idx="197">
                  <c:v>60.44934673680055</c:v>
                </c:pt>
                <c:pt idx="198">
                  <c:v>60.606156412825847</c:v>
                </c:pt>
                <c:pt idx="199">
                  <c:v>60.761772804795562</c:v>
                </c:pt>
                <c:pt idx="200">
                  <c:v>60.916205407229278</c:v>
                </c:pt>
                <c:pt idx="201">
                  <c:v>61.069463657119975</c:v>
                </c:pt>
                <c:pt idx="202">
                  <c:v>61.221556933701684</c:v>
                </c:pt>
                <c:pt idx="203">
                  <c:v>61.372494558234678</c:v>
                </c:pt>
                <c:pt idx="204">
                  <c:v>61.522285793806823</c:v>
                </c:pt>
                <c:pt idx="205">
                  <c:v>61.670939845151452</c:v>
                </c:pt>
                <c:pt idx="206">
                  <c:v>61.818465858482384</c:v>
                </c:pt>
                <c:pt idx="207">
                  <c:v>61.964872921344686</c:v>
                </c:pt>
                <c:pt idx="208">
                  <c:v>62.110170062480208</c:v>
                </c:pt>
                <c:pt idx="209">
                  <c:v>62.254366251710309</c:v>
                </c:pt>
                <c:pt idx="210">
                  <c:v>62.397470399832187</c:v>
                </c:pt>
                <c:pt idx="211">
                  <c:v>62.539491358530796</c:v>
                </c:pt>
                <c:pt idx="212">
                  <c:v>62.680437920305437</c:v>
                </c:pt>
                <c:pt idx="213">
                  <c:v>62.820318818410627</c:v>
                </c:pt>
                <c:pt idx="214">
                  <c:v>62.9591427268101</c:v>
                </c:pt>
                <c:pt idx="215">
                  <c:v>63.096918260145905</c:v>
                </c:pt>
                <c:pt idx="216">
                  <c:v>63.233653973719214</c:v>
                </c:pt>
                <c:pt idx="217">
                  <c:v>63.369358363485901</c:v>
                </c:pt>
                <c:pt idx="218">
                  <c:v>63.50403986606343</c:v>
                </c:pt>
                <c:pt idx="219">
                  <c:v>63.637706858750725</c:v>
                </c:pt>
                <c:pt idx="220">
                  <c:v>63.770367659560755</c:v>
                </c:pt>
                <c:pt idx="221">
                  <c:v>63.902030527263683</c:v>
                </c:pt>
                <c:pt idx="222">
                  <c:v>64.032703661442966</c:v>
                </c:pt>
                <c:pt idx="223">
                  <c:v>64.162395202561683</c:v>
                </c:pt>
                <c:pt idx="224">
                  <c:v>64.291113232039578</c:v>
                </c:pt>
                <c:pt idx="225">
                  <c:v>64.418865772342485</c:v>
                </c:pt>
                <c:pt idx="226">
                  <c:v>64.545660787079598</c:v>
                </c:pt>
                <c:pt idx="227">
                  <c:v>64.671506181113202</c:v>
                </c:pt>
                <c:pt idx="228">
                  <c:v>64.796409800676656</c:v>
                </c:pt>
                <c:pt idx="229">
                  <c:v>64.920379433501367</c:v>
                </c:pt>
                <c:pt idx="230">
                  <c:v>65.043422808955881</c:v>
                </c:pt>
                <c:pt idx="231">
                  <c:v>65.165547598189647</c:v>
                </c:pt>
                <c:pt idx="232">
                  <c:v>65.286761414289828</c:v>
                </c:pt>
                <c:pt idx="233">
                  <c:v>65.407071812442325</c:v>
                </c:pt>
                <c:pt idx="234">
                  <c:v>65.526486290104799</c:v>
                </c:pt>
                <c:pt idx="235">
                  <c:v>65.6450122871844</c:v>
                </c:pt>
                <c:pt idx="236">
                  <c:v>65.762657186224757</c:v>
                </c:pt>
                <c:pt idx="237">
                  <c:v>65.879428312600965</c:v>
                </c:pt>
                <c:pt idx="238">
                  <c:v>65.99533293471832</c:v>
                </c:pt>
                <c:pt idx="239">
                  <c:v>66.110378264223201</c:v>
                </c:pt>
                <c:pt idx="240">
                  <c:v>66.224571456214477</c:v>
                </c:pt>
                <c:pt idx="241">
                  <c:v>66.337919609467164</c:v>
                </c:pt>
                <c:pt idx="242">
                  <c:v>66.450429766657408</c:v>
                </c:pt>
                <c:pt idx="243">
                  <c:v>66.562108914596749</c:v>
                </c:pt>
                <c:pt idx="244">
                  <c:v>66.672963984469263</c:v>
                </c:pt>
                <c:pt idx="245">
                  <c:v>66.78300185207739</c:v>
                </c:pt>
              </c:numCache>
            </c:numRef>
          </c:yVal>
          <c:smooth val="1"/>
          <c:extLst>
            <c:ext xmlns:c16="http://schemas.microsoft.com/office/drawing/2014/chart" uri="{C3380CC4-5D6E-409C-BE32-E72D297353CC}">
              <c16:uniqueId val="{00000000-52BB-4FD6-8B3A-24CC1BC0CFDA}"/>
            </c:ext>
          </c:extLst>
        </c:ser>
        <c:ser>
          <c:idx val="1"/>
          <c:order val="1"/>
          <c:tx>
            <c:v>Source Impedance</c:v>
          </c:tx>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Design'!$CZ$5:$CZ$250</c:f>
              <c:numCache>
                <c:formatCode>General</c:formatCode>
                <c:ptCount val="246"/>
                <c:pt idx="0">
                  <c:v>0.47997052378630867</c:v>
                </c:pt>
                <c:pt idx="1">
                  <c:v>0.57582404493915584</c:v>
                </c:pt>
                <c:pt idx="2">
                  <c:v>0.67169580434855936</c:v>
                </c:pt>
                <c:pt idx="3">
                  <c:v>0.76757896808849901</c:v>
                </c:pt>
                <c:pt idx="4">
                  <c:v>0.86346973701869312</c:v>
                </c:pt>
                <c:pt idx="5">
                  <c:v>0.95936583067432457</c:v>
                </c:pt>
                <c:pt idx="6">
                  <c:v>1.0552657974210631</c:v>
                </c:pt>
                <c:pt idx="7">
                  <c:v>1.1511686692969825</c:v>
                </c:pt>
                <c:pt idx="8">
                  <c:v>1.2470737760686974</c:v>
                </c:pt>
                <c:pt idx="9">
                  <c:v>1.3429806389402819</c:v>
                </c:pt>
                <c:pt idx="10">
                  <c:v>1.4388889067616244</c:v>
                </c:pt>
                <c:pt idx="11">
                  <c:v>1.5347983161503107</c:v>
                </c:pt>
                <c:pt idx="12">
                  <c:v>1.6307086656840339</c:v>
                </c:pt>
                <c:pt idx="13">
                  <c:v>1.7266197986931455</c:v>
                </c:pt>
                <c:pt idx="14">
                  <c:v>1.8225315914859364</c:v>
                </c:pt>
                <c:pt idx="15">
                  <c:v>1.9184439451056097</c:v>
                </c:pt>
                <c:pt idx="16">
                  <c:v>2.0143567794418731</c:v>
                </c:pt>
                <c:pt idx="17">
                  <c:v>2.1102700289483125</c:v>
                </c:pt>
                <c:pt idx="18">
                  <c:v>2.2061836394766798</c:v>
                </c:pt>
                <c:pt idx="19">
                  <c:v>2.3020975659025749</c:v>
                </c:pt>
                <c:pt idx="20">
                  <c:v>2.3980117703209007</c:v>
                </c:pt>
                <c:pt idx="21">
                  <c:v>2.4939262206576061</c:v>
                </c:pt>
                <c:pt idx="22">
                  <c:v>2.589840889590036</c:v>
                </c:pt>
                <c:pt idx="23">
                  <c:v>2.6857557536984755</c:v>
                </c:pt>
                <c:pt idx="24">
                  <c:v>2.7816707927933089</c:v>
                </c:pt>
                <c:pt idx="25">
                  <c:v>2.8775859893767333</c:v>
                </c:pt>
                <c:pt idx="26">
                  <c:v>2.9735013282085672</c:v>
                </c:pt>
                <c:pt idx="27">
                  <c:v>3.0694167959535883</c:v>
                </c:pt>
                <c:pt idx="28">
                  <c:v>3.1653323808928491</c:v>
                </c:pt>
                <c:pt idx="29">
                  <c:v>3.2612480726860742</c:v>
                </c:pt>
                <c:pt idx="30">
                  <c:v>3.357163862174656</c:v>
                </c:pt>
                <c:pt idx="31">
                  <c:v>3.453079741217568</c:v>
                </c:pt>
                <c:pt idx="32">
                  <c:v>3.5489957025538894</c:v>
                </c:pt>
                <c:pt idx="33">
                  <c:v>3.6449117396869379</c:v>
                </c:pt>
                <c:pt idx="34">
                  <c:v>3.7408278467863778</c:v>
                </c:pt>
                <c:pt idx="35">
                  <c:v>3.8367440186048545</c:v>
                </c:pt>
                <c:pt idx="36">
                  <c:v>3.9326602504069372</c:v>
                </c:pt>
                <c:pt idx="37">
                  <c:v>4.0285765379082026</c:v>
                </c:pt>
                <c:pt idx="38">
                  <c:v>4.1244928772227283</c:v>
                </c:pt>
                <c:pt idx="39">
                  <c:v>4.2204092648178877</c:v>
                </c:pt>
                <c:pt idx="40">
                  <c:v>4.3163256974750173</c:v>
                </c:pt>
                <c:pt idx="41">
                  <c:v>4.4122421722553726</c:v>
                </c:pt>
                <c:pt idx="42">
                  <c:v>4.5081586864702645</c:v>
                </c:pt>
                <c:pt idx="43">
                  <c:v>4.6040752376551</c:v>
                </c:pt>
                <c:pt idx="44">
                  <c:v>4.6999918235464433</c:v>
                </c:pt>
                <c:pt idx="45">
                  <c:v>4.7959084420619256</c:v>
                </c:pt>
                <c:pt idx="46">
                  <c:v>4.8918250912825316</c:v>
                </c:pt>
                <c:pt idx="47">
                  <c:v>4.9877417694368198</c:v>
                </c:pt>
                <c:pt idx="48">
                  <c:v>5.0836584748870779</c:v>
                </c:pt>
                <c:pt idx="49">
                  <c:v>5.179575206116863</c:v>
                </c:pt>
                <c:pt idx="50">
                  <c:v>5.2754919617200606</c:v>
                </c:pt>
                <c:pt idx="51">
                  <c:v>5.3714087403909589</c:v>
                </c:pt>
                <c:pt idx="52">
                  <c:v>5.4673255409154731</c:v>
                </c:pt>
                <c:pt idx="53">
                  <c:v>5.5632423621632769</c:v>
                </c:pt>
                <c:pt idx="54">
                  <c:v>5.6591592030806366</c:v>
                </c:pt>
                <c:pt idx="55">
                  <c:v>5.7550760626841067</c:v>
                </c:pt>
                <c:pt idx="56">
                  <c:v>5.8509929400546872</c:v>
                </c:pt>
                <c:pt idx="57">
                  <c:v>5.9469098343327085</c:v>
                </c:pt>
                <c:pt idx="58">
                  <c:v>6.042826744713043</c:v>
                </c:pt>
                <c:pt idx="59">
                  <c:v>6.1387436704409222</c:v>
                </c:pt>
                <c:pt idx="60">
                  <c:v>6.2346606108079845</c:v>
                </c:pt>
                <c:pt idx="61">
                  <c:v>6.3305775651488378</c:v>
                </c:pt>
                <c:pt idx="62">
                  <c:v>6.426494532837788</c:v>
                </c:pt>
                <c:pt idx="63">
                  <c:v>6.5224115132859426</c:v>
                </c:pt>
                <c:pt idx="64">
                  <c:v>6.618328505938579</c:v>
                </c:pt>
                <c:pt idx="65">
                  <c:v>6.7142455102726304</c:v>
                </c:pt>
                <c:pt idx="66">
                  <c:v>6.8101625257945413</c:v>
                </c:pt>
                <c:pt idx="67">
                  <c:v>6.9060795520381344</c:v>
                </c:pt>
                <c:pt idx="68">
                  <c:v>7.0019965885628173</c:v>
                </c:pt>
                <c:pt idx="69">
                  <c:v>7.0979136349517677</c:v>
                </c:pt>
                <c:pt idx="70">
                  <c:v>7.1938306908104428</c:v>
                </c:pt>
                <c:pt idx="71">
                  <c:v>7.2897477557650276</c:v>
                </c:pt>
                <c:pt idx="72">
                  <c:v>7.3856648294611311</c:v>
                </c:pt>
                <c:pt idx="73">
                  <c:v>7.481581911562559</c:v>
                </c:pt>
                <c:pt idx="74">
                  <c:v>7.5774990017501089</c:v>
                </c:pt>
                <c:pt idx="75">
                  <c:v>7.6734160997205674</c:v>
                </c:pt>
                <c:pt idx="76">
                  <c:v>7.7693332051856672</c:v>
                </c:pt>
                <c:pt idx="77">
                  <c:v>7.8652503178712294</c:v>
                </c:pt>
                <c:pt idx="78">
                  <c:v>7.9611674375162593</c:v>
                </c:pt>
                <c:pt idx="79">
                  <c:v>8.0570845638722233</c:v>
                </c:pt>
                <c:pt idx="80">
                  <c:v>8.1530016967022476</c:v>
                </c:pt>
                <c:pt idx="81">
                  <c:v>8.248918835780513</c:v>
                </c:pt>
                <c:pt idx="82">
                  <c:v>8.3448359808915544</c:v>
                </c:pt>
                <c:pt idx="83">
                  <c:v>8.4407531318297035</c:v>
                </c:pt>
                <c:pt idx="84">
                  <c:v>8.5366702883985557</c:v>
                </c:pt>
                <c:pt idx="85">
                  <c:v>8.6325874504104085</c:v>
                </c:pt>
                <c:pt idx="86">
                  <c:v>8.7285046176858376</c:v>
                </c:pt>
                <c:pt idx="87">
                  <c:v>8.8244217900531865</c:v>
                </c:pt>
                <c:pt idx="88">
                  <c:v>8.9203389673482238</c:v>
                </c:pt>
                <c:pt idx="89">
                  <c:v>9.016256149413671</c:v>
                </c:pt>
                <c:pt idx="90">
                  <c:v>9.1121733360988735</c:v>
                </c:pt>
                <c:pt idx="91">
                  <c:v>9.2080905272594897</c:v>
                </c:pt>
                <c:pt idx="92">
                  <c:v>9.3040077227570759</c:v>
                </c:pt>
                <c:pt idx="93">
                  <c:v>9.3999249224588972</c:v>
                </c:pt>
                <c:pt idx="94">
                  <c:v>9.4958421262375268</c:v>
                </c:pt>
                <c:pt idx="95">
                  <c:v>9.5917593339706873</c:v>
                </c:pt>
                <c:pt idx="96">
                  <c:v>9.6876765455408922</c:v>
                </c:pt>
                <c:pt idx="97">
                  <c:v>9.7835937608353127</c:v>
                </c:pt>
                <c:pt idx="98">
                  <c:v>9.8795109797454508</c:v>
                </c:pt>
                <c:pt idx="99">
                  <c:v>9.9754282021670342</c:v>
                </c:pt>
                <c:pt idx="100">
                  <c:v>10.071345427999667</c:v>
                </c:pt>
                <c:pt idx="101">
                  <c:v>10.167262657146917</c:v>
                </c:pt>
                <c:pt idx="102">
                  <c:v>10.263179889515802</c:v>
                </c:pt>
                <c:pt idx="103">
                  <c:v>10.359097125016833</c:v>
                </c:pt>
                <c:pt idx="104">
                  <c:v>10.455014363563798</c:v>
                </c:pt>
                <c:pt idx="105">
                  <c:v>10.550931605073632</c:v>
                </c:pt>
                <c:pt idx="106">
                  <c:v>10.646848849466261</c:v>
                </c:pt>
                <c:pt idx="107">
                  <c:v>10.742766096664457</c:v>
                </c:pt>
                <c:pt idx="108">
                  <c:v>10.838683346593745</c:v>
                </c:pt>
                <c:pt idx="109">
                  <c:v>10.934600599182252</c:v>
                </c:pt>
                <c:pt idx="110">
                  <c:v>11.030517854360605</c:v>
                </c:pt>
                <c:pt idx="111">
                  <c:v>11.126435112061827</c:v>
                </c:pt>
                <c:pt idx="112">
                  <c:v>11.222352372221232</c:v>
                </c:pt>
                <c:pt idx="113">
                  <c:v>11.318269634776321</c:v>
                </c:pt>
                <c:pt idx="114">
                  <c:v>11.414186899666696</c:v>
                </c:pt>
                <c:pt idx="115">
                  <c:v>11.510104166833983</c:v>
                </c:pt>
                <c:pt idx="116">
                  <c:v>11.606021436221722</c:v>
                </c:pt>
                <c:pt idx="117">
                  <c:v>11.701938707775316</c:v>
                </c:pt>
                <c:pt idx="118">
                  <c:v>11.797855981441939</c:v>
                </c:pt>
                <c:pt idx="119">
                  <c:v>11.893773257170468</c:v>
                </c:pt>
                <c:pt idx="120">
                  <c:v>11.98969053491142</c:v>
                </c:pt>
                <c:pt idx="121">
                  <c:v>12.085607814616877</c:v>
                </c:pt>
                <c:pt idx="122">
                  <c:v>12.181525096240335</c:v>
                </c:pt>
                <c:pt idx="123">
                  <c:v>12.277442379737039</c:v>
                </c:pt>
                <c:pt idx="124">
                  <c:v>12.373359665063326</c:v>
                </c:pt>
                <c:pt idx="125">
                  <c:v>12.469276952176976</c:v>
                </c:pt>
                <c:pt idx="126">
                  <c:v>12.565194241037059</c:v>
                </c:pt>
                <c:pt idx="127">
                  <c:v>12.661111531603881</c:v>
                </c:pt>
                <c:pt idx="128">
                  <c:v>12.757028823838944</c:v>
                </c:pt>
                <c:pt idx="129">
                  <c:v>12.852946117704903</c:v>
                </c:pt>
                <c:pt idx="130">
                  <c:v>12.948863413165512</c:v>
                </c:pt>
                <c:pt idx="131">
                  <c:v>13.044780710185597</c:v>
                </c:pt>
                <c:pt idx="132">
                  <c:v>13.140698008731006</c:v>
                </c:pt>
                <c:pt idx="133">
                  <c:v>13.236615308768581</c:v>
                </c:pt>
                <c:pt idx="134">
                  <c:v>13.332532610266123</c:v>
                </c:pt>
                <c:pt idx="135">
                  <c:v>13.428449913192338</c:v>
                </c:pt>
                <c:pt idx="136">
                  <c:v>13.524367217516833</c:v>
                </c:pt>
                <c:pt idx="137">
                  <c:v>13.620284523210071</c:v>
                </c:pt>
                <c:pt idx="138">
                  <c:v>13.716201830243332</c:v>
                </c:pt>
                <c:pt idx="139">
                  <c:v>13.812119138588695</c:v>
                </c:pt>
                <c:pt idx="140">
                  <c:v>13.908036448219022</c:v>
                </c:pt>
                <c:pt idx="141">
                  <c:v>14.003953759107905</c:v>
                </c:pt>
                <c:pt idx="142">
                  <c:v>14.099871071229661</c:v>
                </c:pt>
                <c:pt idx="143">
                  <c:v>14.195788384559298</c:v>
                </c:pt>
                <c:pt idx="144">
                  <c:v>14.291705699072395</c:v>
                </c:pt>
                <c:pt idx="145">
                  <c:v>14.387623014745484</c:v>
                </c:pt>
                <c:pt idx="146">
                  <c:v>14.483540331555417</c:v>
                </c:pt>
                <c:pt idx="147">
                  <c:v>14.579457649479764</c:v>
                </c:pt>
                <c:pt idx="148">
                  <c:v>14.675374968496664</c:v>
                </c:pt>
                <c:pt idx="149">
                  <c:v>14.771292288584839</c:v>
                </c:pt>
                <c:pt idx="150">
                  <c:v>14.867209609723556</c:v>
                </c:pt>
                <c:pt idx="151">
                  <c:v>14.963126931892605</c:v>
                </c:pt>
                <c:pt idx="152">
                  <c:v>15.059044255072305</c:v>
                </c:pt>
                <c:pt idx="153">
                  <c:v>15.154961579243466</c:v>
                </c:pt>
                <c:pt idx="154">
                  <c:v>15.250878904387379</c:v>
                </c:pt>
                <c:pt idx="155">
                  <c:v>15.346796230485806</c:v>
                </c:pt>
                <c:pt idx="156">
                  <c:v>15.44271355752096</c:v>
                </c:pt>
                <c:pt idx="157">
                  <c:v>15.538630885475497</c:v>
                </c:pt>
                <c:pt idx="158">
                  <c:v>15.634548214332492</c:v>
                </c:pt>
                <c:pt idx="159">
                  <c:v>15.730465544075434</c:v>
                </c:pt>
                <c:pt idx="160">
                  <c:v>15.826382874688226</c:v>
                </c:pt>
                <c:pt idx="161">
                  <c:v>15.922300206155141</c:v>
                </c:pt>
                <c:pt idx="162">
                  <c:v>16.018217538460835</c:v>
                </c:pt>
                <c:pt idx="163">
                  <c:v>16.114134871590327</c:v>
                </c:pt>
                <c:pt idx="164">
                  <c:v>16.210052205529003</c:v>
                </c:pt>
                <c:pt idx="165">
                  <c:v>16.305969540262577</c:v>
                </c:pt>
                <c:pt idx="166">
                  <c:v>16.401886875777095</c:v>
                </c:pt>
                <c:pt idx="167">
                  <c:v>16.497804212058952</c:v>
                </c:pt>
                <c:pt idx="168">
                  <c:v>16.593721549094834</c:v>
                </c:pt>
                <c:pt idx="169">
                  <c:v>16.689638886871737</c:v>
                </c:pt>
                <c:pt idx="170">
                  <c:v>16.785556225376965</c:v>
                </c:pt>
                <c:pt idx="171">
                  <c:v>16.881473564598096</c:v>
                </c:pt>
                <c:pt idx="172">
                  <c:v>16.977390904523006</c:v>
                </c:pt>
                <c:pt idx="173">
                  <c:v>17.073308245139721</c:v>
                </c:pt>
                <c:pt idx="174">
                  <c:v>17.169225586436859</c:v>
                </c:pt>
                <c:pt idx="175">
                  <c:v>17.265142928402966</c:v>
                </c:pt>
                <c:pt idx="176">
                  <c:v>17.361060271026965</c:v>
                </c:pt>
                <c:pt idx="177">
                  <c:v>17.456977614298012</c:v>
                </c:pt>
                <c:pt idx="178">
                  <c:v>17.552894958205489</c:v>
                </c:pt>
                <c:pt idx="179">
                  <c:v>17.648812302739035</c:v>
                </c:pt>
                <c:pt idx="180">
                  <c:v>17.744729647888487</c:v>
                </c:pt>
                <c:pt idx="181">
                  <c:v>17.840646993643904</c:v>
                </c:pt>
                <c:pt idx="182">
                  <c:v>17.936564339995581</c:v>
                </c:pt>
                <c:pt idx="183">
                  <c:v>18.032481686933995</c:v>
                </c:pt>
                <c:pt idx="184">
                  <c:v>18.128399034449838</c:v>
                </c:pt>
                <c:pt idx="185">
                  <c:v>18.224316382533981</c:v>
                </c:pt>
                <c:pt idx="186">
                  <c:v>18.320233731177513</c:v>
                </c:pt>
                <c:pt idx="187">
                  <c:v>18.41615108037168</c:v>
                </c:pt>
                <c:pt idx="188">
                  <c:v>18.512068430107931</c:v>
                </c:pt>
                <c:pt idx="189">
                  <c:v>18.607985780377881</c:v>
                </c:pt>
                <c:pt idx="190">
                  <c:v>18.70390313117332</c:v>
                </c:pt>
                <c:pt idx="191">
                  <c:v>18.799820482486201</c:v>
                </c:pt>
                <c:pt idx="192">
                  <c:v>18.895737834308648</c:v>
                </c:pt>
                <c:pt idx="193">
                  <c:v>18.991655186632943</c:v>
                </c:pt>
                <c:pt idx="194">
                  <c:v>19.087572539451518</c:v>
                </c:pt>
                <c:pt idx="195">
                  <c:v>19.183489892756953</c:v>
                </c:pt>
                <c:pt idx="196">
                  <c:v>19.279407246541989</c:v>
                </c:pt>
                <c:pt idx="197">
                  <c:v>19.375324600799502</c:v>
                </c:pt>
                <c:pt idx="198">
                  <c:v>19.471241955522505</c:v>
                </c:pt>
                <c:pt idx="199">
                  <c:v>19.567159310704152</c:v>
                </c:pt>
                <c:pt idx="200">
                  <c:v>19.663076666337744</c:v>
                </c:pt>
                <c:pt idx="201">
                  <c:v>19.75899402241668</c:v>
                </c:pt>
                <c:pt idx="202">
                  <c:v>19.854911378934521</c:v>
                </c:pt>
                <c:pt idx="203">
                  <c:v>19.950828735884937</c:v>
                </c:pt>
                <c:pt idx="204">
                  <c:v>20.046746093261703</c:v>
                </c:pt>
                <c:pt idx="205">
                  <c:v>20.142663451058745</c:v>
                </c:pt>
                <c:pt idx="206">
                  <c:v>20.238580809270083</c:v>
                </c:pt>
                <c:pt idx="207">
                  <c:v>20.334498167889848</c:v>
                </c:pt>
                <c:pt idx="208">
                  <c:v>20.430415526912196</c:v>
                </c:pt>
                <c:pt idx="209">
                  <c:v>20.526332886331673</c:v>
                </c:pt>
                <c:pt idx="210">
                  <c:v>20.622250246142645</c:v>
                </c:pt>
                <c:pt idx="211">
                  <c:v>20.718167606339676</c:v>
                </c:pt>
                <c:pt idx="212">
                  <c:v>20.814084966917424</c:v>
                </c:pt>
                <c:pt idx="213">
                  <c:v>20.910002327870654</c:v>
                </c:pt>
                <c:pt idx="214">
                  <c:v>21.005919689194219</c:v>
                </c:pt>
                <c:pt idx="215">
                  <c:v>21.101837050883073</c:v>
                </c:pt>
                <c:pt idx="216">
                  <c:v>21.197754412932248</c:v>
                </c:pt>
                <c:pt idx="217">
                  <c:v>21.29367177533689</c:v>
                </c:pt>
                <c:pt idx="218">
                  <c:v>21.389589138092205</c:v>
                </c:pt>
                <c:pt idx="219">
                  <c:v>21.485506501193498</c:v>
                </c:pt>
                <c:pt idx="220">
                  <c:v>21.581423864636164</c:v>
                </c:pt>
                <c:pt idx="221">
                  <c:v>21.677341228415656</c:v>
                </c:pt>
                <c:pt idx="222">
                  <c:v>21.77325859252754</c:v>
                </c:pt>
                <c:pt idx="223">
                  <c:v>21.869175956967432</c:v>
                </c:pt>
                <c:pt idx="224">
                  <c:v>21.965093321731036</c:v>
                </c:pt>
                <c:pt idx="225">
                  <c:v>22.061010686814129</c:v>
                </c:pt>
                <c:pt idx="226">
                  <c:v>22.156928052212571</c:v>
                </c:pt>
                <c:pt idx="227">
                  <c:v>22.252845417922277</c:v>
                </c:pt>
                <c:pt idx="228">
                  <c:v>22.348762783939229</c:v>
                </c:pt>
                <c:pt idx="229">
                  <c:v>22.444680150259508</c:v>
                </c:pt>
                <c:pt idx="230">
                  <c:v>22.540597516879227</c:v>
                </c:pt>
                <c:pt idx="231">
                  <c:v>22.63651488379459</c:v>
                </c:pt>
                <c:pt idx="232">
                  <c:v>22.732432251001843</c:v>
                </c:pt>
                <c:pt idx="233">
                  <c:v>22.82834961849732</c:v>
                </c:pt>
                <c:pt idx="234">
                  <c:v>22.924266986277388</c:v>
                </c:pt>
                <c:pt idx="235">
                  <c:v>23.020184354338504</c:v>
                </c:pt>
                <c:pt idx="236">
                  <c:v>23.116101722677165</c:v>
                </c:pt>
                <c:pt idx="237">
                  <c:v>23.212019091289921</c:v>
                </c:pt>
                <c:pt idx="238">
                  <c:v>23.307936460173405</c:v>
                </c:pt>
                <c:pt idx="239">
                  <c:v>23.403853829324273</c:v>
                </c:pt>
                <c:pt idx="240">
                  <c:v>23.499771198739257</c:v>
                </c:pt>
                <c:pt idx="241">
                  <c:v>23.595688568415135</c:v>
                </c:pt>
                <c:pt idx="242">
                  <c:v>23.691605938348744</c:v>
                </c:pt>
                <c:pt idx="243">
                  <c:v>23.787523308536954</c:v>
                </c:pt>
                <c:pt idx="244">
                  <c:v>23.883440678976715</c:v>
                </c:pt>
                <c:pt idx="245">
                  <c:v>23.979358049664892</c:v>
                </c:pt>
              </c:numCache>
            </c:numRef>
          </c:yVal>
          <c:smooth val="1"/>
          <c:extLst>
            <c:ext xmlns:c16="http://schemas.microsoft.com/office/drawing/2014/chart" uri="{C3380CC4-5D6E-409C-BE32-E72D297353CC}">
              <c16:uniqueId val="{00000001-52BB-4FD6-8B3A-24CC1BC0CFDA}"/>
            </c:ext>
          </c:extLst>
        </c:ser>
        <c:ser>
          <c:idx val="2"/>
          <c:order val="2"/>
          <c:tx>
            <c:v>Source Impedance + Filter Impedance</c:v>
          </c:tx>
          <c:marker>
            <c:symbol val="none"/>
          </c:marker>
          <c:xVal>
            <c:numRef>
              <c:f>'HP Filter Design'!$CX$5:$CX$250</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'HP Filter Design'!$DA$5:$DA$250</c:f>
              <c:numCache>
                <c:formatCode>General</c:formatCode>
                <c:ptCount val="246"/>
                <c:pt idx="0">
                  <c:v>0.48445236835778865</c:v>
                </c:pt>
                <c:pt idx="1">
                  <c:v>0.58374541914997191</c:v>
                </c:pt>
                <c:pt idx="2">
                  <c:v>0.68462511938758075</c:v>
                </c:pt>
                <c:pt idx="3">
                  <c:v>0.78752093726955308</c:v>
                </c:pt>
                <c:pt idx="4">
                  <c:v>0.89297686983483304</c:v>
                </c:pt>
                <c:pt idx="5">
                  <c:v>1.00169593682978</c:v>
                </c:pt>
                <c:pt idx="6">
                  <c:v>1.1146081453021348</c:v>
                </c:pt>
                <c:pt idx="7">
                  <c:v>1.232975917570905</c:v>
                </c:pt>
                <c:pt idx="8">
                  <c:v>1.3585626554395633</c:v>
                </c:pt>
                <c:pt idx="9">
                  <c:v>1.4939126518389103</c:v>
                </c:pt>
                <c:pt idx="10">
                  <c:v>1.6428371709071858</c:v>
                </c:pt>
                <c:pt idx="11">
                  <c:v>1.8113041272014563</c:v>
                </c:pt>
                <c:pt idx="12">
                  <c:v>2.0091704189322517</c:v>
                </c:pt>
                <c:pt idx="13">
                  <c:v>2.2538066853070231</c:v>
                </c:pt>
                <c:pt idx="14">
                  <c:v>2.5782987835801565</c:v>
                </c:pt>
                <c:pt idx="15">
                  <c:v>3.0510572883705476</c:v>
                </c:pt>
                <c:pt idx="16">
                  <c:v>3.8138968958317512</c:v>
                </c:pt>
                <c:pt idx="17">
                  <c:v>4.8966127477362091</c:v>
                </c:pt>
                <c:pt idx="18">
                  <c:v>4.147354742577444</c:v>
                </c:pt>
                <c:pt idx="19">
                  <c:v>2.081251439062282</c:v>
                </c:pt>
                <c:pt idx="20">
                  <c:v>1.2482412278212753</c:v>
                </c:pt>
                <c:pt idx="21">
                  <c:v>1.145179679841005</c:v>
                </c:pt>
                <c:pt idx="22">
                  <c:v>1.2738269600939702</c:v>
                </c:pt>
                <c:pt idx="23">
                  <c:v>1.439654625108322</c:v>
                </c:pt>
                <c:pt idx="24">
                  <c:v>1.5989233830778515</c:v>
                </c:pt>
                <c:pt idx="25">
                  <c:v>1.7453000276983308</c:v>
                </c:pt>
                <c:pt idx="26">
                  <c:v>1.8799455341171984</c:v>
                </c:pt>
                <c:pt idx="27">
                  <c:v>2.0051011896038862</c:v>
                </c:pt>
                <c:pt idx="28">
                  <c:v>2.1227725414453911</c:v>
                </c:pt>
                <c:pt idx="29">
                  <c:v>2.2345394147564628</c:v>
                </c:pt>
                <c:pt idx="30">
                  <c:v>2.3416070251495227</c:v>
                </c:pt>
                <c:pt idx="31">
                  <c:v>2.4448914217490678</c:v>
                </c:pt>
                <c:pt idx="32">
                  <c:v>2.5450934446870241</c:v>
                </c:pt>
                <c:pt idx="33">
                  <c:v>2.6427548723499639</c:v>
                </c:pt>
                <c:pt idx="34">
                  <c:v>2.7382993957200794</c:v>
                </c:pt>
                <c:pt idx="35">
                  <c:v>2.8320622359819767</c:v>
                </c:pt>
                <c:pt idx="36">
                  <c:v>2.9243116072797437</c:v>
                </c:pt>
                <c:pt idx="37">
                  <c:v>3.015264391559588</c:v>
                </c:pt>
                <c:pt idx="38">
                  <c:v>3.1050977020036399</c:v>
                </c:pt>
                <c:pt idx="39">
                  <c:v>3.1939575068257828</c:v>
                </c:pt>
                <c:pt idx="40">
                  <c:v>3.2819651319011331</c:v>
                </c:pt>
                <c:pt idx="41">
                  <c:v>3.3692222169974553</c:v>
                </c:pt>
                <c:pt idx="42">
                  <c:v>3.4558145325901837</c:v>
                </c:pt>
                <c:pt idx="43">
                  <c:v>3.5418149482273131</c:v>
                </c:pt>
                <c:pt idx="44">
                  <c:v>3.6272857625932025</c:v>
                </c:pt>
                <c:pt idx="45">
                  <c:v>3.7122805486149755</c:v>
                </c:pt>
                <c:pt idx="46">
                  <c:v>3.7968456266388069</c:v>
                </c:pt>
                <c:pt idx="47">
                  <c:v>3.8810212498041929</c:v>
                </c:pt>
                <c:pt idx="48">
                  <c:v>3.9648425648260122</c:v>
                </c:pt>
                <c:pt idx="49">
                  <c:v>4.0483403961040878</c:v>
                </c:pt>
                <c:pt idx="50">
                  <c:v>4.1315418898016905</c:v>
                </c:pt>
                <c:pt idx="51">
                  <c:v>4.2144710461380805</c:v>
                </c:pt>
                <c:pt idx="52">
                  <c:v>4.2971491618381572</c:v>
                </c:pt>
                <c:pt idx="53">
                  <c:v>4.3795951999104954</c:v>
                </c:pt>
                <c:pt idx="54">
                  <c:v>4.4618261002859834</c:v>
                </c:pt>
                <c:pt idx="55">
                  <c:v>4.5438570420515658</c:v>
                </c:pt>
                <c:pt idx="56">
                  <c:v>4.6257016658484948</c:v>
                </c:pt>
                <c:pt idx="57">
                  <c:v>4.7073722633171737</c:v>
                </c:pt>
                <c:pt idx="58">
                  <c:v>4.7888799391460841</c:v>
                </c:pt>
                <c:pt idx="59">
                  <c:v>4.8702347502393648</c:v>
                </c:pt>
                <c:pt idx="60">
                  <c:v>4.951445825686327</c:v>
                </c:pt>
                <c:pt idx="61">
                  <c:v>5.0325214705559125</c:v>
                </c:pt>
                <c:pt idx="62">
                  <c:v>5.113469256006387</c:v>
                </c:pt>
                <c:pt idx="63">
                  <c:v>5.1942960977729431</c:v>
                </c:pt>
                <c:pt idx="64">
                  <c:v>5.2750083247473194</c:v>
                </c:pt>
                <c:pt idx="65">
                  <c:v>5.3556117390813993</c:v>
                </c:pt>
                <c:pt idx="66">
                  <c:v>5.436111669014343</c:v>
                </c:pt>
                <c:pt idx="67">
                  <c:v>5.5165130154333264</c:v>
                </c:pt>
                <c:pt idx="68">
                  <c:v>5.5968202930198503</c:v>
                </c:pt>
                <c:pt idx="69">
                  <c:v>5.6770376667045088</c:v>
                </c:pt>
                <c:pt idx="70">
                  <c:v>5.7571689840443412</c:v>
                </c:pt>
                <c:pt idx="71">
                  <c:v>5.8372178040466309</c:v>
                </c:pt>
                <c:pt idx="72">
                  <c:v>5.9171874228874444</c:v>
                </c:pt>
                <c:pt idx="73">
                  <c:v>5.9970808969100657</c:v>
                </c:pt>
                <c:pt idx="74">
                  <c:v>6.0769010632336178</c:v>
                </c:pt>
                <c:pt idx="75">
                  <c:v>6.156650558258506</c:v>
                </c:pt>
                <c:pt idx="76">
                  <c:v>6.2363318343155933</c:v>
                </c:pt>
                <c:pt idx="77">
                  <c:v>6.3159471746735774</c:v>
                </c:pt>
                <c:pt idx="78">
                  <c:v>6.3954987070914857</c:v>
                </c:pt>
                <c:pt idx="79">
                  <c:v>6.4749884160787676</c:v>
                </c:pt>
                <c:pt idx="80">
                  <c:v>6.5544181540053339</c:v>
                </c:pt>
                <c:pt idx="81">
                  <c:v>6.6337896511861452</c:v>
                </c:pt>
                <c:pt idx="82">
                  <c:v>6.7131045250492916</c:v>
                </c:pt>
                <c:pt idx="83">
                  <c:v>6.7923642884843121</c:v>
                </c:pt>
                <c:pt idx="84">
                  <c:v>6.8715703574552851</c:v>
                </c:pt>
                <c:pt idx="85">
                  <c:v>6.9507240579531269</c:v>
                </c:pt>
                <c:pt idx="86">
                  <c:v>7.0298266323544372</c:v>
                </c:pt>
                <c:pt idx="87">
                  <c:v>7.1088792452442364</c:v>
                </c:pt>
                <c:pt idx="88">
                  <c:v>7.1878829887561819</c:v>
                </c:pt>
                <c:pt idx="89">
                  <c:v>7.2668388874756031</c:v>
                </c:pt>
                <c:pt idx="90">
                  <c:v>7.3457479029472506</c:v>
                </c:pt>
                <c:pt idx="91">
                  <c:v>7.4246109378247622</c:v>
                </c:pt>
                <c:pt idx="92">
                  <c:v>7.5034288396945632</c:v>
                </c:pt>
                <c:pt idx="93">
                  <c:v>7.5822024046040548</c:v>
                </c:pt>
                <c:pt idx="94">
                  <c:v>7.6609323803204221</c:v>
                </c:pt>
                <c:pt idx="95">
                  <c:v>7.7396194693442562</c:v>
                </c:pt>
                <c:pt idx="96">
                  <c:v>7.8182643316988711</c:v>
                </c:pt>
                <c:pt idx="97">
                  <c:v>7.8968675875153957</c:v>
                </c:pt>
                <c:pt idx="98">
                  <c:v>7.975429819430162</c:v>
                </c:pt>
                <c:pt idx="99">
                  <c:v>8.0539515748111672</c:v>
                </c:pt>
                <c:pt idx="100">
                  <c:v>8.1324333678267759</c:v>
                </c:pt>
                <c:pt idx="101">
                  <c:v>8.2108756813707053</c:v>
                </c:pt>
                <c:pt idx="102">
                  <c:v>8.2892789688538322</c:v>
                </c:pt>
                <c:pt idx="103">
                  <c:v>8.3676436558744403</c:v>
                </c:pt>
                <c:pt idx="104">
                  <c:v>8.4459701417759341</c:v>
                </c:pt>
                <c:pt idx="105">
                  <c:v>8.5242588011011229</c:v>
                </c:pt>
                <c:pt idx="106">
                  <c:v>8.6025099849509026</c:v>
                </c:pt>
                <c:pt idx="107">
                  <c:v>8.6807240222547808</c:v>
                </c:pt>
                <c:pt idx="108">
                  <c:v>8.7589012209598511</c:v>
                </c:pt>
                <c:pt idx="109">
                  <c:v>8.8370418691442314</c:v>
                </c:pt>
                <c:pt idx="110">
                  <c:v>8.9151462360607852</c:v>
                </c:pt>
                <c:pt idx="111">
                  <c:v>8.9932145731159405</c:v>
                </c:pt>
                <c:pt idx="112">
                  <c:v>9.0712471147885054</c:v>
                </c:pt>
                <c:pt idx="113">
                  <c:v>9.1492440794926715</c:v>
                </c:pt>
                <c:pt idx="114">
                  <c:v>9.227205670389214</c:v>
                </c:pt>
                <c:pt idx="115">
                  <c:v>9.3051320761484888</c:v>
                </c:pt>
                <c:pt idx="116">
                  <c:v>9.3830234716685261</c:v>
                </c:pt>
                <c:pt idx="117">
                  <c:v>9.4608800187514568</c:v>
                </c:pt>
                <c:pt idx="118">
                  <c:v>9.5387018667408885</c:v>
                </c:pt>
                <c:pt idx="119">
                  <c:v>9.6164891531229983</c:v>
                </c:pt>
                <c:pt idx="120">
                  <c:v>9.6942420040937609</c:v>
                </c:pt>
                <c:pt idx="121">
                  <c:v>9.7719605350944114</c:v>
                </c:pt>
                <c:pt idx="122">
                  <c:v>9.8496448513173682</c:v>
                </c:pt>
                <c:pt idx="123">
                  <c:v>9.9272950481846696</c:v>
                </c:pt>
                <c:pt idx="124">
                  <c:v>10.00491121179992</c:v>
                </c:pt>
                <c:pt idx="125">
                  <c:v>10.082493419376593</c:v>
                </c:pt>
                <c:pt idx="126">
                  <c:v>10.160041739643177</c:v>
                </c:pt>
                <c:pt idx="127">
                  <c:v>10.237556233227334</c:v>
                </c:pt>
                <c:pt idx="128">
                  <c:v>10.315036953019586</c:v>
                </c:pt>
                <c:pt idx="129">
                  <c:v>10.392483944518439</c:v>
                </c:pt>
                <c:pt idx="130">
                  <c:v>10.469897246158192</c:v>
                </c:pt>
                <c:pt idx="131">
                  <c:v>10.547276889619281</c:v>
                </c:pt>
                <c:pt idx="132">
                  <c:v>10.624622900124139</c:v>
                </c:pt>
                <c:pt idx="133">
                  <c:v>10.701935296717121</c:v>
                </c:pt>
                <c:pt idx="134">
                  <c:v>10.779214092531873</c:v>
                </c:pt>
                <c:pt idx="135">
                  <c:v>10.856459295044306</c:v>
                </c:pt>
                <c:pt idx="136">
                  <c:v>10.93367090631461</c:v>
                </c:pt>
                <c:pt idx="137">
                  <c:v>11.010848923216656</c:v>
                </c:pt>
                <c:pt idx="138">
                  <c:v>11.087993337657027</c:v>
                </c:pt>
                <c:pt idx="139">
                  <c:v>11.165104136783487</c:v>
                </c:pt>
                <c:pt idx="140">
                  <c:v>11.242181303183855</c:v>
                </c:pt>
                <c:pt idx="141">
                  <c:v>11.31922481507533</c:v>
                </c:pt>
                <c:pt idx="142">
                  <c:v>11.396234646485816</c:v>
                </c:pt>
                <c:pt idx="143">
                  <c:v>11.473210767425854</c:v>
                </c:pt>
                <c:pt idx="144">
                  <c:v>11.550153144053928</c:v>
                </c:pt>
                <c:pt idx="145">
                  <c:v>11.627061738833785</c:v>
                </c:pt>
                <c:pt idx="146">
                  <c:v>11.703936510684809</c:v>
                </c:pt>
                <c:pt idx="147">
                  <c:v>11.780777415125531</c:v>
                </c:pt>
                <c:pt idx="148">
                  <c:v>11.857584404411689</c:v>
                </c:pt>
                <c:pt idx="149">
                  <c:v>11.934357427667125</c:v>
                </c:pt>
                <c:pt idx="150">
                  <c:v>12.011096431010319</c:v>
                </c:pt>
                <c:pt idx="151">
                  <c:v>12.087801357674417</c:v>
                </c:pt>
                <c:pt idx="152">
                  <c:v>12.164472148122693</c:v>
                </c:pt>
                <c:pt idx="153">
                  <c:v>12.241108740159259</c:v>
                </c:pt>
                <c:pt idx="154">
                  <c:v>12.317711069034909</c:v>
                </c:pt>
                <c:pt idx="155">
                  <c:v>12.394279067548919</c:v>
                </c:pt>
                <c:pt idx="156">
                  <c:v>12.470812666145937</c:v>
                </c:pt>
                <c:pt idx="157">
                  <c:v>12.547311793010058</c:v>
                </c:pt>
                <c:pt idx="158">
                  <c:v>12.623776374153982</c:v>
                </c:pt>
                <c:pt idx="159">
                  <c:v>12.700206333505266</c:v>
                </c:pt>
                <c:pt idx="160">
                  <c:v>12.77660159298939</c:v>
                </c:pt>
                <c:pt idx="161">
                  <c:v>12.852962072608321</c:v>
                </c:pt>
                <c:pt idx="162">
                  <c:v>12.929287690517466</c:v>
                </c:pt>
                <c:pt idx="163">
                  <c:v>13.005578363098788</c:v>
                </c:pt>
                <c:pt idx="164">
                  <c:v>13.081834005031181</c:v>
                </c:pt>
                <c:pt idx="165">
                  <c:v>13.158054529358548</c:v>
                </c:pt>
                <c:pt idx="166">
                  <c:v>13.234239847554798</c:v>
                </c:pt>
                <c:pt idx="167">
                  <c:v>13.310389869586469</c:v>
                </c:pt>
                <c:pt idx="168">
                  <c:v>13.38650450397353</c:v>
                </c:pt>
                <c:pt idx="169">
                  <c:v>13.462583657847148</c:v>
                </c:pt>
                <c:pt idx="170">
                  <c:v>13.538627237006192</c:v>
                </c:pt>
                <c:pt idx="171">
                  <c:v>13.614635145970619</c:v>
                </c:pt>
                <c:pt idx="172">
                  <c:v>13.690607288033894</c:v>
                </c:pt>
                <c:pt idx="173">
                  <c:v>13.766543565312769</c:v>
                </c:pt>
                <c:pt idx="174">
                  <c:v>13.84244387879613</c:v>
                </c:pt>
                <c:pt idx="175">
                  <c:v>13.918308128391075</c:v>
                </c:pt>
                <c:pt idx="176">
                  <c:v>13.994136212968218</c:v>
                </c:pt>
                <c:pt idx="177">
                  <c:v>14.069928030404803</c:v>
                </c:pt>
                <c:pt idx="178">
                  <c:v>14.14568347762682</c:v>
                </c:pt>
                <c:pt idx="179">
                  <c:v>14.22140245064926</c:v>
                </c:pt>
                <c:pt idx="180">
                  <c:v>14.297084844615245</c:v>
                </c:pt>
                <c:pt idx="181">
                  <c:v>14.372730553833675</c:v>
                </c:pt>
                <c:pt idx="182">
                  <c:v>14.44833947181583</c:v>
                </c:pt>
                <c:pt idx="183">
                  <c:v>14.523911491310013</c:v>
                </c:pt>
                <c:pt idx="184">
                  <c:v>14.599446504336219</c:v>
                </c:pt>
                <c:pt idx="185">
                  <c:v>14.674944402218868</c:v>
                </c:pt>
                <c:pt idx="186">
                  <c:v>14.750405075618342</c:v>
                </c:pt>
                <c:pt idx="187">
                  <c:v>14.825828414561901</c:v>
                </c:pt>
                <c:pt idx="188">
                  <c:v>14.901214308473403</c:v>
                </c:pt>
                <c:pt idx="189">
                  <c:v>14.976562646202376</c:v>
                </c:pt>
                <c:pt idx="190">
                  <c:v>15.05187331605141</c:v>
                </c:pt>
                <c:pt idx="191">
                  <c:v>15.127146205803623</c:v>
                </c:pt>
                <c:pt idx="192">
                  <c:v>15.202381202748397</c:v>
                </c:pt>
                <c:pt idx="193">
                  <c:v>15.277578193707006</c:v>
                </c:pt>
                <c:pt idx="194">
                  <c:v>15.352737065056861</c:v>
                </c:pt>
                <c:pt idx="195">
                  <c:v>15.42785770275537</c:v>
                </c:pt>
                <c:pt idx="196">
                  <c:v>15.502939992363045</c:v>
                </c:pt>
                <c:pt idx="197">
                  <c:v>15.577983819065739</c:v>
                </c:pt>
                <c:pt idx="198">
                  <c:v>15.652989067696312</c:v>
                </c:pt>
                <c:pt idx="199">
                  <c:v>15.727955622755442</c:v>
                </c:pt>
                <c:pt idx="200">
                  <c:v>15.80288336843223</c:v>
                </c:pt>
                <c:pt idx="201">
                  <c:v>15.877772188623783</c:v>
                </c:pt>
                <c:pt idx="202">
                  <c:v>15.952621966954391</c:v>
                </c:pt>
                <c:pt idx="203">
                  <c:v>16.027432586794045</c:v>
                </c:pt>
                <c:pt idx="204">
                  <c:v>16.102203931276669</c:v>
                </c:pt>
                <c:pt idx="205">
                  <c:v>16.176935883317455</c:v>
                </c:pt>
                <c:pt idx="206">
                  <c:v>16.251628325629881</c:v>
                </c:pt>
                <c:pt idx="207">
                  <c:v>16.326281140742307</c:v>
                </c:pt>
                <c:pt idx="208">
                  <c:v>16.400894211014005</c:v>
                </c:pt>
                <c:pt idx="209">
                  <c:v>16.475467418650659</c:v>
                </c:pt>
                <c:pt idx="210">
                  <c:v>16.550000645719578</c:v>
                </c:pt>
                <c:pt idx="211">
                  <c:v>16.624493774164428</c:v>
                </c:pt>
                <c:pt idx="212">
                  <c:v>16.698946685819415</c:v>
                </c:pt>
                <c:pt idx="213">
                  <c:v>16.773359262423359</c:v>
                </c:pt>
                <c:pt idx="214">
                  <c:v>16.847731385633136</c:v>
                </c:pt>
                <c:pt idx="215">
                  <c:v>16.922062937036703</c:v>
                </c:pt>
                <c:pt idx="216">
                  <c:v>16.996353798166201</c:v>
                </c:pt>
                <c:pt idx="217">
                  <c:v>17.070603850510011</c:v>
                </c:pt>
                <c:pt idx="218">
                  <c:v>17.14481297552534</c:v>
                </c:pt>
                <c:pt idx="219">
                  <c:v>17.218981054649255</c:v>
                </c:pt>
                <c:pt idx="220">
                  <c:v>17.293107969311109</c:v>
                </c:pt>
                <c:pt idx="221">
                  <c:v>17.367193600942713</c:v>
                </c:pt>
                <c:pt idx="222">
                  <c:v>17.441237830990236</c:v>
                </c:pt>
                <c:pt idx="223">
                  <c:v>17.515240540923788</c:v>
                </c:pt>
                <c:pt idx="224">
                  <c:v>17.58920161224826</c:v>
                </c:pt>
                <c:pt idx="225">
                  <c:v>17.663120926513464</c:v>
                </c:pt>
                <c:pt idx="226">
                  <c:v>17.736998365323398</c:v>
                </c:pt>
                <c:pt idx="227">
                  <c:v>17.810833810346431</c:v>
                </c:pt>
                <c:pt idx="228">
                  <c:v>17.884627143323932</c:v>
                </c:pt>
                <c:pt idx="229">
                  <c:v>17.958378246079512</c:v>
                </c:pt>
                <c:pt idx="230">
                  <c:v>18.032087000528509</c:v>
                </c:pt>
                <c:pt idx="231">
                  <c:v>18.105753288685417</c:v>
                </c:pt>
                <c:pt idx="232">
                  <c:v>18.179376992673017</c:v>
                </c:pt>
                <c:pt idx="233">
                  <c:v>18.252957994730263</c:v>
                </c:pt>
                <c:pt idx="234">
                  <c:v>18.326496177220594</c:v>
                </c:pt>
                <c:pt idx="235">
                  <c:v>18.399991422639179</c:v>
                </c:pt>
                <c:pt idx="236">
                  <c:v>18.473443613621026</c:v>
                </c:pt>
                <c:pt idx="237">
                  <c:v>18.546852632947676</c:v>
                </c:pt>
                <c:pt idx="238">
                  <c:v>18.620218363555246</c:v>
                </c:pt>
                <c:pt idx="239">
                  <c:v>18.693540688540743</c:v>
                </c:pt>
                <c:pt idx="240">
                  <c:v>18.766819491169496</c:v>
                </c:pt>
                <c:pt idx="241">
                  <c:v>18.840054654881143</c:v>
                </c:pt>
                <c:pt idx="242">
                  <c:v>18.913246063296963</c:v>
                </c:pt>
                <c:pt idx="243">
                  <c:v>18.986393600225671</c:v>
                </c:pt>
                <c:pt idx="244">
                  <c:v>19.05949714967003</c:v>
                </c:pt>
                <c:pt idx="245">
                  <c:v>19.132556595832543</c:v>
                </c:pt>
              </c:numCache>
            </c:numRef>
          </c:yVal>
          <c:smooth val="1"/>
          <c:extLst>
            <c:ext xmlns:c16="http://schemas.microsoft.com/office/drawing/2014/chart" uri="{C3380CC4-5D6E-409C-BE32-E72D297353CC}">
              <c16:uniqueId val="{00000002-52BB-4FD6-8B3A-24CC1BC0CFDA}"/>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ayout>
        <c:manualLayout>
          <c:xMode val="edge"/>
          <c:yMode val="edge"/>
          <c:x val="9.8364562517254839E-2"/>
          <c:y val="0.13758318871723543"/>
          <c:w val="0.84531848331876658"/>
          <c:h val="0.1101086472635374"/>
        </c:manualLayout>
      </c:layout>
      <c:overlay val="0"/>
      <c:txPr>
        <a:bodyPr/>
        <a:lstStyle/>
        <a:p>
          <a:pPr>
            <a:defRPr sz="1200" b="1">
              <a:solidFill>
                <a:schemeClr val="tx1"/>
              </a:solidFill>
            </a:defRPr>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32885308139248676"/>
          <c:y val="2.3219150401519322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3"/>
          <c:order val="0"/>
          <c:tx>
            <c:v>Filter Impedance</c:v>
          </c:tx>
          <c:spPr>
            <a:ln>
              <a:solidFill>
                <a:srgbClr val="00B0F0"/>
              </a:solidFill>
            </a:ln>
          </c:spPr>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Design'!$CX$27:$CX$272</c:f>
              <c:numCache>
                <c:formatCode>0.0</c:formatCode>
                <c:ptCount val="246"/>
                <c:pt idx="0">
                  <c:v>25.916818911897565</c:v>
                </c:pt>
                <c:pt idx="1">
                  <c:v>21.202731099936571</c:v>
                </c:pt>
                <c:pt idx="2">
                  <c:v>17.776567113286617</c:v>
                </c:pt>
                <c:pt idx="3">
                  <c:v>15.157532630720304</c:v>
                </c:pt>
                <c:pt idx="4">
                  <c:v>13.078663469279507</c:v>
                </c:pt>
                <c:pt idx="5">
                  <c:v>11.380041214726214</c:v>
                </c:pt>
                <c:pt idx="6">
                  <c:v>9.9602224237056092</c:v>
                </c:pt>
                <c:pt idx="7">
                  <c:v>8.7519573245974236</c:v>
                </c:pt>
                <c:pt idx="8">
                  <c:v>7.709135697597107</c:v>
                </c:pt>
                <c:pt idx="9">
                  <c:v>6.7993597550972771</c:v>
                </c:pt>
                <c:pt idx="10">
                  <c:v>5.9995325816305876</c:v>
                </c:pt>
                <c:pt idx="11">
                  <c:v>5.2931597958984984</c:v>
                </c:pt>
                <c:pt idx="12">
                  <c:v>4.6686777214346993</c:v>
                </c:pt>
                <c:pt idx="13">
                  <c:v>4.1184247090583419</c:v>
                </c:pt>
                <c:pt idx="14">
                  <c:v>3.6380182525213307</c:v>
                </c:pt>
                <c:pt idx="15">
                  <c:v>3.2259487950595958</c:v>
                </c:pt>
                <c:pt idx="16">
                  <c:v>2.883169279341232</c:v>
                </c:pt>
                <c:pt idx="17">
                  <c:v>2.6123689484225969</c:v>
                </c:pt>
                <c:pt idx="18">
                  <c:v>2.4165780885460268</c:v>
                </c:pt>
                <c:pt idx="19">
                  <c:v>2.297022224099118</c:v>
                </c:pt>
                <c:pt idx="20">
                  <c:v>2.2509128620787742</c:v>
                </c:pt>
                <c:pt idx="21">
                  <c:v>2.2705423339885833</c:v>
                </c:pt>
                <c:pt idx="22">
                  <c:v>2.3444709001550281</c:v>
                </c:pt>
                <c:pt idx="23">
                  <c:v>2.4599952248155263</c:v>
                </c:pt>
                <c:pt idx="24">
                  <c:v>2.6053573751074377</c:v>
                </c:pt>
                <c:pt idx="25">
                  <c:v>2.7708816823098865</c:v>
                </c:pt>
                <c:pt idx="26">
                  <c:v>2.9491679574165768</c:v>
                </c:pt>
                <c:pt idx="27">
                  <c:v>3.1347965643905491</c:v>
                </c:pt>
                <c:pt idx="28">
                  <c:v>3.3238950972792427</c:v>
                </c:pt>
                <c:pt idx="29">
                  <c:v>3.5137353865706813</c:v>
                </c:pt>
                <c:pt idx="30">
                  <c:v>3.702413077860812</c:v>
                </c:pt>
                <c:pt idx="31">
                  <c:v>3.8886102492706356</c:v>
                </c:pt>
                <c:pt idx="32">
                  <c:v>4.0714252702804838</c:v>
                </c:pt>
                <c:pt idx="33">
                  <c:v>4.2502525400393072</c:v>
                </c:pt>
                <c:pt idx="34">
                  <c:v>4.4246977787399366</c:v>
                </c:pt>
                <c:pt idx="35">
                  <c:v>4.5945182253818491</c:v>
                </c:pt>
                <c:pt idx="36">
                  <c:v>4.7595801894114631</c:v>
                </c:pt>
                <c:pt idx="37">
                  <c:v>4.9198287084378194</c:v>
                </c:pt>
                <c:pt idx="38">
                  <c:v>5.0752656927586797</c:v>
                </c:pt>
                <c:pt idx="39">
                  <c:v>5.2259340610224392</c:v>
                </c:pt>
                <c:pt idx="40">
                  <c:v>5.3719061392735235</c:v>
                </c:pt>
                <c:pt idx="41">
                  <c:v>5.5132751196562566</c:v>
                </c:pt>
                <c:pt idx="42">
                  <c:v>5.6501487337100915</c:v>
                </c:pt>
                <c:pt idx="43">
                  <c:v>5.7826445420456967</c:v>
                </c:pt>
                <c:pt idx="44">
                  <c:v>5.9108864132989156</c:v>
                </c:pt>
                <c:pt idx="45">
                  <c:v>6.0350018848160412</c:v>
                </c:pt>
                <c:pt idx="46">
                  <c:v>6.1551201817406103</c:v>
                </c:pt>
                <c:pt idx="47">
                  <c:v>6.2713707310082931</c:v>
                </c:pt>
                <c:pt idx="48">
                  <c:v>6.3838820496182365</c:v>
                </c:pt>
                <c:pt idx="49">
                  <c:v>6.4927809175047306</c:v>
                </c:pt>
                <c:pt idx="50">
                  <c:v>6.5981917678685207</c:v>
                </c:pt>
                <c:pt idx="51">
                  <c:v>6.7002362443592647</c:v>
                </c:pt>
                <c:pt idx="52">
                  <c:v>6.799032886714433</c:v>
                </c:pt>
                <c:pt idx="53">
                  <c:v>6.8946969155525828</c:v>
                </c:pt>
                <c:pt idx="54">
                  <c:v>6.9873400938300705</c:v>
                </c:pt>
                <c:pt idx="55">
                  <c:v>7.0770706476060967</c:v>
                </c:pt>
                <c:pt idx="56">
                  <c:v>7.1639932326609461</c:v>
                </c:pt>
                <c:pt idx="57">
                  <c:v>7.2482089364851738</c:v>
                </c:pt>
                <c:pt idx="58">
                  <c:v>7.3298153074440728</c:v>
                </c:pt>
                <c:pt idx="59">
                  <c:v>7.4089064046828579</c:v>
                </c:pt>
                <c:pt idx="60">
                  <c:v>7.4855728637071337</c:v>
                </c:pt>
                <c:pt idx="61">
                  <c:v>7.5599019736395885</c:v>
                </c:pt>
                <c:pt idx="62">
                  <c:v>7.6319777629883641</c:v>
                </c:pt>
                <c:pt idx="63">
                  <c:v>7.7018810914221643</c:v>
                </c:pt>
                <c:pt idx="64">
                  <c:v>7.7696897455641087</c:v>
                </c:pt>
                <c:pt idx="65">
                  <c:v>7.8354785372303617</c:v>
                </c:pt>
                <c:pt idx="66">
                  <c:v>7.8993194028668965</c:v>
                </c:pt>
                <c:pt idx="67">
                  <c:v>7.9612815031998858</c:v>
                </c:pt>
                <c:pt idx="68">
                  <c:v>8.0214313223257445</c:v>
                </c:pt>
                <c:pt idx="69">
                  <c:v>8.0798327656348317</c:v>
                </c:pt>
                <c:pt idx="70">
                  <c:v>8.1365472560993872</c:v>
                </c:pt>
                <c:pt idx="71">
                  <c:v>8.1916338285660046</c:v>
                </c:pt>
                <c:pt idx="72">
                  <c:v>8.2451492217810589</c:v>
                </c:pt>
                <c:pt idx="73">
                  <c:v>8.2971479679492504</c:v>
                </c:pt>
                <c:pt idx="74">
                  <c:v>8.347682479684412</c:v>
                </c:pt>
                <c:pt idx="75">
                  <c:v>8.3968031342569205</c:v>
                </c:pt>
                <c:pt idx="76">
                  <c:v>8.4445583550812469</c:v>
                </c:pt>
                <c:pt idx="77">
                  <c:v>8.4909946904183364</c:v>
                </c:pt>
                <c:pt idx="78">
                  <c:v>8.5361568892893445</c:v>
                </c:pt>
                <c:pt idx="79">
                  <c:v>8.5800879746203478</c:v>
                </c:pt>
                <c:pt idx="80">
                  <c:v>8.6228293136509109</c:v>
                </c:pt>
                <c:pt idx="81">
                  <c:v>8.6644206856524875</c:v>
                </c:pt>
                <c:pt idx="82">
                  <c:v>8.7049003470125381</c:v>
                </c:pt>
                <c:pt idx="83">
                  <c:v>8.7443050937470712</c:v>
                </c:pt>
                <c:pt idx="84">
                  <c:v>8.7826703215100963</c:v>
                </c:pt>
                <c:pt idx="85">
                  <c:v>8.8200300831725755</c:v>
                </c:pt>
                <c:pt idx="86">
                  <c:v>8.8564171440459951</c:v>
                </c:pt>
                <c:pt idx="87">
                  <c:v>8.8918630348277006</c:v>
                </c:pt>
                <c:pt idx="88">
                  <c:v>8.9263981023456065</c:v>
                </c:pt>
                <c:pt idx="89">
                  <c:v>8.9600515581807905</c:v>
                </c:pt>
                <c:pt idx="90">
                  <c:v>8.9928515252451398</c:v>
                </c:pt>
                <c:pt idx="91">
                  <c:v>9.0248250823915104</c:v>
                </c:pt>
                <c:pt idx="92">
                  <c:v>9.0559983071319152</c:v>
                </c:pt>
                <c:pt idx="93">
                  <c:v>9.0863963165380763</c:v>
                </c:pt>
                <c:pt idx="94">
                  <c:v>9.1160433063972768</c:v>
                </c:pt>
                <c:pt idx="95">
                  <c:v>9.1449625886936197</c:v>
                </c:pt>
                <c:pt idx="96">
                  <c:v>9.1731766274849029</c:v>
                </c:pt>
                <c:pt idx="97">
                  <c:v>9.2007070732400198</c:v>
                </c:pt>
                <c:pt idx="98">
                  <c:v>9.2275747957034184</c:v>
                </c:pt>
                <c:pt idx="99">
                  <c:v>9.253799915347658</c:v>
                </c:pt>
                <c:pt idx="100">
                  <c:v>9.279401833475271</c:v>
                </c:pt>
                <c:pt idx="101">
                  <c:v>9.3043992610277773</c:v>
                </c:pt>
                <c:pt idx="102">
                  <c:v>9.3288102461572979</c:v>
                </c:pt>
                <c:pt idx="103">
                  <c:v>9.3526522006155286</c:v>
                </c:pt>
                <c:pt idx="104">
                  <c:v>9.3759419250110128</c:v>
                </c:pt>
                <c:pt idx="105">
                  <c:v>9.3986956329846532</c:v>
                </c:pt>
                <c:pt idx="106">
                  <c:v>9.4209289743508897</c:v>
                </c:pt>
                <c:pt idx="107">
                  <c:v>9.4426570572503543</c:v>
                </c:pt>
                <c:pt idx="108">
                  <c:v>9.4638944693577542</c:v>
                </c:pt>
                <c:pt idx="109">
                  <c:v>9.4846552981864747</c:v>
                </c:pt>
                <c:pt idx="110">
                  <c:v>9.504953150530417</c:v>
                </c:pt>
                <c:pt idx="111">
                  <c:v>9.524801171081414</c:v>
                </c:pt>
                <c:pt idx="112">
                  <c:v>9.5442120602582055</c:v>
                </c:pt>
                <c:pt idx="113">
                  <c:v>9.5631980912831018</c:v>
                </c:pt>
                <c:pt idx="114">
                  <c:v>9.5817711265387882</c:v>
                </c:pt>
                <c:pt idx="115">
                  <c:v>9.5999426332381468</c:v>
                </c:pt>
                <c:pt idx="116">
                  <c:v>9.617723698436949</c:v>
                </c:pt>
                <c:pt idx="117">
                  <c:v>9.6351250434192774</c:v>
                </c:pt>
                <c:pt idx="118">
                  <c:v>9.6521570374830752</c:v>
                </c:pt>
                <c:pt idx="119">
                  <c:v>9.6688297111525543</c:v>
                </c:pt>
                <c:pt idx="120">
                  <c:v>9.6851527688432775</c:v>
                </c:pt>
                <c:pt idx="121">
                  <c:v>9.7011356010034984</c:v>
                </c:pt>
                <c:pt idx="122">
                  <c:v>9.7167872957555659</c:v>
                </c:pt>
                <c:pt idx="123">
                  <c:v>9.7321166500590923</c:v>
                </c:pt>
                <c:pt idx="124">
                  <c:v>9.7471321804169904</c:v>
                </c:pt>
                <c:pt idx="125">
                  <c:v>9.7618421331448921</c:v>
                </c:pt>
                <c:pt idx="126">
                  <c:v>9.7762544942226626</c:v>
                </c:pt>
                <c:pt idx="127">
                  <c:v>9.7903769987464706</c:v>
                </c:pt>
                <c:pt idx="128">
                  <c:v>9.8042171399993077</c:v>
                </c:pt>
                <c:pt idx="129">
                  <c:v>9.8177821781559125</c:v>
                </c:pt>
                <c:pt idx="130">
                  <c:v>9.831079148638711</c:v>
                </c:pt>
                <c:pt idx="131">
                  <c:v>9.8441148701394656</c:v>
                </c:pt>
                <c:pt idx="132">
                  <c:v>9.8568959523215192</c:v>
                </c:pt>
                <c:pt idx="133">
                  <c:v>9.8694288032159285</c:v>
                </c:pt>
                <c:pt idx="134">
                  <c:v>9.8817196363254745</c:v>
                </c:pt>
                <c:pt idx="135">
                  <c:v>9.893774477448332</c:v>
                </c:pt>
                <c:pt idx="136">
                  <c:v>9.9055991712339679</c:v>
                </c:pt>
                <c:pt idx="137">
                  <c:v>9.9171993874824338</c:v>
                </c:pt>
                <c:pt idx="138">
                  <c:v>9.9285806271982047</c:v>
                </c:pt>
                <c:pt idx="139">
                  <c:v>9.9397482284089715</c:v>
                </c:pt>
                <c:pt idx="140">
                  <c:v>9.9507073717591705</c:v>
                </c:pt>
                <c:pt idx="141">
                  <c:v>9.9614630858880169</c:v>
                </c:pt>
                <c:pt idx="142">
                  <c:v>9.9720202526012365</c:v>
                </c:pt>
                <c:pt idx="143">
                  <c:v>9.9823836118445808</c:v>
                </c:pt>
                <c:pt idx="144">
                  <c:v>9.9925577664883036</c:v>
                </c:pt>
                <c:pt idx="145">
                  <c:v>10.002547186929643</c:v>
                </c:pt>
                <c:pt idx="146">
                  <c:v>10.012356215521717</c:v>
                </c:pt>
                <c:pt idx="147">
                  <c:v>10.021989070835124</c:v>
                </c:pt>
                <c:pt idx="148">
                  <c:v>10.031449851760199</c:v>
                </c:pt>
                <c:pt idx="149">
                  <c:v>10.040742541455526</c:v>
                </c:pt>
                <c:pt idx="150">
                  <c:v>10.049871011149714</c:v>
                </c:pt>
                <c:pt idx="151">
                  <c:v>10.058839023802252</c:v>
                </c:pt>
                <c:pt idx="152">
                  <c:v>10.067650237628984</c:v>
                </c:pt>
                <c:pt idx="153">
                  <c:v>10.076308209498089</c:v>
                </c:pt>
                <c:pt idx="154">
                  <c:v>10.084816398201413</c:v>
                </c:pt>
                <c:pt idx="155">
                  <c:v>10.093178167606654</c:v>
                </c:pt>
                <c:pt idx="156">
                  <c:v>10.101396789694832</c:v>
                </c:pt>
                <c:pt idx="157">
                  <c:v>10.109475447487675</c:v>
                </c:pt>
                <c:pt idx="158">
                  <c:v>10.117417237869695</c:v>
                </c:pt>
                <c:pt idx="159">
                  <c:v>10.125225174308646</c:v>
                </c:pt>
                <c:pt idx="160">
                  <c:v>10.132902189478694</c:v>
                </c:pt>
                <c:pt idx="161">
                  <c:v>10.140451137790272</c:v>
                </c:pt>
                <c:pt idx="162">
                  <c:v>10.147874797829974</c:v>
                </c:pt>
                <c:pt idx="163">
                  <c:v>10.155175874714137</c:v>
                </c:pt>
                <c:pt idx="164">
                  <c:v>10.162357002359773</c:v>
                </c:pt>
                <c:pt idx="165">
                  <c:v>10.169420745675543</c:v>
                </c:pt>
                <c:pt idx="166">
                  <c:v>10.176369602676516</c:v>
                </c:pt>
                <c:pt idx="167">
                  <c:v>10.183206006525108</c:v>
                </c:pt>
                <c:pt idx="168">
                  <c:v>10.18993232750134</c:v>
                </c:pt>
                <c:pt idx="169">
                  <c:v>10.196550874905107</c:v>
                </c:pt>
                <c:pt idx="170">
                  <c:v>10.203063898893053</c:v>
                </c:pt>
                <c:pt idx="171">
                  <c:v>10.209473592252554</c:v>
                </c:pt>
                <c:pt idx="172">
                  <c:v>10.215782092115104</c:v>
                </c:pt>
                <c:pt idx="173">
                  <c:v>10.2219914816115</c:v>
                </c:pt>
                <c:pt idx="174">
                  <c:v>10.228103791471003</c:v>
                </c:pt>
                <c:pt idx="175">
                  <c:v>10.234121001567019</c:v>
                </c:pt>
                <c:pt idx="176">
                  <c:v>10.240045042409971</c:v>
                </c:pt>
                <c:pt idx="177">
                  <c:v>10.245877796590925</c:v>
                </c:pt>
                <c:pt idx="178">
                  <c:v>10.251621100177337</c:v>
                </c:pt>
                <c:pt idx="179">
                  <c:v>10.257276744061704</c:v>
                </c:pt>
                <c:pt idx="180">
                  <c:v>10.262846475266095</c:v>
                </c:pt>
                <c:pt idx="181">
                  <c:v>10.268331998204161</c:v>
                </c:pt>
                <c:pt idx="182">
                  <c:v>10.273734975900727</c:v>
                </c:pt>
                <c:pt idx="183">
                  <c:v>10.279057031172613</c:v>
                </c:pt>
                <c:pt idx="184">
                  <c:v>10.284299747770259</c:v>
                </c:pt>
                <c:pt idx="185">
                  <c:v>10.289464671482627</c:v>
                </c:pt>
                <c:pt idx="186">
                  <c:v>10.294553311206853</c:v>
                </c:pt>
                <c:pt idx="187">
                  <c:v>10.299567139982699</c:v>
                </c:pt>
                <c:pt idx="188">
                  <c:v>10.304507595994432</c:v>
                </c:pt>
                <c:pt idx="189">
                  <c:v>10.309376083540959</c:v>
                </c:pt>
                <c:pt idx="190">
                  <c:v>10.314173973973807</c:v>
                </c:pt>
                <c:pt idx="191">
                  <c:v>10.318902606607598</c:v>
                </c:pt>
                <c:pt idx="192">
                  <c:v>10.323563289599614</c:v>
                </c:pt>
                <c:pt idx="193">
                  <c:v>10.328157300803193</c:v>
                </c:pt>
                <c:pt idx="194">
                  <c:v>10.332685888593526</c:v>
                </c:pt>
                <c:pt idx="195">
                  <c:v>10.337150272668783</c:v>
                </c:pt>
                <c:pt idx="196">
                  <c:v>10.341551644824731</c:v>
                </c:pt>
                <c:pt idx="197">
                  <c:v>10.345891169707345</c:v>
                </c:pt>
                <c:pt idx="198">
                  <c:v>10.350169985540381</c:v>
                </c:pt>
                <c:pt idx="199">
                  <c:v>10.354389204831802</c:v>
                </c:pt>
                <c:pt idx="200">
                  <c:v>10.358549915058477</c:v>
                </c:pt>
                <c:pt idx="201">
                  <c:v>10.362653179329319</c:v>
                </c:pt>
                <c:pt idx="202">
                  <c:v>10.366700037029094</c:v>
                </c:pt>
                <c:pt idx="203">
                  <c:v>10.370691504442087</c:v>
                </c:pt>
                <c:pt idx="204">
                  <c:v>10.37462857535796</c:v>
                </c:pt>
                <c:pt idx="205">
                  <c:v>10.378512221657967</c:v>
                </c:pt>
                <c:pt idx="206">
                  <c:v>10.382343393885179</c:v>
                </c:pt>
                <c:pt idx="207">
                  <c:v>10.386123021796454</c:v>
                </c:pt>
                <c:pt idx="208">
                  <c:v>10.389852014899006</c:v>
                </c:pt>
                <c:pt idx="209">
                  <c:v>10.393531262970505</c:v>
                </c:pt>
                <c:pt idx="210">
                  <c:v>10.397161636564068</c:v>
                </c:pt>
                <c:pt idx="211">
                  <c:v>10.400743987498181</c:v>
                </c:pt>
                <c:pt idx="212">
                  <c:v>10.404279149333124</c:v>
                </c:pt>
                <c:pt idx="213">
                  <c:v>10.407767937831993</c:v>
                </c:pt>
                <c:pt idx="214">
                  <c:v>10.411211151410235</c:v>
                </c:pt>
                <c:pt idx="215">
                  <c:v>10.414609571570546</c:v>
                </c:pt>
                <c:pt idx="216">
                  <c:v>10.417963963326201</c:v>
                </c:pt>
                <c:pt idx="217">
                  <c:v>10.421275075611771</c:v>
                </c:pt>
                <c:pt idx="218">
                  <c:v>10.42454364168236</c:v>
                </c:pt>
                <c:pt idx="219">
                  <c:v>10.42777037950145</c:v>
                </c:pt>
                <c:pt idx="220">
                  <c:v>10.430955992117404</c:v>
                </c:pt>
                <c:pt idx="221">
                  <c:v>10.434101168029866</c:v>
                </c:pt>
                <c:pt idx="222">
                  <c:v>10.437206581545308</c:v>
                </c:pt>
                <c:pt idx="223">
                  <c:v>10.440272893122863</c:v>
                </c:pt>
                <c:pt idx="224">
                  <c:v>10.443300749710492</c:v>
                </c:pt>
                <c:pt idx="225">
                  <c:v>10.446290785071762</c:v>
                </c:pt>
                <c:pt idx="226">
                  <c:v>10.449243620103388</c:v>
                </c:pt>
                <c:pt idx="227">
                  <c:v>10.452159863144056</c:v>
                </c:pt>
                <c:pt idx="228">
                  <c:v>10.455040110275041</c:v>
                </c:pt>
                <c:pt idx="229">
                  <c:v>10.457884945611884</c:v>
                </c:pt>
                <c:pt idx="230">
                  <c:v>10.460694941588837</c:v>
                </c:pt>
                <c:pt idx="231">
                  <c:v>10.463470659235085</c:v>
                </c:pt>
                <c:pt idx="232">
                  <c:v>10.466212648443522</c:v>
                </c:pt>
                <c:pt idx="233">
                  <c:v>10.468921448232344</c:v>
                </c:pt>
                <c:pt idx="234">
                  <c:v>10.471597586999479</c:v>
                </c:pt>
                <c:pt idx="235">
                  <c:v>10.474241582770174</c:v>
                </c:pt>
                <c:pt idx="236">
                  <c:v>10.476853943437956</c:v>
                </c:pt>
                <c:pt idx="237">
                  <c:v>10.47943516699935</c:v>
                </c:pt>
                <c:pt idx="238">
                  <c:v>10.481985741782214</c:v>
                </c:pt>
                <c:pt idx="239">
                  <c:v>10.484506146667474</c:v>
                </c:pt>
                <c:pt idx="240">
                  <c:v>10.486996851306159</c:v>
                </c:pt>
                <c:pt idx="241">
                  <c:v>10.48945831632938</c:v>
                </c:pt>
                <c:pt idx="242">
                  <c:v>10.491890993554273</c:v>
                </c:pt>
                <c:pt idx="243">
                  <c:v>10.494295326182852</c:v>
                </c:pt>
                <c:pt idx="244">
                  <c:v>10.496671748997096</c:v>
                </c:pt>
                <c:pt idx="245">
                  <c:v>10.499020688548571</c:v>
                </c:pt>
              </c:numCache>
            </c:numRef>
          </c:yVal>
          <c:smooth val="1"/>
          <c:extLst>
            <c:ext xmlns:c16="http://schemas.microsoft.com/office/drawing/2014/chart" uri="{C3380CC4-5D6E-409C-BE32-E72D297353CC}">
              <c16:uniqueId val="{00000006-A2A0-45DA-976B-7F29EEA10BCA}"/>
            </c:ext>
          </c:extLst>
        </c:ser>
        <c:ser>
          <c:idx val="4"/>
          <c:order val="1"/>
          <c:tx>
            <c:v>Source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Design'!$CY$27:$CY$272</c:f>
              <c:numCache>
                <c:formatCode>0.0</c:formatCode>
                <c:ptCount val="246"/>
                <c:pt idx="0">
                  <c:v>0.47997052378630889</c:v>
                </c:pt>
                <c:pt idx="1">
                  <c:v>0.57582404493915595</c:v>
                </c:pt>
                <c:pt idx="2">
                  <c:v>0.67169580434855924</c:v>
                </c:pt>
                <c:pt idx="3">
                  <c:v>0.76757896808849868</c:v>
                </c:pt>
                <c:pt idx="4">
                  <c:v>0.86346973701869267</c:v>
                </c:pt>
                <c:pt idx="5">
                  <c:v>0.95936583067432402</c:v>
                </c:pt>
                <c:pt idx="6">
                  <c:v>1.0552657974210673</c:v>
                </c:pt>
                <c:pt idx="7">
                  <c:v>1.1511686692969825</c:v>
                </c:pt>
                <c:pt idx="8">
                  <c:v>1.2470737760686936</c:v>
                </c:pt>
                <c:pt idx="9">
                  <c:v>1.3429806389402841</c:v>
                </c:pt>
                <c:pt idx="10">
                  <c:v>1.4388889067616226</c:v>
                </c:pt>
                <c:pt idx="11">
                  <c:v>1.5347983161503145</c:v>
                </c:pt>
                <c:pt idx="12">
                  <c:v>1.6307086656840342</c:v>
                </c:pt>
                <c:pt idx="13">
                  <c:v>1.7266197986931415</c:v>
                </c:pt>
                <c:pt idx="14">
                  <c:v>1.8225315914859384</c:v>
                </c:pt>
                <c:pt idx="15">
                  <c:v>1.9184439451056075</c:v>
                </c:pt>
                <c:pt idx="16">
                  <c:v>2.0143567794418762</c:v>
                </c:pt>
                <c:pt idx="17">
                  <c:v>2.1102700289483116</c:v>
                </c:pt>
                <c:pt idx="18">
                  <c:v>2.206183639476675</c:v>
                </c:pt>
                <c:pt idx="19">
                  <c:v>2.3020975659025762</c:v>
                </c:pt>
                <c:pt idx="20">
                  <c:v>2.3980117703208976</c:v>
                </c:pt>
                <c:pt idx="21">
                  <c:v>2.4939262206576087</c:v>
                </c:pt>
                <c:pt idx="22">
                  <c:v>2.5898408895900351</c:v>
                </c:pt>
                <c:pt idx="23">
                  <c:v>2.6857557536984711</c:v>
                </c:pt>
                <c:pt idx="24">
                  <c:v>2.7816707927933093</c:v>
                </c:pt>
                <c:pt idx="25">
                  <c:v>2.8775859893767306</c:v>
                </c:pt>
                <c:pt idx="26">
                  <c:v>2.9735013282085703</c:v>
                </c:pt>
                <c:pt idx="27">
                  <c:v>3.0694167959535874</c:v>
                </c:pt>
                <c:pt idx="28">
                  <c:v>3.1653323808928544</c:v>
                </c:pt>
                <c:pt idx="29">
                  <c:v>3.2612480726860751</c:v>
                </c:pt>
                <c:pt idx="30">
                  <c:v>3.3571638621746533</c:v>
                </c:pt>
                <c:pt idx="31">
                  <c:v>3.4530797412175711</c:v>
                </c:pt>
                <c:pt idx="32">
                  <c:v>3.5489957025538872</c:v>
                </c:pt>
                <c:pt idx="33">
                  <c:v>3.6449117396869424</c:v>
                </c:pt>
                <c:pt idx="34">
                  <c:v>3.7408278467863778</c:v>
                </c:pt>
                <c:pt idx="35">
                  <c:v>3.8367440186048505</c:v>
                </c:pt>
                <c:pt idx="36">
                  <c:v>3.9326602504069386</c:v>
                </c:pt>
                <c:pt idx="37">
                  <c:v>4.028576537908199</c:v>
                </c:pt>
                <c:pt idx="38">
                  <c:v>4.1244928772227309</c:v>
                </c:pt>
                <c:pt idx="39">
                  <c:v>4.2204092648178859</c:v>
                </c:pt>
                <c:pt idx="40">
                  <c:v>4.3163256974750217</c:v>
                </c:pt>
                <c:pt idx="41">
                  <c:v>4.4122421722553717</c:v>
                </c:pt>
                <c:pt idx="42">
                  <c:v>4.5081586864702698</c:v>
                </c:pt>
                <c:pt idx="43">
                  <c:v>4.6040752376551</c:v>
                </c:pt>
                <c:pt idx="44">
                  <c:v>4.699991823546438</c:v>
                </c:pt>
                <c:pt idx="45">
                  <c:v>4.7959084420619265</c:v>
                </c:pt>
                <c:pt idx="46">
                  <c:v>4.891825091282529</c:v>
                </c:pt>
                <c:pt idx="47">
                  <c:v>4.9877417694368225</c:v>
                </c:pt>
                <c:pt idx="48">
                  <c:v>5.0836584748870752</c:v>
                </c:pt>
                <c:pt idx="49">
                  <c:v>5.1795752061168665</c:v>
                </c:pt>
                <c:pt idx="50">
                  <c:v>5.2754919617200589</c:v>
                </c:pt>
                <c:pt idx="51">
                  <c:v>5.3714087403909527</c:v>
                </c:pt>
                <c:pt idx="52">
                  <c:v>5.4673255409154722</c:v>
                </c:pt>
                <c:pt idx="53">
                  <c:v>5.5632423621632716</c:v>
                </c:pt>
                <c:pt idx="54">
                  <c:v>5.6591592030806375</c:v>
                </c:pt>
                <c:pt idx="55">
                  <c:v>5.7550760626841022</c:v>
                </c:pt>
                <c:pt idx="56">
                  <c:v>5.8509929400546881</c:v>
                </c:pt>
                <c:pt idx="57">
                  <c:v>5.9469098343327049</c:v>
                </c:pt>
                <c:pt idx="58">
                  <c:v>6.0428267447130448</c:v>
                </c:pt>
                <c:pt idx="59">
                  <c:v>6.1387436704409195</c:v>
                </c:pt>
                <c:pt idx="60">
                  <c:v>6.2346606108079881</c:v>
                </c:pt>
                <c:pt idx="61">
                  <c:v>6.330577565148837</c:v>
                </c:pt>
                <c:pt idx="62">
                  <c:v>6.4264945328377827</c:v>
                </c:pt>
                <c:pt idx="63">
                  <c:v>6.5224115132859426</c:v>
                </c:pt>
                <c:pt idx="64">
                  <c:v>6.6183285059385746</c:v>
                </c:pt>
                <c:pt idx="65">
                  <c:v>6.7142455102726322</c:v>
                </c:pt>
                <c:pt idx="66">
                  <c:v>6.8101625257945377</c:v>
                </c:pt>
                <c:pt idx="67">
                  <c:v>6.9060795520381371</c:v>
                </c:pt>
                <c:pt idx="68">
                  <c:v>7.0019965885628128</c:v>
                </c:pt>
                <c:pt idx="69">
                  <c:v>7.0979136349517713</c:v>
                </c:pt>
                <c:pt idx="70">
                  <c:v>7.1938306908104419</c:v>
                </c:pt>
                <c:pt idx="71">
                  <c:v>7.2897477557650223</c:v>
                </c:pt>
                <c:pt idx="72">
                  <c:v>7.3856648294611311</c:v>
                </c:pt>
                <c:pt idx="73">
                  <c:v>7.4815819115625546</c:v>
                </c:pt>
                <c:pt idx="74">
                  <c:v>7.5774990017501098</c:v>
                </c:pt>
                <c:pt idx="75">
                  <c:v>7.6734160997205656</c:v>
                </c:pt>
                <c:pt idx="76">
                  <c:v>7.7693332051856689</c:v>
                </c:pt>
                <c:pt idx="77">
                  <c:v>7.8652503178712276</c:v>
                </c:pt>
                <c:pt idx="78">
                  <c:v>7.9611674375162611</c:v>
                </c:pt>
                <c:pt idx="79">
                  <c:v>8.0570845638722215</c:v>
                </c:pt>
                <c:pt idx="80">
                  <c:v>8.1530016967022512</c:v>
                </c:pt>
                <c:pt idx="81">
                  <c:v>8.248918835780513</c:v>
                </c:pt>
                <c:pt idx="82">
                  <c:v>8.3448359808915491</c:v>
                </c:pt>
                <c:pt idx="83">
                  <c:v>8.4407531318297035</c:v>
                </c:pt>
                <c:pt idx="84">
                  <c:v>8.5366702883985521</c:v>
                </c:pt>
                <c:pt idx="85">
                  <c:v>8.6325874504104085</c:v>
                </c:pt>
                <c:pt idx="86">
                  <c:v>8.7285046176858341</c:v>
                </c:pt>
                <c:pt idx="87">
                  <c:v>8.8244217900531883</c:v>
                </c:pt>
                <c:pt idx="88">
                  <c:v>8.9203389673482221</c:v>
                </c:pt>
                <c:pt idx="89">
                  <c:v>9.0162561494136639</c:v>
                </c:pt>
                <c:pt idx="90">
                  <c:v>9.1121733360988735</c:v>
                </c:pt>
                <c:pt idx="91">
                  <c:v>9.2080905272594826</c:v>
                </c:pt>
                <c:pt idx="92">
                  <c:v>9.3040077227570759</c:v>
                </c:pt>
                <c:pt idx="93">
                  <c:v>9.3999249224588919</c:v>
                </c:pt>
                <c:pt idx="94">
                  <c:v>9.4958421262375303</c:v>
                </c:pt>
                <c:pt idx="95">
                  <c:v>9.5917593339706837</c:v>
                </c:pt>
                <c:pt idx="96">
                  <c:v>9.6876765455408957</c:v>
                </c:pt>
                <c:pt idx="97">
                  <c:v>9.7835937608353092</c:v>
                </c:pt>
                <c:pt idx="98">
                  <c:v>9.8795109797454526</c:v>
                </c:pt>
                <c:pt idx="99">
                  <c:v>9.9754282021670306</c:v>
                </c:pt>
                <c:pt idx="100">
                  <c:v>10.071345427999713</c:v>
                </c:pt>
                <c:pt idx="101">
                  <c:v>10.167262657146958</c:v>
                </c:pt>
                <c:pt idx="102">
                  <c:v>10.263179889515838</c:v>
                </c:pt>
                <c:pt idx="103">
                  <c:v>10.359097125016863</c:v>
                </c:pt>
                <c:pt idx="104">
                  <c:v>10.455014363563825</c:v>
                </c:pt>
                <c:pt idx="105">
                  <c:v>10.550931605073655</c:v>
                </c:pt>
                <c:pt idx="106">
                  <c:v>10.646848849466277</c:v>
                </c:pt>
                <c:pt idx="107">
                  <c:v>10.74276609666447</c:v>
                </c:pt>
                <c:pt idx="108">
                  <c:v>10.838683346593752</c:v>
                </c:pt>
                <c:pt idx="109">
                  <c:v>10.934600599182254</c:v>
                </c:pt>
                <c:pt idx="110">
                  <c:v>11.030517854360605</c:v>
                </c:pt>
                <c:pt idx="111">
                  <c:v>11.126435112061824</c:v>
                </c:pt>
                <c:pt idx="112">
                  <c:v>11.222352372221222</c:v>
                </c:pt>
                <c:pt idx="113">
                  <c:v>11.318269634776307</c:v>
                </c:pt>
                <c:pt idx="114">
                  <c:v>11.41418689966668</c:v>
                </c:pt>
                <c:pt idx="115">
                  <c:v>11.51010416683396</c:v>
                </c:pt>
                <c:pt idx="116">
                  <c:v>11.606021436221695</c:v>
                </c:pt>
                <c:pt idx="117">
                  <c:v>11.701938707775284</c:v>
                </c:pt>
                <c:pt idx="118">
                  <c:v>11.797855981441902</c:v>
                </c:pt>
                <c:pt idx="119">
                  <c:v>11.893773257170428</c:v>
                </c:pt>
                <c:pt idx="120">
                  <c:v>11.989690534911373</c:v>
                </c:pt>
                <c:pt idx="121">
                  <c:v>12.085607814616827</c:v>
                </c:pt>
                <c:pt idx="122">
                  <c:v>12.18152509624038</c:v>
                </c:pt>
                <c:pt idx="123">
                  <c:v>12.277442379737078</c:v>
                </c:pt>
                <c:pt idx="124">
                  <c:v>12.373359665063363</c:v>
                </c:pt>
                <c:pt idx="125">
                  <c:v>12.46927695217701</c:v>
                </c:pt>
                <c:pt idx="126">
                  <c:v>12.565194241037089</c:v>
                </c:pt>
                <c:pt idx="127">
                  <c:v>12.661111531603904</c:v>
                </c:pt>
                <c:pt idx="128">
                  <c:v>12.757028823838963</c:v>
                </c:pt>
                <c:pt idx="129">
                  <c:v>12.852946117704917</c:v>
                </c:pt>
                <c:pt idx="130">
                  <c:v>12.948863413165521</c:v>
                </c:pt>
                <c:pt idx="131">
                  <c:v>13.044780710185602</c:v>
                </c:pt>
                <c:pt idx="132">
                  <c:v>13.140698008731006</c:v>
                </c:pt>
                <c:pt idx="133">
                  <c:v>13.236615308768579</c:v>
                </c:pt>
                <c:pt idx="134">
                  <c:v>13.332532610266114</c:v>
                </c:pt>
                <c:pt idx="135">
                  <c:v>13.428449913192326</c:v>
                </c:pt>
                <c:pt idx="136">
                  <c:v>13.524367217516819</c:v>
                </c:pt>
                <c:pt idx="137">
                  <c:v>13.620284523210049</c:v>
                </c:pt>
                <c:pt idx="138">
                  <c:v>13.716201830243303</c:v>
                </c:pt>
                <c:pt idx="139">
                  <c:v>13.812119138588665</c:v>
                </c:pt>
                <c:pt idx="140">
                  <c:v>13.908036448218988</c:v>
                </c:pt>
                <c:pt idx="141">
                  <c:v>14.003953759107866</c:v>
                </c:pt>
                <c:pt idx="142">
                  <c:v>14.099871071229618</c:v>
                </c:pt>
                <c:pt idx="143">
                  <c:v>14.195788384559247</c:v>
                </c:pt>
                <c:pt idx="144">
                  <c:v>14.291705699072443</c:v>
                </c:pt>
                <c:pt idx="145">
                  <c:v>14.387623014745527</c:v>
                </c:pt>
                <c:pt idx="146">
                  <c:v>14.483540331555457</c:v>
                </c:pt>
                <c:pt idx="147">
                  <c:v>14.579457649479796</c:v>
                </c:pt>
                <c:pt idx="148">
                  <c:v>14.675374968496692</c:v>
                </c:pt>
                <c:pt idx="149">
                  <c:v>14.771292288584863</c:v>
                </c:pt>
                <c:pt idx="150">
                  <c:v>14.867209609723574</c:v>
                </c:pt>
                <c:pt idx="151">
                  <c:v>14.963126931892621</c:v>
                </c:pt>
                <c:pt idx="152">
                  <c:v>15.059044255072317</c:v>
                </c:pt>
                <c:pt idx="153">
                  <c:v>15.154961579243471</c:v>
                </c:pt>
                <c:pt idx="154">
                  <c:v>15.250878904387381</c:v>
                </c:pt>
                <c:pt idx="155">
                  <c:v>15.346796230485802</c:v>
                </c:pt>
                <c:pt idx="156">
                  <c:v>15.442713557520953</c:v>
                </c:pt>
                <c:pt idx="157">
                  <c:v>15.538630885475486</c:v>
                </c:pt>
                <c:pt idx="158">
                  <c:v>15.634548214332478</c:v>
                </c:pt>
                <c:pt idx="159">
                  <c:v>15.730465544075422</c:v>
                </c:pt>
                <c:pt idx="160">
                  <c:v>15.82638287468821</c:v>
                </c:pt>
                <c:pt idx="161">
                  <c:v>15.922300206155121</c:v>
                </c:pt>
                <c:pt idx="162">
                  <c:v>16.01821753846081</c:v>
                </c:pt>
                <c:pt idx="163">
                  <c:v>16.114134871590302</c:v>
                </c:pt>
                <c:pt idx="164">
                  <c:v>16.210052205528974</c:v>
                </c:pt>
                <c:pt idx="165">
                  <c:v>16.305969540262542</c:v>
                </c:pt>
                <c:pt idx="166">
                  <c:v>16.401886875777063</c:v>
                </c:pt>
                <c:pt idx="167">
                  <c:v>16.497804212058917</c:v>
                </c:pt>
                <c:pt idx="168">
                  <c:v>16.593721549094791</c:v>
                </c:pt>
                <c:pt idx="169">
                  <c:v>16.689638886871695</c:v>
                </c:pt>
                <c:pt idx="170">
                  <c:v>16.785556225376919</c:v>
                </c:pt>
                <c:pt idx="171">
                  <c:v>16.88147356459805</c:v>
                </c:pt>
                <c:pt idx="172">
                  <c:v>16.977390904522952</c:v>
                </c:pt>
                <c:pt idx="173">
                  <c:v>17.073308245139771</c:v>
                </c:pt>
                <c:pt idx="174">
                  <c:v>17.169225586436902</c:v>
                </c:pt>
                <c:pt idx="175">
                  <c:v>17.265142928403009</c:v>
                </c:pt>
                <c:pt idx="176">
                  <c:v>17.361060271027004</c:v>
                </c:pt>
                <c:pt idx="177">
                  <c:v>17.456977614298044</c:v>
                </c:pt>
                <c:pt idx="178">
                  <c:v>17.552894958205524</c:v>
                </c:pt>
                <c:pt idx="179">
                  <c:v>17.648812302739064</c:v>
                </c:pt>
                <c:pt idx="180">
                  <c:v>17.744729647888509</c:v>
                </c:pt>
                <c:pt idx="181">
                  <c:v>17.840646993643929</c:v>
                </c:pt>
                <c:pt idx="182">
                  <c:v>17.936564339995602</c:v>
                </c:pt>
                <c:pt idx="183">
                  <c:v>18.032481686934016</c:v>
                </c:pt>
                <c:pt idx="184">
                  <c:v>18.128399034449853</c:v>
                </c:pt>
                <c:pt idx="185">
                  <c:v>18.224316382533992</c:v>
                </c:pt>
                <c:pt idx="186">
                  <c:v>18.32023373117752</c:v>
                </c:pt>
                <c:pt idx="187">
                  <c:v>18.416151080371687</c:v>
                </c:pt>
                <c:pt idx="188">
                  <c:v>18.512068430107934</c:v>
                </c:pt>
                <c:pt idx="189">
                  <c:v>18.607985780377884</c:v>
                </c:pt>
                <c:pt idx="190">
                  <c:v>18.703903131173316</c:v>
                </c:pt>
                <c:pt idx="191">
                  <c:v>18.799820482486201</c:v>
                </c:pt>
                <c:pt idx="192">
                  <c:v>18.895737834308644</c:v>
                </c:pt>
                <c:pt idx="193">
                  <c:v>18.991655186632933</c:v>
                </c:pt>
                <c:pt idx="194">
                  <c:v>19.087572539451504</c:v>
                </c:pt>
                <c:pt idx="195">
                  <c:v>19.183489892756938</c:v>
                </c:pt>
                <c:pt idx="196">
                  <c:v>19.279407246541968</c:v>
                </c:pt>
                <c:pt idx="197">
                  <c:v>19.375324600799477</c:v>
                </c:pt>
                <c:pt idx="198">
                  <c:v>19.47124195552248</c:v>
                </c:pt>
                <c:pt idx="199">
                  <c:v>19.567159310704131</c:v>
                </c:pt>
                <c:pt idx="200">
                  <c:v>19.663076666337712</c:v>
                </c:pt>
                <c:pt idx="201">
                  <c:v>19.758994022416651</c:v>
                </c:pt>
                <c:pt idx="202">
                  <c:v>19.854911378934489</c:v>
                </c:pt>
                <c:pt idx="203">
                  <c:v>19.950828735884897</c:v>
                </c:pt>
                <c:pt idx="204">
                  <c:v>20.046746093261667</c:v>
                </c:pt>
                <c:pt idx="205">
                  <c:v>20.142663451058706</c:v>
                </c:pt>
                <c:pt idx="206">
                  <c:v>20.238580809270037</c:v>
                </c:pt>
                <c:pt idx="207">
                  <c:v>20.334498167889802</c:v>
                </c:pt>
                <c:pt idx="208">
                  <c:v>20.430415526912245</c:v>
                </c:pt>
                <c:pt idx="209">
                  <c:v>20.526332886331723</c:v>
                </c:pt>
                <c:pt idx="210">
                  <c:v>20.622250246142688</c:v>
                </c:pt>
                <c:pt idx="211">
                  <c:v>20.718167606339716</c:v>
                </c:pt>
                <c:pt idx="212">
                  <c:v>20.814084966917463</c:v>
                </c:pt>
                <c:pt idx="213">
                  <c:v>20.910002327870689</c:v>
                </c:pt>
                <c:pt idx="214">
                  <c:v>21.005919689194251</c:v>
                </c:pt>
                <c:pt idx="215">
                  <c:v>21.101837050883102</c:v>
                </c:pt>
                <c:pt idx="216">
                  <c:v>21.19775441293228</c:v>
                </c:pt>
                <c:pt idx="217">
                  <c:v>21.293671775336914</c:v>
                </c:pt>
                <c:pt idx="218">
                  <c:v>21.389589138092223</c:v>
                </c:pt>
                <c:pt idx="219">
                  <c:v>21.485506501193516</c:v>
                </c:pt>
                <c:pt idx="220">
                  <c:v>21.581423864636175</c:v>
                </c:pt>
                <c:pt idx="221">
                  <c:v>21.677341228415671</c:v>
                </c:pt>
                <c:pt idx="222">
                  <c:v>21.773258592527551</c:v>
                </c:pt>
                <c:pt idx="223">
                  <c:v>21.869175956967439</c:v>
                </c:pt>
                <c:pt idx="224">
                  <c:v>21.965093321731043</c:v>
                </c:pt>
                <c:pt idx="225">
                  <c:v>22.061010686814136</c:v>
                </c:pt>
                <c:pt idx="226">
                  <c:v>22.156928052212571</c:v>
                </c:pt>
                <c:pt idx="227">
                  <c:v>22.252845417922266</c:v>
                </c:pt>
                <c:pt idx="228">
                  <c:v>22.348762783939225</c:v>
                </c:pt>
                <c:pt idx="229">
                  <c:v>22.444680150259497</c:v>
                </c:pt>
                <c:pt idx="230">
                  <c:v>22.540597516879217</c:v>
                </c:pt>
                <c:pt idx="231">
                  <c:v>22.636514883794575</c:v>
                </c:pt>
                <c:pt idx="232">
                  <c:v>22.732432251001828</c:v>
                </c:pt>
                <c:pt idx="233">
                  <c:v>22.828349618497299</c:v>
                </c:pt>
                <c:pt idx="234">
                  <c:v>22.924266986277367</c:v>
                </c:pt>
                <c:pt idx="235">
                  <c:v>23.020184354338479</c:v>
                </c:pt>
                <c:pt idx="236">
                  <c:v>23.116101722677133</c:v>
                </c:pt>
                <c:pt idx="237">
                  <c:v>23.212019091289889</c:v>
                </c:pt>
                <c:pt idx="238">
                  <c:v>23.307936460173366</c:v>
                </c:pt>
                <c:pt idx="239">
                  <c:v>23.403853829324234</c:v>
                </c:pt>
                <c:pt idx="240">
                  <c:v>23.499771198739214</c:v>
                </c:pt>
                <c:pt idx="241">
                  <c:v>23.595688568415092</c:v>
                </c:pt>
                <c:pt idx="242">
                  <c:v>23.691605938348697</c:v>
                </c:pt>
                <c:pt idx="243">
                  <c:v>23.787523308536908</c:v>
                </c:pt>
                <c:pt idx="244">
                  <c:v>23.883440678976662</c:v>
                </c:pt>
                <c:pt idx="245">
                  <c:v>23.979358049664938</c:v>
                </c:pt>
              </c:numCache>
            </c:numRef>
          </c:yVal>
          <c:smooth val="1"/>
          <c:extLst>
            <c:ext xmlns:c16="http://schemas.microsoft.com/office/drawing/2014/chart" uri="{C3380CC4-5D6E-409C-BE32-E72D297353CC}">
              <c16:uniqueId val="{00000007-A2A0-45DA-976B-7F29EEA10BCA}"/>
            </c:ext>
          </c:extLst>
        </c:ser>
        <c:ser>
          <c:idx val="5"/>
          <c:order val="2"/>
          <c:tx>
            <c:v>Source Impedance + Filter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Design'!$CZ$27:$CZ$272</c:f>
              <c:numCache>
                <c:formatCode>0.0</c:formatCode>
                <c:ptCount val="246"/>
                <c:pt idx="0">
                  <c:v>0.48901946792806178</c:v>
                </c:pt>
                <c:pt idx="1">
                  <c:v>0.59188872771097123</c:v>
                </c:pt>
                <c:pt idx="2">
                  <c:v>0.69805821865848983</c:v>
                </c:pt>
                <c:pt idx="3">
                  <c:v>0.80849880080209524</c:v>
                </c:pt>
                <c:pt idx="4">
                  <c:v>0.92446250881404879</c:v>
                </c:pt>
                <c:pt idx="5">
                  <c:v>1.0475967418607024</c:v>
                </c:pt>
                <c:pt idx="6">
                  <c:v>1.1801129723261188</c:v>
                </c:pt>
                <c:pt idx="7">
                  <c:v>1.3250375061011215</c:v>
                </c:pt>
                <c:pt idx="8">
                  <c:v>1.4865844574367424</c:v>
                </c:pt>
                <c:pt idx="9">
                  <c:v>1.6706996986473137</c:v>
                </c:pt>
                <c:pt idx="10">
                  <c:v>1.8857959705893454</c:v>
                </c:pt>
                <c:pt idx="11">
                  <c:v>2.1434960939888583</c:v>
                </c:pt>
                <c:pt idx="12">
                  <c:v>2.4582980745103913</c:v>
                </c:pt>
                <c:pt idx="13">
                  <c:v>2.8416814647435897</c:v>
                </c:pt>
                <c:pt idx="14">
                  <c:v>3.2762992724930444</c:v>
                </c:pt>
                <c:pt idx="15">
                  <c:v>3.6485854527729291</c:v>
                </c:pt>
                <c:pt idx="16">
                  <c:v>3.7185071262408411</c:v>
                </c:pt>
                <c:pt idx="17">
                  <c:v>3.3865466160580975</c:v>
                </c:pt>
                <c:pt idx="18">
                  <c:v>2.890162666403731</c:v>
                </c:pt>
                <c:pt idx="19">
                  <c:v>2.46229004208202</c:v>
                </c:pt>
                <c:pt idx="20">
                  <c:v>2.1665334995375174</c:v>
                </c:pt>
                <c:pt idx="21">
                  <c:v>1.9860437751945275</c:v>
                </c:pt>
                <c:pt idx="22">
                  <c:v>1.8892151566687487</c:v>
                </c:pt>
                <c:pt idx="23">
                  <c:v>1.8491527771147935</c:v>
                </c:pt>
                <c:pt idx="24">
                  <c:v>1.8465312766007236</c:v>
                </c:pt>
                <c:pt idx="25">
                  <c:v>1.8683418172371629</c:v>
                </c:pt>
                <c:pt idx="26">
                  <c:v>1.9060720530929174</c:v>
                </c:pt>
                <c:pt idx="27">
                  <c:v>1.9542042673577897</c:v>
                </c:pt>
                <c:pt idx="28">
                  <c:v>2.009156361010664</c:v>
                </c:pt>
                <c:pt idx="29">
                  <c:v>2.0685845787583883</c:v>
                </c:pt>
                <c:pt idx="30">
                  <c:v>2.1309383279503766</c:v>
                </c:pt>
                <c:pt idx="31">
                  <c:v>2.1951789490187683</c:v>
                </c:pt>
                <c:pt idx="32">
                  <c:v>2.2606019044869168</c:v>
                </c:pt>
                <c:pt idx="33">
                  <c:v>2.3267235248704576</c:v>
                </c:pt>
                <c:pt idx="34">
                  <c:v>2.3932080831869271</c:v>
                </c:pt>
                <c:pt idx="35">
                  <c:v>2.4598202413084835</c:v>
                </c:pt>
                <c:pt idx="36">
                  <c:v>2.5263936274432766</c:v>
                </c:pt>
                <c:pt idx="37">
                  <c:v>2.5928097965037891</c:v>
                </c:pt>
                <c:pt idx="38">
                  <c:v>2.6589839611408639</c:v>
                </c:pt>
                <c:pt idx="39">
                  <c:v>2.724855196326279</c:v>
                </c:pt>
                <c:pt idx="40">
                  <c:v>2.7903796380238246</c:v>
                </c:pt>
                <c:pt idx="41">
                  <c:v>2.8555257107407415</c:v>
                </c:pt>
                <c:pt idx="42">
                  <c:v>2.9202707461852495</c:v>
                </c:pt>
                <c:pt idx="43">
                  <c:v>2.9845985663749945</c:v>
                </c:pt>
                <c:pt idx="44">
                  <c:v>3.0484977423721036</c:v>
                </c:pt>
                <c:pt idx="45">
                  <c:v>3.1119603309088348</c:v>
                </c:pt>
                <c:pt idx="46">
                  <c:v>3.174980952075289</c:v>
                </c:pt>
                <c:pt idx="47">
                  <c:v>3.2375561124314984</c:v>
                </c:pt>
                <c:pt idx="48">
                  <c:v>3.2996837060617707</c:v>
                </c:pt>
                <c:pt idx="49">
                  <c:v>3.3613626455331547</c:v>
                </c:pt>
                <c:pt idx="50">
                  <c:v>3.422592588277332</c:v>
                </c:pt>
                <c:pt idx="51">
                  <c:v>3.4833737334559363</c:v>
                </c:pt>
                <c:pt idx="52">
                  <c:v>3.5437066711398741</c:v>
                </c:pt>
                <c:pt idx="53">
                  <c:v>3.6035922704788872</c:v>
                </c:pt>
                <c:pt idx="54">
                  <c:v>3.6630315970303848</c:v>
                </c:pt>
                <c:pt idx="55">
                  <c:v>3.7220258519538789</c:v>
                </c:pt>
                <c:pt idx="56">
                  <c:v>3.7805763276317927</c:v>
                </c:pt>
                <c:pt idx="57">
                  <c:v>3.8386843756420213</c:v>
                </c:pt>
                <c:pt idx="58">
                  <c:v>3.8963513840172621</c:v>
                </c:pt>
                <c:pt idx="59">
                  <c:v>3.9535787614778952</c:v>
                </c:pt>
                <c:pt idx="60">
                  <c:v>4.0103679268863832</c:v>
                </c:pt>
                <c:pt idx="61">
                  <c:v>4.0667203025943337</c:v>
                </c:pt>
                <c:pt idx="62">
                  <c:v>4.1226373106709415</c:v>
                </c:pt>
                <c:pt idx="63">
                  <c:v>4.1781203712440131</c:v>
                </c:pt>
                <c:pt idx="64">
                  <c:v>4.2331709023673989</c:v>
                </c:pt>
                <c:pt idx="65">
                  <c:v>4.2877903209688988</c:v>
                </c:pt>
                <c:pt idx="66">
                  <c:v>4.3419800445402572</c:v>
                </c:pt>
                <c:pt idx="67">
                  <c:v>4.3957414933117462</c:v>
                </c:pt>
                <c:pt idx="68">
                  <c:v>4.4490760927183555</c:v>
                </c:pt>
                <c:pt idx="69">
                  <c:v>4.5019852760115011</c:v>
                </c:pt>
                <c:pt idx="70">
                  <c:v>4.5544704869088743</c:v>
                </c:pt>
                <c:pt idx="71">
                  <c:v>4.606533182202484</c:v>
                </c:pt>
                <c:pt idx="72">
                  <c:v>4.6581748342683191</c:v>
                </c:pt>
                <c:pt idx="73">
                  <c:v>4.7093969334367136</c:v>
                </c:pt>
                <c:pt idx="74">
                  <c:v>4.7602009901965969</c:v>
                </c:pt>
                <c:pt idx="75">
                  <c:v>4.8105885372162724</c:v>
                </c:pt>
                <c:pt idx="76">
                  <c:v>4.8605611311707912</c:v>
                </c:pt>
                <c:pt idx="77">
                  <c:v>4.9101203543722933</c:v>
                </c:pt>
                <c:pt idx="78">
                  <c:v>4.9592678162033019</c:v>
                </c:pt>
                <c:pt idx="79">
                  <c:v>5.0080051543563258</c:v>
                </c:pt>
                <c:pt idx="80">
                  <c:v>5.0563340358860529</c:v>
                </c:pt>
                <c:pt idx="81">
                  <c:v>5.1042561580807737</c:v>
                </c:pt>
                <c:pt idx="82">
                  <c:v>5.1517732491622112</c:v>
                </c:pt>
                <c:pt idx="83">
                  <c:v>5.1988870688224811</c:v>
                </c:pt>
                <c:pt idx="84">
                  <c:v>5.2455994086080615</c:v>
                </c:pt>
                <c:pt idx="85">
                  <c:v>5.291912092160211</c:v>
                </c:pt>
                <c:pt idx="86">
                  <c:v>5.337826975322062</c:v>
                </c:pt>
                <c:pt idx="87">
                  <c:v>5.383345946121695</c:v>
                </c:pt>
                <c:pt idx="88">
                  <c:v>5.428470924640612</c:v>
                </c:pt>
                <c:pt idx="89">
                  <c:v>5.4732038627768995</c:v>
                </c:pt>
                <c:pt idx="90">
                  <c:v>5.5175467439115335</c:v>
                </c:pt>
                <c:pt idx="91">
                  <c:v>5.5615015824867209</c:v>
                </c:pt>
                <c:pt idx="92">
                  <c:v>5.6050704235032871</c:v>
                </c:pt>
                <c:pt idx="93">
                  <c:v>5.64825534194601</c:v>
                </c:pt>
                <c:pt idx="94">
                  <c:v>5.6910584421426451</c:v>
                </c:pt>
                <c:pt idx="95">
                  <c:v>5.7334818570645858</c:v>
                </c:pt>
                <c:pt idx="96">
                  <c:v>5.7755277475746176</c:v>
                </c:pt>
                <c:pt idx="97">
                  <c:v>5.8171983016283342</c:v>
                </c:pt>
                <c:pt idx="98">
                  <c:v>5.8584957334343635</c:v>
                </c:pt>
                <c:pt idx="99">
                  <c:v>5.899422282578815</c:v>
                </c:pt>
                <c:pt idx="100">
                  <c:v>5.9399802131190702</c:v>
                </c:pt>
                <c:pt idx="101">
                  <c:v>5.9801718126509051</c:v>
                </c:pt>
                <c:pt idx="102">
                  <c:v>6.0199993913536129</c:v>
                </c:pt>
                <c:pt idx="103">
                  <c:v>6.0594652810168892</c:v>
                </c:pt>
                <c:pt idx="104">
                  <c:v>6.0985718340532715</c:v>
                </c:pt>
                <c:pt idx="105">
                  <c:v>6.1373214224993511</c:v>
                </c:pt>
                <c:pt idx="106">
                  <c:v>6.1757164370089859</c:v>
                </c:pt>
                <c:pt idx="107">
                  <c:v>6.2137592858412294</c:v>
                </c:pt>
                <c:pt idx="108">
                  <c:v>6.251452393846229</c:v>
                </c:pt>
                <c:pt idx="109">
                  <c:v>6.2887982014505273</c:v>
                </c:pt>
                <c:pt idx="110">
                  <c:v>6.3257991636452164</c:v>
                </c:pt>
                <c:pt idx="111">
                  <c:v>6.3624577489779259</c:v>
                </c:pt>
                <c:pt idx="112">
                  <c:v>6.3987764385516215</c:v>
                </c:pt>
                <c:pt idx="113">
                  <c:v>6.4347577250306616</c:v>
                </c:pt>
                <c:pt idx="114">
                  <c:v>6.4704041116570341</c:v>
                </c:pt>
                <c:pt idx="115">
                  <c:v>6.5057181112774991</c:v>
                </c:pt>
                <c:pt idx="116">
                  <c:v>6.5407022453825485</c:v>
                </c:pt>
                <c:pt idx="117">
                  <c:v>6.5753590431592839</c:v>
                </c:pt>
                <c:pt idx="118">
                  <c:v>6.609691040558781</c:v>
                </c:pt>
                <c:pt idx="119">
                  <c:v>6.6437007793788494</c:v>
                </c:pt>
                <c:pt idx="120">
                  <c:v>6.6773908063629772</c:v>
                </c:pt>
                <c:pt idx="121">
                  <c:v>6.7107636723163528</c:v>
                </c:pt>
                <c:pt idx="122">
                  <c:v>6.7438219312397942</c:v>
                </c:pt>
                <c:pt idx="123">
                  <c:v>6.7765681394817117</c:v>
                </c:pt>
                <c:pt idx="124">
                  <c:v>6.8090048549090048</c:v>
                </c:pt>
                <c:pt idx="125">
                  <c:v>6.8411346360966867</c:v>
                </c:pt>
                <c:pt idx="126">
                  <c:v>6.8729600415378762</c:v>
                </c:pt>
                <c:pt idx="127">
                  <c:v>6.9044836288723408</c:v>
                </c:pt>
                <c:pt idx="128">
                  <c:v>6.9357079541364062</c:v>
                </c:pt>
                <c:pt idx="129">
                  <c:v>6.9666355710318433</c:v>
                </c:pt>
                <c:pt idx="130">
                  <c:v>6.9972690302161302</c:v>
                </c:pt>
                <c:pt idx="131">
                  <c:v>7.027610878611851</c:v>
                </c:pt>
                <c:pt idx="132">
                  <c:v>7.05766365873792</c:v>
                </c:pt>
                <c:pt idx="133">
                  <c:v>7.0874299080597316</c:v>
                </c:pt>
                <c:pt idx="134">
                  <c:v>7.1169121583606945</c:v>
                </c:pt>
                <c:pt idx="135">
                  <c:v>7.146112935133802</c:v>
                </c:pt>
                <c:pt idx="136">
                  <c:v>7.1750347569926687</c:v>
                </c:pt>
                <c:pt idx="137">
                  <c:v>7.2036801351034434</c:v>
                </c:pt>
                <c:pt idx="138">
                  <c:v>7.2320515726359984</c:v>
                </c:pt>
                <c:pt idx="139">
                  <c:v>7.2601515642348096</c:v>
                </c:pt>
                <c:pt idx="140">
                  <c:v>7.2879825955093454</c:v>
                </c:pt>
                <c:pt idx="141">
                  <c:v>7.3155471425435064</c:v>
                </c:pt>
                <c:pt idx="142">
                  <c:v>7.3428476714241366</c:v>
                </c:pt>
                <c:pt idx="143">
                  <c:v>7.3698866377878938</c:v>
                </c:pt>
                <c:pt idx="144">
                  <c:v>7.3966664863866489</c:v>
                </c:pt>
                <c:pt idx="145">
                  <c:v>7.4231896506711728</c:v>
                </c:pt>
                <c:pt idx="146">
                  <c:v>7.4494585523919641</c:v>
                </c:pt>
                <c:pt idx="147">
                  <c:v>7.4754756012181405</c:v>
                </c:pt>
                <c:pt idx="148">
                  <c:v>7.5012431943729911</c:v>
                </c:pt>
                <c:pt idx="149">
                  <c:v>7.5267637162867436</c:v>
                </c:pt>
                <c:pt idx="150">
                  <c:v>7.5520395382650731</c:v>
                </c:pt>
                <c:pt idx="151">
                  <c:v>7.5770730181746373</c:v>
                </c:pt>
                <c:pt idx="152">
                  <c:v>7.6018665001434655</c:v>
                </c:pt>
                <c:pt idx="153">
                  <c:v>7.6264223142773782</c:v>
                </c:pt>
                <c:pt idx="154">
                  <c:v>7.650742776390957</c:v>
                </c:pt>
                <c:pt idx="155">
                  <c:v>7.6748301877534635</c:v>
                </c:pt>
                <c:pt idx="156">
                  <c:v>7.6986868348495143</c:v>
                </c:pt>
                <c:pt idx="157">
                  <c:v>7.7223149891524434</c:v>
                </c:pt>
                <c:pt idx="158">
                  <c:v>7.7457169069128087</c:v>
                </c:pt>
                <c:pt idx="159">
                  <c:v>7.7688948289591133</c:v>
                </c:pt>
                <c:pt idx="160">
                  <c:v>7.7918509805118035</c:v>
                </c:pt>
                <c:pt idx="161">
                  <c:v>7.8145875710098558</c:v>
                </c:pt>
                <c:pt idx="162">
                  <c:v>7.8371067939495376</c:v>
                </c:pt>
                <c:pt idx="163">
                  <c:v>7.8594108267347833</c:v>
                </c:pt>
                <c:pt idx="164">
                  <c:v>7.8815018305396114</c:v>
                </c:pt>
                <c:pt idx="165">
                  <c:v>7.9033819501811022</c:v>
                </c:pt>
                <c:pt idx="166">
                  <c:v>7.9250533140038986</c:v>
                </c:pt>
                <c:pt idx="167">
                  <c:v>7.9465180337744865</c:v>
                </c:pt>
                <c:pt idx="168">
                  <c:v>7.9677782045863497</c:v>
                </c:pt>
                <c:pt idx="169">
                  <c:v>7.9888359047744402</c:v>
                </c:pt>
                <c:pt idx="170">
                  <c:v>8.0096931958397288</c:v>
                </c:pt>
                <c:pt idx="171">
                  <c:v>8.0303521223824639</c:v>
                </c:pt>
                <c:pt idx="172">
                  <c:v>8.0508147120447529</c:v>
                </c:pt>
                <c:pt idx="173">
                  <c:v>8.0710829754616888</c:v>
                </c:pt>
                <c:pt idx="174">
                  <c:v>8.0911589062206097</c:v>
                </c:pt>
                <c:pt idx="175">
                  <c:v>8.1110444808289515</c:v>
                </c:pt>
                <c:pt idx="176">
                  <c:v>8.1307416586891215</c:v>
                </c:pt>
                <c:pt idx="177">
                  <c:v>8.1502523820812964</c:v>
                </c:pt>
                <c:pt idx="178">
                  <c:v>8.1695785761536523</c:v>
                </c:pt>
                <c:pt idx="179">
                  <c:v>8.188722148919144</c:v>
                </c:pt>
                <c:pt idx="180">
                  <c:v>8.2076849912589349</c:v>
                </c:pt>
                <c:pt idx="181">
                  <c:v>8.2264689769328285</c:v>
                </c:pt>
                <c:pt idx="182">
                  <c:v>8.2450759625952106</c:v>
                </c:pt>
                <c:pt idx="183">
                  <c:v>8.263507787817268</c:v>
                </c:pt>
                <c:pt idx="184">
                  <c:v>8.2817662751151193</c:v>
                </c:pt>
                <c:pt idx="185">
                  <c:v>8.2998532299827357</c:v>
                </c:pt>
                <c:pt idx="186">
                  <c:v>8.3177704409311897</c:v>
                </c:pt>
                <c:pt idx="187">
                  <c:v>8.3355196795316804</c:v>
                </c:pt>
                <c:pt idx="188">
                  <c:v>8.3531027004645377</c:v>
                </c:pt>
                <c:pt idx="189">
                  <c:v>8.3705212415719377</c:v>
                </c:pt>
                <c:pt idx="190">
                  <c:v>8.3877770239155467</c:v>
                </c:pt>
                <c:pt idx="191">
                  <c:v>8.4048717518382983</c:v>
                </c:pt>
                <c:pt idx="192">
                  <c:v>8.4218071130299474</c:v>
                </c:pt>
                <c:pt idx="193">
                  <c:v>8.4385847785967449</c:v>
                </c:pt>
                <c:pt idx="194">
                  <c:v>8.455206403134417</c:v>
                </c:pt>
                <c:pt idx="195">
                  <c:v>8.4716736248053373</c:v>
                </c:pt>
                <c:pt idx="196">
                  <c:v>8.4879880654178042</c:v>
                </c:pt>
                <c:pt idx="197">
                  <c:v>8.5041513305098206</c:v>
                </c:pt>
                <c:pt idx="198">
                  <c:v>8.5201650094346384</c:v>
                </c:pt>
                <c:pt idx="199">
                  <c:v>8.5360306754499593</c:v>
                </c:pt>
                <c:pt idx="200">
                  <c:v>8.5517498858094925</c:v>
                </c:pt>
                <c:pt idx="201">
                  <c:v>8.5673241818568915</c:v>
                </c:pt>
                <c:pt idx="202">
                  <c:v>8.5827550891223741</c:v>
                </c:pt>
                <c:pt idx="203">
                  <c:v>8.5980441174212032</c:v>
                </c:pt>
                <c:pt idx="204">
                  <c:v>8.6131927609548722</c:v>
                </c:pt>
                <c:pt idx="205">
                  <c:v>8.6282024984134331</c:v>
                </c:pt>
                <c:pt idx="206">
                  <c:v>8.6430747930805918</c:v>
                </c:pt>
                <c:pt idx="207">
                  <c:v>8.6578110929396956</c:v>
                </c:pt>
                <c:pt idx="208">
                  <c:v>8.6724128307819228</c:v>
                </c:pt>
                <c:pt idx="209">
                  <c:v>8.6868814243159189</c:v>
                </c:pt>
                <c:pt idx="210">
                  <c:v>8.7012182762783183</c:v>
                </c:pt>
                <c:pt idx="211">
                  <c:v>8.715424774546193</c:v>
                </c:pt>
                <c:pt idx="212">
                  <c:v>8.7295022922504355</c:v>
                </c:pt>
                <c:pt idx="213">
                  <c:v>8.7434521878899574</c:v>
                </c:pt>
                <c:pt idx="214">
                  <c:v>8.7572758054474669</c:v>
                </c:pt>
                <c:pt idx="215">
                  <c:v>8.7709744745057616</c:v>
                </c:pt>
                <c:pt idx="216">
                  <c:v>8.7845495103647195</c:v>
                </c:pt>
                <c:pt idx="217">
                  <c:v>8.7980022141593093</c:v>
                </c:pt>
                <c:pt idx="218">
                  <c:v>8.8113338729783539</c:v>
                </c:pt>
                <c:pt idx="219">
                  <c:v>8.8245457599833657</c:v>
                </c:pt>
                <c:pt idx="220">
                  <c:v>8.8376391345284748</c:v>
                </c:pt>
                <c:pt idx="221">
                  <c:v>8.8506152422803162</c:v>
                </c:pt>
                <c:pt idx="222">
                  <c:v>8.8634753153386168</c:v>
                </c:pt>
                <c:pt idx="223">
                  <c:v>8.8762205723566243</c:v>
                </c:pt>
                <c:pt idx="224">
                  <c:v>8.8888522186625103</c:v>
                </c:pt>
                <c:pt idx="225">
                  <c:v>8.9013714463801126</c:v>
                </c:pt>
                <c:pt idx="226">
                  <c:v>8.9137794345504897</c:v>
                </c:pt>
                <c:pt idx="227">
                  <c:v>8.9260773492528269</c:v>
                </c:pt>
                <c:pt idx="228">
                  <c:v>8.9382663437260703</c:v>
                </c:pt>
                <c:pt idx="229">
                  <c:v>8.9503475584898577</c:v>
                </c:pt>
                <c:pt idx="230">
                  <c:v>8.962322121465931</c:v>
                </c:pt>
                <c:pt idx="231">
                  <c:v>8.9741911480989529</c:v>
                </c:pt>
                <c:pt idx="232">
                  <c:v>8.9859557414772357</c:v>
                </c:pt>
                <c:pt idx="233">
                  <c:v>8.9976169924534162</c:v>
                </c:pt>
                <c:pt idx="234">
                  <c:v>9.0091759797647111</c:v>
                </c:pt>
                <c:pt idx="235">
                  <c:v>9.02063377015266</c:v>
                </c:pt>
                <c:pt idx="236">
                  <c:v>9.0319914184828463</c:v>
                </c:pt>
                <c:pt idx="237">
                  <c:v>9.0432499678641225</c:v>
                </c:pt>
                <c:pt idx="238">
                  <c:v>9.0544104497674844</c:v>
                </c:pt>
                <c:pt idx="239">
                  <c:v>9.0654738841439286</c:v>
                </c:pt>
                <c:pt idx="240">
                  <c:v>9.0764412795427631</c:v>
                </c:pt>
                <c:pt idx="241">
                  <c:v>9.0873136332285078</c:v>
                </c:pt>
                <c:pt idx="242">
                  <c:v>9.0980919312980095</c:v>
                </c:pt>
                <c:pt idx="243">
                  <c:v>9.1087771487962339</c:v>
                </c:pt>
                <c:pt idx="244">
                  <c:v>9.119370249832043</c:v>
                </c:pt>
                <c:pt idx="245">
                  <c:v>9.1298721876932767</c:v>
                </c:pt>
              </c:numCache>
            </c:numRef>
          </c:yVal>
          <c:smooth val="1"/>
          <c:extLst>
            <c:ext xmlns:c16="http://schemas.microsoft.com/office/drawing/2014/chart" uri="{C3380CC4-5D6E-409C-BE32-E72D297353CC}">
              <c16:uniqueId val="{00000008-A2A0-45DA-976B-7F29EEA10BCA}"/>
            </c:ext>
          </c:extLst>
        </c:ser>
        <c:ser>
          <c:idx val="0"/>
          <c:order val="3"/>
          <c:tx>
            <c:v>Filter Impedance</c:v>
          </c:tx>
          <c:spPr>
            <a:ln>
              <a:solidFill>
                <a:srgbClr val="00B0F0"/>
              </a:solidFill>
            </a:ln>
          </c:spPr>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Design'!$CX$27:$CX$272</c:f>
              <c:numCache>
                <c:formatCode>0.0</c:formatCode>
                <c:ptCount val="246"/>
                <c:pt idx="0">
                  <c:v>25.916818911897565</c:v>
                </c:pt>
                <c:pt idx="1">
                  <c:v>21.202731099936571</c:v>
                </c:pt>
                <c:pt idx="2">
                  <c:v>17.776567113286617</c:v>
                </c:pt>
                <c:pt idx="3">
                  <c:v>15.157532630720304</c:v>
                </c:pt>
                <c:pt idx="4">
                  <c:v>13.078663469279507</c:v>
                </c:pt>
                <c:pt idx="5">
                  <c:v>11.380041214726214</c:v>
                </c:pt>
                <c:pt idx="6">
                  <c:v>9.9602224237056092</c:v>
                </c:pt>
                <c:pt idx="7">
                  <c:v>8.7519573245974236</c:v>
                </c:pt>
                <c:pt idx="8">
                  <c:v>7.709135697597107</c:v>
                </c:pt>
                <c:pt idx="9">
                  <c:v>6.7993597550972771</c:v>
                </c:pt>
                <c:pt idx="10">
                  <c:v>5.9995325816305876</c:v>
                </c:pt>
                <c:pt idx="11">
                  <c:v>5.2931597958984984</c:v>
                </c:pt>
                <c:pt idx="12">
                  <c:v>4.6686777214346993</c:v>
                </c:pt>
                <c:pt idx="13">
                  <c:v>4.1184247090583419</c:v>
                </c:pt>
                <c:pt idx="14">
                  <c:v>3.6380182525213307</c:v>
                </c:pt>
                <c:pt idx="15">
                  <c:v>3.2259487950595958</c:v>
                </c:pt>
                <c:pt idx="16">
                  <c:v>2.883169279341232</c:v>
                </c:pt>
                <c:pt idx="17">
                  <c:v>2.6123689484225969</c:v>
                </c:pt>
                <c:pt idx="18">
                  <c:v>2.4165780885460268</c:v>
                </c:pt>
                <c:pt idx="19">
                  <c:v>2.297022224099118</c:v>
                </c:pt>
                <c:pt idx="20">
                  <c:v>2.2509128620787742</c:v>
                </c:pt>
                <c:pt idx="21">
                  <c:v>2.2705423339885833</c:v>
                </c:pt>
                <c:pt idx="22">
                  <c:v>2.3444709001550281</c:v>
                </c:pt>
                <c:pt idx="23">
                  <c:v>2.4599952248155263</c:v>
                </c:pt>
                <c:pt idx="24">
                  <c:v>2.6053573751074377</c:v>
                </c:pt>
                <c:pt idx="25">
                  <c:v>2.7708816823098865</c:v>
                </c:pt>
                <c:pt idx="26">
                  <c:v>2.9491679574165768</c:v>
                </c:pt>
                <c:pt idx="27">
                  <c:v>3.1347965643905491</c:v>
                </c:pt>
                <c:pt idx="28">
                  <c:v>3.3238950972792427</c:v>
                </c:pt>
                <c:pt idx="29">
                  <c:v>3.5137353865706813</c:v>
                </c:pt>
                <c:pt idx="30">
                  <c:v>3.702413077860812</c:v>
                </c:pt>
                <c:pt idx="31">
                  <c:v>3.8886102492706356</c:v>
                </c:pt>
                <c:pt idx="32">
                  <c:v>4.0714252702804838</c:v>
                </c:pt>
                <c:pt idx="33">
                  <c:v>4.2502525400393072</c:v>
                </c:pt>
                <c:pt idx="34">
                  <c:v>4.4246977787399366</c:v>
                </c:pt>
                <c:pt idx="35">
                  <c:v>4.5945182253818491</c:v>
                </c:pt>
                <c:pt idx="36">
                  <c:v>4.7595801894114631</c:v>
                </c:pt>
                <c:pt idx="37">
                  <c:v>4.9198287084378194</c:v>
                </c:pt>
                <c:pt idx="38">
                  <c:v>5.0752656927586797</c:v>
                </c:pt>
                <c:pt idx="39">
                  <c:v>5.2259340610224392</c:v>
                </c:pt>
                <c:pt idx="40">
                  <c:v>5.3719061392735235</c:v>
                </c:pt>
                <c:pt idx="41">
                  <c:v>5.5132751196562566</c:v>
                </c:pt>
                <c:pt idx="42">
                  <c:v>5.6501487337100915</c:v>
                </c:pt>
                <c:pt idx="43">
                  <c:v>5.7826445420456967</c:v>
                </c:pt>
                <c:pt idx="44">
                  <c:v>5.9108864132989156</c:v>
                </c:pt>
                <c:pt idx="45">
                  <c:v>6.0350018848160412</c:v>
                </c:pt>
                <c:pt idx="46">
                  <c:v>6.1551201817406103</c:v>
                </c:pt>
                <c:pt idx="47">
                  <c:v>6.2713707310082931</c:v>
                </c:pt>
                <c:pt idx="48">
                  <c:v>6.3838820496182365</c:v>
                </c:pt>
                <c:pt idx="49">
                  <c:v>6.4927809175047306</c:v>
                </c:pt>
                <c:pt idx="50">
                  <c:v>6.5981917678685207</c:v>
                </c:pt>
                <c:pt idx="51">
                  <c:v>6.7002362443592647</c:v>
                </c:pt>
                <c:pt idx="52">
                  <c:v>6.799032886714433</c:v>
                </c:pt>
                <c:pt idx="53">
                  <c:v>6.8946969155525828</c:v>
                </c:pt>
                <c:pt idx="54">
                  <c:v>6.9873400938300705</c:v>
                </c:pt>
                <c:pt idx="55">
                  <c:v>7.0770706476060967</c:v>
                </c:pt>
                <c:pt idx="56">
                  <c:v>7.1639932326609461</c:v>
                </c:pt>
                <c:pt idx="57">
                  <c:v>7.2482089364851738</c:v>
                </c:pt>
                <c:pt idx="58">
                  <c:v>7.3298153074440728</c:v>
                </c:pt>
                <c:pt idx="59">
                  <c:v>7.4089064046828579</c:v>
                </c:pt>
                <c:pt idx="60">
                  <c:v>7.4855728637071337</c:v>
                </c:pt>
                <c:pt idx="61">
                  <c:v>7.5599019736395885</c:v>
                </c:pt>
                <c:pt idx="62">
                  <c:v>7.6319777629883641</c:v>
                </c:pt>
                <c:pt idx="63">
                  <c:v>7.7018810914221643</c:v>
                </c:pt>
                <c:pt idx="64">
                  <c:v>7.7696897455641087</c:v>
                </c:pt>
                <c:pt idx="65">
                  <c:v>7.8354785372303617</c:v>
                </c:pt>
                <c:pt idx="66">
                  <c:v>7.8993194028668965</c:v>
                </c:pt>
                <c:pt idx="67">
                  <c:v>7.9612815031998858</c:v>
                </c:pt>
                <c:pt idx="68">
                  <c:v>8.0214313223257445</c:v>
                </c:pt>
                <c:pt idx="69">
                  <c:v>8.0798327656348317</c:v>
                </c:pt>
                <c:pt idx="70">
                  <c:v>8.1365472560993872</c:v>
                </c:pt>
                <c:pt idx="71">
                  <c:v>8.1916338285660046</c:v>
                </c:pt>
                <c:pt idx="72">
                  <c:v>8.2451492217810589</c:v>
                </c:pt>
                <c:pt idx="73">
                  <c:v>8.2971479679492504</c:v>
                </c:pt>
                <c:pt idx="74">
                  <c:v>8.347682479684412</c:v>
                </c:pt>
                <c:pt idx="75">
                  <c:v>8.3968031342569205</c:v>
                </c:pt>
                <c:pt idx="76">
                  <c:v>8.4445583550812469</c:v>
                </c:pt>
                <c:pt idx="77">
                  <c:v>8.4909946904183364</c:v>
                </c:pt>
                <c:pt idx="78">
                  <c:v>8.5361568892893445</c:v>
                </c:pt>
                <c:pt idx="79">
                  <c:v>8.5800879746203478</c:v>
                </c:pt>
                <c:pt idx="80">
                  <c:v>8.6228293136509109</c:v>
                </c:pt>
                <c:pt idx="81">
                  <c:v>8.6644206856524875</c:v>
                </c:pt>
                <c:pt idx="82">
                  <c:v>8.7049003470125381</c:v>
                </c:pt>
                <c:pt idx="83">
                  <c:v>8.7443050937470712</c:v>
                </c:pt>
                <c:pt idx="84">
                  <c:v>8.7826703215100963</c:v>
                </c:pt>
                <c:pt idx="85">
                  <c:v>8.8200300831725755</c:v>
                </c:pt>
                <c:pt idx="86">
                  <c:v>8.8564171440459951</c:v>
                </c:pt>
                <c:pt idx="87">
                  <c:v>8.8918630348277006</c:v>
                </c:pt>
                <c:pt idx="88">
                  <c:v>8.9263981023456065</c:v>
                </c:pt>
                <c:pt idx="89">
                  <c:v>8.9600515581807905</c:v>
                </c:pt>
                <c:pt idx="90">
                  <c:v>8.9928515252451398</c:v>
                </c:pt>
                <c:pt idx="91">
                  <c:v>9.0248250823915104</c:v>
                </c:pt>
                <c:pt idx="92">
                  <c:v>9.0559983071319152</c:v>
                </c:pt>
                <c:pt idx="93">
                  <c:v>9.0863963165380763</c:v>
                </c:pt>
                <c:pt idx="94">
                  <c:v>9.1160433063972768</c:v>
                </c:pt>
                <c:pt idx="95">
                  <c:v>9.1449625886936197</c:v>
                </c:pt>
                <c:pt idx="96">
                  <c:v>9.1731766274849029</c:v>
                </c:pt>
                <c:pt idx="97">
                  <c:v>9.2007070732400198</c:v>
                </c:pt>
                <c:pt idx="98">
                  <c:v>9.2275747957034184</c:v>
                </c:pt>
                <c:pt idx="99">
                  <c:v>9.253799915347658</c:v>
                </c:pt>
                <c:pt idx="100">
                  <c:v>9.279401833475271</c:v>
                </c:pt>
                <c:pt idx="101">
                  <c:v>9.3043992610277773</c:v>
                </c:pt>
                <c:pt idx="102">
                  <c:v>9.3288102461572979</c:v>
                </c:pt>
                <c:pt idx="103">
                  <c:v>9.3526522006155286</c:v>
                </c:pt>
                <c:pt idx="104">
                  <c:v>9.3759419250110128</c:v>
                </c:pt>
                <c:pt idx="105">
                  <c:v>9.3986956329846532</c:v>
                </c:pt>
                <c:pt idx="106">
                  <c:v>9.4209289743508897</c:v>
                </c:pt>
                <c:pt idx="107">
                  <c:v>9.4426570572503543</c:v>
                </c:pt>
                <c:pt idx="108">
                  <c:v>9.4638944693577542</c:v>
                </c:pt>
                <c:pt idx="109">
                  <c:v>9.4846552981864747</c:v>
                </c:pt>
                <c:pt idx="110">
                  <c:v>9.504953150530417</c:v>
                </c:pt>
                <c:pt idx="111">
                  <c:v>9.524801171081414</c:v>
                </c:pt>
                <c:pt idx="112">
                  <c:v>9.5442120602582055</c:v>
                </c:pt>
                <c:pt idx="113">
                  <c:v>9.5631980912831018</c:v>
                </c:pt>
                <c:pt idx="114">
                  <c:v>9.5817711265387882</c:v>
                </c:pt>
                <c:pt idx="115">
                  <c:v>9.5999426332381468</c:v>
                </c:pt>
                <c:pt idx="116">
                  <c:v>9.617723698436949</c:v>
                </c:pt>
                <c:pt idx="117">
                  <c:v>9.6351250434192774</c:v>
                </c:pt>
                <c:pt idx="118">
                  <c:v>9.6521570374830752</c:v>
                </c:pt>
                <c:pt idx="119">
                  <c:v>9.6688297111525543</c:v>
                </c:pt>
                <c:pt idx="120">
                  <c:v>9.6851527688432775</c:v>
                </c:pt>
                <c:pt idx="121">
                  <c:v>9.7011356010034984</c:v>
                </c:pt>
                <c:pt idx="122">
                  <c:v>9.7167872957555659</c:v>
                </c:pt>
                <c:pt idx="123">
                  <c:v>9.7321166500590923</c:v>
                </c:pt>
                <c:pt idx="124">
                  <c:v>9.7471321804169904</c:v>
                </c:pt>
                <c:pt idx="125">
                  <c:v>9.7618421331448921</c:v>
                </c:pt>
                <c:pt idx="126">
                  <c:v>9.7762544942226626</c:v>
                </c:pt>
                <c:pt idx="127">
                  <c:v>9.7903769987464706</c:v>
                </c:pt>
                <c:pt idx="128">
                  <c:v>9.8042171399993077</c:v>
                </c:pt>
                <c:pt idx="129">
                  <c:v>9.8177821781559125</c:v>
                </c:pt>
                <c:pt idx="130">
                  <c:v>9.831079148638711</c:v>
                </c:pt>
                <c:pt idx="131">
                  <c:v>9.8441148701394656</c:v>
                </c:pt>
                <c:pt idx="132">
                  <c:v>9.8568959523215192</c:v>
                </c:pt>
                <c:pt idx="133">
                  <c:v>9.8694288032159285</c:v>
                </c:pt>
                <c:pt idx="134">
                  <c:v>9.8817196363254745</c:v>
                </c:pt>
                <c:pt idx="135">
                  <c:v>9.893774477448332</c:v>
                </c:pt>
                <c:pt idx="136">
                  <c:v>9.9055991712339679</c:v>
                </c:pt>
                <c:pt idx="137">
                  <c:v>9.9171993874824338</c:v>
                </c:pt>
                <c:pt idx="138">
                  <c:v>9.9285806271982047</c:v>
                </c:pt>
                <c:pt idx="139">
                  <c:v>9.9397482284089715</c:v>
                </c:pt>
                <c:pt idx="140">
                  <c:v>9.9507073717591705</c:v>
                </c:pt>
                <c:pt idx="141">
                  <c:v>9.9614630858880169</c:v>
                </c:pt>
                <c:pt idx="142">
                  <c:v>9.9720202526012365</c:v>
                </c:pt>
                <c:pt idx="143">
                  <c:v>9.9823836118445808</c:v>
                </c:pt>
                <c:pt idx="144">
                  <c:v>9.9925577664883036</c:v>
                </c:pt>
                <c:pt idx="145">
                  <c:v>10.002547186929643</c:v>
                </c:pt>
                <c:pt idx="146">
                  <c:v>10.012356215521717</c:v>
                </c:pt>
                <c:pt idx="147">
                  <c:v>10.021989070835124</c:v>
                </c:pt>
                <c:pt idx="148">
                  <c:v>10.031449851760199</c:v>
                </c:pt>
                <c:pt idx="149">
                  <c:v>10.040742541455526</c:v>
                </c:pt>
                <c:pt idx="150">
                  <c:v>10.049871011149714</c:v>
                </c:pt>
                <c:pt idx="151">
                  <c:v>10.058839023802252</c:v>
                </c:pt>
                <c:pt idx="152">
                  <c:v>10.067650237628984</c:v>
                </c:pt>
                <c:pt idx="153">
                  <c:v>10.076308209498089</c:v>
                </c:pt>
                <c:pt idx="154">
                  <c:v>10.084816398201413</c:v>
                </c:pt>
                <c:pt idx="155">
                  <c:v>10.093178167606654</c:v>
                </c:pt>
                <c:pt idx="156">
                  <c:v>10.101396789694832</c:v>
                </c:pt>
                <c:pt idx="157">
                  <c:v>10.109475447487675</c:v>
                </c:pt>
                <c:pt idx="158">
                  <c:v>10.117417237869695</c:v>
                </c:pt>
                <c:pt idx="159">
                  <c:v>10.125225174308646</c:v>
                </c:pt>
                <c:pt idx="160">
                  <c:v>10.132902189478694</c:v>
                </c:pt>
                <c:pt idx="161">
                  <c:v>10.140451137790272</c:v>
                </c:pt>
                <c:pt idx="162">
                  <c:v>10.147874797829974</c:v>
                </c:pt>
                <c:pt idx="163">
                  <c:v>10.155175874714137</c:v>
                </c:pt>
                <c:pt idx="164">
                  <c:v>10.162357002359773</c:v>
                </c:pt>
                <c:pt idx="165">
                  <c:v>10.169420745675543</c:v>
                </c:pt>
                <c:pt idx="166">
                  <c:v>10.176369602676516</c:v>
                </c:pt>
                <c:pt idx="167">
                  <c:v>10.183206006525108</c:v>
                </c:pt>
                <c:pt idx="168">
                  <c:v>10.18993232750134</c:v>
                </c:pt>
                <c:pt idx="169">
                  <c:v>10.196550874905107</c:v>
                </c:pt>
                <c:pt idx="170">
                  <c:v>10.203063898893053</c:v>
                </c:pt>
                <c:pt idx="171">
                  <c:v>10.209473592252554</c:v>
                </c:pt>
                <c:pt idx="172">
                  <c:v>10.215782092115104</c:v>
                </c:pt>
                <c:pt idx="173">
                  <c:v>10.2219914816115</c:v>
                </c:pt>
                <c:pt idx="174">
                  <c:v>10.228103791471003</c:v>
                </c:pt>
                <c:pt idx="175">
                  <c:v>10.234121001567019</c:v>
                </c:pt>
                <c:pt idx="176">
                  <c:v>10.240045042409971</c:v>
                </c:pt>
                <c:pt idx="177">
                  <c:v>10.245877796590925</c:v>
                </c:pt>
                <c:pt idx="178">
                  <c:v>10.251621100177337</c:v>
                </c:pt>
                <c:pt idx="179">
                  <c:v>10.257276744061704</c:v>
                </c:pt>
                <c:pt idx="180">
                  <c:v>10.262846475266095</c:v>
                </c:pt>
                <c:pt idx="181">
                  <c:v>10.268331998204161</c:v>
                </c:pt>
                <c:pt idx="182">
                  <c:v>10.273734975900727</c:v>
                </c:pt>
                <c:pt idx="183">
                  <c:v>10.279057031172613</c:v>
                </c:pt>
                <c:pt idx="184">
                  <c:v>10.284299747770259</c:v>
                </c:pt>
                <c:pt idx="185">
                  <c:v>10.289464671482627</c:v>
                </c:pt>
                <c:pt idx="186">
                  <c:v>10.294553311206853</c:v>
                </c:pt>
                <c:pt idx="187">
                  <c:v>10.299567139982699</c:v>
                </c:pt>
                <c:pt idx="188">
                  <c:v>10.304507595994432</c:v>
                </c:pt>
                <c:pt idx="189">
                  <c:v>10.309376083540959</c:v>
                </c:pt>
                <c:pt idx="190">
                  <c:v>10.314173973973807</c:v>
                </c:pt>
                <c:pt idx="191">
                  <c:v>10.318902606607598</c:v>
                </c:pt>
                <c:pt idx="192">
                  <c:v>10.323563289599614</c:v>
                </c:pt>
                <c:pt idx="193">
                  <c:v>10.328157300803193</c:v>
                </c:pt>
                <c:pt idx="194">
                  <c:v>10.332685888593526</c:v>
                </c:pt>
                <c:pt idx="195">
                  <c:v>10.337150272668783</c:v>
                </c:pt>
                <c:pt idx="196">
                  <c:v>10.341551644824731</c:v>
                </c:pt>
                <c:pt idx="197">
                  <c:v>10.345891169707345</c:v>
                </c:pt>
                <c:pt idx="198">
                  <c:v>10.350169985540381</c:v>
                </c:pt>
                <c:pt idx="199">
                  <c:v>10.354389204831802</c:v>
                </c:pt>
                <c:pt idx="200">
                  <c:v>10.358549915058477</c:v>
                </c:pt>
                <c:pt idx="201">
                  <c:v>10.362653179329319</c:v>
                </c:pt>
                <c:pt idx="202">
                  <c:v>10.366700037029094</c:v>
                </c:pt>
                <c:pt idx="203">
                  <c:v>10.370691504442087</c:v>
                </c:pt>
                <c:pt idx="204">
                  <c:v>10.37462857535796</c:v>
                </c:pt>
                <c:pt idx="205">
                  <c:v>10.378512221657967</c:v>
                </c:pt>
                <c:pt idx="206">
                  <c:v>10.382343393885179</c:v>
                </c:pt>
                <c:pt idx="207">
                  <c:v>10.386123021796454</c:v>
                </c:pt>
                <c:pt idx="208">
                  <c:v>10.389852014899006</c:v>
                </c:pt>
                <c:pt idx="209">
                  <c:v>10.393531262970505</c:v>
                </c:pt>
                <c:pt idx="210">
                  <c:v>10.397161636564068</c:v>
                </c:pt>
                <c:pt idx="211">
                  <c:v>10.400743987498181</c:v>
                </c:pt>
                <c:pt idx="212">
                  <c:v>10.404279149333124</c:v>
                </c:pt>
                <c:pt idx="213">
                  <c:v>10.407767937831993</c:v>
                </c:pt>
                <c:pt idx="214">
                  <c:v>10.411211151410235</c:v>
                </c:pt>
                <c:pt idx="215">
                  <c:v>10.414609571570546</c:v>
                </c:pt>
                <c:pt idx="216">
                  <c:v>10.417963963326201</c:v>
                </c:pt>
                <c:pt idx="217">
                  <c:v>10.421275075611771</c:v>
                </c:pt>
                <c:pt idx="218">
                  <c:v>10.42454364168236</c:v>
                </c:pt>
                <c:pt idx="219">
                  <c:v>10.42777037950145</c:v>
                </c:pt>
                <c:pt idx="220">
                  <c:v>10.430955992117404</c:v>
                </c:pt>
                <c:pt idx="221">
                  <c:v>10.434101168029866</c:v>
                </c:pt>
                <c:pt idx="222">
                  <c:v>10.437206581545308</c:v>
                </c:pt>
                <c:pt idx="223">
                  <c:v>10.440272893122863</c:v>
                </c:pt>
                <c:pt idx="224">
                  <c:v>10.443300749710492</c:v>
                </c:pt>
                <c:pt idx="225">
                  <c:v>10.446290785071762</c:v>
                </c:pt>
                <c:pt idx="226">
                  <c:v>10.449243620103388</c:v>
                </c:pt>
                <c:pt idx="227">
                  <c:v>10.452159863144056</c:v>
                </c:pt>
                <c:pt idx="228">
                  <c:v>10.455040110275041</c:v>
                </c:pt>
                <c:pt idx="229">
                  <c:v>10.457884945611884</c:v>
                </c:pt>
                <c:pt idx="230">
                  <c:v>10.460694941588837</c:v>
                </c:pt>
                <c:pt idx="231">
                  <c:v>10.463470659235085</c:v>
                </c:pt>
                <c:pt idx="232">
                  <c:v>10.466212648443522</c:v>
                </c:pt>
                <c:pt idx="233">
                  <c:v>10.468921448232344</c:v>
                </c:pt>
                <c:pt idx="234">
                  <c:v>10.471597586999479</c:v>
                </c:pt>
                <c:pt idx="235">
                  <c:v>10.474241582770174</c:v>
                </c:pt>
                <c:pt idx="236">
                  <c:v>10.476853943437956</c:v>
                </c:pt>
                <c:pt idx="237">
                  <c:v>10.47943516699935</c:v>
                </c:pt>
                <c:pt idx="238">
                  <c:v>10.481985741782214</c:v>
                </c:pt>
                <c:pt idx="239">
                  <c:v>10.484506146667474</c:v>
                </c:pt>
                <c:pt idx="240">
                  <c:v>10.486996851306159</c:v>
                </c:pt>
                <c:pt idx="241">
                  <c:v>10.48945831632938</c:v>
                </c:pt>
                <c:pt idx="242">
                  <c:v>10.491890993554273</c:v>
                </c:pt>
                <c:pt idx="243">
                  <c:v>10.494295326182852</c:v>
                </c:pt>
                <c:pt idx="244">
                  <c:v>10.496671748997096</c:v>
                </c:pt>
                <c:pt idx="245">
                  <c:v>10.499020688548571</c:v>
                </c:pt>
              </c:numCache>
            </c:numRef>
          </c:yVal>
          <c:smooth val="1"/>
          <c:extLst>
            <c:ext xmlns:c16="http://schemas.microsoft.com/office/drawing/2014/chart" uri="{C3380CC4-5D6E-409C-BE32-E72D297353CC}">
              <c16:uniqueId val="{00000001-A2A0-45DA-976B-7F29EEA10BCA}"/>
            </c:ext>
          </c:extLst>
        </c:ser>
        <c:ser>
          <c:idx val="1"/>
          <c:order val="4"/>
          <c:tx>
            <c:v>Source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Design'!$CY$27:$CY$272</c:f>
              <c:numCache>
                <c:formatCode>0.0</c:formatCode>
                <c:ptCount val="246"/>
                <c:pt idx="0">
                  <c:v>0.47997052378630889</c:v>
                </c:pt>
                <c:pt idx="1">
                  <c:v>0.57582404493915595</c:v>
                </c:pt>
                <c:pt idx="2">
                  <c:v>0.67169580434855924</c:v>
                </c:pt>
                <c:pt idx="3">
                  <c:v>0.76757896808849868</c:v>
                </c:pt>
                <c:pt idx="4">
                  <c:v>0.86346973701869267</c:v>
                </c:pt>
                <c:pt idx="5">
                  <c:v>0.95936583067432402</c:v>
                </c:pt>
                <c:pt idx="6">
                  <c:v>1.0552657974210673</c:v>
                </c:pt>
                <c:pt idx="7">
                  <c:v>1.1511686692969825</c:v>
                </c:pt>
                <c:pt idx="8">
                  <c:v>1.2470737760686936</c:v>
                </c:pt>
                <c:pt idx="9">
                  <c:v>1.3429806389402841</c:v>
                </c:pt>
                <c:pt idx="10">
                  <c:v>1.4388889067616226</c:v>
                </c:pt>
                <c:pt idx="11">
                  <c:v>1.5347983161503145</c:v>
                </c:pt>
                <c:pt idx="12">
                  <c:v>1.6307086656840342</c:v>
                </c:pt>
                <c:pt idx="13">
                  <c:v>1.7266197986931415</c:v>
                </c:pt>
                <c:pt idx="14">
                  <c:v>1.8225315914859384</c:v>
                </c:pt>
                <c:pt idx="15">
                  <c:v>1.9184439451056075</c:v>
                </c:pt>
                <c:pt idx="16">
                  <c:v>2.0143567794418762</c:v>
                </c:pt>
                <c:pt idx="17">
                  <c:v>2.1102700289483116</c:v>
                </c:pt>
                <c:pt idx="18">
                  <c:v>2.206183639476675</c:v>
                </c:pt>
                <c:pt idx="19">
                  <c:v>2.3020975659025762</c:v>
                </c:pt>
                <c:pt idx="20">
                  <c:v>2.3980117703208976</c:v>
                </c:pt>
                <c:pt idx="21">
                  <c:v>2.4939262206576087</c:v>
                </c:pt>
                <c:pt idx="22">
                  <c:v>2.5898408895900351</c:v>
                </c:pt>
                <c:pt idx="23">
                  <c:v>2.6857557536984711</c:v>
                </c:pt>
                <c:pt idx="24">
                  <c:v>2.7816707927933093</c:v>
                </c:pt>
                <c:pt idx="25">
                  <c:v>2.8775859893767306</c:v>
                </c:pt>
                <c:pt idx="26">
                  <c:v>2.9735013282085703</c:v>
                </c:pt>
                <c:pt idx="27">
                  <c:v>3.0694167959535874</c:v>
                </c:pt>
                <c:pt idx="28">
                  <c:v>3.1653323808928544</c:v>
                </c:pt>
                <c:pt idx="29">
                  <c:v>3.2612480726860751</c:v>
                </c:pt>
                <c:pt idx="30">
                  <c:v>3.3571638621746533</c:v>
                </c:pt>
                <c:pt idx="31">
                  <c:v>3.4530797412175711</c:v>
                </c:pt>
                <c:pt idx="32">
                  <c:v>3.5489957025538872</c:v>
                </c:pt>
                <c:pt idx="33">
                  <c:v>3.6449117396869424</c:v>
                </c:pt>
                <c:pt idx="34">
                  <c:v>3.7408278467863778</c:v>
                </c:pt>
                <c:pt idx="35">
                  <c:v>3.8367440186048505</c:v>
                </c:pt>
                <c:pt idx="36">
                  <c:v>3.9326602504069386</c:v>
                </c:pt>
                <c:pt idx="37">
                  <c:v>4.028576537908199</c:v>
                </c:pt>
                <c:pt idx="38">
                  <c:v>4.1244928772227309</c:v>
                </c:pt>
                <c:pt idx="39">
                  <c:v>4.2204092648178859</c:v>
                </c:pt>
                <c:pt idx="40">
                  <c:v>4.3163256974750217</c:v>
                </c:pt>
                <c:pt idx="41">
                  <c:v>4.4122421722553717</c:v>
                </c:pt>
                <c:pt idx="42">
                  <c:v>4.5081586864702698</c:v>
                </c:pt>
                <c:pt idx="43">
                  <c:v>4.6040752376551</c:v>
                </c:pt>
                <c:pt idx="44">
                  <c:v>4.699991823546438</c:v>
                </c:pt>
                <c:pt idx="45">
                  <c:v>4.7959084420619265</c:v>
                </c:pt>
                <c:pt idx="46">
                  <c:v>4.891825091282529</c:v>
                </c:pt>
                <c:pt idx="47">
                  <c:v>4.9877417694368225</c:v>
                </c:pt>
                <c:pt idx="48">
                  <c:v>5.0836584748870752</c:v>
                </c:pt>
                <c:pt idx="49">
                  <c:v>5.1795752061168665</c:v>
                </c:pt>
                <c:pt idx="50">
                  <c:v>5.2754919617200589</c:v>
                </c:pt>
                <c:pt idx="51">
                  <c:v>5.3714087403909527</c:v>
                </c:pt>
                <c:pt idx="52">
                  <c:v>5.4673255409154722</c:v>
                </c:pt>
                <c:pt idx="53">
                  <c:v>5.5632423621632716</c:v>
                </c:pt>
                <c:pt idx="54">
                  <c:v>5.6591592030806375</c:v>
                </c:pt>
                <c:pt idx="55">
                  <c:v>5.7550760626841022</c:v>
                </c:pt>
                <c:pt idx="56">
                  <c:v>5.8509929400546881</c:v>
                </c:pt>
                <c:pt idx="57">
                  <c:v>5.9469098343327049</c:v>
                </c:pt>
                <c:pt idx="58">
                  <c:v>6.0428267447130448</c:v>
                </c:pt>
                <c:pt idx="59">
                  <c:v>6.1387436704409195</c:v>
                </c:pt>
                <c:pt idx="60">
                  <c:v>6.2346606108079881</c:v>
                </c:pt>
                <c:pt idx="61">
                  <c:v>6.330577565148837</c:v>
                </c:pt>
                <c:pt idx="62">
                  <c:v>6.4264945328377827</c:v>
                </c:pt>
                <c:pt idx="63">
                  <c:v>6.5224115132859426</c:v>
                </c:pt>
                <c:pt idx="64">
                  <c:v>6.6183285059385746</c:v>
                </c:pt>
                <c:pt idx="65">
                  <c:v>6.7142455102726322</c:v>
                </c:pt>
                <c:pt idx="66">
                  <c:v>6.8101625257945377</c:v>
                </c:pt>
                <c:pt idx="67">
                  <c:v>6.9060795520381371</c:v>
                </c:pt>
                <c:pt idx="68">
                  <c:v>7.0019965885628128</c:v>
                </c:pt>
                <c:pt idx="69">
                  <c:v>7.0979136349517713</c:v>
                </c:pt>
                <c:pt idx="70">
                  <c:v>7.1938306908104419</c:v>
                </c:pt>
                <c:pt idx="71">
                  <c:v>7.2897477557650223</c:v>
                </c:pt>
                <c:pt idx="72">
                  <c:v>7.3856648294611311</c:v>
                </c:pt>
                <c:pt idx="73">
                  <c:v>7.4815819115625546</c:v>
                </c:pt>
                <c:pt idx="74">
                  <c:v>7.5774990017501098</c:v>
                </c:pt>
                <c:pt idx="75">
                  <c:v>7.6734160997205656</c:v>
                </c:pt>
                <c:pt idx="76">
                  <c:v>7.7693332051856689</c:v>
                </c:pt>
                <c:pt idx="77">
                  <c:v>7.8652503178712276</c:v>
                </c:pt>
                <c:pt idx="78">
                  <c:v>7.9611674375162611</c:v>
                </c:pt>
                <c:pt idx="79">
                  <c:v>8.0570845638722215</c:v>
                </c:pt>
                <c:pt idx="80">
                  <c:v>8.1530016967022512</c:v>
                </c:pt>
                <c:pt idx="81">
                  <c:v>8.248918835780513</c:v>
                </c:pt>
                <c:pt idx="82">
                  <c:v>8.3448359808915491</c:v>
                </c:pt>
                <c:pt idx="83">
                  <c:v>8.4407531318297035</c:v>
                </c:pt>
                <c:pt idx="84">
                  <c:v>8.5366702883985521</c:v>
                </c:pt>
                <c:pt idx="85">
                  <c:v>8.6325874504104085</c:v>
                </c:pt>
                <c:pt idx="86">
                  <c:v>8.7285046176858341</c:v>
                </c:pt>
                <c:pt idx="87">
                  <c:v>8.8244217900531883</c:v>
                </c:pt>
                <c:pt idx="88">
                  <c:v>8.9203389673482221</c:v>
                </c:pt>
                <c:pt idx="89">
                  <c:v>9.0162561494136639</c:v>
                </c:pt>
                <c:pt idx="90">
                  <c:v>9.1121733360988735</c:v>
                </c:pt>
                <c:pt idx="91">
                  <c:v>9.2080905272594826</c:v>
                </c:pt>
                <c:pt idx="92">
                  <c:v>9.3040077227570759</c:v>
                </c:pt>
                <c:pt idx="93">
                  <c:v>9.3999249224588919</c:v>
                </c:pt>
                <c:pt idx="94">
                  <c:v>9.4958421262375303</c:v>
                </c:pt>
                <c:pt idx="95">
                  <c:v>9.5917593339706837</c:v>
                </c:pt>
                <c:pt idx="96">
                  <c:v>9.6876765455408957</c:v>
                </c:pt>
                <c:pt idx="97">
                  <c:v>9.7835937608353092</c:v>
                </c:pt>
                <c:pt idx="98">
                  <c:v>9.8795109797454526</c:v>
                </c:pt>
                <c:pt idx="99">
                  <c:v>9.9754282021670306</c:v>
                </c:pt>
                <c:pt idx="100">
                  <c:v>10.071345427999713</c:v>
                </c:pt>
                <c:pt idx="101">
                  <c:v>10.167262657146958</c:v>
                </c:pt>
                <c:pt idx="102">
                  <c:v>10.263179889515838</c:v>
                </c:pt>
                <c:pt idx="103">
                  <c:v>10.359097125016863</c:v>
                </c:pt>
                <c:pt idx="104">
                  <c:v>10.455014363563825</c:v>
                </c:pt>
                <c:pt idx="105">
                  <c:v>10.550931605073655</c:v>
                </c:pt>
                <c:pt idx="106">
                  <c:v>10.646848849466277</c:v>
                </c:pt>
                <c:pt idx="107">
                  <c:v>10.74276609666447</c:v>
                </c:pt>
                <c:pt idx="108">
                  <c:v>10.838683346593752</c:v>
                </c:pt>
                <c:pt idx="109">
                  <c:v>10.934600599182254</c:v>
                </c:pt>
                <c:pt idx="110">
                  <c:v>11.030517854360605</c:v>
                </c:pt>
                <c:pt idx="111">
                  <c:v>11.126435112061824</c:v>
                </c:pt>
                <c:pt idx="112">
                  <c:v>11.222352372221222</c:v>
                </c:pt>
                <c:pt idx="113">
                  <c:v>11.318269634776307</c:v>
                </c:pt>
                <c:pt idx="114">
                  <c:v>11.41418689966668</c:v>
                </c:pt>
                <c:pt idx="115">
                  <c:v>11.51010416683396</c:v>
                </c:pt>
                <c:pt idx="116">
                  <c:v>11.606021436221695</c:v>
                </c:pt>
                <c:pt idx="117">
                  <c:v>11.701938707775284</c:v>
                </c:pt>
                <c:pt idx="118">
                  <c:v>11.797855981441902</c:v>
                </c:pt>
                <c:pt idx="119">
                  <c:v>11.893773257170428</c:v>
                </c:pt>
                <c:pt idx="120">
                  <c:v>11.989690534911373</c:v>
                </c:pt>
                <c:pt idx="121">
                  <c:v>12.085607814616827</c:v>
                </c:pt>
                <c:pt idx="122">
                  <c:v>12.18152509624038</c:v>
                </c:pt>
                <c:pt idx="123">
                  <c:v>12.277442379737078</c:v>
                </c:pt>
                <c:pt idx="124">
                  <c:v>12.373359665063363</c:v>
                </c:pt>
                <c:pt idx="125">
                  <c:v>12.46927695217701</c:v>
                </c:pt>
                <c:pt idx="126">
                  <c:v>12.565194241037089</c:v>
                </c:pt>
                <c:pt idx="127">
                  <c:v>12.661111531603904</c:v>
                </c:pt>
                <c:pt idx="128">
                  <c:v>12.757028823838963</c:v>
                </c:pt>
                <c:pt idx="129">
                  <c:v>12.852946117704917</c:v>
                </c:pt>
                <c:pt idx="130">
                  <c:v>12.948863413165521</c:v>
                </c:pt>
                <c:pt idx="131">
                  <c:v>13.044780710185602</c:v>
                </c:pt>
                <c:pt idx="132">
                  <c:v>13.140698008731006</c:v>
                </c:pt>
                <c:pt idx="133">
                  <c:v>13.236615308768579</c:v>
                </c:pt>
                <c:pt idx="134">
                  <c:v>13.332532610266114</c:v>
                </c:pt>
                <c:pt idx="135">
                  <c:v>13.428449913192326</c:v>
                </c:pt>
                <c:pt idx="136">
                  <c:v>13.524367217516819</c:v>
                </c:pt>
                <c:pt idx="137">
                  <c:v>13.620284523210049</c:v>
                </c:pt>
                <c:pt idx="138">
                  <c:v>13.716201830243303</c:v>
                </c:pt>
                <c:pt idx="139">
                  <c:v>13.812119138588665</c:v>
                </c:pt>
                <c:pt idx="140">
                  <c:v>13.908036448218988</c:v>
                </c:pt>
                <c:pt idx="141">
                  <c:v>14.003953759107866</c:v>
                </c:pt>
                <c:pt idx="142">
                  <c:v>14.099871071229618</c:v>
                </c:pt>
                <c:pt idx="143">
                  <c:v>14.195788384559247</c:v>
                </c:pt>
                <c:pt idx="144">
                  <c:v>14.291705699072443</c:v>
                </c:pt>
                <c:pt idx="145">
                  <c:v>14.387623014745527</c:v>
                </c:pt>
                <c:pt idx="146">
                  <c:v>14.483540331555457</c:v>
                </c:pt>
                <c:pt idx="147">
                  <c:v>14.579457649479796</c:v>
                </c:pt>
                <c:pt idx="148">
                  <c:v>14.675374968496692</c:v>
                </c:pt>
                <c:pt idx="149">
                  <c:v>14.771292288584863</c:v>
                </c:pt>
                <c:pt idx="150">
                  <c:v>14.867209609723574</c:v>
                </c:pt>
                <c:pt idx="151">
                  <c:v>14.963126931892621</c:v>
                </c:pt>
                <c:pt idx="152">
                  <c:v>15.059044255072317</c:v>
                </c:pt>
                <c:pt idx="153">
                  <c:v>15.154961579243471</c:v>
                </c:pt>
                <c:pt idx="154">
                  <c:v>15.250878904387381</c:v>
                </c:pt>
                <c:pt idx="155">
                  <c:v>15.346796230485802</c:v>
                </c:pt>
                <c:pt idx="156">
                  <c:v>15.442713557520953</c:v>
                </c:pt>
                <c:pt idx="157">
                  <c:v>15.538630885475486</c:v>
                </c:pt>
                <c:pt idx="158">
                  <c:v>15.634548214332478</c:v>
                </c:pt>
                <c:pt idx="159">
                  <c:v>15.730465544075422</c:v>
                </c:pt>
                <c:pt idx="160">
                  <c:v>15.82638287468821</c:v>
                </c:pt>
                <c:pt idx="161">
                  <c:v>15.922300206155121</c:v>
                </c:pt>
                <c:pt idx="162">
                  <c:v>16.01821753846081</c:v>
                </c:pt>
                <c:pt idx="163">
                  <c:v>16.114134871590302</c:v>
                </c:pt>
                <c:pt idx="164">
                  <c:v>16.210052205528974</c:v>
                </c:pt>
                <c:pt idx="165">
                  <c:v>16.305969540262542</c:v>
                </c:pt>
                <c:pt idx="166">
                  <c:v>16.401886875777063</c:v>
                </c:pt>
                <c:pt idx="167">
                  <c:v>16.497804212058917</c:v>
                </c:pt>
                <c:pt idx="168">
                  <c:v>16.593721549094791</c:v>
                </c:pt>
                <c:pt idx="169">
                  <c:v>16.689638886871695</c:v>
                </c:pt>
                <c:pt idx="170">
                  <c:v>16.785556225376919</c:v>
                </c:pt>
                <c:pt idx="171">
                  <c:v>16.88147356459805</c:v>
                </c:pt>
                <c:pt idx="172">
                  <c:v>16.977390904522952</c:v>
                </c:pt>
                <c:pt idx="173">
                  <c:v>17.073308245139771</c:v>
                </c:pt>
                <c:pt idx="174">
                  <c:v>17.169225586436902</c:v>
                </c:pt>
                <c:pt idx="175">
                  <c:v>17.265142928403009</c:v>
                </c:pt>
                <c:pt idx="176">
                  <c:v>17.361060271027004</c:v>
                </c:pt>
                <c:pt idx="177">
                  <c:v>17.456977614298044</c:v>
                </c:pt>
                <c:pt idx="178">
                  <c:v>17.552894958205524</c:v>
                </c:pt>
                <c:pt idx="179">
                  <c:v>17.648812302739064</c:v>
                </c:pt>
                <c:pt idx="180">
                  <c:v>17.744729647888509</c:v>
                </c:pt>
                <c:pt idx="181">
                  <c:v>17.840646993643929</c:v>
                </c:pt>
                <c:pt idx="182">
                  <c:v>17.936564339995602</c:v>
                </c:pt>
                <c:pt idx="183">
                  <c:v>18.032481686934016</c:v>
                </c:pt>
                <c:pt idx="184">
                  <c:v>18.128399034449853</c:v>
                </c:pt>
                <c:pt idx="185">
                  <c:v>18.224316382533992</c:v>
                </c:pt>
                <c:pt idx="186">
                  <c:v>18.32023373117752</c:v>
                </c:pt>
                <c:pt idx="187">
                  <c:v>18.416151080371687</c:v>
                </c:pt>
                <c:pt idx="188">
                  <c:v>18.512068430107934</c:v>
                </c:pt>
                <c:pt idx="189">
                  <c:v>18.607985780377884</c:v>
                </c:pt>
                <c:pt idx="190">
                  <c:v>18.703903131173316</c:v>
                </c:pt>
                <c:pt idx="191">
                  <c:v>18.799820482486201</c:v>
                </c:pt>
                <c:pt idx="192">
                  <c:v>18.895737834308644</c:v>
                </c:pt>
                <c:pt idx="193">
                  <c:v>18.991655186632933</c:v>
                </c:pt>
                <c:pt idx="194">
                  <c:v>19.087572539451504</c:v>
                </c:pt>
                <c:pt idx="195">
                  <c:v>19.183489892756938</c:v>
                </c:pt>
                <c:pt idx="196">
                  <c:v>19.279407246541968</c:v>
                </c:pt>
                <c:pt idx="197">
                  <c:v>19.375324600799477</c:v>
                </c:pt>
                <c:pt idx="198">
                  <c:v>19.47124195552248</c:v>
                </c:pt>
                <c:pt idx="199">
                  <c:v>19.567159310704131</c:v>
                </c:pt>
                <c:pt idx="200">
                  <c:v>19.663076666337712</c:v>
                </c:pt>
                <c:pt idx="201">
                  <c:v>19.758994022416651</c:v>
                </c:pt>
                <c:pt idx="202">
                  <c:v>19.854911378934489</c:v>
                </c:pt>
                <c:pt idx="203">
                  <c:v>19.950828735884897</c:v>
                </c:pt>
                <c:pt idx="204">
                  <c:v>20.046746093261667</c:v>
                </c:pt>
                <c:pt idx="205">
                  <c:v>20.142663451058706</c:v>
                </c:pt>
                <c:pt idx="206">
                  <c:v>20.238580809270037</c:v>
                </c:pt>
                <c:pt idx="207">
                  <c:v>20.334498167889802</c:v>
                </c:pt>
                <c:pt idx="208">
                  <c:v>20.430415526912245</c:v>
                </c:pt>
                <c:pt idx="209">
                  <c:v>20.526332886331723</c:v>
                </c:pt>
                <c:pt idx="210">
                  <c:v>20.622250246142688</c:v>
                </c:pt>
                <c:pt idx="211">
                  <c:v>20.718167606339716</c:v>
                </c:pt>
                <c:pt idx="212">
                  <c:v>20.814084966917463</c:v>
                </c:pt>
                <c:pt idx="213">
                  <c:v>20.910002327870689</c:v>
                </c:pt>
                <c:pt idx="214">
                  <c:v>21.005919689194251</c:v>
                </c:pt>
                <c:pt idx="215">
                  <c:v>21.101837050883102</c:v>
                </c:pt>
                <c:pt idx="216">
                  <c:v>21.19775441293228</c:v>
                </c:pt>
                <c:pt idx="217">
                  <c:v>21.293671775336914</c:v>
                </c:pt>
                <c:pt idx="218">
                  <c:v>21.389589138092223</c:v>
                </c:pt>
                <c:pt idx="219">
                  <c:v>21.485506501193516</c:v>
                </c:pt>
                <c:pt idx="220">
                  <c:v>21.581423864636175</c:v>
                </c:pt>
                <c:pt idx="221">
                  <c:v>21.677341228415671</c:v>
                </c:pt>
                <c:pt idx="222">
                  <c:v>21.773258592527551</c:v>
                </c:pt>
                <c:pt idx="223">
                  <c:v>21.869175956967439</c:v>
                </c:pt>
                <c:pt idx="224">
                  <c:v>21.965093321731043</c:v>
                </c:pt>
                <c:pt idx="225">
                  <c:v>22.061010686814136</c:v>
                </c:pt>
                <c:pt idx="226">
                  <c:v>22.156928052212571</c:v>
                </c:pt>
                <c:pt idx="227">
                  <c:v>22.252845417922266</c:v>
                </c:pt>
                <c:pt idx="228">
                  <c:v>22.348762783939225</c:v>
                </c:pt>
                <c:pt idx="229">
                  <c:v>22.444680150259497</c:v>
                </c:pt>
                <c:pt idx="230">
                  <c:v>22.540597516879217</c:v>
                </c:pt>
                <c:pt idx="231">
                  <c:v>22.636514883794575</c:v>
                </c:pt>
                <c:pt idx="232">
                  <c:v>22.732432251001828</c:v>
                </c:pt>
                <c:pt idx="233">
                  <c:v>22.828349618497299</c:v>
                </c:pt>
                <c:pt idx="234">
                  <c:v>22.924266986277367</c:v>
                </c:pt>
                <c:pt idx="235">
                  <c:v>23.020184354338479</c:v>
                </c:pt>
                <c:pt idx="236">
                  <c:v>23.116101722677133</c:v>
                </c:pt>
                <c:pt idx="237">
                  <c:v>23.212019091289889</c:v>
                </c:pt>
                <c:pt idx="238">
                  <c:v>23.307936460173366</c:v>
                </c:pt>
                <c:pt idx="239">
                  <c:v>23.403853829324234</c:v>
                </c:pt>
                <c:pt idx="240">
                  <c:v>23.499771198739214</c:v>
                </c:pt>
                <c:pt idx="241">
                  <c:v>23.595688568415092</c:v>
                </c:pt>
                <c:pt idx="242">
                  <c:v>23.691605938348697</c:v>
                </c:pt>
                <c:pt idx="243">
                  <c:v>23.787523308536908</c:v>
                </c:pt>
                <c:pt idx="244">
                  <c:v>23.883440678976662</c:v>
                </c:pt>
                <c:pt idx="245">
                  <c:v>23.979358049664938</c:v>
                </c:pt>
              </c:numCache>
            </c:numRef>
          </c:yVal>
          <c:smooth val="1"/>
          <c:extLst>
            <c:ext xmlns:c16="http://schemas.microsoft.com/office/drawing/2014/chart" uri="{C3380CC4-5D6E-409C-BE32-E72D297353CC}">
              <c16:uniqueId val="{00000003-A2A0-45DA-976B-7F29EEA10BCA}"/>
            </c:ext>
          </c:extLst>
        </c:ser>
        <c:ser>
          <c:idx val="2"/>
          <c:order val="5"/>
          <c:tx>
            <c:v>Source Impedance + Filter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Design'!$CZ$27:$CZ$272</c:f>
              <c:numCache>
                <c:formatCode>0.0</c:formatCode>
                <c:ptCount val="246"/>
                <c:pt idx="0">
                  <c:v>0.48901946792806178</c:v>
                </c:pt>
                <c:pt idx="1">
                  <c:v>0.59188872771097123</c:v>
                </c:pt>
                <c:pt idx="2">
                  <c:v>0.69805821865848983</c:v>
                </c:pt>
                <c:pt idx="3">
                  <c:v>0.80849880080209524</c:v>
                </c:pt>
                <c:pt idx="4">
                  <c:v>0.92446250881404879</c:v>
                </c:pt>
                <c:pt idx="5">
                  <c:v>1.0475967418607024</c:v>
                </c:pt>
                <c:pt idx="6">
                  <c:v>1.1801129723261188</c:v>
                </c:pt>
                <c:pt idx="7">
                  <c:v>1.3250375061011215</c:v>
                </c:pt>
                <c:pt idx="8">
                  <c:v>1.4865844574367424</c:v>
                </c:pt>
                <c:pt idx="9">
                  <c:v>1.6706996986473137</c:v>
                </c:pt>
                <c:pt idx="10">
                  <c:v>1.8857959705893454</c:v>
                </c:pt>
                <c:pt idx="11">
                  <c:v>2.1434960939888583</c:v>
                </c:pt>
                <c:pt idx="12">
                  <c:v>2.4582980745103913</c:v>
                </c:pt>
                <c:pt idx="13">
                  <c:v>2.8416814647435897</c:v>
                </c:pt>
                <c:pt idx="14">
                  <c:v>3.2762992724930444</c:v>
                </c:pt>
                <c:pt idx="15">
                  <c:v>3.6485854527729291</c:v>
                </c:pt>
                <c:pt idx="16">
                  <c:v>3.7185071262408411</c:v>
                </c:pt>
                <c:pt idx="17">
                  <c:v>3.3865466160580975</c:v>
                </c:pt>
                <c:pt idx="18">
                  <c:v>2.890162666403731</c:v>
                </c:pt>
                <c:pt idx="19">
                  <c:v>2.46229004208202</c:v>
                </c:pt>
                <c:pt idx="20">
                  <c:v>2.1665334995375174</c:v>
                </c:pt>
                <c:pt idx="21">
                  <c:v>1.9860437751945275</c:v>
                </c:pt>
                <c:pt idx="22">
                  <c:v>1.8892151566687487</c:v>
                </c:pt>
                <c:pt idx="23">
                  <c:v>1.8491527771147935</c:v>
                </c:pt>
                <c:pt idx="24">
                  <c:v>1.8465312766007236</c:v>
                </c:pt>
                <c:pt idx="25">
                  <c:v>1.8683418172371629</c:v>
                </c:pt>
                <c:pt idx="26">
                  <c:v>1.9060720530929174</c:v>
                </c:pt>
                <c:pt idx="27">
                  <c:v>1.9542042673577897</c:v>
                </c:pt>
                <c:pt idx="28">
                  <c:v>2.009156361010664</c:v>
                </c:pt>
                <c:pt idx="29">
                  <c:v>2.0685845787583883</c:v>
                </c:pt>
                <c:pt idx="30">
                  <c:v>2.1309383279503766</c:v>
                </c:pt>
                <c:pt idx="31">
                  <c:v>2.1951789490187683</c:v>
                </c:pt>
                <c:pt idx="32">
                  <c:v>2.2606019044869168</c:v>
                </c:pt>
                <c:pt idx="33">
                  <c:v>2.3267235248704576</c:v>
                </c:pt>
                <c:pt idx="34">
                  <c:v>2.3932080831869271</c:v>
                </c:pt>
                <c:pt idx="35">
                  <c:v>2.4598202413084835</c:v>
                </c:pt>
                <c:pt idx="36">
                  <c:v>2.5263936274432766</c:v>
                </c:pt>
                <c:pt idx="37">
                  <c:v>2.5928097965037891</c:v>
                </c:pt>
                <c:pt idx="38">
                  <c:v>2.6589839611408639</c:v>
                </c:pt>
                <c:pt idx="39">
                  <c:v>2.724855196326279</c:v>
                </c:pt>
                <c:pt idx="40">
                  <c:v>2.7903796380238246</c:v>
                </c:pt>
                <c:pt idx="41">
                  <c:v>2.8555257107407415</c:v>
                </c:pt>
                <c:pt idx="42">
                  <c:v>2.9202707461852495</c:v>
                </c:pt>
                <c:pt idx="43">
                  <c:v>2.9845985663749945</c:v>
                </c:pt>
                <c:pt idx="44">
                  <c:v>3.0484977423721036</c:v>
                </c:pt>
                <c:pt idx="45">
                  <c:v>3.1119603309088348</c:v>
                </c:pt>
                <c:pt idx="46">
                  <c:v>3.174980952075289</c:v>
                </c:pt>
                <c:pt idx="47">
                  <c:v>3.2375561124314984</c:v>
                </c:pt>
                <c:pt idx="48">
                  <c:v>3.2996837060617707</c:v>
                </c:pt>
                <c:pt idx="49">
                  <c:v>3.3613626455331547</c:v>
                </c:pt>
                <c:pt idx="50">
                  <c:v>3.422592588277332</c:v>
                </c:pt>
                <c:pt idx="51">
                  <c:v>3.4833737334559363</c:v>
                </c:pt>
                <c:pt idx="52">
                  <c:v>3.5437066711398741</c:v>
                </c:pt>
                <c:pt idx="53">
                  <c:v>3.6035922704788872</c:v>
                </c:pt>
                <c:pt idx="54">
                  <c:v>3.6630315970303848</c:v>
                </c:pt>
                <c:pt idx="55">
                  <c:v>3.7220258519538789</c:v>
                </c:pt>
                <c:pt idx="56">
                  <c:v>3.7805763276317927</c:v>
                </c:pt>
                <c:pt idx="57">
                  <c:v>3.8386843756420213</c:v>
                </c:pt>
                <c:pt idx="58">
                  <c:v>3.8963513840172621</c:v>
                </c:pt>
                <c:pt idx="59">
                  <c:v>3.9535787614778952</c:v>
                </c:pt>
                <c:pt idx="60">
                  <c:v>4.0103679268863832</c:v>
                </c:pt>
                <c:pt idx="61">
                  <c:v>4.0667203025943337</c:v>
                </c:pt>
                <c:pt idx="62">
                  <c:v>4.1226373106709415</c:v>
                </c:pt>
                <c:pt idx="63">
                  <c:v>4.1781203712440131</c:v>
                </c:pt>
                <c:pt idx="64">
                  <c:v>4.2331709023673989</c:v>
                </c:pt>
                <c:pt idx="65">
                  <c:v>4.2877903209688988</c:v>
                </c:pt>
                <c:pt idx="66">
                  <c:v>4.3419800445402572</c:v>
                </c:pt>
                <c:pt idx="67">
                  <c:v>4.3957414933117462</c:v>
                </c:pt>
                <c:pt idx="68">
                  <c:v>4.4490760927183555</c:v>
                </c:pt>
                <c:pt idx="69">
                  <c:v>4.5019852760115011</c:v>
                </c:pt>
                <c:pt idx="70">
                  <c:v>4.5544704869088743</c:v>
                </c:pt>
                <c:pt idx="71">
                  <c:v>4.606533182202484</c:v>
                </c:pt>
                <c:pt idx="72">
                  <c:v>4.6581748342683191</c:v>
                </c:pt>
                <c:pt idx="73">
                  <c:v>4.7093969334367136</c:v>
                </c:pt>
                <c:pt idx="74">
                  <c:v>4.7602009901965969</c:v>
                </c:pt>
                <c:pt idx="75">
                  <c:v>4.8105885372162724</c:v>
                </c:pt>
                <c:pt idx="76">
                  <c:v>4.8605611311707912</c:v>
                </c:pt>
                <c:pt idx="77">
                  <c:v>4.9101203543722933</c:v>
                </c:pt>
                <c:pt idx="78">
                  <c:v>4.9592678162033019</c:v>
                </c:pt>
                <c:pt idx="79">
                  <c:v>5.0080051543563258</c:v>
                </c:pt>
                <c:pt idx="80">
                  <c:v>5.0563340358860529</c:v>
                </c:pt>
                <c:pt idx="81">
                  <c:v>5.1042561580807737</c:v>
                </c:pt>
                <c:pt idx="82">
                  <c:v>5.1517732491622112</c:v>
                </c:pt>
                <c:pt idx="83">
                  <c:v>5.1988870688224811</c:v>
                </c:pt>
                <c:pt idx="84">
                  <c:v>5.2455994086080615</c:v>
                </c:pt>
                <c:pt idx="85">
                  <c:v>5.291912092160211</c:v>
                </c:pt>
                <c:pt idx="86">
                  <c:v>5.337826975322062</c:v>
                </c:pt>
                <c:pt idx="87">
                  <c:v>5.383345946121695</c:v>
                </c:pt>
                <c:pt idx="88">
                  <c:v>5.428470924640612</c:v>
                </c:pt>
                <c:pt idx="89">
                  <c:v>5.4732038627768995</c:v>
                </c:pt>
                <c:pt idx="90">
                  <c:v>5.5175467439115335</c:v>
                </c:pt>
                <c:pt idx="91">
                  <c:v>5.5615015824867209</c:v>
                </c:pt>
                <c:pt idx="92">
                  <c:v>5.6050704235032871</c:v>
                </c:pt>
                <c:pt idx="93">
                  <c:v>5.64825534194601</c:v>
                </c:pt>
                <c:pt idx="94">
                  <c:v>5.6910584421426451</c:v>
                </c:pt>
                <c:pt idx="95">
                  <c:v>5.7334818570645858</c:v>
                </c:pt>
                <c:pt idx="96">
                  <c:v>5.7755277475746176</c:v>
                </c:pt>
                <c:pt idx="97">
                  <c:v>5.8171983016283342</c:v>
                </c:pt>
                <c:pt idx="98">
                  <c:v>5.8584957334343635</c:v>
                </c:pt>
                <c:pt idx="99">
                  <c:v>5.899422282578815</c:v>
                </c:pt>
                <c:pt idx="100">
                  <c:v>5.9399802131190702</c:v>
                </c:pt>
                <c:pt idx="101">
                  <c:v>5.9801718126509051</c:v>
                </c:pt>
                <c:pt idx="102">
                  <c:v>6.0199993913536129</c:v>
                </c:pt>
                <c:pt idx="103">
                  <c:v>6.0594652810168892</c:v>
                </c:pt>
                <c:pt idx="104">
                  <c:v>6.0985718340532715</c:v>
                </c:pt>
                <c:pt idx="105">
                  <c:v>6.1373214224993511</c:v>
                </c:pt>
                <c:pt idx="106">
                  <c:v>6.1757164370089859</c:v>
                </c:pt>
                <c:pt idx="107">
                  <c:v>6.2137592858412294</c:v>
                </c:pt>
                <c:pt idx="108">
                  <c:v>6.251452393846229</c:v>
                </c:pt>
                <c:pt idx="109">
                  <c:v>6.2887982014505273</c:v>
                </c:pt>
                <c:pt idx="110">
                  <c:v>6.3257991636452164</c:v>
                </c:pt>
                <c:pt idx="111">
                  <c:v>6.3624577489779259</c:v>
                </c:pt>
                <c:pt idx="112">
                  <c:v>6.3987764385516215</c:v>
                </c:pt>
                <c:pt idx="113">
                  <c:v>6.4347577250306616</c:v>
                </c:pt>
                <c:pt idx="114">
                  <c:v>6.4704041116570341</c:v>
                </c:pt>
                <c:pt idx="115">
                  <c:v>6.5057181112774991</c:v>
                </c:pt>
                <c:pt idx="116">
                  <c:v>6.5407022453825485</c:v>
                </c:pt>
                <c:pt idx="117">
                  <c:v>6.5753590431592839</c:v>
                </c:pt>
                <c:pt idx="118">
                  <c:v>6.609691040558781</c:v>
                </c:pt>
                <c:pt idx="119">
                  <c:v>6.6437007793788494</c:v>
                </c:pt>
                <c:pt idx="120">
                  <c:v>6.6773908063629772</c:v>
                </c:pt>
                <c:pt idx="121">
                  <c:v>6.7107636723163528</c:v>
                </c:pt>
                <c:pt idx="122">
                  <c:v>6.7438219312397942</c:v>
                </c:pt>
                <c:pt idx="123">
                  <c:v>6.7765681394817117</c:v>
                </c:pt>
                <c:pt idx="124">
                  <c:v>6.8090048549090048</c:v>
                </c:pt>
                <c:pt idx="125">
                  <c:v>6.8411346360966867</c:v>
                </c:pt>
                <c:pt idx="126">
                  <c:v>6.8729600415378762</c:v>
                </c:pt>
                <c:pt idx="127">
                  <c:v>6.9044836288723408</c:v>
                </c:pt>
                <c:pt idx="128">
                  <c:v>6.9357079541364062</c:v>
                </c:pt>
                <c:pt idx="129">
                  <c:v>6.9666355710318433</c:v>
                </c:pt>
                <c:pt idx="130">
                  <c:v>6.9972690302161302</c:v>
                </c:pt>
                <c:pt idx="131">
                  <c:v>7.027610878611851</c:v>
                </c:pt>
                <c:pt idx="132">
                  <c:v>7.05766365873792</c:v>
                </c:pt>
                <c:pt idx="133">
                  <c:v>7.0874299080597316</c:v>
                </c:pt>
                <c:pt idx="134">
                  <c:v>7.1169121583606945</c:v>
                </c:pt>
                <c:pt idx="135">
                  <c:v>7.146112935133802</c:v>
                </c:pt>
                <c:pt idx="136">
                  <c:v>7.1750347569926687</c:v>
                </c:pt>
                <c:pt idx="137">
                  <c:v>7.2036801351034434</c:v>
                </c:pt>
                <c:pt idx="138">
                  <c:v>7.2320515726359984</c:v>
                </c:pt>
                <c:pt idx="139">
                  <c:v>7.2601515642348096</c:v>
                </c:pt>
                <c:pt idx="140">
                  <c:v>7.2879825955093454</c:v>
                </c:pt>
                <c:pt idx="141">
                  <c:v>7.3155471425435064</c:v>
                </c:pt>
                <c:pt idx="142">
                  <c:v>7.3428476714241366</c:v>
                </c:pt>
                <c:pt idx="143">
                  <c:v>7.3698866377878938</c:v>
                </c:pt>
                <c:pt idx="144">
                  <c:v>7.3966664863866489</c:v>
                </c:pt>
                <c:pt idx="145">
                  <c:v>7.4231896506711728</c:v>
                </c:pt>
                <c:pt idx="146">
                  <c:v>7.4494585523919641</c:v>
                </c:pt>
                <c:pt idx="147">
                  <c:v>7.4754756012181405</c:v>
                </c:pt>
                <c:pt idx="148">
                  <c:v>7.5012431943729911</c:v>
                </c:pt>
                <c:pt idx="149">
                  <c:v>7.5267637162867436</c:v>
                </c:pt>
                <c:pt idx="150">
                  <c:v>7.5520395382650731</c:v>
                </c:pt>
                <c:pt idx="151">
                  <c:v>7.5770730181746373</c:v>
                </c:pt>
                <c:pt idx="152">
                  <c:v>7.6018665001434655</c:v>
                </c:pt>
                <c:pt idx="153">
                  <c:v>7.6264223142773782</c:v>
                </c:pt>
                <c:pt idx="154">
                  <c:v>7.650742776390957</c:v>
                </c:pt>
                <c:pt idx="155">
                  <c:v>7.6748301877534635</c:v>
                </c:pt>
                <c:pt idx="156">
                  <c:v>7.6986868348495143</c:v>
                </c:pt>
                <c:pt idx="157">
                  <c:v>7.7223149891524434</c:v>
                </c:pt>
                <c:pt idx="158">
                  <c:v>7.7457169069128087</c:v>
                </c:pt>
                <c:pt idx="159">
                  <c:v>7.7688948289591133</c:v>
                </c:pt>
                <c:pt idx="160">
                  <c:v>7.7918509805118035</c:v>
                </c:pt>
                <c:pt idx="161">
                  <c:v>7.8145875710098558</c:v>
                </c:pt>
                <c:pt idx="162">
                  <c:v>7.8371067939495376</c:v>
                </c:pt>
                <c:pt idx="163">
                  <c:v>7.8594108267347833</c:v>
                </c:pt>
                <c:pt idx="164">
                  <c:v>7.8815018305396114</c:v>
                </c:pt>
                <c:pt idx="165">
                  <c:v>7.9033819501811022</c:v>
                </c:pt>
                <c:pt idx="166">
                  <c:v>7.9250533140038986</c:v>
                </c:pt>
                <c:pt idx="167">
                  <c:v>7.9465180337744865</c:v>
                </c:pt>
                <c:pt idx="168">
                  <c:v>7.9677782045863497</c:v>
                </c:pt>
                <c:pt idx="169">
                  <c:v>7.9888359047744402</c:v>
                </c:pt>
                <c:pt idx="170">
                  <c:v>8.0096931958397288</c:v>
                </c:pt>
                <c:pt idx="171">
                  <c:v>8.0303521223824639</c:v>
                </c:pt>
                <c:pt idx="172">
                  <c:v>8.0508147120447529</c:v>
                </c:pt>
                <c:pt idx="173">
                  <c:v>8.0710829754616888</c:v>
                </c:pt>
                <c:pt idx="174">
                  <c:v>8.0911589062206097</c:v>
                </c:pt>
                <c:pt idx="175">
                  <c:v>8.1110444808289515</c:v>
                </c:pt>
                <c:pt idx="176">
                  <c:v>8.1307416586891215</c:v>
                </c:pt>
                <c:pt idx="177">
                  <c:v>8.1502523820812964</c:v>
                </c:pt>
                <c:pt idx="178">
                  <c:v>8.1695785761536523</c:v>
                </c:pt>
                <c:pt idx="179">
                  <c:v>8.188722148919144</c:v>
                </c:pt>
                <c:pt idx="180">
                  <c:v>8.2076849912589349</c:v>
                </c:pt>
                <c:pt idx="181">
                  <c:v>8.2264689769328285</c:v>
                </c:pt>
                <c:pt idx="182">
                  <c:v>8.2450759625952106</c:v>
                </c:pt>
                <c:pt idx="183">
                  <c:v>8.263507787817268</c:v>
                </c:pt>
                <c:pt idx="184">
                  <c:v>8.2817662751151193</c:v>
                </c:pt>
                <c:pt idx="185">
                  <c:v>8.2998532299827357</c:v>
                </c:pt>
                <c:pt idx="186">
                  <c:v>8.3177704409311897</c:v>
                </c:pt>
                <c:pt idx="187">
                  <c:v>8.3355196795316804</c:v>
                </c:pt>
                <c:pt idx="188">
                  <c:v>8.3531027004645377</c:v>
                </c:pt>
                <c:pt idx="189">
                  <c:v>8.3705212415719377</c:v>
                </c:pt>
                <c:pt idx="190">
                  <c:v>8.3877770239155467</c:v>
                </c:pt>
                <c:pt idx="191">
                  <c:v>8.4048717518382983</c:v>
                </c:pt>
                <c:pt idx="192">
                  <c:v>8.4218071130299474</c:v>
                </c:pt>
                <c:pt idx="193">
                  <c:v>8.4385847785967449</c:v>
                </c:pt>
                <c:pt idx="194">
                  <c:v>8.455206403134417</c:v>
                </c:pt>
                <c:pt idx="195">
                  <c:v>8.4716736248053373</c:v>
                </c:pt>
                <c:pt idx="196">
                  <c:v>8.4879880654178042</c:v>
                </c:pt>
                <c:pt idx="197">
                  <c:v>8.5041513305098206</c:v>
                </c:pt>
                <c:pt idx="198">
                  <c:v>8.5201650094346384</c:v>
                </c:pt>
                <c:pt idx="199">
                  <c:v>8.5360306754499593</c:v>
                </c:pt>
                <c:pt idx="200">
                  <c:v>8.5517498858094925</c:v>
                </c:pt>
                <c:pt idx="201">
                  <c:v>8.5673241818568915</c:v>
                </c:pt>
                <c:pt idx="202">
                  <c:v>8.5827550891223741</c:v>
                </c:pt>
                <c:pt idx="203">
                  <c:v>8.5980441174212032</c:v>
                </c:pt>
                <c:pt idx="204">
                  <c:v>8.6131927609548722</c:v>
                </c:pt>
                <c:pt idx="205">
                  <c:v>8.6282024984134331</c:v>
                </c:pt>
                <c:pt idx="206">
                  <c:v>8.6430747930805918</c:v>
                </c:pt>
                <c:pt idx="207">
                  <c:v>8.6578110929396956</c:v>
                </c:pt>
                <c:pt idx="208">
                  <c:v>8.6724128307819228</c:v>
                </c:pt>
                <c:pt idx="209">
                  <c:v>8.6868814243159189</c:v>
                </c:pt>
                <c:pt idx="210">
                  <c:v>8.7012182762783183</c:v>
                </c:pt>
                <c:pt idx="211">
                  <c:v>8.715424774546193</c:v>
                </c:pt>
                <c:pt idx="212">
                  <c:v>8.7295022922504355</c:v>
                </c:pt>
                <c:pt idx="213">
                  <c:v>8.7434521878899574</c:v>
                </c:pt>
                <c:pt idx="214">
                  <c:v>8.7572758054474669</c:v>
                </c:pt>
                <c:pt idx="215">
                  <c:v>8.7709744745057616</c:v>
                </c:pt>
                <c:pt idx="216">
                  <c:v>8.7845495103647195</c:v>
                </c:pt>
                <c:pt idx="217">
                  <c:v>8.7980022141593093</c:v>
                </c:pt>
                <c:pt idx="218">
                  <c:v>8.8113338729783539</c:v>
                </c:pt>
                <c:pt idx="219">
                  <c:v>8.8245457599833657</c:v>
                </c:pt>
                <c:pt idx="220">
                  <c:v>8.8376391345284748</c:v>
                </c:pt>
                <c:pt idx="221">
                  <c:v>8.8506152422803162</c:v>
                </c:pt>
                <c:pt idx="222">
                  <c:v>8.8634753153386168</c:v>
                </c:pt>
                <c:pt idx="223">
                  <c:v>8.8762205723566243</c:v>
                </c:pt>
                <c:pt idx="224">
                  <c:v>8.8888522186625103</c:v>
                </c:pt>
                <c:pt idx="225">
                  <c:v>8.9013714463801126</c:v>
                </c:pt>
                <c:pt idx="226">
                  <c:v>8.9137794345504897</c:v>
                </c:pt>
                <c:pt idx="227">
                  <c:v>8.9260773492528269</c:v>
                </c:pt>
                <c:pt idx="228">
                  <c:v>8.9382663437260703</c:v>
                </c:pt>
                <c:pt idx="229">
                  <c:v>8.9503475584898577</c:v>
                </c:pt>
                <c:pt idx="230">
                  <c:v>8.962322121465931</c:v>
                </c:pt>
                <c:pt idx="231">
                  <c:v>8.9741911480989529</c:v>
                </c:pt>
                <c:pt idx="232">
                  <c:v>8.9859557414772357</c:v>
                </c:pt>
                <c:pt idx="233">
                  <c:v>8.9976169924534162</c:v>
                </c:pt>
                <c:pt idx="234">
                  <c:v>9.0091759797647111</c:v>
                </c:pt>
                <c:pt idx="235">
                  <c:v>9.02063377015266</c:v>
                </c:pt>
                <c:pt idx="236">
                  <c:v>9.0319914184828463</c:v>
                </c:pt>
                <c:pt idx="237">
                  <c:v>9.0432499678641225</c:v>
                </c:pt>
                <c:pt idx="238">
                  <c:v>9.0544104497674844</c:v>
                </c:pt>
                <c:pt idx="239">
                  <c:v>9.0654738841439286</c:v>
                </c:pt>
                <c:pt idx="240">
                  <c:v>9.0764412795427631</c:v>
                </c:pt>
                <c:pt idx="241">
                  <c:v>9.0873136332285078</c:v>
                </c:pt>
                <c:pt idx="242">
                  <c:v>9.0980919312980095</c:v>
                </c:pt>
                <c:pt idx="243">
                  <c:v>9.1087771487962339</c:v>
                </c:pt>
                <c:pt idx="244">
                  <c:v>9.119370249832043</c:v>
                </c:pt>
                <c:pt idx="245">
                  <c:v>9.1298721876932767</c:v>
                </c:pt>
              </c:numCache>
            </c:numRef>
          </c:yVal>
          <c:smooth val="1"/>
          <c:extLst>
            <c:ext xmlns:c16="http://schemas.microsoft.com/office/drawing/2014/chart" uri="{C3380CC4-5D6E-409C-BE32-E72D297353CC}">
              <c16:uniqueId val="{00000005-A2A0-45DA-976B-7F29EEA10BCA}"/>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0.0"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egendEntry>
        <c:idx val="1"/>
        <c:delete val="1"/>
      </c:legendEntry>
      <c:legendEntry>
        <c:idx val="2"/>
        <c:delete val="1"/>
      </c:legendEntry>
      <c:legendEntry>
        <c:idx val="3"/>
        <c:delete val="1"/>
      </c:legendEntry>
      <c:layout>
        <c:manualLayout>
          <c:xMode val="edge"/>
          <c:yMode val="edge"/>
          <c:x val="0.13221942748844828"/>
          <c:y val="0.13595927397480903"/>
          <c:w val="0.81277774802267733"/>
          <c:h val="0.11346144535098233"/>
        </c:manualLayout>
      </c:layout>
      <c:overlay val="0"/>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r>
              <a:rPr lang="en-US" b="1">
                <a:solidFill>
                  <a:srgbClr val="0E9ED9"/>
                </a:solidFill>
              </a:rPr>
              <a:t>Tuning</a:t>
            </a:r>
            <a:r>
              <a:rPr lang="en-US" b="1" baseline="0">
                <a:solidFill>
                  <a:srgbClr val="0E9ED9"/>
                </a:solidFill>
              </a:rPr>
              <a:t> Reactor </a:t>
            </a:r>
            <a:r>
              <a:rPr lang="en-US" b="1">
                <a:solidFill>
                  <a:srgbClr val="0E9ED9"/>
                </a:solidFill>
              </a:rPr>
              <a:t>Harmonic</a:t>
            </a:r>
            <a:r>
              <a:rPr lang="en-US" b="1" baseline="0">
                <a:solidFill>
                  <a:srgbClr val="0E9ED9"/>
                </a:solidFill>
              </a:rPr>
              <a:t> Current Comparison </a:t>
            </a:r>
            <a:endParaRPr lang="en-US" b="1">
              <a:solidFill>
                <a:srgbClr val="0E9ED9"/>
              </a:solidFill>
            </a:endParaRPr>
          </a:p>
        </c:rich>
      </c:tx>
      <c:overlay val="0"/>
      <c:spPr>
        <a:noFill/>
        <a:ln>
          <a:noFill/>
        </a:ln>
        <a:effectLst/>
      </c:spPr>
      <c:txPr>
        <a:bodyPr rot="0" spcFirstLastPara="1" vertOverflow="ellipsis" vert="horz" wrap="square" anchor="ctr" anchorCtr="1"/>
        <a:lstStyle/>
        <a:p>
          <a:pPr>
            <a:defRPr sz="1400" b="1" i="0" u="none" strike="noStrike" kern="1200" spc="0" baseline="0">
              <a:solidFill>
                <a:srgbClr val="0E9ED9"/>
              </a:solidFill>
              <a:latin typeface="+mn-lt"/>
              <a:ea typeface="+mn-ea"/>
              <a:cs typeface="+mn-cs"/>
            </a:defRPr>
          </a:pPr>
          <a:endParaRPr lang="en-US"/>
        </a:p>
      </c:txPr>
    </c:title>
    <c:autoTitleDeleted val="0"/>
    <c:plotArea>
      <c:layout/>
      <c:barChart>
        <c:barDir val="col"/>
        <c:grouping val="clustered"/>
        <c:varyColors val="0"/>
        <c:ser>
          <c:idx val="1"/>
          <c:order val="0"/>
          <c:tx>
            <c:v>(In) Filter Current</c:v>
          </c:tx>
          <c:spPr>
            <a:solidFill>
              <a:srgbClr val="00B0F0"/>
            </a:solidFill>
            <a:ln>
              <a:noFill/>
            </a:ln>
            <a:effectLst/>
          </c:spPr>
          <c:invertIfNegative val="0"/>
          <c:cat>
            <c:strRef>
              <c:f>'C-HP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'C-HP Filter Design'!$DP$6:$DP$21</c:f>
              <c:numCache>
                <c:formatCode>0.0</c:formatCode>
                <c:ptCount val="16"/>
                <c:pt idx="0">
                  <c:v>278.12414534767834</c:v>
                </c:pt>
                <c:pt idx="1">
                  <c:v>0</c:v>
                </c:pt>
                <c:pt idx="2">
                  <c:v>0</c:v>
                </c:pt>
                <c:pt idx="3">
                  <c:v>0</c:v>
                </c:pt>
                <c:pt idx="4">
                  <c:v>100</c:v>
                </c:pt>
                <c:pt idx="5">
                  <c:v>80</c:v>
                </c:pt>
                <c:pt idx="6">
                  <c:v>60</c:v>
                </c:pt>
                <c:pt idx="7">
                  <c:v>30</c:v>
                </c:pt>
                <c:pt idx="8">
                  <c:v>20</c:v>
                </c:pt>
                <c:pt idx="9">
                  <c:v>10</c:v>
                </c:pt>
                <c:pt idx="10">
                  <c:v>10</c:v>
                </c:pt>
                <c:pt idx="11">
                  <c:v>10</c:v>
                </c:pt>
                <c:pt idx="12">
                  <c:v>0</c:v>
                </c:pt>
                <c:pt idx="13">
                  <c:v>0</c:v>
                </c:pt>
                <c:pt idx="14">
                  <c:v>10</c:v>
                </c:pt>
                <c:pt idx="15">
                  <c:v>10</c:v>
                </c:pt>
              </c:numCache>
            </c:numRef>
          </c:val>
          <c:extLst xmlns:c15="http://schemas.microsoft.com/office/drawing/2012/chart">
            <c:ext xmlns:c16="http://schemas.microsoft.com/office/drawing/2014/chart" uri="{C3380CC4-5D6E-409C-BE32-E72D297353CC}">
              <c16:uniqueId val="{00000004-229A-4CC9-A005-0E9C85630928}"/>
            </c:ext>
          </c:extLst>
        </c:ser>
        <c:ser>
          <c:idx val="2"/>
          <c:order val="1"/>
          <c:tx>
            <c:v>Reactor Current</c:v>
          </c:tx>
          <c:spPr>
            <a:solidFill>
              <a:srgbClr val="0070C0"/>
            </a:solidFill>
            <a:ln>
              <a:noFill/>
            </a:ln>
            <a:effectLst/>
          </c:spPr>
          <c:invertIfNegative val="0"/>
          <c:cat>
            <c:strRef>
              <c:f>'C-HP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'C-HP Filter Design'!$DQ$6:$DQ$21</c:f>
              <c:numCache>
                <c:formatCode>0.0</c:formatCode>
                <c:ptCount val="16"/>
                <c:pt idx="0">
                  <c:v>277.84629904862999</c:v>
                </c:pt>
                <c:pt idx="1">
                  <c:v>0</c:v>
                </c:pt>
                <c:pt idx="2">
                  <c:v>0</c:v>
                </c:pt>
                <c:pt idx="3">
                  <c:v>0</c:v>
                </c:pt>
                <c:pt idx="4">
                  <c:v>90.079087675664354</c:v>
                </c:pt>
                <c:pt idx="5">
                  <c:v>65.933454517036822</c:v>
                </c:pt>
                <c:pt idx="6">
                  <c:v>40.524968832180278</c:v>
                </c:pt>
                <c:pt idx="7">
                  <c:v>18.352622765673079</c:v>
                </c:pt>
                <c:pt idx="8">
                  <c:v>10.163898625120304</c:v>
                </c:pt>
                <c:pt idx="9">
                  <c:v>4.6665691224880028</c:v>
                </c:pt>
                <c:pt idx="10">
                  <c:v>3.9929721955971016</c:v>
                </c:pt>
                <c:pt idx="11">
                  <c:v>3.7185213626854945</c:v>
                </c:pt>
                <c:pt idx="12">
                  <c:v>0</c:v>
                </c:pt>
                <c:pt idx="13">
                  <c:v>0</c:v>
                </c:pt>
                <c:pt idx="14">
                  <c:v>2.7490782607906845</c:v>
                </c:pt>
                <c:pt idx="15">
                  <c:v>2.6106894726847236</c:v>
                </c:pt>
              </c:numCache>
            </c:numRef>
          </c:val>
          <c:extLst>
            <c:ext xmlns:c16="http://schemas.microsoft.com/office/drawing/2014/chart" uri="{C3380CC4-5D6E-409C-BE32-E72D297353CC}">
              <c16:uniqueId val="{00000000-229A-4CC9-A005-0E9C85630928}"/>
            </c:ext>
          </c:extLst>
        </c:ser>
        <c:ser>
          <c:idx val="3"/>
          <c:order val="2"/>
          <c:tx>
            <c:v>VarStec Reactor Rating</c:v>
          </c:tx>
          <c:spPr>
            <a:solidFill>
              <a:srgbClr val="FF0000"/>
            </a:solidFill>
            <a:ln>
              <a:noFill/>
            </a:ln>
            <a:effectLst/>
          </c:spPr>
          <c:invertIfNegative val="0"/>
          <c:cat>
            <c:strRef>
              <c:f>'C-HP Filter Design'!$C$61:$G$76</c:f>
              <c:strCache>
                <c:ptCount val="16"/>
                <c:pt idx="0">
                  <c:v>1</c:v>
                </c:pt>
                <c:pt idx="1">
                  <c:v>2</c:v>
                </c:pt>
                <c:pt idx="2">
                  <c:v>3</c:v>
                </c:pt>
                <c:pt idx="3">
                  <c:v>4</c:v>
                </c:pt>
                <c:pt idx="4">
                  <c:v>5</c:v>
                </c:pt>
                <c:pt idx="5">
                  <c:v>7</c:v>
                </c:pt>
                <c:pt idx="6">
                  <c:v>11</c:v>
                </c:pt>
                <c:pt idx="7">
                  <c:v>13</c:v>
                </c:pt>
                <c:pt idx="8">
                  <c:v>17</c:v>
                </c:pt>
                <c:pt idx="9">
                  <c:v>19</c:v>
                </c:pt>
                <c:pt idx="10">
                  <c:v>23</c:v>
                </c:pt>
                <c:pt idx="11">
                  <c:v>25</c:v>
                </c:pt>
                <c:pt idx="12">
                  <c:v>29</c:v>
                </c:pt>
                <c:pt idx="13">
                  <c:v>31</c:v>
                </c:pt>
                <c:pt idx="14">
                  <c:v>35</c:v>
                </c:pt>
                <c:pt idx="15">
                  <c:v>37</c:v>
                </c:pt>
              </c:strCache>
            </c:strRef>
          </c:cat>
          <c:val>
            <c:numRef>
              <c:f>'C-HP Filter Design'!$DR$6:$DR$21</c:f>
              <c:numCache>
                <c:formatCode>0.0</c:formatCode>
                <c:ptCount val="16"/>
                <c:pt idx="0">
                  <c:v>416.76944857294495</c:v>
                </c:pt>
                <c:pt idx="1">
                  <c:v>0</c:v>
                </c:pt>
                <c:pt idx="2">
                  <c:v>0</c:v>
                </c:pt>
                <c:pt idx="3">
                  <c:v>0</c:v>
                </c:pt>
                <c:pt idx="4">
                  <c:v>135.11863151349652</c:v>
                </c:pt>
                <c:pt idx="5">
                  <c:v>98.900181775555239</c:v>
                </c:pt>
                <c:pt idx="6">
                  <c:v>60.787453248270417</c:v>
                </c:pt>
                <c:pt idx="7">
                  <c:v>27.52893414850962</c:v>
                </c:pt>
                <c:pt idx="8">
                  <c:v>15.245847937680455</c:v>
                </c:pt>
                <c:pt idx="9">
                  <c:v>6.9998536837320042</c:v>
                </c:pt>
                <c:pt idx="10">
                  <c:v>5.9894582933956526</c:v>
                </c:pt>
                <c:pt idx="11">
                  <c:v>5.5777820440282415</c:v>
                </c:pt>
                <c:pt idx="12">
                  <c:v>0</c:v>
                </c:pt>
                <c:pt idx="13">
                  <c:v>0</c:v>
                </c:pt>
                <c:pt idx="14">
                  <c:v>4.123617391186027</c:v>
                </c:pt>
                <c:pt idx="15">
                  <c:v>3.9160342090270852</c:v>
                </c:pt>
              </c:numCache>
            </c:numRef>
          </c:val>
          <c:extLst xmlns:c15="http://schemas.microsoft.com/office/drawing/2012/chart">
            <c:ext xmlns:c16="http://schemas.microsoft.com/office/drawing/2014/chart" uri="{C3380CC4-5D6E-409C-BE32-E72D297353CC}">
              <c16:uniqueId val="{00000005-229A-4CC9-A005-0E9C85630928}"/>
            </c:ext>
          </c:extLst>
        </c:ser>
        <c:dLbls>
          <c:showLegendKey val="0"/>
          <c:showVal val="0"/>
          <c:showCatName val="0"/>
          <c:showSerName val="0"/>
          <c:showPercent val="0"/>
          <c:showBubbleSize val="0"/>
        </c:dLbls>
        <c:gapWidth val="219"/>
        <c:overlap val="-27"/>
        <c:axId val="320270991"/>
        <c:axId val="320271951"/>
        <c:extLst/>
      </c:barChart>
      <c:catAx>
        <c:axId val="320270991"/>
        <c:scaling>
          <c:orientation val="minMax"/>
        </c:scaling>
        <c:delete val="0"/>
        <c:axPos val="b"/>
        <c:title>
          <c:tx>
            <c:rich>
              <a:bodyPr rot="0" spcFirstLastPara="1" vertOverflow="ellipsis" vert="horz" wrap="square" anchor="ctr" anchorCtr="1"/>
              <a:lstStyle/>
              <a:p>
                <a:pPr>
                  <a:defRPr sz="1400" b="1" i="0" u="none" strike="noStrike" kern="1200" baseline="0">
                    <a:solidFill>
                      <a:srgbClr val="0E9ED9"/>
                    </a:solidFill>
                    <a:latin typeface="+mn-lt"/>
                    <a:ea typeface="+mn-ea"/>
                    <a:cs typeface="+mn-cs"/>
                  </a:defRPr>
                </a:pPr>
                <a:r>
                  <a:rPr lang="en-US" sz="1400" b="1">
                    <a:solidFill>
                      <a:srgbClr val="0E9ED9"/>
                    </a:solidFill>
                  </a:rPr>
                  <a:t>Harmonic Number (n)</a:t>
                </a:r>
              </a:p>
            </c:rich>
          </c:tx>
          <c:overlay val="0"/>
          <c:spPr>
            <a:noFill/>
            <a:ln>
              <a:noFill/>
            </a:ln>
            <a:effectLst/>
          </c:spPr>
          <c:txPr>
            <a:bodyPr rot="0" spcFirstLastPara="1" vertOverflow="ellipsis" vert="horz" wrap="square" anchor="ctr" anchorCtr="1"/>
            <a:lstStyle/>
            <a:p>
              <a:pPr>
                <a:defRPr sz="1400" b="1" i="0" u="none" strike="noStrike" kern="1200" baseline="0">
                  <a:solidFill>
                    <a:srgbClr val="0E9ED9"/>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1951"/>
        <c:crosses val="autoZero"/>
        <c:auto val="1"/>
        <c:lblAlgn val="ctr"/>
        <c:lblOffset val="100"/>
        <c:noMultiLvlLbl val="0"/>
      </c:catAx>
      <c:valAx>
        <c:axId val="320271951"/>
        <c:scaling>
          <c:orientation val="minMax"/>
        </c:scaling>
        <c:delete val="0"/>
        <c:axPos val="l"/>
        <c:majorGridlines>
          <c:spPr>
            <a:ln w="9525" cap="flat" cmpd="sng" algn="ctr">
              <a:solidFill>
                <a:srgbClr val="C00000"/>
              </a:solidFill>
              <a:round/>
            </a:ln>
            <a:effectLst/>
          </c:spPr>
        </c:majorGridlines>
        <c:title>
          <c:tx>
            <c:rich>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r>
                  <a:rPr lang="en-US" sz="1400" b="1">
                    <a:solidFill>
                      <a:srgbClr val="0E9ED9"/>
                    </a:solidFill>
                  </a:rPr>
                  <a:t>amps</a:t>
                </a:r>
              </a:p>
            </c:rich>
          </c:tx>
          <c:overlay val="0"/>
          <c:spPr>
            <a:noFill/>
            <a:ln>
              <a:noFill/>
            </a:ln>
            <a:effectLst/>
          </c:spPr>
          <c:txPr>
            <a:bodyPr rot="-5400000" spcFirstLastPara="1" vertOverflow="ellipsis" vert="horz" wrap="square" anchor="ctr" anchorCtr="1"/>
            <a:lstStyle/>
            <a:p>
              <a:pPr>
                <a:defRPr sz="1400" b="1"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000" b="1" i="0" u="none" strike="noStrike" kern="1200" baseline="0">
                <a:solidFill>
                  <a:srgbClr val="C00000"/>
                </a:solidFill>
                <a:latin typeface="+mn-lt"/>
                <a:ea typeface="+mn-ea"/>
                <a:cs typeface="+mn-cs"/>
              </a:defRPr>
            </a:pPr>
            <a:endParaRPr lang="en-US"/>
          </a:p>
        </c:txPr>
        <c:crossAx val="320270991"/>
        <c:crosses val="autoZero"/>
        <c:crossBetween val="between"/>
      </c:valAx>
      <c:spPr>
        <a:noFill/>
        <a:ln>
          <a:solidFill>
            <a:srgbClr val="C00000"/>
          </a:solidFill>
        </a:ln>
        <a:effectLst/>
      </c:spPr>
    </c:plotArea>
    <c:legend>
      <c:legendPos val="b"/>
      <c:overlay val="0"/>
      <c:spPr>
        <a:noFill/>
        <a:ln>
          <a:noFill/>
        </a:ln>
        <a:effectLst/>
      </c:spPr>
      <c:txPr>
        <a:bodyPr rot="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19050" cap="flat" cmpd="sng" algn="ctr">
      <a:solidFill>
        <a:srgbClr val="C00000"/>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Source Current</a:t>
            </a:r>
            <a:r>
              <a:rPr lang="en-US" sz="1400" baseline="0">
                <a:solidFill>
                  <a:srgbClr val="0E9ED9"/>
                </a:solidFill>
              </a:rPr>
              <a:t> Flow in Amps for 1 Amp of Harmonic Current Injection at the Harmonic Filter</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8.6266185476815402E-2"/>
          <c:y val="0.15612713175395532"/>
          <c:w val="0.85488298501358573"/>
          <c:h val="0.68525376079766231"/>
        </c:manualLayout>
      </c:layout>
      <c:scatterChart>
        <c:scatterStyle val="smoothMarker"/>
        <c:varyColors val="0"/>
        <c:ser>
          <c:idx val="0"/>
          <c:order val="0"/>
          <c:marker>
            <c:symbol val="none"/>
          </c:marker>
          <c:xVal>
            <c:numRef>
              <c:f>'C-HP Filter Design'!$DH$27:$DH$272</c:f>
              <c:numCache>
                <c:formatCode>0.0</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Design'!$DI$27:$DI$272</c:f>
              <c:numCache>
                <c:formatCode>General</c:formatCode>
                <c:ptCount val="246"/>
                <c:pt idx="0">
                  <c:v>1.0188531247093442</c:v>
                </c:pt>
                <c:pt idx="1">
                  <c:v>1.0278985966511995</c:v>
                </c:pt>
                <c:pt idx="2">
                  <c:v>1.0392475494699467</c:v>
                </c:pt>
                <c:pt idx="3">
                  <c:v>1.0533102578559455</c:v>
                </c:pt>
                <c:pt idx="4">
                  <c:v>1.0706368378421058</c:v>
                </c:pt>
                <c:pt idx="5">
                  <c:v>1.0919679525425243</c:v>
                </c:pt>
                <c:pt idx="6">
                  <c:v>1.1183087476256444</c:v>
                </c:pt>
                <c:pt idx="7">
                  <c:v>1.1510368041117014</c:v>
                </c:pt>
                <c:pt idx="8">
                  <c:v>1.1920581492163878</c:v>
                </c:pt>
                <c:pt idx="9">
                  <c:v>1.2440236666149058</c:v>
                </c:pt>
                <c:pt idx="10">
                  <c:v>1.3105917779528453</c:v>
                </c:pt>
                <c:pt idx="11">
                  <c:v>1.3965978926568872</c:v>
                </c:pt>
                <c:pt idx="12">
                  <c:v>1.5075029195844731</c:v>
                </c:pt>
                <c:pt idx="13">
                  <c:v>1.6458061391942886</c:v>
                </c:pt>
                <c:pt idx="14">
                  <c:v>1.7976639130967393</c:v>
                </c:pt>
                <c:pt idx="15">
                  <c:v>1.9018462656056794</c:v>
                </c:pt>
                <c:pt idx="16">
                  <c:v>1.8460022396187128</c:v>
                </c:pt>
                <c:pt idx="17">
                  <c:v>1.6047930215574506</c:v>
                </c:pt>
                <c:pt idx="18">
                  <c:v>1.3100281475613202</c:v>
                </c:pt>
                <c:pt idx="19">
                  <c:v>1.0695854417953987</c:v>
                </c:pt>
                <c:pt idx="20">
                  <c:v>0.90347075287607737</c:v>
                </c:pt>
                <c:pt idx="21">
                  <c:v>0.79635225723351044</c:v>
                </c:pt>
                <c:pt idx="22">
                  <c:v>0.72947151474151262</c:v>
                </c:pt>
                <c:pt idx="23">
                  <c:v>0.68850370126485749</c:v>
                </c:pt>
                <c:pt idx="24">
                  <c:v>0.66382092423901562</c:v>
                </c:pt>
                <c:pt idx="25">
                  <c:v>0.64927401792146933</c:v>
                </c:pt>
                <c:pt idx="26">
                  <c:v>0.6410194053087096</c:v>
                </c:pt>
                <c:pt idx="27">
                  <c:v>0.63666956860795709</c:v>
                </c:pt>
                <c:pt idx="28">
                  <c:v>0.63473787875759702</c:v>
                </c:pt>
                <c:pt idx="29">
                  <c:v>0.63429231161021005</c:v>
                </c:pt>
                <c:pt idx="30">
                  <c:v>0.63474361557378245</c:v>
                </c:pt>
                <c:pt idx="31">
                  <c:v>0.63571626302633355</c:v>
                </c:pt>
                <c:pt idx="32">
                  <c:v>0.63696946797094289</c:v>
                </c:pt>
                <c:pt idx="33">
                  <c:v>0.63834838565125207</c:v>
                </c:pt>
                <c:pt idx="34">
                  <c:v>0.6397536003274914</c:v>
                </c:pt>
                <c:pt idx="35">
                  <c:v>0.64112180259629059</c:v>
                </c:pt>
                <c:pt idx="36">
                  <c:v>0.64241339616913273</c:v>
                </c:pt>
                <c:pt idx="37">
                  <c:v>0.64360445236820019</c:v>
                </c:pt>
                <c:pt idx="38">
                  <c:v>0.64468142879454293</c:v>
                </c:pt>
                <c:pt idx="39">
                  <c:v>0.64563766813829593</c:v>
                </c:pt>
                <c:pt idx="40">
                  <c:v>0.64647105746819411</c:v>
                </c:pt>
                <c:pt idx="41">
                  <c:v>0.64718245265334207</c:v>
                </c:pt>
                <c:pt idx="42">
                  <c:v>0.64777461249300472</c:v>
                </c:pt>
                <c:pt idx="43">
                  <c:v>0.64825147555474771</c:v>
                </c:pt>
                <c:pt idx="44">
                  <c:v>0.6486176693115645</c:v>
                </c:pt>
                <c:pt idx="45">
                  <c:v>0.64887817782669999</c:v>
                </c:pt>
                <c:pt idx="46">
                  <c:v>0.64903811825432178</c:v>
                </c:pt>
                <c:pt idx="47">
                  <c:v>0.64910259233349554</c:v>
                </c:pt>
                <c:pt idx="48">
                  <c:v>0.64907658969657112</c:v>
                </c:pt>
                <c:pt idx="49">
                  <c:v>0.64896492700087194</c:v>
                </c:pt>
                <c:pt idx="50">
                  <c:v>0.64877221178845423</c:v>
                </c:pt>
                <c:pt idx="51">
                  <c:v>0.64850282333986065</c:v>
                </c:pt>
                <c:pt idx="52">
                  <c:v>0.6481609051116618</c:v>
                </c:pt>
                <c:pt idx="53">
                  <c:v>0.64775036496479788</c:v>
                </c:pt>
                <c:pt idx="54">
                  <c:v>0.64727488052224558</c:v>
                </c:pt>
                <c:pt idx="55">
                  <c:v>0.64673790779021634</c:v>
                </c:pt>
                <c:pt idx="56">
                  <c:v>0.64614269173882499</c:v>
                </c:pt>
                <c:pt idx="57">
                  <c:v>0.64549227793576447</c:v>
                </c:pt>
                <c:pt idx="58">
                  <c:v>0.64478952460886496</c:v>
                </c:pt>
                <c:pt idx="59">
                  <c:v>0.64403711471372105</c:v>
                </c:pt>
                <c:pt idx="60">
                  <c:v>0.6432375677249027</c:v>
                </c:pt>
                <c:pt idx="61">
                  <c:v>0.64239325097009947</c:v>
                </c:pt>
                <c:pt idx="62">
                  <c:v>0.64150639039764068</c:v>
                </c:pt>
                <c:pt idx="63">
                  <c:v>0.64057908071781766</c:v>
                </c:pt>
                <c:pt idx="64">
                  <c:v>0.63961329489296259</c:v>
                </c:pt>
                <c:pt idx="65">
                  <c:v>0.63861089297504647</c:v>
                </c:pt>
                <c:pt idx="66">
                  <c:v>0.63757363030534742</c:v>
                </c:pt>
                <c:pt idx="67">
                  <c:v>0.63650316510102545</c:v>
                </c:pt>
                <c:pt idx="68">
                  <c:v>0.63540106545975161</c:v>
                </c:pt>
                <c:pt idx="69">
                  <c:v>0.63426881581690209</c:v>
                </c:pt>
                <c:pt idx="70">
                  <c:v>0.63310782289147471</c:v>
                </c:pt>
                <c:pt idx="71">
                  <c:v>0.63191942115685196</c:v>
                </c:pt>
                <c:pt idx="72">
                  <c:v>0.63070487787193374</c:v>
                </c:pt>
                <c:pt idx="73">
                  <c:v>0.62946539770666432</c:v>
                </c:pt>
                <c:pt idx="74">
                  <c:v>0.62820212699429956</c:v>
                </c:pt>
                <c:pt idx="75">
                  <c:v>0.62691615764085185</c:v>
                </c:pt>
                <c:pt idx="76">
                  <c:v>0.62560853072006084</c:v>
                </c:pt>
                <c:pt idx="77">
                  <c:v>0.62428023978024449</c:v>
                </c:pt>
                <c:pt idx="78">
                  <c:v>0.62293223388735808</c:v>
                </c:pt>
                <c:pt idx="79">
                  <c:v>0.62156542042665275</c:v>
                </c:pt>
                <c:pt idx="80">
                  <c:v>0.62018066768356683</c:v>
                </c:pt>
                <c:pt idx="81">
                  <c:v>0.61877880722265621</c:v>
                </c:pt>
                <c:pt idx="82">
                  <c:v>0.61736063608188552</c:v>
                </c:pt>
                <c:pt idx="83">
                  <c:v>0.61592691879800598</c:v>
                </c:pt>
                <c:pt idx="84">
                  <c:v>0.61447838927748044</c:v>
                </c:pt>
                <c:pt idx="85">
                  <c:v>0.61301575252604323</c:v>
                </c:pt>
                <c:pt idx="86">
                  <c:v>0.61153968624894461</c:v>
                </c:pt>
                <c:pt idx="87">
                  <c:v>0.61005084233278151</c:v>
                </c:pt>
                <c:pt idx="88">
                  <c:v>0.60854984821886771</c:v>
                </c:pt>
                <c:pt idx="89">
                  <c:v>0.60703730817727786</c:v>
                </c:pt>
                <c:pt idx="90">
                  <c:v>0.60551380448977765</c:v>
                </c:pt>
                <c:pt idx="91">
                  <c:v>0.60397989854927392</c:v>
                </c:pt>
                <c:pt idx="92">
                  <c:v>0.6024361318825654</c:v>
                </c:pt>
                <c:pt idx="93">
                  <c:v>0.60088302710278496</c:v>
                </c:pt>
                <c:pt idx="94">
                  <c:v>0.59932108879716228</c:v>
                </c:pt>
                <c:pt idx="95">
                  <c:v>0.59775080435541961</c:v>
                </c:pt>
                <c:pt idx="96">
                  <c:v>0.59617264474349219</c:v>
                </c:pt>
                <c:pt idx="97">
                  <c:v>0.59458706522700877</c:v>
                </c:pt>
                <c:pt idx="98">
                  <c:v>0.59299450604844639</c:v>
                </c:pt>
                <c:pt idx="99">
                  <c:v>0.59139539306164712</c:v>
                </c:pt>
                <c:pt idx="100">
                  <c:v>0.58979013832701499</c:v>
                </c:pt>
                <c:pt idx="101">
                  <c:v>0.58817914067039834</c:v>
                </c:pt>
                <c:pt idx="102">
                  <c:v>0.58656278620851865</c:v>
                </c:pt>
                <c:pt idx="103">
                  <c:v>0.58494144884340438</c:v>
                </c:pt>
                <c:pt idx="104">
                  <c:v>0.58331549072826394</c:v>
                </c:pt>
                <c:pt idx="105">
                  <c:v>0.58168526270685861</c:v>
                </c:pt>
                <c:pt idx="106">
                  <c:v>0.58005110472837951</c:v>
                </c:pt>
                <c:pt idx="107">
                  <c:v>0.57841334623962015</c:v>
                </c:pt>
                <c:pt idx="108">
                  <c:v>0.57677230655611511</c:v>
                </c:pt>
                <c:pt idx="109">
                  <c:v>0.57512829521371234</c:v>
                </c:pt>
                <c:pt idx="110">
                  <c:v>0.57348161230204331</c:v>
                </c:pt>
                <c:pt idx="111">
                  <c:v>0.57183254878111089</c:v>
                </c:pt>
                <c:pt idx="112">
                  <c:v>0.57018138678219987</c:v>
                </c:pt>
                <c:pt idx="113">
                  <c:v>0.56852839989421378</c:v>
                </c:pt>
                <c:pt idx="114">
                  <c:v>0.56687385343637597</c:v>
                </c:pt>
                <c:pt idx="115">
                  <c:v>0.56521800471828398</c:v>
                </c:pt>
                <c:pt idx="116">
                  <c:v>0.56356110328810738</c:v>
                </c:pt>
                <c:pt idx="117">
                  <c:v>0.56190339116972854</c:v>
                </c:pt>
                <c:pt idx="118">
                  <c:v>0.56024510308956699</c:v>
                </c:pt>
                <c:pt idx="119">
                  <c:v>0.55858646669369982</c:v>
                </c:pt>
                <c:pt idx="120">
                  <c:v>0.55692770275595149</c:v>
                </c:pt>
                <c:pt idx="121">
                  <c:v>0.55526902537744383</c:v>
                </c:pt>
                <c:pt idx="122">
                  <c:v>0.55361064217822453</c:v>
                </c:pt>
                <c:pt idx="123">
                  <c:v>0.55195275448133507</c:v>
                </c:pt>
                <c:pt idx="124">
                  <c:v>0.55029555748989456</c:v>
                </c:pt>
                <c:pt idx="125">
                  <c:v>0.54863924045750978</c:v>
                </c:pt>
                <c:pt idx="126">
                  <c:v>0.54698398685244765</c:v>
                </c:pt>
                <c:pt idx="127">
                  <c:v>0.54532997451588705</c:v>
                </c:pt>
                <c:pt idx="128">
                  <c:v>0.54367737581463205</c:v>
                </c:pt>
                <c:pt idx="129">
                  <c:v>0.54202635778853381</c:v>
                </c:pt>
                <c:pt idx="130">
                  <c:v>0.54037708229293546</c:v>
                </c:pt>
                <c:pt idx="131">
                  <c:v>0.53872970613638504</c:v>
                </c:pt>
                <c:pt idx="132">
                  <c:v>0.53708438121389124</c:v>
                </c:pt>
                <c:pt idx="133">
                  <c:v>0.53544125463589287</c:v>
                </c:pt>
                <c:pt idx="134">
                  <c:v>0.53380046885320709</c:v>
                </c:pt>
                <c:pt idx="135">
                  <c:v>0.53216216177813269</c:v>
                </c:pt>
                <c:pt idx="136">
                  <c:v>0.53052646690187077</c:v>
                </c:pt>
                <c:pt idx="137">
                  <c:v>0.52889351340846191</c:v>
                </c:pt>
                <c:pt idx="138">
                  <c:v>0.5272634262853868</c:v>
                </c:pt>
                <c:pt idx="139">
                  <c:v>0.52563632643098057</c:v>
                </c:pt>
                <c:pt idx="140">
                  <c:v>0.52401233075878184</c:v>
                </c:pt>
                <c:pt idx="141">
                  <c:v>0.52239155229897971</c:v>
                </c:pt>
                <c:pt idx="142">
                  <c:v>0.52077410029705862</c:v>
                </c:pt>
                <c:pt idx="143">
                  <c:v>0.51916008030973937</c:v>
                </c:pt>
                <c:pt idx="144">
                  <c:v>0.51754959429837144</c:v>
                </c:pt>
                <c:pt idx="145">
                  <c:v>0.51594274071980739</c:v>
                </c:pt>
                <c:pt idx="146">
                  <c:v>0.51433961461492617</c:v>
                </c:pt>
                <c:pt idx="147">
                  <c:v>0.5127403076948388</c:v>
                </c:pt>
                <c:pt idx="148">
                  <c:v>0.51114490842487914</c:v>
                </c:pt>
                <c:pt idx="149">
                  <c:v>0.50955350210647221</c:v>
                </c:pt>
                <c:pt idx="150">
                  <c:v>0.50796617095691232</c:v>
                </c:pt>
                <c:pt idx="151">
                  <c:v>0.50638299418718158</c:v>
                </c:pt>
                <c:pt idx="152">
                  <c:v>0.50480404807781609</c:v>
                </c:pt>
                <c:pt idx="153">
                  <c:v>0.50322940605291111</c:v>
                </c:pt>
                <c:pt idx="154">
                  <c:v>0.50165913875232226</c:v>
                </c:pt>
                <c:pt idx="155">
                  <c:v>0.50009331410211477</c:v>
                </c:pt>
                <c:pt idx="156">
                  <c:v>0.49853199738332693</c:v>
                </c:pt>
                <c:pt idx="157">
                  <c:v>0.49697525129905479</c:v>
                </c:pt>
                <c:pt idx="158">
                  <c:v>0.49542313603997551</c:v>
                </c:pt>
                <c:pt idx="159">
                  <c:v>0.49387570934829117</c:v>
                </c:pt>
                <c:pt idx="160">
                  <c:v>0.49233302658016892</c:v>
                </c:pt>
                <c:pt idx="161">
                  <c:v>0.49079514076671976</c:v>
                </c:pt>
                <c:pt idx="162">
                  <c:v>0.4892621026735402</c:v>
                </c:pt>
                <c:pt idx="163">
                  <c:v>0.48773396085886916</c:v>
                </c:pt>
                <c:pt idx="164">
                  <c:v>0.48621076173038691</c:v>
                </c:pt>
                <c:pt idx="165">
                  <c:v>0.48469254960069258</c:v>
                </c:pt>
                <c:pt idx="166">
                  <c:v>0.48317936674151057</c:v>
                </c:pt>
                <c:pt idx="167">
                  <c:v>0.48167125343662492</c:v>
                </c:pt>
                <c:pt idx="168">
                  <c:v>0.48016824803360375</c:v>
                </c:pt>
                <c:pt idx="169">
                  <c:v>0.47867038699432679</c:v>
                </c:pt>
                <c:pt idx="170">
                  <c:v>0.47717770494434958</c:v>
                </c:pt>
                <c:pt idx="171">
                  <c:v>0.47569023472114486</c:v>
                </c:pt>
                <c:pt idx="172">
                  <c:v>0.4742080074212095</c:v>
                </c:pt>
                <c:pt idx="173">
                  <c:v>0.47273105244610597</c:v>
                </c:pt>
                <c:pt idx="174">
                  <c:v>0.47125939754745744</c:v>
                </c:pt>
                <c:pt idx="175">
                  <c:v>0.4697930688708889</c:v>
                </c:pt>
                <c:pt idx="176">
                  <c:v>0.46833209099896522</c:v>
                </c:pt>
                <c:pt idx="177">
                  <c:v>0.466876486993137</c:v>
                </c:pt>
                <c:pt idx="178">
                  <c:v>0.46542627843474876</c:v>
                </c:pt>
                <c:pt idx="179">
                  <c:v>0.46398148546507617</c:v>
                </c:pt>
                <c:pt idx="180">
                  <c:v>0.46254212682443441</c:v>
                </c:pt>
                <c:pt idx="181">
                  <c:v>0.46110821989043882</c:v>
                </c:pt>
                <c:pt idx="182">
                  <c:v>0.45967978071530929</c:v>
                </c:pt>
                <c:pt idx="183">
                  <c:v>0.45825682406237261</c:v>
                </c:pt>
                <c:pt idx="184">
                  <c:v>0.45683936344169529</c:v>
                </c:pt>
                <c:pt idx="185">
                  <c:v>0.45542741114488389</c:v>
                </c:pt>
                <c:pt idx="186">
                  <c:v>0.45402097827911075</c:v>
                </c:pt>
                <c:pt idx="187">
                  <c:v>0.45262007480031319</c:v>
                </c:pt>
                <c:pt idx="188">
                  <c:v>0.45122470954564337</c:v>
                </c:pt>
                <c:pt idx="189">
                  <c:v>0.44983489026516044</c:v>
                </c:pt>
                <c:pt idx="190">
                  <c:v>0.44845062365276367</c:v>
                </c:pt>
                <c:pt idx="191">
                  <c:v>0.44707191537643842</c:v>
                </c:pt>
                <c:pt idx="192">
                  <c:v>0.4456987701077561</c:v>
                </c:pt>
                <c:pt idx="193">
                  <c:v>0.44433119155070477</c:v>
                </c:pt>
                <c:pt idx="194">
                  <c:v>0.44296918246982997</c:v>
                </c:pt>
                <c:pt idx="195">
                  <c:v>0.44161274471773621</c:v>
                </c:pt>
                <c:pt idx="196">
                  <c:v>0.4402618792618862</c:v>
                </c:pt>
                <c:pt idx="197">
                  <c:v>0.43891658621083968</c:v>
                </c:pt>
                <c:pt idx="198">
                  <c:v>0.43757686483979663</c:v>
                </c:pt>
                <c:pt idx="199">
                  <c:v>0.43624271361558109</c:v>
                </c:pt>
                <c:pt idx="200">
                  <c:v>0.43491413022101999</c:v>
                </c:pt>
                <c:pt idx="201">
                  <c:v>0.43359111157871877</c:v>
                </c:pt>
                <c:pt idx="202">
                  <c:v>0.43227365387429728</c:v>
                </c:pt>
                <c:pt idx="203">
                  <c:v>0.43096175257903774</c:v>
                </c:pt>
                <c:pt idx="204">
                  <c:v>0.42965540247202527</c:v>
                </c:pt>
                <c:pt idx="205">
                  <c:v>0.42835459766170664</c:v>
                </c:pt>
                <c:pt idx="206">
                  <c:v>0.42705933160697312</c:v>
                </c:pt>
                <c:pt idx="207">
                  <c:v>0.42576959713769746</c:v>
                </c:pt>
                <c:pt idx="208">
                  <c:v>0.42448538647479278</c:v>
                </c:pt>
                <c:pt idx="209">
                  <c:v>0.42320669124977711</c:v>
                </c:pt>
                <c:pt idx="210">
                  <c:v>0.42193350252385209</c:v>
                </c:pt>
                <c:pt idx="211">
                  <c:v>0.42066581080651749</c:v>
                </c:pt>
                <c:pt idx="212">
                  <c:v>0.41940360607374305</c:v>
                </c:pt>
                <c:pt idx="213">
                  <c:v>0.41814687778565734</c:v>
                </c:pt>
                <c:pt idx="214">
                  <c:v>0.41689561490384813</c:v>
                </c:pt>
                <c:pt idx="215">
                  <c:v>0.41564980590818779</c:v>
                </c:pt>
                <c:pt idx="216">
                  <c:v>0.41440943881326664</c:v>
                </c:pt>
                <c:pt idx="217">
                  <c:v>0.41317450118440618</c:v>
                </c:pt>
                <c:pt idx="218">
                  <c:v>0.41194498015328607</c:v>
                </c:pt>
                <c:pt idx="219">
                  <c:v>0.41072086243315609</c:v>
                </c:pt>
                <c:pt idx="220">
                  <c:v>0.4095021343336871</c:v>
                </c:pt>
                <c:pt idx="221">
                  <c:v>0.40828878177543898</c:v>
                </c:pt>
                <c:pt idx="222">
                  <c:v>0.40708079030396011</c:v>
                </c:pt>
                <c:pt idx="223">
                  <c:v>0.40587814510352849</c:v>
                </c:pt>
                <c:pt idx="224">
                  <c:v>0.4046808310105543</c:v>
                </c:pt>
                <c:pt idx="225">
                  <c:v>0.40348883252662993</c:v>
                </c:pt>
                <c:pt idx="226">
                  <c:v>0.40230213383124575</c:v>
                </c:pt>
                <c:pt idx="227">
                  <c:v>0.40112071879418398</c:v>
                </c:pt>
                <c:pt idx="228">
                  <c:v>0.3999445709875934</c:v>
                </c:pt>
                <c:pt idx="229">
                  <c:v>0.39877367369774613</c:v>
                </c:pt>
                <c:pt idx="230">
                  <c:v>0.39760800993649847</c:v>
                </c:pt>
                <c:pt idx="231">
                  <c:v>0.39644756245244883</c:v>
                </c:pt>
                <c:pt idx="232">
                  <c:v>0.39529231374179952</c:v>
                </c:pt>
                <c:pt idx="233">
                  <c:v>0.39414224605894677</c:v>
                </c:pt>
                <c:pt idx="234">
                  <c:v>0.39299734142677906</c:v>
                </c:pt>
                <c:pt idx="235">
                  <c:v>0.39185758164671708</c:v>
                </c:pt>
                <c:pt idx="236">
                  <c:v>0.39072294830846682</c:v>
                </c:pt>
                <c:pt idx="237">
                  <c:v>0.38959342279954973</c:v>
                </c:pt>
                <c:pt idx="238">
                  <c:v>0.38846898631454935</c:v>
                </c:pt>
                <c:pt idx="239">
                  <c:v>0.38734961986410926</c:v>
                </c:pt>
                <c:pt idx="240">
                  <c:v>0.38623530428371644</c:v>
                </c:pt>
                <c:pt idx="241">
                  <c:v>0.38512602024221665</c:v>
                </c:pt>
                <c:pt idx="242">
                  <c:v>0.38402174825013663</c:v>
                </c:pt>
                <c:pt idx="243">
                  <c:v>0.38292246866773583</c:v>
                </c:pt>
                <c:pt idx="244">
                  <c:v>0.38182816171287043</c:v>
                </c:pt>
                <c:pt idx="245">
                  <c:v>0.38073880746865335</c:v>
                </c:pt>
              </c:numCache>
            </c:numRef>
          </c:yVal>
          <c:smooth val="1"/>
          <c:extLst>
            <c:ext xmlns:c16="http://schemas.microsoft.com/office/drawing/2014/chart" uri="{C3380CC4-5D6E-409C-BE32-E72D297353CC}">
              <c16:uniqueId val="{00000000-B1C7-4517-A142-ABF7DDF7C046}"/>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majorGridlines/>
        <c:minorGridlines/>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w="6350">
              <a:solidFill>
                <a:srgbClr val="C00000"/>
              </a:solidFill>
            </a:ln>
          </c:spPr>
        </c:majorGridlines>
        <c:min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General"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Harmonic Filter Current</a:t>
            </a:r>
            <a:r>
              <a:rPr lang="en-US" sz="1400" baseline="0">
                <a:solidFill>
                  <a:srgbClr val="0E9ED9"/>
                </a:solidFill>
              </a:rPr>
              <a:t> Flow in Amps for 1 Amp of Harmonic Current Injection at the Harmonic Filter</a:t>
            </a:r>
            <a:endParaRPr lang="en-US" sz="1400"/>
          </a:p>
        </c:rich>
      </c:tx>
      <c:layout>
        <c:manualLayout>
          <c:xMode val="edge"/>
          <c:yMode val="edge"/>
          <c:x val="0.13626142395923779"/>
          <c:y val="2.3219124373200388E-2"/>
        </c:manualLayout>
      </c:layout>
      <c:overlay val="0"/>
    </c:title>
    <c:autoTitleDeleted val="0"/>
    <c:plotArea>
      <c:layout>
        <c:manualLayout>
          <c:layoutTarget val="inner"/>
          <c:xMode val="edge"/>
          <c:yMode val="edge"/>
          <c:x val="9.892035564252924E-2"/>
          <c:y val="0.15612713175395532"/>
          <c:w val="0.84222878542038149"/>
          <c:h val="0.68525376079766231"/>
        </c:manualLayout>
      </c:layout>
      <c:scatterChart>
        <c:scatterStyle val="smoothMarker"/>
        <c:varyColors val="0"/>
        <c:ser>
          <c:idx val="0"/>
          <c:order val="0"/>
          <c:marker>
            <c:symbol val="none"/>
          </c:marker>
          <c:xVal>
            <c:numRef>
              <c:f>'C-HP Filter Design'!$DE$27:$DE$272</c:f>
              <c:numCache>
                <c:formatCode>0.0</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Design'!$DF$27:$DF$272</c:f>
              <c:numCache>
                <c:formatCode>0.000</c:formatCode>
                <c:ptCount val="246"/>
                <c:pt idx="0">
                  <c:v>1.8868807533457353E-2</c:v>
                </c:pt>
                <c:pt idx="1">
                  <c:v>2.7915683358015333E-2</c:v>
                </c:pt>
                <c:pt idx="2">
                  <c:v>3.9268448976109864E-2</c:v>
                </c:pt>
                <c:pt idx="3">
                  <c:v>5.3339736782983163E-2</c:v>
                </c:pt>
                <c:pt idx="4">
                  <c:v>7.0684784495412448E-2</c:v>
                </c:pt>
                <c:pt idx="5">
                  <c:v>9.2055619315777784E-2</c:v>
                </c:pt>
                <c:pt idx="6">
                  <c:v>0.11848259226796201</c:v>
                </c:pt>
                <c:pt idx="7">
                  <c:v>0.15139899075799843</c:v>
                </c:pt>
                <c:pt idx="8">
                  <c:v>0.19283412768309469</c:v>
                </c:pt>
                <c:pt idx="9">
                  <c:v>0.24571426705210639</c:v>
                </c:pt>
                <c:pt idx="10">
                  <c:v>0.31432381521908775</c:v>
                </c:pt>
                <c:pt idx="11">
                  <c:v>0.40495586315942866</c:v>
                </c:pt>
                <c:pt idx="12">
                  <c:v>0.52655124666753561</c:v>
                </c:pt>
                <c:pt idx="13">
                  <c:v>0.68999233092531875</c:v>
                </c:pt>
                <c:pt idx="14">
                  <c:v>0.90057252192794734</c:v>
                </c:pt>
                <c:pt idx="15">
                  <c:v>1.1310115828126557</c:v>
                </c:pt>
                <c:pt idx="16">
                  <c:v>1.2897290328684652</c:v>
                </c:pt>
                <c:pt idx="17">
                  <c:v>1.2963508152640362</c:v>
                </c:pt>
                <c:pt idx="18">
                  <c:v>1.1959732152262617</c:v>
                </c:pt>
                <c:pt idx="19">
                  <c:v>1.0719487239822927</c:v>
                </c:pt>
                <c:pt idx="20">
                  <c:v>0.96251327007686605</c:v>
                </c:pt>
                <c:pt idx="21">
                  <c:v>0.87470017425559587</c:v>
                </c:pt>
                <c:pt idx="22">
                  <c:v>0.80581727695738326</c:v>
                </c:pt>
                <c:pt idx="23">
                  <c:v>0.7516895799069907</c:v>
                </c:pt>
                <c:pt idx="24">
                  <c:v>0.70874394977179811</c:v>
                </c:pt>
                <c:pt idx="25">
                  <c:v>0.67427701051444922</c:v>
                </c:pt>
                <c:pt idx="26">
                  <c:v>0.64630840990236516</c:v>
                </c:pt>
                <c:pt idx="27">
                  <c:v>0.6233910964291598</c:v>
                </c:pt>
                <c:pt idx="28">
                  <c:v>0.60445841466394257</c:v>
                </c:pt>
                <c:pt idx="29">
                  <c:v>0.58871381910670306</c:v>
                </c:pt>
                <c:pt idx="30">
                  <c:v>0.57555391122959265</c:v>
                </c:pt>
                <c:pt idx="31">
                  <c:v>0.56451503449863816</c:v>
                </c:pt>
                <c:pt idx="32">
                  <c:v>0.55523600567797671</c:v>
                </c:pt>
                <c:pt idx="33">
                  <c:v>0.5474318297446239</c:v>
                </c:pt>
                <c:pt idx="34">
                  <c:v>0.54087492589572084</c:v>
                </c:pt>
                <c:pt idx="35">
                  <c:v>0.53538153961812707</c:v>
                </c:pt>
                <c:pt idx="36">
                  <c:v>0.53080177807775764</c:v>
                </c:pt>
                <c:pt idx="37">
                  <c:v>0.52701220919682767</c:v>
                </c:pt>
                <c:pt idx="38">
                  <c:v>0.52391029792482924</c:v>
                </c:pt>
                <c:pt idx="39">
                  <c:v>0.52141017557982161</c:v>
                </c:pt>
                <c:pt idx="40">
                  <c:v>0.51943938812028023</c:v>
                </c:pt>
                <c:pt idx="41">
                  <c:v>0.51793637153351024</c:v>
                </c:pt>
                <c:pt idx="42">
                  <c:v>0.5168484731671289</c:v>
                </c:pt>
                <c:pt idx="43">
                  <c:v>0.51613038717388415</c:v>
                </c:pt>
                <c:pt idx="44">
                  <c:v>0.5157429071066707</c:v>
                </c:pt>
                <c:pt idx="45">
                  <c:v>0.51565192361223144</c:v>
                </c:pt>
                <c:pt idx="46">
                  <c:v>0.51582761316245074</c:v>
                </c:pt>
                <c:pt idx="47">
                  <c:v>0.51624377688655188</c:v>
                </c:pt>
                <c:pt idx="48">
                  <c:v>0.51687729823565565</c:v>
                </c:pt>
                <c:pt idx="49">
                  <c:v>0.51770769539918082</c:v>
                </c:pt>
                <c:pt idx="50">
                  <c:v>0.51871674978355009</c:v>
                </c:pt>
                <c:pt idx="51">
                  <c:v>0.51988819594062574</c:v>
                </c:pt>
                <c:pt idx="52">
                  <c:v>0.52120746144123142</c:v>
                </c:pt>
                <c:pt idx="53">
                  <c:v>0.52266144757576571</c:v>
                </c:pt>
                <c:pt idx="54">
                  <c:v>0.52423834361016686</c:v>
                </c:pt>
                <c:pt idx="55">
                  <c:v>0.52592746876320917</c:v>
                </c:pt>
                <c:pt idx="56">
                  <c:v>0.52771913719795127</c:v>
                </c:pt>
                <c:pt idx="57">
                  <c:v>0.52960454220894504</c:v>
                </c:pt>
                <c:pt idx="58">
                  <c:v>0.53157565649166816</c:v>
                </c:pt>
                <c:pt idx="59">
                  <c:v>0.53362514594313171</c:v>
                </c:pt>
                <c:pt idx="60">
                  <c:v>0.53574629489349468</c:v>
                </c:pt>
                <c:pt idx="61">
                  <c:v>0.53793294103210276</c:v>
                </c:pt>
                <c:pt idx="62">
                  <c:v>0.54017941858581775</c:v>
                </c:pt>
                <c:pt idx="63">
                  <c:v>0.54248050854710372</c:v>
                </c:pt>
                <c:pt idx="64">
                  <c:v>0.54483139494523602</c:v>
                </c:pt>
                <c:pt idx="65">
                  <c:v>0.54722762631477062</c:v>
                </c:pt>
                <c:pt idx="66">
                  <c:v>0.54966508164797412</c:v>
                </c:pt>
                <c:pt idx="67">
                  <c:v>0.55213994022758284</c:v>
                </c:pt>
                <c:pt idx="68">
                  <c:v>0.55464865482740111</c:v>
                </c:pt>
                <c:pt idx="69">
                  <c:v>0.55718792784417037</c:v>
                </c:pt>
                <c:pt idx="70">
                  <c:v>0.5597546899877851</c:v>
                </c:pt>
                <c:pt idx="71">
                  <c:v>0.56234608121013729</c:v>
                </c:pt>
                <c:pt idx="72">
                  <c:v>0.56495943359798884</c:v>
                </c:pt>
                <c:pt idx="73">
                  <c:v>0.5675922559930795</c:v>
                </c:pt>
                <c:pt idx="74">
                  <c:v>0.57024222013491821</c:v>
                </c:pt>
                <c:pt idx="75">
                  <c:v>0.57290714814906563</c:v>
                </c:pt>
                <c:pt idx="76">
                  <c:v>0.57558500122698486</c:v>
                </c:pt>
                <c:pt idx="77">
                  <c:v>0.57827386936339986</c:v>
                </c:pt>
                <c:pt idx="78">
                  <c:v>0.58097196203433099</c:v>
                </c:pt>
                <c:pt idx="79">
                  <c:v>0.5836775997134146</c:v>
                </c:pt>
                <c:pt idx="80">
                  <c:v>0.58638920613693513</c:v>
                </c:pt>
                <c:pt idx="81">
                  <c:v>0.58910530123877269</c:v>
                </c:pt>
                <c:pt idx="82">
                  <c:v>0.59182449468594567</c:v>
                </c:pt>
                <c:pt idx="83">
                  <c:v>0.59454547995359153</c:v>
                </c:pt>
                <c:pt idx="84">
                  <c:v>0.59726702888537131</c:v>
                </c:pt>
                <c:pt idx="85">
                  <c:v>0.59998798669139064</c:v>
                </c:pt>
                <c:pt idx="86">
                  <c:v>0.60270726734123858</c:v>
                </c:pt>
                <c:pt idx="87">
                  <c:v>0.60542384931438775</c:v>
                </c:pt>
                <c:pt idx="88">
                  <c:v>0.60813677167436242</c:v>
                </c:pt>
                <c:pt idx="89">
                  <c:v>0.61084513043674393</c:v>
                </c:pt>
                <c:pt idx="90">
                  <c:v>0.6135480752042255</c:v>
                </c:pt>
                <c:pt idx="91">
                  <c:v>0.61624480604481302</c:v>
                </c:pt>
                <c:pt idx="92">
                  <c:v>0.61893457059163726</c:v>
                </c:pt>
                <c:pt idx="93">
                  <c:v>0.62161666134523208</c:v>
                </c:pt>
                <c:pt idx="94">
                  <c:v>0.62429041316081546</c:v>
                </c:pt>
                <c:pt idx="95">
                  <c:v>0.62695520090516044</c:v>
                </c:pt>
                <c:pt idx="96">
                  <c:v>0.6296104372687904</c:v>
                </c:pt>
                <c:pt idx="97">
                  <c:v>0.63225557072102456</c:v>
                </c:pt>
                <c:pt idx="98">
                  <c:v>0.63489008359620358</c:v>
                </c:pt>
                <c:pt idx="99">
                  <c:v>0.63751349030082993</c:v>
                </c:pt>
                <c:pt idx="100">
                  <c:v>0.64012533563216378</c:v>
                </c:pt>
                <c:pt idx="101">
                  <c:v>0.64272519319966614</c:v>
                </c:pt>
                <c:pt idx="102">
                  <c:v>0.64531266394161768</c:v>
                </c:pt>
                <c:pt idx="103">
                  <c:v>0.64788737472971503</c:v>
                </c:pt>
                <c:pt idx="104">
                  <c:v>0.65044897705529536</c:v>
                </c:pt>
                <c:pt idx="105">
                  <c:v>0.65299714579121715</c:v>
                </c:pt>
                <c:pt idx="106">
                  <c:v>0.65553157802407658</c:v>
                </c:pt>
                <c:pt idx="107">
                  <c:v>0.65805199195179087</c:v>
                </c:pt>
                <c:pt idx="108">
                  <c:v>0.66055812584208451</c:v>
                </c:pt>
                <c:pt idx="109">
                  <c:v>0.66304973704769099</c:v>
                </c:pt>
                <c:pt idx="110">
                  <c:v>0.66552660107453476</c:v>
                </c:pt>
                <c:pt idx="111">
                  <c:v>0.66798851069933496</c:v>
                </c:pt>
                <c:pt idx="112">
                  <c:v>0.67043527513349233</c:v>
                </c:pt>
                <c:pt idx="113">
                  <c:v>0.67286671923024999</c:v>
                </c:pt>
                <c:pt idx="114">
                  <c:v>0.67528268273241032</c:v>
                </c:pt>
                <c:pt idx="115">
                  <c:v>0.67768301955811494</c:v>
                </c:pt>
                <c:pt idx="116">
                  <c:v>0.68006759712233367</c:v>
                </c:pt>
                <c:pt idx="117">
                  <c:v>0.68243629569189457</c:v>
                </c:pt>
                <c:pt idx="118">
                  <c:v>0.68478900777212803</c:v>
                </c:pt>
                <c:pt idx="119">
                  <c:v>0.68712563752319034</c:v>
                </c:pt>
                <c:pt idx="120">
                  <c:v>0.68944610020441532</c:v>
                </c:pt>
                <c:pt idx="121">
                  <c:v>0.69175032164504069</c:v>
                </c:pt>
                <c:pt idx="122">
                  <c:v>0.69403823773991313</c:v>
                </c:pt>
                <c:pt idx="123">
                  <c:v>0.69630979396867232</c:v>
                </c:pt>
                <c:pt idx="124">
                  <c:v>0.69856494493723997</c:v>
                </c:pt>
                <c:pt idx="125">
                  <c:v>0.70080365394034017</c:v>
                </c:pt>
                <c:pt idx="126">
                  <c:v>0.70302589254396841</c:v>
                </c:pt>
                <c:pt idx="127">
                  <c:v>0.70523164018672424</c:v>
                </c:pt>
                <c:pt idx="128">
                  <c:v>0.70742088379907808</c:v>
                </c:pt>
                <c:pt idx="129">
                  <c:v>0.70959361743961713</c:v>
                </c:pt>
                <c:pt idx="130">
                  <c:v>0.71174984194741431</c:v>
                </c:pt>
                <c:pt idx="131">
                  <c:v>0.7138895646097132</c:v>
                </c:pt>
                <c:pt idx="132">
                  <c:v>0.71601279884421154</c:v>
                </c:pt>
                <c:pt idx="133">
                  <c:v>0.71811956389515696</c:v>
                </c:pt>
                <c:pt idx="134">
                  <c:v>0.72020988454264201</c:v>
                </c:pt>
                <c:pt idx="135">
                  <c:v>0.72228379082447325</c:v>
                </c:pt>
                <c:pt idx="136">
                  <c:v>0.72434131776996513</c:v>
                </c:pt>
                <c:pt idx="137">
                  <c:v>0.72638250514515346</c:v>
                </c:pt>
                <c:pt idx="138">
                  <c:v>0.72840739720888437</c:v>
                </c:pt>
                <c:pt idx="139">
                  <c:v>0.73041604247926972</c:v>
                </c:pt>
                <c:pt idx="140">
                  <c:v>0.73240849351003634</c:v>
                </c:pt>
                <c:pt idx="141">
                  <c:v>0.73438480667635397</c:v>
                </c:pt>
                <c:pt idx="142">
                  <c:v>0.73634504196967887</c:v>
                </c:pt>
                <c:pt idx="143">
                  <c:v>0.73828926280123619</c:v>
                </c:pt>
                <c:pt idx="144">
                  <c:v>0.74021753581376304</c:v>
                </c:pt>
                <c:pt idx="145">
                  <c:v>0.74212993070115851</c:v>
                </c:pt>
                <c:pt idx="146">
                  <c:v>0.74402652003565228</c:v>
                </c:pt>
                <c:pt idx="147">
                  <c:v>0.74590737910226101</c:v>
                </c:pt>
                <c:pt idx="148">
                  <c:v>0.74777258574011163</c:v>
                </c:pt>
                <c:pt idx="149">
                  <c:v>0.74962222019046276</c:v>
                </c:pt>
                <c:pt idx="150">
                  <c:v>0.7514563649510092</c:v>
                </c:pt>
                <c:pt idx="151">
                  <c:v>0.75327510463632996</c:v>
                </c:pt>
                <c:pt idx="152">
                  <c:v>0.75507852584415791</c:v>
                </c:pt>
                <c:pt idx="153">
                  <c:v>0.75686671702723307</c:v>
                </c:pt>
                <c:pt idx="154">
                  <c:v>0.75863976837053904</c:v>
                </c:pt>
                <c:pt idx="155">
                  <c:v>0.76039777167367506</c:v>
                </c:pt>
                <c:pt idx="156">
                  <c:v>0.76214082023819685</c:v>
                </c:pt>
                <c:pt idx="157">
                  <c:v>0.76386900875965025</c:v>
                </c:pt>
                <c:pt idx="158">
                  <c:v>0.76558243322420483</c:v>
                </c:pt>
                <c:pt idx="159">
                  <c:v>0.76728119080962331</c:v>
                </c:pt>
                <c:pt idx="160">
                  <c:v>0.76896537979043333</c:v>
                </c:pt>
                <c:pt idx="161">
                  <c:v>0.77063509944714048</c:v>
                </c:pt>
                <c:pt idx="162">
                  <c:v>0.77229044997928242</c:v>
                </c:pt>
                <c:pt idx="163">
                  <c:v>0.77393153242222978</c:v>
                </c:pt>
                <c:pt idx="164">
                  <c:v>0.77555844856753708</c:v>
                </c:pt>
                <c:pt idx="165">
                  <c:v>0.77717130088672459</c:v>
                </c:pt>
                <c:pt idx="166">
                  <c:v>0.7787701924583682</c:v>
                </c:pt>
                <c:pt idx="167">
                  <c:v>0.78035522689834302</c:v>
                </c:pt>
                <c:pt idx="168">
                  <c:v>0.78192650829312149</c:v>
                </c:pt>
                <c:pt idx="169">
                  <c:v>0.78348414113598985</c:v>
                </c:pt>
                <c:pt idx="170">
                  <c:v>0.78502823026607849</c:v>
                </c:pt>
                <c:pt idx="171">
                  <c:v>0.78655888081010283</c:v>
                </c:pt>
                <c:pt idx="172">
                  <c:v>0.78807619812668717</c:v>
                </c:pt>
                <c:pt idx="173">
                  <c:v>0.78958028775321198</c:v>
                </c:pt>
                <c:pt idx="174">
                  <c:v>0.79107125535504175</c:v>
                </c:pt>
                <c:pt idx="175">
                  <c:v>0.79254920667705886</c:v>
                </c:pt>
                <c:pt idx="176">
                  <c:v>0.79401424749744787</c:v>
                </c:pt>
                <c:pt idx="177">
                  <c:v>0.7954664835835823</c:v>
                </c:pt>
                <c:pt idx="178">
                  <c:v>0.79690602064997562</c:v>
                </c:pt>
                <c:pt idx="179">
                  <c:v>0.79833296431822465</c:v>
                </c:pt>
                <c:pt idx="180">
                  <c:v>0.79974742007880728</c:v>
                </c:pt>
                <c:pt idx="181">
                  <c:v>0.80114949325475493</c:v>
                </c:pt>
                <c:pt idx="182">
                  <c:v>0.80253928896704252</c:v>
                </c:pt>
                <c:pt idx="183">
                  <c:v>0.80391691210167215</c:v>
                </c:pt>
                <c:pt idx="184">
                  <c:v>0.80528246727840458</c:v>
                </c:pt>
                <c:pt idx="185">
                  <c:v>0.80663605882100908</c:v>
                </c:pt>
                <c:pt idx="186">
                  <c:v>0.80797779072903408</c:v>
                </c:pt>
                <c:pt idx="187">
                  <c:v>0.80930776665102688</c:v>
                </c:pt>
                <c:pt idx="188">
                  <c:v>0.81062608985911566</c:v>
                </c:pt>
                <c:pt idx="189">
                  <c:v>0.81193286322492275</c:v>
                </c:pt>
                <c:pt idx="190">
                  <c:v>0.81322818919680717</c:v>
                </c:pt>
                <c:pt idx="191">
                  <c:v>0.81451216977824037</c:v>
                </c:pt>
                <c:pt idx="192">
                  <c:v>0.8157849065074686</c:v>
                </c:pt>
                <c:pt idx="193">
                  <c:v>0.8170465004382238</c:v>
                </c:pt>
                <c:pt idx="194">
                  <c:v>0.81829705212158776</c:v>
                </c:pt>
                <c:pt idx="195">
                  <c:v>0.81953666158886007</c:v>
                </c:pt>
                <c:pt idx="196">
                  <c:v>0.82076542833545463</c:v>
                </c:pt>
                <c:pt idx="197">
                  <c:v>0.82198345130575889</c:v>
                </c:pt>
                <c:pt idx="198">
                  <c:v>0.82319082887891371</c:v>
                </c:pt>
                <c:pt idx="199">
                  <c:v>0.82438765885550069</c:v>
                </c:pt>
                <c:pt idx="200">
                  <c:v>0.82557403844505506</c:v>
                </c:pt>
                <c:pt idx="201">
                  <c:v>0.82675006425443132</c:v>
                </c:pt>
                <c:pt idx="202">
                  <c:v>0.82791583227694532</c:v>
                </c:pt>
                <c:pt idx="203">
                  <c:v>0.82907143788226534</c:v>
                </c:pt>
                <c:pt idx="204">
                  <c:v>0.83021697580702836</c:v>
                </c:pt>
                <c:pt idx="205">
                  <c:v>0.83135254014617177</c:v>
                </c:pt>
                <c:pt idx="206">
                  <c:v>0.83247822434490515</c:v>
                </c:pt>
                <c:pt idx="207">
                  <c:v>0.83359412119135423</c:v>
                </c:pt>
                <c:pt idx="208">
                  <c:v>0.83470032280976847</c:v>
                </c:pt>
                <c:pt idx="209">
                  <c:v>0.83579692065439304</c:v>
                </c:pt>
                <c:pt idx="210">
                  <c:v>0.83688400550381459</c:v>
                </c:pt>
                <c:pt idx="211">
                  <c:v>0.83796166745592826</c:v>
                </c:pt>
                <c:pt idx="212">
                  <c:v>0.83902999592335814</c:v>
                </c:pt>
                <c:pt idx="213">
                  <c:v>0.8400890796294278</c:v>
                </c:pt>
                <c:pt idx="214">
                  <c:v>0.84113900660455576</c:v>
                </c:pt>
                <c:pt idx="215">
                  <c:v>0.84217986418314317</c:v>
                </c:pt>
                <c:pt idx="216">
                  <c:v>0.84321173900087154</c:v>
                </c:pt>
                <c:pt idx="217">
                  <c:v>0.84423471699242292</c:v>
                </c:pt>
                <c:pt idx="218">
                  <c:v>0.84524888338961579</c:v>
                </c:pt>
                <c:pt idx="219">
                  <c:v>0.84625432271987511</c:v>
                </c:pt>
                <c:pt idx="220">
                  <c:v>0.84725111880512294</c:v>
                </c:pt>
                <c:pt idx="221">
                  <c:v>0.84823935476096834</c:v>
                </c:pt>
                <c:pt idx="222">
                  <c:v>0.84921911299625608</c:v>
                </c:pt>
                <c:pt idx="223">
                  <c:v>0.85019047521291347</c:v>
                </c:pt>
                <c:pt idx="224">
                  <c:v>0.85115352240611353</c:v>
                </c:pt>
                <c:pt idx="225">
                  <c:v>0.85210833486471638</c:v>
                </c:pt>
                <c:pt idx="226">
                  <c:v>0.85305499217198799</c:v>
                </c:pt>
                <c:pt idx="227">
                  <c:v>0.85399357320658442</c:v>
                </c:pt>
                <c:pt idx="228">
                  <c:v>0.85492415614376294</c:v>
                </c:pt>
                <c:pt idx="229">
                  <c:v>0.85584681845686505</c:v>
                </c:pt>
                <c:pt idx="230">
                  <c:v>0.85676163691899765</c:v>
                </c:pt>
                <c:pt idx="231">
                  <c:v>0.85766868760493953</c:v>
                </c:pt>
                <c:pt idx="232">
                  <c:v>0.85856804589323532</c:v>
                </c:pt>
                <c:pt idx="233">
                  <c:v>0.85945978646851451</c:v>
                </c:pt>
                <c:pt idx="234">
                  <c:v>0.86034398332396012</c:v>
                </c:pt>
                <c:pt idx="235">
                  <c:v>0.86122070976397602</c:v>
                </c:pt>
                <c:pt idx="236">
                  <c:v>0.86209003840699039</c:v>
                </c:pt>
                <c:pt idx="237">
                  <c:v>0.86295204118845126</c:v>
                </c:pt>
                <c:pt idx="238">
                  <c:v>0.86380678936394051</c:v>
                </c:pt>
                <c:pt idx="239">
                  <c:v>0.86465435351243602</c:v>
                </c:pt>
                <c:pt idx="240">
                  <c:v>0.8654948035397082</c:v>
                </c:pt>
                <c:pt idx="241">
                  <c:v>0.86632820868184357</c:v>
                </c:pt>
                <c:pt idx="242">
                  <c:v>0.86715463750885691</c:v>
                </c:pt>
                <c:pt idx="243">
                  <c:v>0.8679741579284701</c:v>
                </c:pt>
                <c:pt idx="244">
                  <c:v>0.86878683718992533</c:v>
                </c:pt>
                <c:pt idx="245">
                  <c:v>0.86959274188795066</c:v>
                </c:pt>
              </c:numCache>
            </c:numRef>
          </c:yVal>
          <c:smooth val="1"/>
          <c:extLst>
            <c:ext xmlns:c16="http://schemas.microsoft.com/office/drawing/2014/chart" uri="{C3380CC4-5D6E-409C-BE32-E72D297353CC}">
              <c16:uniqueId val="{00000000-0C6A-45D2-94B8-568E1BD92ADB}"/>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majorGridlines/>
        <c:minorGridlines/>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0.0"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max val="2"/>
        </c:scaling>
        <c:delete val="0"/>
        <c:axPos val="l"/>
        <c:majorGridlines>
          <c:spPr>
            <a:ln>
              <a:solidFill>
                <a:srgbClr val="C00000"/>
              </a:solidFill>
            </a:ln>
          </c:spPr>
        </c:majorGridlines>
        <c:minorGridlines/>
        <c:title>
          <c:tx>
            <c:rich>
              <a:bodyPr rot="-5400000" vert="horz"/>
              <a:lstStyle/>
              <a:p>
                <a:pPr>
                  <a:defRPr sz="1400" b="1">
                    <a:solidFill>
                      <a:srgbClr val="0E9ED9"/>
                    </a:solidFill>
                  </a:defRPr>
                </a:pPr>
                <a:r>
                  <a:rPr lang="en-US" sz="1400" b="1">
                    <a:solidFill>
                      <a:srgbClr val="0E9ED9"/>
                    </a:solidFill>
                  </a:rPr>
                  <a:t>Source</a:t>
                </a:r>
                <a:r>
                  <a:rPr lang="en-US" sz="1400" b="1" baseline="0">
                    <a:solidFill>
                      <a:srgbClr val="0E9ED9"/>
                    </a:solidFill>
                  </a:rPr>
                  <a:t> Current (amps)</a:t>
                </a:r>
                <a:endParaRPr lang="en-US" sz="1400" b="1">
                  <a:solidFill>
                    <a:srgbClr val="0E9ED9"/>
                  </a:solidFill>
                </a:endParaRPr>
              </a:p>
            </c:rich>
          </c:tx>
          <c:overlay val="0"/>
        </c:title>
        <c:numFmt formatCode="0.000"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plotVisOnly val="0"/>
    <c:dispBlanksAs val="gap"/>
    <c:showDLblsOverMax val="0"/>
  </c:chart>
  <c:spPr>
    <a:ln w="19050">
      <a:solidFill>
        <a:srgbClr val="C00000"/>
      </a:solidFill>
    </a:ln>
  </c:sp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solidFill>
                  <a:srgbClr val="0E9ED9"/>
                </a:solidFill>
              </a:rPr>
              <a:t>Driving-Point</a:t>
            </a:r>
            <a:r>
              <a:rPr lang="en-US" sz="1400" baseline="0">
                <a:solidFill>
                  <a:srgbClr val="0E9ED9"/>
                </a:solidFill>
              </a:rPr>
              <a:t> </a:t>
            </a:r>
            <a:r>
              <a:rPr lang="en-US" sz="1400">
                <a:solidFill>
                  <a:srgbClr val="0E9ED9"/>
                </a:solidFill>
              </a:rPr>
              <a:t>Harmonic Impedance Scan</a:t>
            </a:r>
            <a:r>
              <a:rPr lang="en-US" sz="1400"/>
              <a:t> </a:t>
            </a:r>
          </a:p>
        </c:rich>
      </c:tx>
      <c:layout>
        <c:manualLayout>
          <c:xMode val="edge"/>
          <c:yMode val="edge"/>
          <c:x val="0.32885308139248676"/>
          <c:y val="2.3219150401519322E-2"/>
        </c:manualLayout>
      </c:layout>
      <c:overlay val="0"/>
    </c:title>
    <c:autoTitleDeleted val="0"/>
    <c:plotArea>
      <c:layout>
        <c:manualLayout>
          <c:layoutTarget val="inner"/>
          <c:xMode val="edge"/>
          <c:yMode val="edge"/>
          <c:x val="8.6266185476815402E-2"/>
          <c:y val="0.12872623936785796"/>
          <c:w val="0.85488298501358573"/>
          <c:h val="0.71265472482428827"/>
        </c:manualLayout>
      </c:layout>
      <c:scatterChart>
        <c:scatterStyle val="smoothMarker"/>
        <c:varyColors val="0"/>
        <c:ser>
          <c:idx val="3"/>
          <c:order val="0"/>
          <c:tx>
            <c:v>Filter Impedance</c:v>
          </c:tx>
          <c:spPr>
            <a:ln>
              <a:solidFill>
                <a:srgbClr val="00B0F0"/>
              </a:solidFill>
            </a:ln>
          </c:spPr>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Design'!$CX$27:$CX$272</c:f>
              <c:numCache>
                <c:formatCode>0.0</c:formatCode>
                <c:ptCount val="246"/>
                <c:pt idx="0">
                  <c:v>25.916818911897565</c:v>
                </c:pt>
                <c:pt idx="1">
                  <c:v>21.202731099936571</c:v>
                </c:pt>
                <c:pt idx="2">
                  <c:v>17.776567113286617</c:v>
                </c:pt>
                <c:pt idx="3">
                  <c:v>15.157532630720304</c:v>
                </c:pt>
                <c:pt idx="4">
                  <c:v>13.078663469279507</c:v>
                </c:pt>
                <c:pt idx="5">
                  <c:v>11.380041214726214</c:v>
                </c:pt>
                <c:pt idx="6">
                  <c:v>9.9602224237056092</c:v>
                </c:pt>
                <c:pt idx="7">
                  <c:v>8.7519573245974236</c:v>
                </c:pt>
                <c:pt idx="8">
                  <c:v>7.709135697597107</c:v>
                </c:pt>
                <c:pt idx="9">
                  <c:v>6.7993597550972771</c:v>
                </c:pt>
                <c:pt idx="10">
                  <c:v>5.9995325816305876</c:v>
                </c:pt>
                <c:pt idx="11">
                  <c:v>5.2931597958984984</c:v>
                </c:pt>
                <c:pt idx="12">
                  <c:v>4.6686777214346993</c:v>
                </c:pt>
                <c:pt idx="13">
                  <c:v>4.1184247090583419</c:v>
                </c:pt>
                <c:pt idx="14">
                  <c:v>3.6380182525213307</c:v>
                </c:pt>
                <c:pt idx="15">
                  <c:v>3.2259487950595958</c:v>
                </c:pt>
                <c:pt idx="16">
                  <c:v>2.883169279341232</c:v>
                </c:pt>
                <c:pt idx="17">
                  <c:v>2.6123689484225969</c:v>
                </c:pt>
                <c:pt idx="18">
                  <c:v>2.4165780885460268</c:v>
                </c:pt>
                <c:pt idx="19">
                  <c:v>2.297022224099118</c:v>
                </c:pt>
                <c:pt idx="20">
                  <c:v>2.2509128620787742</c:v>
                </c:pt>
                <c:pt idx="21">
                  <c:v>2.2705423339885833</c:v>
                </c:pt>
                <c:pt idx="22">
                  <c:v>2.3444709001550281</c:v>
                </c:pt>
                <c:pt idx="23">
                  <c:v>2.4599952248155263</c:v>
                </c:pt>
                <c:pt idx="24">
                  <c:v>2.6053573751074377</c:v>
                </c:pt>
                <c:pt idx="25">
                  <c:v>2.7708816823098865</c:v>
                </c:pt>
                <c:pt idx="26">
                  <c:v>2.9491679574165768</c:v>
                </c:pt>
                <c:pt idx="27">
                  <c:v>3.1347965643905491</c:v>
                </c:pt>
                <c:pt idx="28">
                  <c:v>3.3238950972792427</c:v>
                </c:pt>
                <c:pt idx="29">
                  <c:v>3.5137353865706813</c:v>
                </c:pt>
                <c:pt idx="30">
                  <c:v>3.702413077860812</c:v>
                </c:pt>
                <c:pt idx="31">
                  <c:v>3.8886102492706356</c:v>
                </c:pt>
                <c:pt idx="32">
                  <c:v>4.0714252702804838</c:v>
                </c:pt>
                <c:pt idx="33">
                  <c:v>4.2502525400393072</c:v>
                </c:pt>
                <c:pt idx="34">
                  <c:v>4.4246977787399366</c:v>
                </c:pt>
                <c:pt idx="35">
                  <c:v>4.5945182253818491</c:v>
                </c:pt>
                <c:pt idx="36">
                  <c:v>4.7595801894114631</c:v>
                </c:pt>
                <c:pt idx="37">
                  <c:v>4.9198287084378194</c:v>
                </c:pt>
                <c:pt idx="38">
                  <c:v>5.0752656927586797</c:v>
                </c:pt>
                <c:pt idx="39">
                  <c:v>5.2259340610224392</c:v>
                </c:pt>
                <c:pt idx="40">
                  <c:v>5.3719061392735235</c:v>
                </c:pt>
                <c:pt idx="41">
                  <c:v>5.5132751196562566</c:v>
                </c:pt>
                <c:pt idx="42">
                  <c:v>5.6501487337100915</c:v>
                </c:pt>
                <c:pt idx="43">
                  <c:v>5.7826445420456967</c:v>
                </c:pt>
                <c:pt idx="44">
                  <c:v>5.9108864132989156</c:v>
                </c:pt>
                <c:pt idx="45">
                  <c:v>6.0350018848160412</c:v>
                </c:pt>
                <c:pt idx="46">
                  <c:v>6.1551201817406103</c:v>
                </c:pt>
                <c:pt idx="47">
                  <c:v>6.2713707310082931</c:v>
                </c:pt>
                <c:pt idx="48">
                  <c:v>6.3838820496182365</c:v>
                </c:pt>
                <c:pt idx="49">
                  <c:v>6.4927809175047306</c:v>
                </c:pt>
                <c:pt idx="50">
                  <c:v>6.5981917678685207</c:v>
                </c:pt>
                <c:pt idx="51">
                  <c:v>6.7002362443592647</c:v>
                </c:pt>
                <c:pt idx="52">
                  <c:v>6.799032886714433</c:v>
                </c:pt>
                <c:pt idx="53">
                  <c:v>6.8946969155525828</c:v>
                </c:pt>
                <c:pt idx="54">
                  <c:v>6.9873400938300705</c:v>
                </c:pt>
                <c:pt idx="55">
                  <c:v>7.0770706476060967</c:v>
                </c:pt>
                <c:pt idx="56">
                  <c:v>7.1639932326609461</c:v>
                </c:pt>
                <c:pt idx="57">
                  <c:v>7.2482089364851738</c:v>
                </c:pt>
                <c:pt idx="58">
                  <c:v>7.3298153074440728</c:v>
                </c:pt>
                <c:pt idx="59">
                  <c:v>7.4089064046828579</c:v>
                </c:pt>
                <c:pt idx="60">
                  <c:v>7.4855728637071337</c:v>
                </c:pt>
                <c:pt idx="61">
                  <c:v>7.5599019736395885</c:v>
                </c:pt>
                <c:pt idx="62">
                  <c:v>7.6319777629883641</c:v>
                </c:pt>
                <c:pt idx="63">
                  <c:v>7.7018810914221643</c:v>
                </c:pt>
                <c:pt idx="64">
                  <c:v>7.7696897455641087</c:v>
                </c:pt>
                <c:pt idx="65">
                  <c:v>7.8354785372303617</c:v>
                </c:pt>
                <c:pt idx="66">
                  <c:v>7.8993194028668965</c:v>
                </c:pt>
                <c:pt idx="67">
                  <c:v>7.9612815031998858</c:v>
                </c:pt>
                <c:pt idx="68">
                  <c:v>8.0214313223257445</c:v>
                </c:pt>
                <c:pt idx="69">
                  <c:v>8.0798327656348317</c:v>
                </c:pt>
                <c:pt idx="70">
                  <c:v>8.1365472560993872</c:v>
                </c:pt>
                <c:pt idx="71">
                  <c:v>8.1916338285660046</c:v>
                </c:pt>
                <c:pt idx="72">
                  <c:v>8.2451492217810589</c:v>
                </c:pt>
                <c:pt idx="73">
                  <c:v>8.2971479679492504</c:v>
                </c:pt>
                <c:pt idx="74">
                  <c:v>8.347682479684412</c:v>
                </c:pt>
                <c:pt idx="75">
                  <c:v>8.3968031342569205</c:v>
                </c:pt>
                <c:pt idx="76">
                  <c:v>8.4445583550812469</c:v>
                </c:pt>
                <c:pt idx="77">
                  <c:v>8.4909946904183364</c:v>
                </c:pt>
                <c:pt idx="78">
                  <c:v>8.5361568892893445</c:v>
                </c:pt>
                <c:pt idx="79">
                  <c:v>8.5800879746203478</c:v>
                </c:pt>
                <c:pt idx="80">
                  <c:v>8.6228293136509109</c:v>
                </c:pt>
                <c:pt idx="81">
                  <c:v>8.6644206856524875</c:v>
                </c:pt>
                <c:pt idx="82">
                  <c:v>8.7049003470125381</c:v>
                </c:pt>
                <c:pt idx="83">
                  <c:v>8.7443050937470712</c:v>
                </c:pt>
                <c:pt idx="84">
                  <c:v>8.7826703215100963</c:v>
                </c:pt>
                <c:pt idx="85">
                  <c:v>8.8200300831725755</c:v>
                </c:pt>
                <c:pt idx="86">
                  <c:v>8.8564171440459951</c:v>
                </c:pt>
                <c:pt idx="87">
                  <c:v>8.8918630348277006</c:v>
                </c:pt>
                <c:pt idx="88">
                  <c:v>8.9263981023456065</c:v>
                </c:pt>
                <c:pt idx="89">
                  <c:v>8.9600515581807905</c:v>
                </c:pt>
                <c:pt idx="90">
                  <c:v>8.9928515252451398</c:v>
                </c:pt>
                <c:pt idx="91">
                  <c:v>9.0248250823915104</c:v>
                </c:pt>
                <c:pt idx="92">
                  <c:v>9.0559983071319152</c:v>
                </c:pt>
                <c:pt idx="93">
                  <c:v>9.0863963165380763</c:v>
                </c:pt>
                <c:pt idx="94">
                  <c:v>9.1160433063972768</c:v>
                </c:pt>
                <c:pt idx="95">
                  <c:v>9.1449625886936197</c:v>
                </c:pt>
                <c:pt idx="96">
                  <c:v>9.1731766274849029</c:v>
                </c:pt>
                <c:pt idx="97">
                  <c:v>9.2007070732400198</c:v>
                </c:pt>
                <c:pt idx="98">
                  <c:v>9.2275747957034184</c:v>
                </c:pt>
                <c:pt idx="99">
                  <c:v>9.253799915347658</c:v>
                </c:pt>
                <c:pt idx="100">
                  <c:v>9.279401833475271</c:v>
                </c:pt>
                <c:pt idx="101">
                  <c:v>9.3043992610277773</c:v>
                </c:pt>
                <c:pt idx="102">
                  <c:v>9.3288102461572979</c:v>
                </c:pt>
                <c:pt idx="103">
                  <c:v>9.3526522006155286</c:v>
                </c:pt>
                <c:pt idx="104">
                  <c:v>9.3759419250110128</c:v>
                </c:pt>
                <c:pt idx="105">
                  <c:v>9.3986956329846532</c:v>
                </c:pt>
                <c:pt idx="106">
                  <c:v>9.4209289743508897</c:v>
                </c:pt>
                <c:pt idx="107">
                  <c:v>9.4426570572503543</c:v>
                </c:pt>
                <c:pt idx="108">
                  <c:v>9.4638944693577542</c:v>
                </c:pt>
                <c:pt idx="109">
                  <c:v>9.4846552981864747</c:v>
                </c:pt>
                <c:pt idx="110">
                  <c:v>9.504953150530417</c:v>
                </c:pt>
                <c:pt idx="111">
                  <c:v>9.524801171081414</c:v>
                </c:pt>
                <c:pt idx="112">
                  <c:v>9.5442120602582055</c:v>
                </c:pt>
                <c:pt idx="113">
                  <c:v>9.5631980912831018</c:v>
                </c:pt>
                <c:pt idx="114">
                  <c:v>9.5817711265387882</c:v>
                </c:pt>
                <c:pt idx="115">
                  <c:v>9.5999426332381468</c:v>
                </c:pt>
                <c:pt idx="116">
                  <c:v>9.617723698436949</c:v>
                </c:pt>
                <c:pt idx="117">
                  <c:v>9.6351250434192774</c:v>
                </c:pt>
                <c:pt idx="118">
                  <c:v>9.6521570374830752</c:v>
                </c:pt>
                <c:pt idx="119">
                  <c:v>9.6688297111525543</c:v>
                </c:pt>
                <c:pt idx="120">
                  <c:v>9.6851527688432775</c:v>
                </c:pt>
                <c:pt idx="121">
                  <c:v>9.7011356010034984</c:v>
                </c:pt>
                <c:pt idx="122">
                  <c:v>9.7167872957555659</c:v>
                </c:pt>
                <c:pt idx="123">
                  <c:v>9.7321166500590923</c:v>
                </c:pt>
                <c:pt idx="124">
                  <c:v>9.7471321804169904</c:v>
                </c:pt>
                <c:pt idx="125">
                  <c:v>9.7618421331448921</c:v>
                </c:pt>
                <c:pt idx="126">
                  <c:v>9.7762544942226626</c:v>
                </c:pt>
                <c:pt idx="127">
                  <c:v>9.7903769987464706</c:v>
                </c:pt>
                <c:pt idx="128">
                  <c:v>9.8042171399993077</c:v>
                </c:pt>
                <c:pt idx="129">
                  <c:v>9.8177821781559125</c:v>
                </c:pt>
                <c:pt idx="130">
                  <c:v>9.831079148638711</c:v>
                </c:pt>
                <c:pt idx="131">
                  <c:v>9.8441148701394656</c:v>
                </c:pt>
                <c:pt idx="132">
                  <c:v>9.8568959523215192</c:v>
                </c:pt>
                <c:pt idx="133">
                  <c:v>9.8694288032159285</c:v>
                </c:pt>
                <c:pt idx="134">
                  <c:v>9.8817196363254745</c:v>
                </c:pt>
                <c:pt idx="135">
                  <c:v>9.893774477448332</c:v>
                </c:pt>
                <c:pt idx="136">
                  <c:v>9.9055991712339679</c:v>
                </c:pt>
                <c:pt idx="137">
                  <c:v>9.9171993874824338</c:v>
                </c:pt>
                <c:pt idx="138">
                  <c:v>9.9285806271982047</c:v>
                </c:pt>
                <c:pt idx="139">
                  <c:v>9.9397482284089715</c:v>
                </c:pt>
                <c:pt idx="140">
                  <c:v>9.9507073717591705</c:v>
                </c:pt>
                <c:pt idx="141">
                  <c:v>9.9614630858880169</c:v>
                </c:pt>
                <c:pt idx="142">
                  <c:v>9.9720202526012365</c:v>
                </c:pt>
                <c:pt idx="143">
                  <c:v>9.9823836118445808</c:v>
                </c:pt>
                <c:pt idx="144">
                  <c:v>9.9925577664883036</c:v>
                </c:pt>
                <c:pt idx="145">
                  <c:v>10.002547186929643</c:v>
                </c:pt>
                <c:pt idx="146">
                  <c:v>10.012356215521717</c:v>
                </c:pt>
                <c:pt idx="147">
                  <c:v>10.021989070835124</c:v>
                </c:pt>
                <c:pt idx="148">
                  <c:v>10.031449851760199</c:v>
                </c:pt>
                <c:pt idx="149">
                  <c:v>10.040742541455526</c:v>
                </c:pt>
                <c:pt idx="150">
                  <c:v>10.049871011149714</c:v>
                </c:pt>
                <c:pt idx="151">
                  <c:v>10.058839023802252</c:v>
                </c:pt>
                <c:pt idx="152">
                  <c:v>10.067650237628984</c:v>
                </c:pt>
                <c:pt idx="153">
                  <c:v>10.076308209498089</c:v>
                </c:pt>
                <c:pt idx="154">
                  <c:v>10.084816398201413</c:v>
                </c:pt>
                <c:pt idx="155">
                  <c:v>10.093178167606654</c:v>
                </c:pt>
                <c:pt idx="156">
                  <c:v>10.101396789694832</c:v>
                </c:pt>
                <c:pt idx="157">
                  <c:v>10.109475447487675</c:v>
                </c:pt>
                <c:pt idx="158">
                  <c:v>10.117417237869695</c:v>
                </c:pt>
                <c:pt idx="159">
                  <c:v>10.125225174308646</c:v>
                </c:pt>
                <c:pt idx="160">
                  <c:v>10.132902189478694</c:v>
                </c:pt>
                <c:pt idx="161">
                  <c:v>10.140451137790272</c:v>
                </c:pt>
                <c:pt idx="162">
                  <c:v>10.147874797829974</c:v>
                </c:pt>
                <c:pt idx="163">
                  <c:v>10.155175874714137</c:v>
                </c:pt>
                <c:pt idx="164">
                  <c:v>10.162357002359773</c:v>
                </c:pt>
                <c:pt idx="165">
                  <c:v>10.169420745675543</c:v>
                </c:pt>
                <c:pt idx="166">
                  <c:v>10.176369602676516</c:v>
                </c:pt>
                <c:pt idx="167">
                  <c:v>10.183206006525108</c:v>
                </c:pt>
                <c:pt idx="168">
                  <c:v>10.18993232750134</c:v>
                </c:pt>
                <c:pt idx="169">
                  <c:v>10.196550874905107</c:v>
                </c:pt>
                <c:pt idx="170">
                  <c:v>10.203063898893053</c:v>
                </c:pt>
                <c:pt idx="171">
                  <c:v>10.209473592252554</c:v>
                </c:pt>
                <c:pt idx="172">
                  <c:v>10.215782092115104</c:v>
                </c:pt>
                <c:pt idx="173">
                  <c:v>10.2219914816115</c:v>
                </c:pt>
                <c:pt idx="174">
                  <c:v>10.228103791471003</c:v>
                </c:pt>
                <c:pt idx="175">
                  <c:v>10.234121001567019</c:v>
                </c:pt>
                <c:pt idx="176">
                  <c:v>10.240045042409971</c:v>
                </c:pt>
                <c:pt idx="177">
                  <c:v>10.245877796590925</c:v>
                </c:pt>
                <c:pt idx="178">
                  <c:v>10.251621100177337</c:v>
                </c:pt>
                <c:pt idx="179">
                  <c:v>10.257276744061704</c:v>
                </c:pt>
                <c:pt idx="180">
                  <c:v>10.262846475266095</c:v>
                </c:pt>
                <c:pt idx="181">
                  <c:v>10.268331998204161</c:v>
                </c:pt>
                <c:pt idx="182">
                  <c:v>10.273734975900727</c:v>
                </c:pt>
                <c:pt idx="183">
                  <c:v>10.279057031172613</c:v>
                </c:pt>
                <c:pt idx="184">
                  <c:v>10.284299747770259</c:v>
                </c:pt>
                <c:pt idx="185">
                  <c:v>10.289464671482627</c:v>
                </c:pt>
                <c:pt idx="186">
                  <c:v>10.294553311206853</c:v>
                </c:pt>
                <c:pt idx="187">
                  <c:v>10.299567139982699</c:v>
                </c:pt>
                <c:pt idx="188">
                  <c:v>10.304507595994432</c:v>
                </c:pt>
                <c:pt idx="189">
                  <c:v>10.309376083540959</c:v>
                </c:pt>
                <c:pt idx="190">
                  <c:v>10.314173973973807</c:v>
                </c:pt>
                <c:pt idx="191">
                  <c:v>10.318902606607598</c:v>
                </c:pt>
                <c:pt idx="192">
                  <c:v>10.323563289599614</c:v>
                </c:pt>
                <c:pt idx="193">
                  <c:v>10.328157300803193</c:v>
                </c:pt>
                <c:pt idx="194">
                  <c:v>10.332685888593526</c:v>
                </c:pt>
                <c:pt idx="195">
                  <c:v>10.337150272668783</c:v>
                </c:pt>
                <c:pt idx="196">
                  <c:v>10.341551644824731</c:v>
                </c:pt>
                <c:pt idx="197">
                  <c:v>10.345891169707345</c:v>
                </c:pt>
                <c:pt idx="198">
                  <c:v>10.350169985540381</c:v>
                </c:pt>
                <c:pt idx="199">
                  <c:v>10.354389204831802</c:v>
                </c:pt>
                <c:pt idx="200">
                  <c:v>10.358549915058477</c:v>
                </c:pt>
                <c:pt idx="201">
                  <c:v>10.362653179329319</c:v>
                </c:pt>
                <c:pt idx="202">
                  <c:v>10.366700037029094</c:v>
                </c:pt>
                <c:pt idx="203">
                  <c:v>10.370691504442087</c:v>
                </c:pt>
                <c:pt idx="204">
                  <c:v>10.37462857535796</c:v>
                </c:pt>
                <c:pt idx="205">
                  <c:v>10.378512221657967</c:v>
                </c:pt>
                <c:pt idx="206">
                  <c:v>10.382343393885179</c:v>
                </c:pt>
                <c:pt idx="207">
                  <c:v>10.386123021796454</c:v>
                </c:pt>
                <c:pt idx="208">
                  <c:v>10.389852014899006</c:v>
                </c:pt>
                <c:pt idx="209">
                  <c:v>10.393531262970505</c:v>
                </c:pt>
                <c:pt idx="210">
                  <c:v>10.397161636564068</c:v>
                </c:pt>
                <c:pt idx="211">
                  <c:v>10.400743987498181</c:v>
                </c:pt>
                <c:pt idx="212">
                  <c:v>10.404279149333124</c:v>
                </c:pt>
                <c:pt idx="213">
                  <c:v>10.407767937831993</c:v>
                </c:pt>
                <c:pt idx="214">
                  <c:v>10.411211151410235</c:v>
                </c:pt>
                <c:pt idx="215">
                  <c:v>10.414609571570546</c:v>
                </c:pt>
                <c:pt idx="216">
                  <c:v>10.417963963326201</c:v>
                </c:pt>
                <c:pt idx="217">
                  <c:v>10.421275075611771</c:v>
                </c:pt>
                <c:pt idx="218">
                  <c:v>10.42454364168236</c:v>
                </c:pt>
                <c:pt idx="219">
                  <c:v>10.42777037950145</c:v>
                </c:pt>
                <c:pt idx="220">
                  <c:v>10.430955992117404</c:v>
                </c:pt>
                <c:pt idx="221">
                  <c:v>10.434101168029866</c:v>
                </c:pt>
                <c:pt idx="222">
                  <c:v>10.437206581545308</c:v>
                </c:pt>
                <c:pt idx="223">
                  <c:v>10.440272893122863</c:v>
                </c:pt>
                <c:pt idx="224">
                  <c:v>10.443300749710492</c:v>
                </c:pt>
                <c:pt idx="225">
                  <c:v>10.446290785071762</c:v>
                </c:pt>
                <c:pt idx="226">
                  <c:v>10.449243620103388</c:v>
                </c:pt>
                <c:pt idx="227">
                  <c:v>10.452159863144056</c:v>
                </c:pt>
                <c:pt idx="228">
                  <c:v>10.455040110275041</c:v>
                </c:pt>
                <c:pt idx="229">
                  <c:v>10.457884945611884</c:v>
                </c:pt>
                <c:pt idx="230">
                  <c:v>10.460694941588837</c:v>
                </c:pt>
                <c:pt idx="231">
                  <c:v>10.463470659235085</c:v>
                </c:pt>
                <c:pt idx="232">
                  <c:v>10.466212648443522</c:v>
                </c:pt>
                <c:pt idx="233">
                  <c:v>10.468921448232344</c:v>
                </c:pt>
                <c:pt idx="234">
                  <c:v>10.471597586999479</c:v>
                </c:pt>
                <c:pt idx="235">
                  <c:v>10.474241582770174</c:v>
                </c:pt>
                <c:pt idx="236">
                  <c:v>10.476853943437956</c:v>
                </c:pt>
                <c:pt idx="237">
                  <c:v>10.47943516699935</c:v>
                </c:pt>
                <c:pt idx="238">
                  <c:v>10.481985741782214</c:v>
                </c:pt>
                <c:pt idx="239">
                  <c:v>10.484506146667474</c:v>
                </c:pt>
                <c:pt idx="240">
                  <c:v>10.486996851306159</c:v>
                </c:pt>
                <c:pt idx="241">
                  <c:v>10.48945831632938</c:v>
                </c:pt>
                <c:pt idx="242">
                  <c:v>10.491890993554273</c:v>
                </c:pt>
                <c:pt idx="243">
                  <c:v>10.494295326182852</c:v>
                </c:pt>
                <c:pt idx="244">
                  <c:v>10.496671748997096</c:v>
                </c:pt>
                <c:pt idx="245">
                  <c:v>10.499020688548571</c:v>
                </c:pt>
              </c:numCache>
            </c:numRef>
          </c:yVal>
          <c:smooth val="1"/>
          <c:extLst>
            <c:ext xmlns:c16="http://schemas.microsoft.com/office/drawing/2014/chart" uri="{C3380CC4-5D6E-409C-BE32-E72D297353CC}">
              <c16:uniqueId val="{00000000-BDF5-4ECF-9003-6B59912514A2}"/>
            </c:ext>
          </c:extLst>
        </c:ser>
        <c:ser>
          <c:idx val="4"/>
          <c:order val="1"/>
          <c:tx>
            <c:v>Source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Design'!$CY$27:$CY$272</c:f>
              <c:numCache>
                <c:formatCode>0.0</c:formatCode>
                <c:ptCount val="246"/>
                <c:pt idx="0">
                  <c:v>0.47997052378630889</c:v>
                </c:pt>
                <c:pt idx="1">
                  <c:v>0.57582404493915595</c:v>
                </c:pt>
                <c:pt idx="2">
                  <c:v>0.67169580434855924</c:v>
                </c:pt>
                <c:pt idx="3">
                  <c:v>0.76757896808849868</c:v>
                </c:pt>
                <c:pt idx="4">
                  <c:v>0.86346973701869267</c:v>
                </c:pt>
                <c:pt idx="5">
                  <c:v>0.95936583067432402</c:v>
                </c:pt>
                <c:pt idx="6">
                  <c:v>1.0552657974210673</c:v>
                </c:pt>
                <c:pt idx="7">
                  <c:v>1.1511686692969825</c:v>
                </c:pt>
                <c:pt idx="8">
                  <c:v>1.2470737760686936</c:v>
                </c:pt>
                <c:pt idx="9">
                  <c:v>1.3429806389402841</c:v>
                </c:pt>
                <c:pt idx="10">
                  <c:v>1.4388889067616226</c:v>
                </c:pt>
                <c:pt idx="11">
                  <c:v>1.5347983161503145</c:v>
                </c:pt>
                <c:pt idx="12">
                  <c:v>1.6307086656840342</c:v>
                </c:pt>
                <c:pt idx="13">
                  <c:v>1.7266197986931415</c:v>
                </c:pt>
                <c:pt idx="14">
                  <c:v>1.8225315914859384</c:v>
                </c:pt>
                <c:pt idx="15">
                  <c:v>1.9184439451056075</c:v>
                </c:pt>
                <c:pt idx="16">
                  <c:v>2.0143567794418762</c:v>
                </c:pt>
                <c:pt idx="17">
                  <c:v>2.1102700289483116</c:v>
                </c:pt>
                <c:pt idx="18">
                  <c:v>2.206183639476675</c:v>
                </c:pt>
                <c:pt idx="19">
                  <c:v>2.3020975659025762</c:v>
                </c:pt>
                <c:pt idx="20">
                  <c:v>2.3980117703208976</c:v>
                </c:pt>
                <c:pt idx="21">
                  <c:v>2.4939262206576087</c:v>
                </c:pt>
                <c:pt idx="22">
                  <c:v>2.5898408895900351</c:v>
                </c:pt>
                <c:pt idx="23">
                  <c:v>2.6857557536984711</c:v>
                </c:pt>
                <c:pt idx="24">
                  <c:v>2.7816707927933093</c:v>
                </c:pt>
                <c:pt idx="25">
                  <c:v>2.8775859893767306</c:v>
                </c:pt>
                <c:pt idx="26">
                  <c:v>2.9735013282085703</c:v>
                </c:pt>
                <c:pt idx="27">
                  <c:v>3.0694167959535874</c:v>
                </c:pt>
                <c:pt idx="28">
                  <c:v>3.1653323808928544</c:v>
                </c:pt>
                <c:pt idx="29">
                  <c:v>3.2612480726860751</c:v>
                </c:pt>
                <c:pt idx="30">
                  <c:v>3.3571638621746533</c:v>
                </c:pt>
                <c:pt idx="31">
                  <c:v>3.4530797412175711</c:v>
                </c:pt>
                <c:pt idx="32">
                  <c:v>3.5489957025538872</c:v>
                </c:pt>
                <c:pt idx="33">
                  <c:v>3.6449117396869424</c:v>
                </c:pt>
                <c:pt idx="34">
                  <c:v>3.7408278467863778</c:v>
                </c:pt>
                <c:pt idx="35">
                  <c:v>3.8367440186048505</c:v>
                </c:pt>
                <c:pt idx="36">
                  <c:v>3.9326602504069386</c:v>
                </c:pt>
                <c:pt idx="37">
                  <c:v>4.028576537908199</c:v>
                </c:pt>
                <c:pt idx="38">
                  <c:v>4.1244928772227309</c:v>
                </c:pt>
                <c:pt idx="39">
                  <c:v>4.2204092648178859</c:v>
                </c:pt>
                <c:pt idx="40">
                  <c:v>4.3163256974750217</c:v>
                </c:pt>
                <c:pt idx="41">
                  <c:v>4.4122421722553717</c:v>
                </c:pt>
                <c:pt idx="42">
                  <c:v>4.5081586864702698</c:v>
                </c:pt>
                <c:pt idx="43">
                  <c:v>4.6040752376551</c:v>
                </c:pt>
                <c:pt idx="44">
                  <c:v>4.699991823546438</c:v>
                </c:pt>
                <c:pt idx="45">
                  <c:v>4.7959084420619265</c:v>
                </c:pt>
                <c:pt idx="46">
                  <c:v>4.891825091282529</c:v>
                </c:pt>
                <c:pt idx="47">
                  <c:v>4.9877417694368225</c:v>
                </c:pt>
                <c:pt idx="48">
                  <c:v>5.0836584748870752</c:v>
                </c:pt>
                <c:pt idx="49">
                  <c:v>5.1795752061168665</c:v>
                </c:pt>
                <c:pt idx="50">
                  <c:v>5.2754919617200589</c:v>
                </c:pt>
                <c:pt idx="51">
                  <c:v>5.3714087403909527</c:v>
                </c:pt>
                <c:pt idx="52">
                  <c:v>5.4673255409154722</c:v>
                </c:pt>
                <c:pt idx="53">
                  <c:v>5.5632423621632716</c:v>
                </c:pt>
                <c:pt idx="54">
                  <c:v>5.6591592030806375</c:v>
                </c:pt>
                <c:pt idx="55">
                  <c:v>5.7550760626841022</c:v>
                </c:pt>
                <c:pt idx="56">
                  <c:v>5.8509929400546881</c:v>
                </c:pt>
                <c:pt idx="57">
                  <c:v>5.9469098343327049</c:v>
                </c:pt>
                <c:pt idx="58">
                  <c:v>6.0428267447130448</c:v>
                </c:pt>
                <c:pt idx="59">
                  <c:v>6.1387436704409195</c:v>
                </c:pt>
                <c:pt idx="60">
                  <c:v>6.2346606108079881</c:v>
                </c:pt>
                <c:pt idx="61">
                  <c:v>6.330577565148837</c:v>
                </c:pt>
                <c:pt idx="62">
                  <c:v>6.4264945328377827</c:v>
                </c:pt>
                <c:pt idx="63">
                  <c:v>6.5224115132859426</c:v>
                </c:pt>
                <c:pt idx="64">
                  <c:v>6.6183285059385746</c:v>
                </c:pt>
                <c:pt idx="65">
                  <c:v>6.7142455102726322</c:v>
                </c:pt>
                <c:pt idx="66">
                  <c:v>6.8101625257945377</c:v>
                </c:pt>
                <c:pt idx="67">
                  <c:v>6.9060795520381371</c:v>
                </c:pt>
                <c:pt idx="68">
                  <c:v>7.0019965885628128</c:v>
                </c:pt>
                <c:pt idx="69">
                  <c:v>7.0979136349517713</c:v>
                </c:pt>
                <c:pt idx="70">
                  <c:v>7.1938306908104419</c:v>
                </c:pt>
                <c:pt idx="71">
                  <c:v>7.2897477557650223</c:v>
                </c:pt>
                <c:pt idx="72">
                  <c:v>7.3856648294611311</c:v>
                </c:pt>
                <c:pt idx="73">
                  <c:v>7.4815819115625546</c:v>
                </c:pt>
                <c:pt idx="74">
                  <c:v>7.5774990017501098</c:v>
                </c:pt>
                <c:pt idx="75">
                  <c:v>7.6734160997205656</c:v>
                </c:pt>
                <c:pt idx="76">
                  <c:v>7.7693332051856689</c:v>
                </c:pt>
                <c:pt idx="77">
                  <c:v>7.8652503178712276</c:v>
                </c:pt>
                <c:pt idx="78">
                  <c:v>7.9611674375162611</c:v>
                </c:pt>
                <c:pt idx="79">
                  <c:v>8.0570845638722215</c:v>
                </c:pt>
                <c:pt idx="80">
                  <c:v>8.1530016967022512</c:v>
                </c:pt>
                <c:pt idx="81">
                  <c:v>8.248918835780513</c:v>
                </c:pt>
                <c:pt idx="82">
                  <c:v>8.3448359808915491</c:v>
                </c:pt>
                <c:pt idx="83">
                  <c:v>8.4407531318297035</c:v>
                </c:pt>
                <c:pt idx="84">
                  <c:v>8.5366702883985521</c:v>
                </c:pt>
                <c:pt idx="85">
                  <c:v>8.6325874504104085</c:v>
                </c:pt>
                <c:pt idx="86">
                  <c:v>8.7285046176858341</c:v>
                </c:pt>
                <c:pt idx="87">
                  <c:v>8.8244217900531883</c:v>
                </c:pt>
                <c:pt idx="88">
                  <c:v>8.9203389673482221</c:v>
                </c:pt>
                <c:pt idx="89">
                  <c:v>9.0162561494136639</c:v>
                </c:pt>
                <c:pt idx="90">
                  <c:v>9.1121733360988735</c:v>
                </c:pt>
                <c:pt idx="91">
                  <c:v>9.2080905272594826</c:v>
                </c:pt>
                <c:pt idx="92">
                  <c:v>9.3040077227570759</c:v>
                </c:pt>
                <c:pt idx="93">
                  <c:v>9.3999249224588919</c:v>
                </c:pt>
                <c:pt idx="94">
                  <c:v>9.4958421262375303</c:v>
                </c:pt>
                <c:pt idx="95">
                  <c:v>9.5917593339706837</c:v>
                </c:pt>
                <c:pt idx="96">
                  <c:v>9.6876765455408957</c:v>
                </c:pt>
                <c:pt idx="97">
                  <c:v>9.7835937608353092</c:v>
                </c:pt>
                <c:pt idx="98">
                  <c:v>9.8795109797454526</c:v>
                </c:pt>
                <c:pt idx="99">
                  <c:v>9.9754282021670306</c:v>
                </c:pt>
                <c:pt idx="100">
                  <c:v>10.071345427999713</c:v>
                </c:pt>
                <c:pt idx="101">
                  <c:v>10.167262657146958</c:v>
                </c:pt>
                <c:pt idx="102">
                  <c:v>10.263179889515838</c:v>
                </c:pt>
                <c:pt idx="103">
                  <c:v>10.359097125016863</c:v>
                </c:pt>
                <c:pt idx="104">
                  <c:v>10.455014363563825</c:v>
                </c:pt>
                <c:pt idx="105">
                  <c:v>10.550931605073655</c:v>
                </c:pt>
                <c:pt idx="106">
                  <c:v>10.646848849466277</c:v>
                </c:pt>
                <c:pt idx="107">
                  <c:v>10.74276609666447</c:v>
                </c:pt>
                <c:pt idx="108">
                  <c:v>10.838683346593752</c:v>
                </c:pt>
                <c:pt idx="109">
                  <c:v>10.934600599182254</c:v>
                </c:pt>
                <c:pt idx="110">
                  <c:v>11.030517854360605</c:v>
                </c:pt>
                <c:pt idx="111">
                  <c:v>11.126435112061824</c:v>
                </c:pt>
                <c:pt idx="112">
                  <c:v>11.222352372221222</c:v>
                </c:pt>
                <c:pt idx="113">
                  <c:v>11.318269634776307</c:v>
                </c:pt>
                <c:pt idx="114">
                  <c:v>11.41418689966668</c:v>
                </c:pt>
                <c:pt idx="115">
                  <c:v>11.51010416683396</c:v>
                </c:pt>
                <c:pt idx="116">
                  <c:v>11.606021436221695</c:v>
                </c:pt>
                <c:pt idx="117">
                  <c:v>11.701938707775284</c:v>
                </c:pt>
                <c:pt idx="118">
                  <c:v>11.797855981441902</c:v>
                </c:pt>
                <c:pt idx="119">
                  <c:v>11.893773257170428</c:v>
                </c:pt>
                <c:pt idx="120">
                  <c:v>11.989690534911373</c:v>
                </c:pt>
                <c:pt idx="121">
                  <c:v>12.085607814616827</c:v>
                </c:pt>
                <c:pt idx="122">
                  <c:v>12.18152509624038</c:v>
                </c:pt>
                <c:pt idx="123">
                  <c:v>12.277442379737078</c:v>
                </c:pt>
                <c:pt idx="124">
                  <c:v>12.373359665063363</c:v>
                </c:pt>
                <c:pt idx="125">
                  <c:v>12.46927695217701</c:v>
                </c:pt>
                <c:pt idx="126">
                  <c:v>12.565194241037089</c:v>
                </c:pt>
                <c:pt idx="127">
                  <c:v>12.661111531603904</c:v>
                </c:pt>
                <c:pt idx="128">
                  <c:v>12.757028823838963</c:v>
                </c:pt>
                <c:pt idx="129">
                  <c:v>12.852946117704917</c:v>
                </c:pt>
                <c:pt idx="130">
                  <c:v>12.948863413165521</c:v>
                </c:pt>
                <c:pt idx="131">
                  <c:v>13.044780710185602</c:v>
                </c:pt>
                <c:pt idx="132">
                  <c:v>13.140698008731006</c:v>
                </c:pt>
                <c:pt idx="133">
                  <c:v>13.236615308768579</c:v>
                </c:pt>
                <c:pt idx="134">
                  <c:v>13.332532610266114</c:v>
                </c:pt>
                <c:pt idx="135">
                  <c:v>13.428449913192326</c:v>
                </c:pt>
                <c:pt idx="136">
                  <c:v>13.524367217516819</c:v>
                </c:pt>
                <c:pt idx="137">
                  <c:v>13.620284523210049</c:v>
                </c:pt>
                <c:pt idx="138">
                  <c:v>13.716201830243303</c:v>
                </c:pt>
                <c:pt idx="139">
                  <c:v>13.812119138588665</c:v>
                </c:pt>
                <c:pt idx="140">
                  <c:v>13.908036448218988</c:v>
                </c:pt>
                <c:pt idx="141">
                  <c:v>14.003953759107866</c:v>
                </c:pt>
                <c:pt idx="142">
                  <c:v>14.099871071229618</c:v>
                </c:pt>
                <c:pt idx="143">
                  <c:v>14.195788384559247</c:v>
                </c:pt>
                <c:pt idx="144">
                  <c:v>14.291705699072443</c:v>
                </c:pt>
                <c:pt idx="145">
                  <c:v>14.387623014745527</c:v>
                </c:pt>
                <c:pt idx="146">
                  <c:v>14.483540331555457</c:v>
                </c:pt>
                <c:pt idx="147">
                  <c:v>14.579457649479796</c:v>
                </c:pt>
                <c:pt idx="148">
                  <c:v>14.675374968496692</c:v>
                </c:pt>
                <c:pt idx="149">
                  <c:v>14.771292288584863</c:v>
                </c:pt>
                <c:pt idx="150">
                  <c:v>14.867209609723574</c:v>
                </c:pt>
                <c:pt idx="151">
                  <c:v>14.963126931892621</c:v>
                </c:pt>
                <c:pt idx="152">
                  <c:v>15.059044255072317</c:v>
                </c:pt>
                <c:pt idx="153">
                  <c:v>15.154961579243471</c:v>
                </c:pt>
                <c:pt idx="154">
                  <c:v>15.250878904387381</c:v>
                </c:pt>
                <c:pt idx="155">
                  <c:v>15.346796230485802</c:v>
                </c:pt>
                <c:pt idx="156">
                  <c:v>15.442713557520953</c:v>
                </c:pt>
                <c:pt idx="157">
                  <c:v>15.538630885475486</c:v>
                </c:pt>
                <c:pt idx="158">
                  <c:v>15.634548214332478</c:v>
                </c:pt>
                <c:pt idx="159">
                  <c:v>15.730465544075422</c:v>
                </c:pt>
                <c:pt idx="160">
                  <c:v>15.82638287468821</c:v>
                </c:pt>
                <c:pt idx="161">
                  <c:v>15.922300206155121</c:v>
                </c:pt>
                <c:pt idx="162">
                  <c:v>16.01821753846081</c:v>
                </c:pt>
                <c:pt idx="163">
                  <c:v>16.114134871590302</c:v>
                </c:pt>
                <c:pt idx="164">
                  <c:v>16.210052205528974</c:v>
                </c:pt>
                <c:pt idx="165">
                  <c:v>16.305969540262542</c:v>
                </c:pt>
                <c:pt idx="166">
                  <c:v>16.401886875777063</c:v>
                </c:pt>
                <c:pt idx="167">
                  <c:v>16.497804212058917</c:v>
                </c:pt>
                <c:pt idx="168">
                  <c:v>16.593721549094791</c:v>
                </c:pt>
                <c:pt idx="169">
                  <c:v>16.689638886871695</c:v>
                </c:pt>
                <c:pt idx="170">
                  <c:v>16.785556225376919</c:v>
                </c:pt>
                <c:pt idx="171">
                  <c:v>16.88147356459805</c:v>
                </c:pt>
                <c:pt idx="172">
                  <c:v>16.977390904522952</c:v>
                </c:pt>
                <c:pt idx="173">
                  <c:v>17.073308245139771</c:v>
                </c:pt>
                <c:pt idx="174">
                  <c:v>17.169225586436902</c:v>
                </c:pt>
                <c:pt idx="175">
                  <c:v>17.265142928403009</c:v>
                </c:pt>
                <c:pt idx="176">
                  <c:v>17.361060271027004</c:v>
                </c:pt>
                <c:pt idx="177">
                  <c:v>17.456977614298044</c:v>
                </c:pt>
                <c:pt idx="178">
                  <c:v>17.552894958205524</c:v>
                </c:pt>
                <c:pt idx="179">
                  <c:v>17.648812302739064</c:v>
                </c:pt>
                <c:pt idx="180">
                  <c:v>17.744729647888509</c:v>
                </c:pt>
                <c:pt idx="181">
                  <c:v>17.840646993643929</c:v>
                </c:pt>
                <c:pt idx="182">
                  <c:v>17.936564339995602</c:v>
                </c:pt>
                <c:pt idx="183">
                  <c:v>18.032481686934016</c:v>
                </c:pt>
                <c:pt idx="184">
                  <c:v>18.128399034449853</c:v>
                </c:pt>
                <c:pt idx="185">
                  <c:v>18.224316382533992</c:v>
                </c:pt>
                <c:pt idx="186">
                  <c:v>18.32023373117752</c:v>
                </c:pt>
                <c:pt idx="187">
                  <c:v>18.416151080371687</c:v>
                </c:pt>
                <c:pt idx="188">
                  <c:v>18.512068430107934</c:v>
                </c:pt>
                <c:pt idx="189">
                  <c:v>18.607985780377884</c:v>
                </c:pt>
                <c:pt idx="190">
                  <c:v>18.703903131173316</c:v>
                </c:pt>
                <c:pt idx="191">
                  <c:v>18.799820482486201</c:v>
                </c:pt>
                <c:pt idx="192">
                  <c:v>18.895737834308644</c:v>
                </c:pt>
                <c:pt idx="193">
                  <c:v>18.991655186632933</c:v>
                </c:pt>
                <c:pt idx="194">
                  <c:v>19.087572539451504</c:v>
                </c:pt>
                <c:pt idx="195">
                  <c:v>19.183489892756938</c:v>
                </c:pt>
                <c:pt idx="196">
                  <c:v>19.279407246541968</c:v>
                </c:pt>
                <c:pt idx="197">
                  <c:v>19.375324600799477</c:v>
                </c:pt>
                <c:pt idx="198">
                  <c:v>19.47124195552248</c:v>
                </c:pt>
                <c:pt idx="199">
                  <c:v>19.567159310704131</c:v>
                </c:pt>
                <c:pt idx="200">
                  <c:v>19.663076666337712</c:v>
                </c:pt>
                <c:pt idx="201">
                  <c:v>19.758994022416651</c:v>
                </c:pt>
                <c:pt idx="202">
                  <c:v>19.854911378934489</c:v>
                </c:pt>
                <c:pt idx="203">
                  <c:v>19.950828735884897</c:v>
                </c:pt>
                <c:pt idx="204">
                  <c:v>20.046746093261667</c:v>
                </c:pt>
                <c:pt idx="205">
                  <c:v>20.142663451058706</c:v>
                </c:pt>
                <c:pt idx="206">
                  <c:v>20.238580809270037</c:v>
                </c:pt>
                <c:pt idx="207">
                  <c:v>20.334498167889802</c:v>
                </c:pt>
                <c:pt idx="208">
                  <c:v>20.430415526912245</c:v>
                </c:pt>
                <c:pt idx="209">
                  <c:v>20.526332886331723</c:v>
                </c:pt>
                <c:pt idx="210">
                  <c:v>20.622250246142688</c:v>
                </c:pt>
                <c:pt idx="211">
                  <c:v>20.718167606339716</c:v>
                </c:pt>
                <c:pt idx="212">
                  <c:v>20.814084966917463</c:v>
                </c:pt>
                <c:pt idx="213">
                  <c:v>20.910002327870689</c:v>
                </c:pt>
                <c:pt idx="214">
                  <c:v>21.005919689194251</c:v>
                </c:pt>
                <c:pt idx="215">
                  <c:v>21.101837050883102</c:v>
                </c:pt>
                <c:pt idx="216">
                  <c:v>21.19775441293228</c:v>
                </c:pt>
                <c:pt idx="217">
                  <c:v>21.293671775336914</c:v>
                </c:pt>
                <c:pt idx="218">
                  <c:v>21.389589138092223</c:v>
                </c:pt>
                <c:pt idx="219">
                  <c:v>21.485506501193516</c:v>
                </c:pt>
                <c:pt idx="220">
                  <c:v>21.581423864636175</c:v>
                </c:pt>
                <c:pt idx="221">
                  <c:v>21.677341228415671</c:v>
                </c:pt>
                <c:pt idx="222">
                  <c:v>21.773258592527551</c:v>
                </c:pt>
                <c:pt idx="223">
                  <c:v>21.869175956967439</c:v>
                </c:pt>
                <c:pt idx="224">
                  <c:v>21.965093321731043</c:v>
                </c:pt>
                <c:pt idx="225">
                  <c:v>22.061010686814136</c:v>
                </c:pt>
                <c:pt idx="226">
                  <c:v>22.156928052212571</c:v>
                </c:pt>
                <c:pt idx="227">
                  <c:v>22.252845417922266</c:v>
                </c:pt>
                <c:pt idx="228">
                  <c:v>22.348762783939225</c:v>
                </c:pt>
                <c:pt idx="229">
                  <c:v>22.444680150259497</c:v>
                </c:pt>
                <c:pt idx="230">
                  <c:v>22.540597516879217</c:v>
                </c:pt>
                <c:pt idx="231">
                  <c:v>22.636514883794575</c:v>
                </c:pt>
                <c:pt idx="232">
                  <c:v>22.732432251001828</c:v>
                </c:pt>
                <c:pt idx="233">
                  <c:v>22.828349618497299</c:v>
                </c:pt>
                <c:pt idx="234">
                  <c:v>22.924266986277367</c:v>
                </c:pt>
                <c:pt idx="235">
                  <c:v>23.020184354338479</c:v>
                </c:pt>
                <c:pt idx="236">
                  <c:v>23.116101722677133</c:v>
                </c:pt>
                <c:pt idx="237">
                  <c:v>23.212019091289889</c:v>
                </c:pt>
                <c:pt idx="238">
                  <c:v>23.307936460173366</c:v>
                </c:pt>
                <c:pt idx="239">
                  <c:v>23.403853829324234</c:v>
                </c:pt>
                <c:pt idx="240">
                  <c:v>23.499771198739214</c:v>
                </c:pt>
                <c:pt idx="241">
                  <c:v>23.595688568415092</c:v>
                </c:pt>
                <c:pt idx="242">
                  <c:v>23.691605938348697</c:v>
                </c:pt>
                <c:pt idx="243">
                  <c:v>23.787523308536908</c:v>
                </c:pt>
                <c:pt idx="244">
                  <c:v>23.883440678976662</c:v>
                </c:pt>
                <c:pt idx="245">
                  <c:v>23.979358049664938</c:v>
                </c:pt>
              </c:numCache>
            </c:numRef>
          </c:yVal>
          <c:smooth val="1"/>
          <c:extLst>
            <c:ext xmlns:c16="http://schemas.microsoft.com/office/drawing/2014/chart" uri="{C3380CC4-5D6E-409C-BE32-E72D297353CC}">
              <c16:uniqueId val="{00000001-BDF5-4ECF-9003-6B59912514A2}"/>
            </c:ext>
          </c:extLst>
        </c:ser>
        <c:ser>
          <c:idx val="5"/>
          <c:order val="2"/>
          <c:tx>
            <c:v>Source Impedance + Filter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Design'!$CZ$27:$CZ$272</c:f>
              <c:numCache>
                <c:formatCode>0.0</c:formatCode>
                <c:ptCount val="246"/>
                <c:pt idx="0">
                  <c:v>0.48901946792806178</c:v>
                </c:pt>
                <c:pt idx="1">
                  <c:v>0.59188872771097123</c:v>
                </c:pt>
                <c:pt idx="2">
                  <c:v>0.69805821865848983</c:v>
                </c:pt>
                <c:pt idx="3">
                  <c:v>0.80849880080209524</c:v>
                </c:pt>
                <c:pt idx="4">
                  <c:v>0.92446250881404879</c:v>
                </c:pt>
                <c:pt idx="5">
                  <c:v>1.0475967418607024</c:v>
                </c:pt>
                <c:pt idx="6">
                  <c:v>1.1801129723261188</c:v>
                </c:pt>
                <c:pt idx="7">
                  <c:v>1.3250375061011215</c:v>
                </c:pt>
                <c:pt idx="8">
                  <c:v>1.4865844574367424</c:v>
                </c:pt>
                <c:pt idx="9">
                  <c:v>1.6706996986473137</c:v>
                </c:pt>
                <c:pt idx="10">
                  <c:v>1.8857959705893454</c:v>
                </c:pt>
                <c:pt idx="11">
                  <c:v>2.1434960939888583</c:v>
                </c:pt>
                <c:pt idx="12">
                  <c:v>2.4582980745103913</c:v>
                </c:pt>
                <c:pt idx="13">
                  <c:v>2.8416814647435897</c:v>
                </c:pt>
                <c:pt idx="14">
                  <c:v>3.2762992724930444</c:v>
                </c:pt>
                <c:pt idx="15">
                  <c:v>3.6485854527729291</c:v>
                </c:pt>
                <c:pt idx="16">
                  <c:v>3.7185071262408411</c:v>
                </c:pt>
                <c:pt idx="17">
                  <c:v>3.3865466160580975</c:v>
                </c:pt>
                <c:pt idx="18">
                  <c:v>2.890162666403731</c:v>
                </c:pt>
                <c:pt idx="19">
                  <c:v>2.46229004208202</c:v>
                </c:pt>
                <c:pt idx="20">
                  <c:v>2.1665334995375174</c:v>
                </c:pt>
                <c:pt idx="21">
                  <c:v>1.9860437751945275</c:v>
                </c:pt>
                <c:pt idx="22">
                  <c:v>1.8892151566687487</c:v>
                </c:pt>
                <c:pt idx="23">
                  <c:v>1.8491527771147935</c:v>
                </c:pt>
                <c:pt idx="24">
                  <c:v>1.8465312766007236</c:v>
                </c:pt>
                <c:pt idx="25">
                  <c:v>1.8683418172371629</c:v>
                </c:pt>
                <c:pt idx="26">
                  <c:v>1.9060720530929174</c:v>
                </c:pt>
                <c:pt idx="27">
                  <c:v>1.9542042673577897</c:v>
                </c:pt>
                <c:pt idx="28">
                  <c:v>2.009156361010664</c:v>
                </c:pt>
                <c:pt idx="29">
                  <c:v>2.0685845787583883</c:v>
                </c:pt>
                <c:pt idx="30">
                  <c:v>2.1309383279503766</c:v>
                </c:pt>
                <c:pt idx="31">
                  <c:v>2.1951789490187683</c:v>
                </c:pt>
                <c:pt idx="32">
                  <c:v>2.2606019044869168</c:v>
                </c:pt>
                <c:pt idx="33">
                  <c:v>2.3267235248704576</c:v>
                </c:pt>
                <c:pt idx="34">
                  <c:v>2.3932080831869271</c:v>
                </c:pt>
                <c:pt idx="35">
                  <c:v>2.4598202413084835</c:v>
                </c:pt>
                <c:pt idx="36">
                  <c:v>2.5263936274432766</c:v>
                </c:pt>
                <c:pt idx="37">
                  <c:v>2.5928097965037891</c:v>
                </c:pt>
                <c:pt idx="38">
                  <c:v>2.6589839611408639</c:v>
                </c:pt>
                <c:pt idx="39">
                  <c:v>2.724855196326279</c:v>
                </c:pt>
                <c:pt idx="40">
                  <c:v>2.7903796380238246</c:v>
                </c:pt>
                <c:pt idx="41">
                  <c:v>2.8555257107407415</c:v>
                </c:pt>
                <c:pt idx="42">
                  <c:v>2.9202707461852495</c:v>
                </c:pt>
                <c:pt idx="43">
                  <c:v>2.9845985663749945</c:v>
                </c:pt>
                <c:pt idx="44">
                  <c:v>3.0484977423721036</c:v>
                </c:pt>
                <c:pt idx="45">
                  <c:v>3.1119603309088348</c:v>
                </c:pt>
                <c:pt idx="46">
                  <c:v>3.174980952075289</c:v>
                </c:pt>
                <c:pt idx="47">
                  <c:v>3.2375561124314984</c:v>
                </c:pt>
                <c:pt idx="48">
                  <c:v>3.2996837060617707</c:v>
                </c:pt>
                <c:pt idx="49">
                  <c:v>3.3613626455331547</c:v>
                </c:pt>
                <c:pt idx="50">
                  <c:v>3.422592588277332</c:v>
                </c:pt>
                <c:pt idx="51">
                  <c:v>3.4833737334559363</c:v>
                </c:pt>
                <c:pt idx="52">
                  <c:v>3.5437066711398741</c:v>
                </c:pt>
                <c:pt idx="53">
                  <c:v>3.6035922704788872</c:v>
                </c:pt>
                <c:pt idx="54">
                  <c:v>3.6630315970303848</c:v>
                </c:pt>
                <c:pt idx="55">
                  <c:v>3.7220258519538789</c:v>
                </c:pt>
                <c:pt idx="56">
                  <c:v>3.7805763276317927</c:v>
                </c:pt>
                <c:pt idx="57">
                  <c:v>3.8386843756420213</c:v>
                </c:pt>
                <c:pt idx="58">
                  <c:v>3.8963513840172621</c:v>
                </c:pt>
                <c:pt idx="59">
                  <c:v>3.9535787614778952</c:v>
                </c:pt>
                <c:pt idx="60">
                  <c:v>4.0103679268863832</c:v>
                </c:pt>
                <c:pt idx="61">
                  <c:v>4.0667203025943337</c:v>
                </c:pt>
                <c:pt idx="62">
                  <c:v>4.1226373106709415</c:v>
                </c:pt>
                <c:pt idx="63">
                  <c:v>4.1781203712440131</c:v>
                </c:pt>
                <c:pt idx="64">
                  <c:v>4.2331709023673989</c:v>
                </c:pt>
                <c:pt idx="65">
                  <c:v>4.2877903209688988</c:v>
                </c:pt>
                <c:pt idx="66">
                  <c:v>4.3419800445402572</c:v>
                </c:pt>
                <c:pt idx="67">
                  <c:v>4.3957414933117462</c:v>
                </c:pt>
                <c:pt idx="68">
                  <c:v>4.4490760927183555</c:v>
                </c:pt>
                <c:pt idx="69">
                  <c:v>4.5019852760115011</c:v>
                </c:pt>
                <c:pt idx="70">
                  <c:v>4.5544704869088743</c:v>
                </c:pt>
                <c:pt idx="71">
                  <c:v>4.606533182202484</c:v>
                </c:pt>
                <c:pt idx="72">
                  <c:v>4.6581748342683191</c:v>
                </c:pt>
                <c:pt idx="73">
                  <c:v>4.7093969334367136</c:v>
                </c:pt>
                <c:pt idx="74">
                  <c:v>4.7602009901965969</c:v>
                </c:pt>
                <c:pt idx="75">
                  <c:v>4.8105885372162724</c:v>
                </c:pt>
                <c:pt idx="76">
                  <c:v>4.8605611311707912</c:v>
                </c:pt>
                <c:pt idx="77">
                  <c:v>4.9101203543722933</c:v>
                </c:pt>
                <c:pt idx="78">
                  <c:v>4.9592678162033019</c:v>
                </c:pt>
                <c:pt idx="79">
                  <c:v>5.0080051543563258</c:v>
                </c:pt>
                <c:pt idx="80">
                  <c:v>5.0563340358860529</c:v>
                </c:pt>
                <c:pt idx="81">
                  <c:v>5.1042561580807737</c:v>
                </c:pt>
                <c:pt idx="82">
                  <c:v>5.1517732491622112</c:v>
                </c:pt>
                <c:pt idx="83">
                  <c:v>5.1988870688224811</c:v>
                </c:pt>
                <c:pt idx="84">
                  <c:v>5.2455994086080615</c:v>
                </c:pt>
                <c:pt idx="85">
                  <c:v>5.291912092160211</c:v>
                </c:pt>
                <c:pt idx="86">
                  <c:v>5.337826975322062</c:v>
                </c:pt>
                <c:pt idx="87">
                  <c:v>5.383345946121695</c:v>
                </c:pt>
                <c:pt idx="88">
                  <c:v>5.428470924640612</c:v>
                </c:pt>
                <c:pt idx="89">
                  <c:v>5.4732038627768995</c:v>
                </c:pt>
                <c:pt idx="90">
                  <c:v>5.5175467439115335</c:v>
                </c:pt>
                <c:pt idx="91">
                  <c:v>5.5615015824867209</c:v>
                </c:pt>
                <c:pt idx="92">
                  <c:v>5.6050704235032871</c:v>
                </c:pt>
                <c:pt idx="93">
                  <c:v>5.64825534194601</c:v>
                </c:pt>
                <c:pt idx="94">
                  <c:v>5.6910584421426451</c:v>
                </c:pt>
                <c:pt idx="95">
                  <c:v>5.7334818570645858</c:v>
                </c:pt>
                <c:pt idx="96">
                  <c:v>5.7755277475746176</c:v>
                </c:pt>
                <c:pt idx="97">
                  <c:v>5.8171983016283342</c:v>
                </c:pt>
                <c:pt idx="98">
                  <c:v>5.8584957334343635</c:v>
                </c:pt>
                <c:pt idx="99">
                  <c:v>5.899422282578815</c:v>
                </c:pt>
                <c:pt idx="100">
                  <c:v>5.9399802131190702</c:v>
                </c:pt>
                <c:pt idx="101">
                  <c:v>5.9801718126509051</c:v>
                </c:pt>
                <c:pt idx="102">
                  <c:v>6.0199993913536129</c:v>
                </c:pt>
                <c:pt idx="103">
                  <c:v>6.0594652810168892</c:v>
                </c:pt>
                <c:pt idx="104">
                  <c:v>6.0985718340532715</c:v>
                </c:pt>
                <c:pt idx="105">
                  <c:v>6.1373214224993511</c:v>
                </c:pt>
                <c:pt idx="106">
                  <c:v>6.1757164370089859</c:v>
                </c:pt>
                <c:pt idx="107">
                  <c:v>6.2137592858412294</c:v>
                </c:pt>
                <c:pt idx="108">
                  <c:v>6.251452393846229</c:v>
                </c:pt>
                <c:pt idx="109">
                  <c:v>6.2887982014505273</c:v>
                </c:pt>
                <c:pt idx="110">
                  <c:v>6.3257991636452164</c:v>
                </c:pt>
                <c:pt idx="111">
                  <c:v>6.3624577489779259</c:v>
                </c:pt>
                <c:pt idx="112">
                  <c:v>6.3987764385516215</c:v>
                </c:pt>
                <c:pt idx="113">
                  <c:v>6.4347577250306616</c:v>
                </c:pt>
                <c:pt idx="114">
                  <c:v>6.4704041116570341</c:v>
                </c:pt>
                <c:pt idx="115">
                  <c:v>6.5057181112774991</c:v>
                </c:pt>
                <c:pt idx="116">
                  <c:v>6.5407022453825485</c:v>
                </c:pt>
                <c:pt idx="117">
                  <c:v>6.5753590431592839</c:v>
                </c:pt>
                <c:pt idx="118">
                  <c:v>6.609691040558781</c:v>
                </c:pt>
                <c:pt idx="119">
                  <c:v>6.6437007793788494</c:v>
                </c:pt>
                <c:pt idx="120">
                  <c:v>6.6773908063629772</c:v>
                </c:pt>
                <c:pt idx="121">
                  <c:v>6.7107636723163528</c:v>
                </c:pt>
                <c:pt idx="122">
                  <c:v>6.7438219312397942</c:v>
                </c:pt>
                <c:pt idx="123">
                  <c:v>6.7765681394817117</c:v>
                </c:pt>
                <c:pt idx="124">
                  <c:v>6.8090048549090048</c:v>
                </c:pt>
                <c:pt idx="125">
                  <c:v>6.8411346360966867</c:v>
                </c:pt>
                <c:pt idx="126">
                  <c:v>6.8729600415378762</c:v>
                </c:pt>
                <c:pt idx="127">
                  <c:v>6.9044836288723408</c:v>
                </c:pt>
                <c:pt idx="128">
                  <c:v>6.9357079541364062</c:v>
                </c:pt>
                <c:pt idx="129">
                  <c:v>6.9666355710318433</c:v>
                </c:pt>
                <c:pt idx="130">
                  <c:v>6.9972690302161302</c:v>
                </c:pt>
                <c:pt idx="131">
                  <c:v>7.027610878611851</c:v>
                </c:pt>
                <c:pt idx="132">
                  <c:v>7.05766365873792</c:v>
                </c:pt>
                <c:pt idx="133">
                  <c:v>7.0874299080597316</c:v>
                </c:pt>
                <c:pt idx="134">
                  <c:v>7.1169121583606945</c:v>
                </c:pt>
                <c:pt idx="135">
                  <c:v>7.146112935133802</c:v>
                </c:pt>
                <c:pt idx="136">
                  <c:v>7.1750347569926687</c:v>
                </c:pt>
                <c:pt idx="137">
                  <c:v>7.2036801351034434</c:v>
                </c:pt>
                <c:pt idx="138">
                  <c:v>7.2320515726359984</c:v>
                </c:pt>
                <c:pt idx="139">
                  <c:v>7.2601515642348096</c:v>
                </c:pt>
                <c:pt idx="140">
                  <c:v>7.2879825955093454</c:v>
                </c:pt>
                <c:pt idx="141">
                  <c:v>7.3155471425435064</c:v>
                </c:pt>
                <c:pt idx="142">
                  <c:v>7.3428476714241366</c:v>
                </c:pt>
                <c:pt idx="143">
                  <c:v>7.3698866377878938</c:v>
                </c:pt>
                <c:pt idx="144">
                  <c:v>7.3966664863866489</c:v>
                </c:pt>
                <c:pt idx="145">
                  <c:v>7.4231896506711728</c:v>
                </c:pt>
                <c:pt idx="146">
                  <c:v>7.4494585523919641</c:v>
                </c:pt>
                <c:pt idx="147">
                  <c:v>7.4754756012181405</c:v>
                </c:pt>
                <c:pt idx="148">
                  <c:v>7.5012431943729911</c:v>
                </c:pt>
                <c:pt idx="149">
                  <c:v>7.5267637162867436</c:v>
                </c:pt>
                <c:pt idx="150">
                  <c:v>7.5520395382650731</c:v>
                </c:pt>
                <c:pt idx="151">
                  <c:v>7.5770730181746373</c:v>
                </c:pt>
                <c:pt idx="152">
                  <c:v>7.6018665001434655</c:v>
                </c:pt>
                <c:pt idx="153">
                  <c:v>7.6264223142773782</c:v>
                </c:pt>
                <c:pt idx="154">
                  <c:v>7.650742776390957</c:v>
                </c:pt>
                <c:pt idx="155">
                  <c:v>7.6748301877534635</c:v>
                </c:pt>
                <c:pt idx="156">
                  <c:v>7.6986868348495143</c:v>
                </c:pt>
                <c:pt idx="157">
                  <c:v>7.7223149891524434</c:v>
                </c:pt>
                <c:pt idx="158">
                  <c:v>7.7457169069128087</c:v>
                </c:pt>
                <c:pt idx="159">
                  <c:v>7.7688948289591133</c:v>
                </c:pt>
                <c:pt idx="160">
                  <c:v>7.7918509805118035</c:v>
                </c:pt>
                <c:pt idx="161">
                  <c:v>7.8145875710098558</c:v>
                </c:pt>
                <c:pt idx="162">
                  <c:v>7.8371067939495376</c:v>
                </c:pt>
                <c:pt idx="163">
                  <c:v>7.8594108267347833</c:v>
                </c:pt>
                <c:pt idx="164">
                  <c:v>7.8815018305396114</c:v>
                </c:pt>
                <c:pt idx="165">
                  <c:v>7.9033819501811022</c:v>
                </c:pt>
                <c:pt idx="166">
                  <c:v>7.9250533140038986</c:v>
                </c:pt>
                <c:pt idx="167">
                  <c:v>7.9465180337744865</c:v>
                </c:pt>
                <c:pt idx="168">
                  <c:v>7.9677782045863497</c:v>
                </c:pt>
                <c:pt idx="169">
                  <c:v>7.9888359047744402</c:v>
                </c:pt>
                <c:pt idx="170">
                  <c:v>8.0096931958397288</c:v>
                </c:pt>
                <c:pt idx="171">
                  <c:v>8.0303521223824639</c:v>
                </c:pt>
                <c:pt idx="172">
                  <c:v>8.0508147120447529</c:v>
                </c:pt>
                <c:pt idx="173">
                  <c:v>8.0710829754616888</c:v>
                </c:pt>
                <c:pt idx="174">
                  <c:v>8.0911589062206097</c:v>
                </c:pt>
                <c:pt idx="175">
                  <c:v>8.1110444808289515</c:v>
                </c:pt>
                <c:pt idx="176">
                  <c:v>8.1307416586891215</c:v>
                </c:pt>
                <c:pt idx="177">
                  <c:v>8.1502523820812964</c:v>
                </c:pt>
                <c:pt idx="178">
                  <c:v>8.1695785761536523</c:v>
                </c:pt>
                <c:pt idx="179">
                  <c:v>8.188722148919144</c:v>
                </c:pt>
                <c:pt idx="180">
                  <c:v>8.2076849912589349</c:v>
                </c:pt>
                <c:pt idx="181">
                  <c:v>8.2264689769328285</c:v>
                </c:pt>
                <c:pt idx="182">
                  <c:v>8.2450759625952106</c:v>
                </c:pt>
                <c:pt idx="183">
                  <c:v>8.263507787817268</c:v>
                </c:pt>
                <c:pt idx="184">
                  <c:v>8.2817662751151193</c:v>
                </c:pt>
                <c:pt idx="185">
                  <c:v>8.2998532299827357</c:v>
                </c:pt>
                <c:pt idx="186">
                  <c:v>8.3177704409311897</c:v>
                </c:pt>
                <c:pt idx="187">
                  <c:v>8.3355196795316804</c:v>
                </c:pt>
                <c:pt idx="188">
                  <c:v>8.3531027004645377</c:v>
                </c:pt>
                <c:pt idx="189">
                  <c:v>8.3705212415719377</c:v>
                </c:pt>
                <c:pt idx="190">
                  <c:v>8.3877770239155467</c:v>
                </c:pt>
                <c:pt idx="191">
                  <c:v>8.4048717518382983</c:v>
                </c:pt>
                <c:pt idx="192">
                  <c:v>8.4218071130299474</c:v>
                </c:pt>
                <c:pt idx="193">
                  <c:v>8.4385847785967449</c:v>
                </c:pt>
                <c:pt idx="194">
                  <c:v>8.455206403134417</c:v>
                </c:pt>
                <c:pt idx="195">
                  <c:v>8.4716736248053373</c:v>
                </c:pt>
                <c:pt idx="196">
                  <c:v>8.4879880654178042</c:v>
                </c:pt>
                <c:pt idx="197">
                  <c:v>8.5041513305098206</c:v>
                </c:pt>
                <c:pt idx="198">
                  <c:v>8.5201650094346384</c:v>
                </c:pt>
                <c:pt idx="199">
                  <c:v>8.5360306754499593</c:v>
                </c:pt>
                <c:pt idx="200">
                  <c:v>8.5517498858094925</c:v>
                </c:pt>
                <c:pt idx="201">
                  <c:v>8.5673241818568915</c:v>
                </c:pt>
                <c:pt idx="202">
                  <c:v>8.5827550891223741</c:v>
                </c:pt>
                <c:pt idx="203">
                  <c:v>8.5980441174212032</c:v>
                </c:pt>
                <c:pt idx="204">
                  <c:v>8.6131927609548722</c:v>
                </c:pt>
                <c:pt idx="205">
                  <c:v>8.6282024984134331</c:v>
                </c:pt>
                <c:pt idx="206">
                  <c:v>8.6430747930805918</c:v>
                </c:pt>
                <c:pt idx="207">
                  <c:v>8.6578110929396956</c:v>
                </c:pt>
                <c:pt idx="208">
                  <c:v>8.6724128307819228</c:v>
                </c:pt>
                <c:pt idx="209">
                  <c:v>8.6868814243159189</c:v>
                </c:pt>
                <c:pt idx="210">
                  <c:v>8.7012182762783183</c:v>
                </c:pt>
                <c:pt idx="211">
                  <c:v>8.715424774546193</c:v>
                </c:pt>
                <c:pt idx="212">
                  <c:v>8.7295022922504355</c:v>
                </c:pt>
                <c:pt idx="213">
                  <c:v>8.7434521878899574</c:v>
                </c:pt>
                <c:pt idx="214">
                  <c:v>8.7572758054474669</c:v>
                </c:pt>
                <c:pt idx="215">
                  <c:v>8.7709744745057616</c:v>
                </c:pt>
                <c:pt idx="216">
                  <c:v>8.7845495103647195</c:v>
                </c:pt>
                <c:pt idx="217">
                  <c:v>8.7980022141593093</c:v>
                </c:pt>
                <c:pt idx="218">
                  <c:v>8.8113338729783539</c:v>
                </c:pt>
                <c:pt idx="219">
                  <c:v>8.8245457599833657</c:v>
                </c:pt>
                <c:pt idx="220">
                  <c:v>8.8376391345284748</c:v>
                </c:pt>
                <c:pt idx="221">
                  <c:v>8.8506152422803162</c:v>
                </c:pt>
                <c:pt idx="222">
                  <c:v>8.8634753153386168</c:v>
                </c:pt>
                <c:pt idx="223">
                  <c:v>8.8762205723566243</c:v>
                </c:pt>
                <c:pt idx="224">
                  <c:v>8.8888522186625103</c:v>
                </c:pt>
                <c:pt idx="225">
                  <c:v>8.9013714463801126</c:v>
                </c:pt>
                <c:pt idx="226">
                  <c:v>8.9137794345504897</c:v>
                </c:pt>
                <c:pt idx="227">
                  <c:v>8.9260773492528269</c:v>
                </c:pt>
                <c:pt idx="228">
                  <c:v>8.9382663437260703</c:v>
                </c:pt>
                <c:pt idx="229">
                  <c:v>8.9503475584898577</c:v>
                </c:pt>
                <c:pt idx="230">
                  <c:v>8.962322121465931</c:v>
                </c:pt>
                <c:pt idx="231">
                  <c:v>8.9741911480989529</c:v>
                </c:pt>
                <c:pt idx="232">
                  <c:v>8.9859557414772357</c:v>
                </c:pt>
                <c:pt idx="233">
                  <c:v>8.9976169924534162</c:v>
                </c:pt>
                <c:pt idx="234">
                  <c:v>9.0091759797647111</c:v>
                </c:pt>
                <c:pt idx="235">
                  <c:v>9.02063377015266</c:v>
                </c:pt>
                <c:pt idx="236">
                  <c:v>9.0319914184828463</c:v>
                </c:pt>
                <c:pt idx="237">
                  <c:v>9.0432499678641225</c:v>
                </c:pt>
                <c:pt idx="238">
                  <c:v>9.0544104497674844</c:v>
                </c:pt>
                <c:pt idx="239">
                  <c:v>9.0654738841439286</c:v>
                </c:pt>
                <c:pt idx="240">
                  <c:v>9.0764412795427631</c:v>
                </c:pt>
                <c:pt idx="241">
                  <c:v>9.0873136332285078</c:v>
                </c:pt>
                <c:pt idx="242">
                  <c:v>9.0980919312980095</c:v>
                </c:pt>
                <c:pt idx="243">
                  <c:v>9.1087771487962339</c:v>
                </c:pt>
                <c:pt idx="244">
                  <c:v>9.119370249832043</c:v>
                </c:pt>
                <c:pt idx="245">
                  <c:v>9.1298721876932767</c:v>
                </c:pt>
              </c:numCache>
            </c:numRef>
          </c:yVal>
          <c:smooth val="1"/>
          <c:extLst>
            <c:ext xmlns:c16="http://schemas.microsoft.com/office/drawing/2014/chart" uri="{C3380CC4-5D6E-409C-BE32-E72D297353CC}">
              <c16:uniqueId val="{00000002-BDF5-4ECF-9003-6B59912514A2}"/>
            </c:ext>
          </c:extLst>
        </c:ser>
        <c:ser>
          <c:idx val="0"/>
          <c:order val="3"/>
          <c:tx>
            <c:v>Filter Impedance</c:v>
          </c:tx>
          <c:spPr>
            <a:ln>
              <a:solidFill>
                <a:srgbClr val="00B0F0"/>
              </a:solidFill>
            </a:ln>
          </c:spPr>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Design'!$CX$27:$CX$272</c:f>
              <c:numCache>
                <c:formatCode>0.0</c:formatCode>
                <c:ptCount val="246"/>
                <c:pt idx="0">
                  <c:v>25.916818911897565</c:v>
                </c:pt>
                <c:pt idx="1">
                  <c:v>21.202731099936571</c:v>
                </c:pt>
                <c:pt idx="2">
                  <c:v>17.776567113286617</c:v>
                </c:pt>
                <c:pt idx="3">
                  <c:v>15.157532630720304</c:v>
                </c:pt>
                <c:pt idx="4">
                  <c:v>13.078663469279507</c:v>
                </c:pt>
                <c:pt idx="5">
                  <c:v>11.380041214726214</c:v>
                </c:pt>
                <c:pt idx="6">
                  <c:v>9.9602224237056092</c:v>
                </c:pt>
                <c:pt idx="7">
                  <c:v>8.7519573245974236</c:v>
                </c:pt>
                <c:pt idx="8">
                  <c:v>7.709135697597107</c:v>
                </c:pt>
                <c:pt idx="9">
                  <c:v>6.7993597550972771</c:v>
                </c:pt>
                <c:pt idx="10">
                  <c:v>5.9995325816305876</c:v>
                </c:pt>
                <c:pt idx="11">
                  <c:v>5.2931597958984984</c:v>
                </c:pt>
                <c:pt idx="12">
                  <c:v>4.6686777214346993</c:v>
                </c:pt>
                <c:pt idx="13">
                  <c:v>4.1184247090583419</c:v>
                </c:pt>
                <c:pt idx="14">
                  <c:v>3.6380182525213307</c:v>
                </c:pt>
                <c:pt idx="15">
                  <c:v>3.2259487950595958</c:v>
                </c:pt>
                <c:pt idx="16">
                  <c:v>2.883169279341232</c:v>
                </c:pt>
                <c:pt idx="17">
                  <c:v>2.6123689484225969</c:v>
                </c:pt>
                <c:pt idx="18">
                  <c:v>2.4165780885460268</c:v>
                </c:pt>
                <c:pt idx="19">
                  <c:v>2.297022224099118</c:v>
                </c:pt>
                <c:pt idx="20">
                  <c:v>2.2509128620787742</c:v>
                </c:pt>
                <c:pt idx="21">
                  <c:v>2.2705423339885833</c:v>
                </c:pt>
                <c:pt idx="22">
                  <c:v>2.3444709001550281</c:v>
                </c:pt>
                <c:pt idx="23">
                  <c:v>2.4599952248155263</c:v>
                </c:pt>
                <c:pt idx="24">
                  <c:v>2.6053573751074377</c:v>
                </c:pt>
                <c:pt idx="25">
                  <c:v>2.7708816823098865</c:v>
                </c:pt>
                <c:pt idx="26">
                  <c:v>2.9491679574165768</c:v>
                </c:pt>
                <c:pt idx="27">
                  <c:v>3.1347965643905491</c:v>
                </c:pt>
                <c:pt idx="28">
                  <c:v>3.3238950972792427</c:v>
                </c:pt>
                <c:pt idx="29">
                  <c:v>3.5137353865706813</c:v>
                </c:pt>
                <c:pt idx="30">
                  <c:v>3.702413077860812</c:v>
                </c:pt>
                <c:pt idx="31">
                  <c:v>3.8886102492706356</c:v>
                </c:pt>
                <c:pt idx="32">
                  <c:v>4.0714252702804838</c:v>
                </c:pt>
                <c:pt idx="33">
                  <c:v>4.2502525400393072</c:v>
                </c:pt>
                <c:pt idx="34">
                  <c:v>4.4246977787399366</c:v>
                </c:pt>
                <c:pt idx="35">
                  <c:v>4.5945182253818491</c:v>
                </c:pt>
                <c:pt idx="36">
                  <c:v>4.7595801894114631</c:v>
                </c:pt>
                <c:pt idx="37">
                  <c:v>4.9198287084378194</c:v>
                </c:pt>
                <c:pt idx="38">
                  <c:v>5.0752656927586797</c:v>
                </c:pt>
                <c:pt idx="39">
                  <c:v>5.2259340610224392</c:v>
                </c:pt>
                <c:pt idx="40">
                  <c:v>5.3719061392735235</c:v>
                </c:pt>
                <c:pt idx="41">
                  <c:v>5.5132751196562566</c:v>
                </c:pt>
                <c:pt idx="42">
                  <c:v>5.6501487337100915</c:v>
                </c:pt>
                <c:pt idx="43">
                  <c:v>5.7826445420456967</c:v>
                </c:pt>
                <c:pt idx="44">
                  <c:v>5.9108864132989156</c:v>
                </c:pt>
                <c:pt idx="45">
                  <c:v>6.0350018848160412</c:v>
                </c:pt>
                <c:pt idx="46">
                  <c:v>6.1551201817406103</c:v>
                </c:pt>
                <c:pt idx="47">
                  <c:v>6.2713707310082931</c:v>
                </c:pt>
                <c:pt idx="48">
                  <c:v>6.3838820496182365</c:v>
                </c:pt>
                <c:pt idx="49">
                  <c:v>6.4927809175047306</c:v>
                </c:pt>
                <c:pt idx="50">
                  <c:v>6.5981917678685207</c:v>
                </c:pt>
                <c:pt idx="51">
                  <c:v>6.7002362443592647</c:v>
                </c:pt>
                <c:pt idx="52">
                  <c:v>6.799032886714433</c:v>
                </c:pt>
                <c:pt idx="53">
                  <c:v>6.8946969155525828</c:v>
                </c:pt>
                <c:pt idx="54">
                  <c:v>6.9873400938300705</c:v>
                </c:pt>
                <c:pt idx="55">
                  <c:v>7.0770706476060967</c:v>
                </c:pt>
                <c:pt idx="56">
                  <c:v>7.1639932326609461</c:v>
                </c:pt>
                <c:pt idx="57">
                  <c:v>7.2482089364851738</c:v>
                </c:pt>
                <c:pt idx="58">
                  <c:v>7.3298153074440728</c:v>
                </c:pt>
                <c:pt idx="59">
                  <c:v>7.4089064046828579</c:v>
                </c:pt>
                <c:pt idx="60">
                  <c:v>7.4855728637071337</c:v>
                </c:pt>
                <c:pt idx="61">
                  <c:v>7.5599019736395885</c:v>
                </c:pt>
                <c:pt idx="62">
                  <c:v>7.6319777629883641</c:v>
                </c:pt>
                <c:pt idx="63">
                  <c:v>7.7018810914221643</c:v>
                </c:pt>
                <c:pt idx="64">
                  <c:v>7.7696897455641087</c:v>
                </c:pt>
                <c:pt idx="65">
                  <c:v>7.8354785372303617</c:v>
                </c:pt>
                <c:pt idx="66">
                  <c:v>7.8993194028668965</c:v>
                </c:pt>
                <c:pt idx="67">
                  <c:v>7.9612815031998858</c:v>
                </c:pt>
                <c:pt idx="68">
                  <c:v>8.0214313223257445</c:v>
                </c:pt>
                <c:pt idx="69">
                  <c:v>8.0798327656348317</c:v>
                </c:pt>
                <c:pt idx="70">
                  <c:v>8.1365472560993872</c:v>
                </c:pt>
                <c:pt idx="71">
                  <c:v>8.1916338285660046</c:v>
                </c:pt>
                <c:pt idx="72">
                  <c:v>8.2451492217810589</c:v>
                </c:pt>
                <c:pt idx="73">
                  <c:v>8.2971479679492504</c:v>
                </c:pt>
                <c:pt idx="74">
                  <c:v>8.347682479684412</c:v>
                </c:pt>
                <c:pt idx="75">
                  <c:v>8.3968031342569205</c:v>
                </c:pt>
                <c:pt idx="76">
                  <c:v>8.4445583550812469</c:v>
                </c:pt>
                <c:pt idx="77">
                  <c:v>8.4909946904183364</c:v>
                </c:pt>
                <c:pt idx="78">
                  <c:v>8.5361568892893445</c:v>
                </c:pt>
                <c:pt idx="79">
                  <c:v>8.5800879746203478</c:v>
                </c:pt>
                <c:pt idx="80">
                  <c:v>8.6228293136509109</c:v>
                </c:pt>
                <c:pt idx="81">
                  <c:v>8.6644206856524875</c:v>
                </c:pt>
                <c:pt idx="82">
                  <c:v>8.7049003470125381</c:v>
                </c:pt>
                <c:pt idx="83">
                  <c:v>8.7443050937470712</c:v>
                </c:pt>
                <c:pt idx="84">
                  <c:v>8.7826703215100963</c:v>
                </c:pt>
                <c:pt idx="85">
                  <c:v>8.8200300831725755</c:v>
                </c:pt>
                <c:pt idx="86">
                  <c:v>8.8564171440459951</c:v>
                </c:pt>
                <c:pt idx="87">
                  <c:v>8.8918630348277006</c:v>
                </c:pt>
                <c:pt idx="88">
                  <c:v>8.9263981023456065</c:v>
                </c:pt>
                <c:pt idx="89">
                  <c:v>8.9600515581807905</c:v>
                </c:pt>
                <c:pt idx="90">
                  <c:v>8.9928515252451398</c:v>
                </c:pt>
                <c:pt idx="91">
                  <c:v>9.0248250823915104</c:v>
                </c:pt>
                <c:pt idx="92">
                  <c:v>9.0559983071319152</c:v>
                </c:pt>
                <c:pt idx="93">
                  <c:v>9.0863963165380763</c:v>
                </c:pt>
                <c:pt idx="94">
                  <c:v>9.1160433063972768</c:v>
                </c:pt>
                <c:pt idx="95">
                  <c:v>9.1449625886936197</c:v>
                </c:pt>
                <c:pt idx="96">
                  <c:v>9.1731766274849029</c:v>
                </c:pt>
                <c:pt idx="97">
                  <c:v>9.2007070732400198</c:v>
                </c:pt>
                <c:pt idx="98">
                  <c:v>9.2275747957034184</c:v>
                </c:pt>
                <c:pt idx="99">
                  <c:v>9.253799915347658</c:v>
                </c:pt>
                <c:pt idx="100">
                  <c:v>9.279401833475271</c:v>
                </c:pt>
                <c:pt idx="101">
                  <c:v>9.3043992610277773</c:v>
                </c:pt>
                <c:pt idx="102">
                  <c:v>9.3288102461572979</c:v>
                </c:pt>
                <c:pt idx="103">
                  <c:v>9.3526522006155286</c:v>
                </c:pt>
                <c:pt idx="104">
                  <c:v>9.3759419250110128</c:v>
                </c:pt>
                <c:pt idx="105">
                  <c:v>9.3986956329846532</c:v>
                </c:pt>
                <c:pt idx="106">
                  <c:v>9.4209289743508897</c:v>
                </c:pt>
                <c:pt idx="107">
                  <c:v>9.4426570572503543</c:v>
                </c:pt>
                <c:pt idx="108">
                  <c:v>9.4638944693577542</c:v>
                </c:pt>
                <c:pt idx="109">
                  <c:v>9.4846552981864747</c:v>
                </c:pt>
                <c:pt idx="110">
                  <c:v>9.504953150530417</c:v>
                </c:pt>
                <c:pt idx="111">
                  <c:v>9.524801171081414</c:v>
                </c:pt>
                <c:pt idx="112">
                  <c:v>9.5442120602582055</c:v>
                </c:pt>
                <c:pt idx="113">
                  <c:v>9.5631980912831018</c:v>
                </c:pt>
                <c:pt idx="114">
                  <c:v>9.5817711265387882</c:v>
                </c:pt>
                <c:pt idx="115">
                  <c:v>9.5999426332381468</c:v>
                </c:pt>
                <c:pt idx="116">
                  <c:v>9.617723698436949</c:v>
                </c:pt>
                <c:pt idx="117">
                  <c:v>9.6351250434192774</c:v>
                </c:pt>
                <c:pt idx="118">
                  <c:v>9.6521570374830752</c:v>
                </c:pt>
                <c:pt idx="119">
                  <c:v>9.6688297111525543</c:v>
                </c:pt>
                <c:pt idx="120">
                  <c:v>9.6851527688432775</c:v>
                </c:pt>
                <c:pt idx="121">
                  <c:v>9.7011356010034984</c:v>
                </c:pt>
                <c:pt idx="122">
                  <c:v>9.7167872957555659</c:v>
                </c:pt>
                <c:pt idx="123">
                  <c:v>9.7321166500590923</c:v>
                </c:pt>
                <c:pt idx="124">
                  <c:v>9.7471321804169904</c:v>
                </c:pt>
                <c:pt idx="125">
                  <c:v>9.7618421331448921</c:v>
                </c:pt>
                <c:pt idx="126">
                  <c:v>9.7762544942226626</c:v>
                </c:pt>
                <c:pt idx="127">
                  <c:v>9.7903769987464706</c:v>
                </c:pt>
                <c:pt idx="128">
                  <c:v>9.8042171399993077</c:v>
                </c:pt>
                <c:pt idx="129">
                  <c:v>9.8177821781559125</c:v>
                </c:pt>
                <c:pt idx="130">
                  <c:v>9.831079148638711</c:v>
                </c:pt>
                <c:pt idx="131">
                  <c:v>9.8441148701394656</c:v>
                </c:pt>
                <c:pt idx="132">
                  <c:v>9.8568959523215192</c:v>
                </c:pt>
                <c:pt idx="133">
                  <c:v>9.8694288032159285</c:v>
                </c:pt>
                <c:pt idx="134">
                  <c:v>9.8817196363254745</c:v>
                </c:pt>
                <c:pt idx="135">
                  <c:v>9.893774477448332</c:v>
                </c:pt>
                <c:pt idx="136">
                  <c:v>9.9055991712339679</c:v>
                </c:pt>
                <c:pt idx="137">
                  <c:v>9.9171993874824338</c:v>
                </c:pt>
                <c:pt idx="138">
                  <c:v>9.9285806271982047</c:v>
                </c:pt>
                <c:pt idx="139">
                  <c:v>9.9397482284089715</c:v>
                </c:pt>
                <c:pt idx="140">
                  <c:v>9.9507073717591705</c:v>
                </c:pt>
                <c:pt idx="141">
                  <c:v>9.9614630858880169</c:v>
                </c:pt>
                <c:pt idx="142">
                  <c:v>9.9720202526012365</c:v>
                </c:pt>
                <c:pt idx="143">
                  <c:v>9.9823836118445808</c:v>
                </c:pt>
                <c:pt idx="144">
                  <c:v>9.9925577664883036</c:v>
                </c:pt>
                <c:pt idx="145">
                  <c:v>10.002547186929643</c:v>
                </c:pt>
                <c:pt idx="146">
                  <c:v>10.012356215521717</c:v>
                </c:pt>
                <c:pt idx="147">
                  <c:v>10.021989070835124</c:v>
                </c:pt>
                <c:pt idx="148">
                  <c:v>10.031449851760199</c:v>
                </c:pt>
                <c:pt idx="149">
                  <c:v>10.040742541455526</c:v>
                </c:pt>
                <c:pt idx="150">
                  <c:v>10.049871011149714</c:v>
                </c:pt>
                <c:pt idx="151">
                  <c:v>10.058839023802252</c:v>
                </c:pt>
                <c:pt idx="152">
                  <c:v>10.067650237628984</c:v>
                </c:pt>
                <c:pt idx="153">
                  <c:v>10.076308209498089</c:v>
                </c:pt>
                <c:pt idx="154">
                  <c:v>10.084816398201413</c:v>
                </c:pt>
                <c:pt idx="155">
                  <c:v>10.093178167606654</c:v>
                </c:pt>
                <c:pt idx="156">
                  <c:v>10.101396789694832</c:v>
                </c:pt>
                <c:pt idx="157">
                  <c:v>10.109475447487675</c:v>
                </c:pt>
                <c:pt idx="158">
                  <c:v>10.117417237869695</c:v>
                </c:pt>
                <c:pt idx="159">
                  <c:v>10.125225174308646</c:v>
                </c:pt>
                <c:pt idx="160">
                  <c:v>10.132902189478694</c:v>
                </c:pt>
                <c:pt idx="161">
                  <c:v>10.140451137790272</c:v>
                </c:pt>
                <c:pt idx="162">
                  <c:v>10.147874797829974</c:v>
                </c:pt>
                <c:pt idx="163">
                  <c:v>10.155175874714137</c:v>
                </c:pt>
                <c:pt idx="164">
                  <c:v>10.162357002359773</c:v>
                </c:pt>
                <c:pt idx="165">
                  <c:v>10.169420745675543</c:v>
                </c:pt>
                <c:pt idx="166">
                  <c:v>10.176369602676516</c:v>
                </c:pt>
                <c:pt idx="167">
                  <c:v>10.183206006525108</c:v>
                </c:pt>
                <c:pt idx="168">
                  <c:v>10.18993232750134</c:v>
                </c:pt>
                <c:pt idx="169">
                  <c:v>10.196550874905107</c:v>
                </c:pt>
                <c:pt idx="170">
                  <c:v>10.203063898893053</c:v>
                </c:pt>
                <c:pt idx="171">
                  <c:v>10.209473592252554</c:v>
                </c:pt>
                <c:pt idx="172">
                  <c:v>10.215782092115104</c:v>
                </c:pt>
                <c:pt idx="173">
                  <c:v>10.2219914816115</c:v>
                </c:pt>
                <c:pt idx="174">
                  <c:v>10.228103791471003</c:v>
                </c:pt>
                <c:pt idx="175">
                  <c:v>10.234121001567019</c:v>
                </c:pt>
                <c:pt idx="176">
                  <c:v>10.240045042409971</c:v>
                </c:pt>
                <c:pt idx="177">
                  <c:v>10.245877796590925</c:v>
                </c:pt>
                <c:pt idx="178">
                  <c:v>10.251621100177337</c:v>
                </c:pt>
                <c:pt idx="179">
                  <c:v>10.257276744061704</c:v>
                </c:pt>
                <c:pt idx="180">
                  <c:v>10.262846475266095</c:v>
                </c:pt>
                <c:pt idx="181">
                  <c:v>10.268331998204161</c:v>
                </c:pt>
                <c:pt idx="182">
                  <c:v>10.273734975900727</c:v>
                </c:pt>
                <c:pt idx="183">
                  <c:v>10.279057031172613</c:v>
                </c:pt>
                <c:pt idx="184">
                  <c:v>10.284299747770259</c:v>
                </c:pt>
                <c:pt idx="185">
                  <c:v>10.289464671482627</c:v>
                </c:pt>
                <c:pt idx="186">
                  <c:v>10.294553311206853</c:v>
                </c:pt>
                <c:pt idx="187">
                  <c:v>10.299567139982699</c:v>
                </c:pt>
                <c:pt idx="188">
                  <c:v>10.304507595994432</c:v>
                </c:pt>
                <c:pt idx="189">
                  <c:v>10.309376083540959</c:v>
                </c:pt>
                <c:pt idx="190">
                  <c:v>10.314173973973807</c:v>
                </c:pt>
                <c:pt idx="191">
                  <c:v>10.318902606607598</c:v>
                </c:pt>
                <c:pt idx="192">
                  <c:v>10.323563289599614</c:v>
                </c:pt>
                <c:pt idx="193">
                  <c:v>10.328157300803193</c:v>
                </c:pt>
                <c:pt idx="194">
                  <c:v>10.332685888593526</c:v>
                </c:pt>
                <c:pt idx="195">
                  <c:v>10.337150272668783</c:v>
                </c:pt>
                <c:pt idx="196">
                  <c:v>10.341551644824731</c:v>
                </c:pt>
                <c:pt idx="197">
                  <c:v>10.345891169707345</c:v>
                </c:pt>
                <c:pt idx="198">
                  <c:v>10.350169985540381</c:v>
                </c:pt>
                <c:pt idx="199">
                  <c:v>10.354389204831802</c:v>
                </c:pt>
                <c:pt idx="200">
                  <c:v>10.358549915058477</c:v>
                </c:pt>
                <c:pt idx="201">
                  <c:v>10.362653179329319</c:v>
                </c:pt>
                <c:pt idx="202">
                  <c:v>10.366700037029094</c:v>
                </c:pt>
                <c:pt idx="203">
                  <c:v>10.370691504442087</c:v>
                </c:pt>
                <c:pt idx="204">
                  <c:v>10.37462857535796</c:v>
                </c:pt>
                <c:pt idx="205">
                  <c:v>10.378512221657967</c:v>
                </c:pt>
                <c:pt idx="206">
                  <c:v>10.382343393885179</c:v>
                </c:pt>
                <c:pt idx="207">
                  <c:v>10.386123021796454</c:v>
                </c:pt>
                <c:pt idx="208">
                  <c:v>10.389852014899006</c:v>
                </c:pt>
                <c:pt idx="209">
                  <c:v>10.393531262970505</c:v>
                </c:pt>
                <c:pt idx="210">
                  <c:v>10.397161636564068</c:v>
                </c:pt>
                <c:pt idx="211">
                  <c:v>10.400743987498181</c:v>
                </c:pt>
                <c:pt idx="212">
                  <c:v>10.404279149333124</c:v>
                </c:pt>
                <c:pt idx="213">
                  <c:v>10.407767937831993</c:v>
                </c:pt>
                <c:pt idx="214">
                  <c:v>10.411211151410235</c:v>
                </c:pt>
                <c:pt idx="215">
                  <c:v>10.414609571570546</c:v>
                </c:pt>
                <c:pt idx="216">
                  <c:v>10.417963963326201</c:v>
                </c:pt>
                <c:pt idx="217">
                  <c:v>10.421275075611771</c:v>
                </c:pt>
                <c:pt idx="218">
                  <c:v>10.42454364168236</c:v>
                </c:pt>
                <c:pt idx="219">
                  <c:v>10.42777037950145</c:v>
                </c:pt>
                <c:pt idx="220">
                  <c:v>10.430955992117404</c:v>
                </c:pt>
                <c:pt idx="221">
                  <c:v>10.434101168029866</c:v>
                </c:pt>
                <c:pt idx="222">
                  <c:v>10.437206581545308</c:v>
                </c:pt>
                <c:pt idx="223">
                  <c:v>10.440272893122863</c:v>
                </c:pt>
                <c:pt idx="224">
                  <c:v>10.443300749710492</c:v>
                </c:pt>
                <c:pt idx="225">
                  <c:v>10.446290785071762</c:v>
                </c:pt>
                <c:pt idx="226">
                  <c:v>10.449243620103388</c:v>
                </c:pt>
                <c:pt idx="227">
                  <c:v>10.452159863144056</c:v>
                </c:pt>
                <c:pt idx="228">
                  <c:v>10.455040110275041</c:v>
                </c:pt>
                <c:pt idx="229">
                  <c:v>10.457884945611884</c:v>
                </c:pt>
                <c:pt idx="230">
                  <c:v>10.460694941588837</c:v>
                </c:pt>
                <c:pt idx="231">
                  <c:v>10.463470659235085</c:v>
                </c:pt>
                <c:pt idx="232">
                  <c:v>10.466212648443522</c:v>
                </c:pt>
                <c:pt idx="233">
                  <c:v>10.468921448232344</c:v>
                </c:pt>
                <c:pt idx="234">
                  <c:v>10.471597586999479</c:v>
                </c:pt>
                <c:pt idx="235">
                  <c:v>10.474241582770174</c:v>
                </c:pt>
                <c:pt idx="236">
                  <c:v>10.476853943437956</c:v>
                </c:pt>
                <c:pt idx="237">
                  <c:v>10.47943516699935</c:v>
                </c:pt>
                <c:pt idx="238">
                  <c:v>10.481985741782214</c:v>
                </c:pt>
                <c:pt idx="239">
                  <c:v>10.484506146667474</c:v>
                </c:pt>
                <c:pt idx="240">
                  <c:v>10.486996851306159</c:v>
                </c:pt>
                <c:pt idx="241">
                  <c:v>10.48945831632938</c:v>
                </c:pt>
                <c:pt idx="242">
                  <c:v>10.491890993554273</c:v>
                </c:pt>
                <c:pt idx="243">
                  <c:v>10.494295326182852</c:v>
                </c:pt>
                <c:pt idx="244">
                  <c:v>10.496671748997096</c:v>
                </c:pt>
                <c:pt idx="245">
                  <c:v>10.499020688548571</c:v>
                </c:pt>
              </c:numCache>
            </c:numRef>
          </c:yVal>
          <c:smooth val="1"/>
          <c:extLst>
            <c:ext xmlns:c16="http://schemas.microsoft.com/office/drawing/2014/chart" uri="{C3380CC4-5D6E-409C-BE32-E72D297353CC}">
              <c16:uniqueId val="{00000003-BDF5-4ECF-9003-6B59912514A2}"/>
            </c:ext>
          </c:extLst>
        </c:ser>
        <c:ser>
          <c:idx val="1"/>
          <c:order val="4"/>
          <c:tx>
            <c:v>Source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Design'!$CY$27:$CY$272</c:f>
              <c:numCache>
                <c:formatCode>0.0</c:formatCode>
                <c:ptCount val="246"/>
                <c:pt idx="0">
                  <c:v>0.47997052378630889</c:v>
                </c:pt>
                <c:pt idx="1">
                  <c:v>0.57582404493915595</c:v>
                </c:pt>
                <c:pt idx="2">
                  <c:v>0.67169580434855924</c:v>
                </c:pt>
                <c:pt idx="3">
                  <c:v>0.76757896808849868</c:v>
                </c:pt>
                <c:pt idx="4">
                  <c:v>0.86346973701869267</c:v>
                </c:pt>
                <c:pt idx="5">
                  <c:v>0.95936583067432402</c:v>
                </c:pt>
                <c:pt idx="6">
                  <c:v>1.0552657974210673</c:v>
                </c:pt>
                <c:pt idx="7">
                  <c:v>1.1511686692969825</c:v>
                </c:pt>
                <c:pt idx="8">
                  <c:v>1.2470737760686936</c:v>
                </c:pt>
                <c:pt idx="9">
                  <c:v>1.3429806389402841</c:v>
                </c:pt>
                <c:pt idx="10">
                  <c:v>1.4388889067616226</c:v>
                </c:pt>
                <c:pt idx="11">
                  <c:v>1.5347983161503145</c:v>
                </c:pt>
                <c:pt idx="12">
                  <c:v>1.6307086656840342</c:v>
                </c:pt>
                <c:pt idx="13">
                  <c:v>1.7266197986931415</c:v>
                </c:pt>
                <c:pt idx="14">
                  <c:v>1.8225315914859384</c:v>
                </c:pt>
                <c:pt idx="15">
                  <c:v>1.9184439451056075</c:v>
                </c:pt>
                <c:pt idx="16">
                  <c:v>2.0143567794418762</c:v>
                </c:pt>
                <c:pt idx="17">
                  <c:v>2.1102700289483116</c:v>
                </c:pt>
                <c:pt idx="18">
                  <c:v>2.206183639476675</c:v>
                </c:pt>
                <c:pt idx="19">
                  <c:v>2.3020975659025762</c:v>
                </c:pt>
                <c:pt idx="20">
                  <c:v>2.3980117703208976</c:v>
                </c:pt>
                <c:pt idx="21">
                  <c:v>2.4939262206576087</c:v>
                </c:pt>
                <c:pt idx="22">
                  <c:v>2.5898408895900351</c:v>
                </c:pt>
                <c:pt idx="23">
                  <c:v>2.6857557536984711</c:v>
                </c:pt>
                <c:pt idx="24">
                  <c:v>2.7816707927933093</c:v>
                </c:pt>
                <c:pt idx="25">
                  <c:v>2.8775859893767306</c:v>
                </c:pt>
                <c:pt idx="26">
                  <c:v>2.9735013282085703</c:v>
                </c:pt>
                <c:pt idx="27">
                  <c:v>3.0694167959535874</c:v>
                </c:pt>
                <c:pt idx="28">
                  <c:v>3.1653323808928544</c:v>
                </c:pt>
                <c:pt idx="29">
                  <c:v>3.2612480726860751</c:v>
                </c:pt>
                <c:pt idx="30">
                  <c:v>3.3571638621746533</c:v>
                </c:pt>
                <c:pt idx="31">
                  <c:v>3.4530797412175711</c:v>
                </c:pt>
                <c:pt idx="32">
                  <c:v>3.5489957025538872</c:v>
                </c:pt>
                <c:pt idx="33">
                  <c:v>3.6449117396869424</c:v>
                </c:pt>
                <c:pt idx="34">
                  <c:v>3.7408278467863778</c:v>
                </c:pt>
                <c:pt idx="35">
                  <c:v>3.8367440186048505</c:v>
                </c:pt>
                <c:pt idx="36">
                  <c:v>3.9326602504069386</c:v>
                </c:pt>
                <c:pt idx="37">
                  <c:v>4.028576537908199</c:v>
                </c:pt>
                <c:pt idx="38">
                  <c:v>4.1244928772227309</c:v>
                </c:pt>
                <c:pt idx="39">
                  <c:v>4.2204092648178859</c:v>
                </c:pt>
                <c:pt idx="40">
                  <c:v>4.3163256974750217</c:v>
                </c:pt>
                <c:pt idx="41">
                  <c:v>4.4122421722553717</c:v>
                </c:pt>
                <c:pt idx="42">
                  <c:v>4.5081586864702698</c:v>
                </c:pt>
                <c:pt idx="43">
                  <c:v>4.6040752376551</c:v>
                </c:pt>
                <c:pt idx="44">
                  <c:v>4.699991823546438</c:v>
                </c:pt>
                <c:pt idx="45">
                  <c:v>4.7959084420619265</c:v>
                </c:pt>
                <c:pt idx="46">
                  <c:v>4.891825091282529</c:v>
                </c:pt>
                <c:pt idx="47">
                  <c:v>4.9877417694368225</c:v>
                </c:pt>
                <c:pt idx="48">
                  <c:v>5.0836584748870752</c:v>
                </c:pt>
                <c:pt idx="49">
                  <c:v>5.1795752061168665</c:v>
                </c:pt>
                <c:pt idx="50">
                  <c:v>5.2754919617200589</c:v>
                </c:pt>
                <c:pt idx="51">
                  <c:v>5.3714087403909527</c:v>
                </c:pt>
                <c:pt idx="52">
                  <c:v>5.4673255409154722</c:v>
                </c:pt>
                <c:pt idx="53">
                  <c:v>5.5632423621632716</c:v>
                </c:pt>
                <c:pt idx="54">
                  <c:v>5.6591592030806375</c:v>
                </c:pt>
                <c:pt idx="55">
                  <c:v>5.7550760626841022</c:v>
                </c:pt>
                <c:pt idx="56">
                  <c:v>5.8509929400546881</c:v>
                </c:pt>
                <c:pt idx="57">
                  <c:v>5.9469098343327049</c:v>
                </c:pt>
                <c:pt idx="58">
                  <c:v>6.0428267447130448</c:v>
                </c:pt>
                <c:pt idx="59">
                  <c:v>6.1387436704409195</c:v>
                </c:pt>
                <c:pt idx="60">
                  <c:v>6.2346606108079881</c:v>
                </c:pt>
                <c:pt idx="61">
                  <c:v>6.330577565148837</c:v>
                </c:pt>
                <c:pt idx="62">
                  <c:v>6.4264945328377827</c:v>
                </c:pt>
                <c:pt idx="63">
                  <c:v>6.5224115132859426</c:v>
                </c:pt>
                <c:pt idx="64">
                  <c:v>6.6183285059385746</c:v>
                </c:pt>
                <c:pt idx="65">
                  <c:v>6.7142455102726322</c:v>
                </c:pt>
                <c:pt idx="66">
                  <c:v>6.8101625257945377</c:v>
                </c:pt>
                <c:pt idx="67">
                  <c:v>6.9060795520381371</c:v>
                </c:pt>
                <c:pt idx="68">
                  <c:v>7.0019965885628128</c:v>
                </c:pt>
                <c:pt idx="69">
                  <c:v>7.0979136349517713</c:v>
                </c:pt>
                <c:pt idx="70">
                  <c:v>7.1938306908104419</c:v>
                </c:pt>
                <c:pt idx="71">
                  <c:v>7.2897477557650223</c:v>
                </c:pt>
                <c:pt idx="72">
                  <c:v>7.3856648294611311</c:v>
                </c:pt>
                <c:pt idx="73">
                  <c:v>7.4815819115625546</c:v>
                </c:pt>
                <c:pt idx="74">
                  <c:v>7.5774990017501098</c:v>
                </c:pt>
                <c:pt idx="75">
                  <c:v>7.6734160997205656</c:v>
                </c:pt>
                <c:pt idx="76">
                  <c:v>7.7693332051856689</c:v>
                </c:pt>
                <c:pt idx="77">
                  <c:v>7.8652503178712276</c:v>
                </c:pt>
                <c:pt idx="78">
                  <c:v>7.9611674375162611</c:v>
                </c:pt>
                <c:pt idx="79">
                  <c:v>8.0570845638722215</c:v>
                </c:pt>
                <c:pt idx="80">
                  <c:v>8.1530016967022512</c:v>
                </c:pt>
                <c:pt idx="81">
                  <c:v>8.248918835780513</c:v>
                </c:pt>
                <c:pt idx="82">
                  <c:v>8.3448359808915491</c:v>
                </c:pt>
                <c:pt idx="83">
                  <c:v>8.4407531318297035</c:v>
                </c:pt>
                <c:pt idx="84">
                  <c:v>8.5366702883985521</c:v>
                </c:pt>
                <c:pt idx="85">
                  <c:v>8.6325874504104085</c:v>
                </c:pt>
                <c:pt idx="86">
                  <c:v>8.7285046176858341</c:v>
                </c:pt>
                <c:pt idx="87">
                  <c:v>8.8244217900531883</c:v>
                </c:pt>
                <c:pt idx="88">
                  <c:v>8.9203389673482221</c:v>
                </c:pt>
                <c:pt idx="89">
                  <c:v>9.0162561494136639</c:v>
                </c:pt>
                <c:pt idx="90">
                  <c:v>9.1121733360988735</c:v>
                </c:pt>
                <c:pt idx="91">
                  <c:v>9.2080905272594826</c:v>
                </c:pt>
                <c:pt idx="92">
                  <c:v>9.3040077227570759</c:v>
                </c:pt>
                <c:pt idx="93">
                  <c:v>9.3999249224588919</c:v>
                </c:pt>
                <c:pt idx="94">
                  <c:v>9.4958421262375303</c:v>
                </c:pt>
                <c:pt idx="95">
                  <c:v>9.5917593339706837</c:v>
                </c:pt>
                <c:pt idx="96">
                  <c:v>9.6876765455408957</c:v>
                </c:pt>
                <c:pt idx="97">
                  <c:v>9.7835937608353092</c:v>
                </c:pt>
                <c:pt idx="98">
                  <c:v>9.8795109797454526</c:v>
                </c:pt>
                <c:pt idx="99">
                  <c:v>9.9754282021670306</c:v>
                </c:pt>
                <c:pt idx="100">
                  <c:v>10.071345427999713</c:v>
                </c:pt>
                <c:pt idx="101">
                  <c:v>10.167262657146958</c:v>
                </c:pt>
                <c:pt idx="102">
                  <c:v>10.263179889515838</c:v>
                </c:pt>
                <c:pt idx="103">
                  <c:v>10.359097125016863</c:v>
                </c:pt>
                <c:pt idx="104">
                  <c:v>10.455014363563825</c:v>
                </c:pt>
                <c:pt idx="105">
                  <c:v>10.550931605073655</c:v>
                </c:pt>
                <c:pt idx="106">
                  <c:v>10.646848849466277</c:v>
                </c:pt>
                <c:pt idx="107">
                  <c:v>10.74276609666447</c:v>
                </c:pt>
                <c:pt idx="108">
                  <c:v>10.838683346593752</c:v>
                </c:pt>
                <c:pt idx="109">
                  <c:v>10.934600599182254</c:v>
                </c:pt>
                <c:pt idx="110">
                  <c:v>11.030517854360605</c:v>
                </c:pt>
                <c:pt idx="111">
                  <c:v>11.126435112061824</c:v>
                </c:pt>
                <c:pt idx="112">
                  <c:v>11.222352372221222</c:v>
                </c:pt>
                <c:pt idx="113">
                  <c:v>11.318269634776307</c:v>
                </c:pt>
                <c:pt idx="114">
                  <c:v>11.41418689966668</c:v>
                </c:pt>
                <c:pt idx="115">
                  <c:v>11.51010416683396</c:v>
                </c:pt>
                <c:pt idx="116">
                  <c:v>11.606021436221695</c:v>
                </c:pt>
                <c:pt idx="117">
                  <c:v>11.701938707775284</c:v>
                </c:pt>
                <c:pt idx="118">
                  <c:v>11.797855981441902</c:v>
                </c:pt>
                <c:pt idx="119">
                  <c:v>11.893773257170428</c:v>
                </c:pt>
                <c:pt idx="120">
                  <c:v>11.989690534911373</c:v>
                </c:pt>
                <c:pt idx="121">
                  <c:v>12.085607814616827</c:v>
                </c:pt>
                <c:pt idx="122">
                  <c:v>12.18152509624038</c:v>
                </c:pt>
                <c:pt idx="123">
                  <c:v>12.277442379737078</c:v>
                </c:pt>
                <c:pt idx="124">
                  <c:v>12.373359665063363</c:v>
                </c:pt>
                <c:pt idx="125">
                  <c:v>12.46927695217701</c:v>
                </c:pt>
                <c:pt idx="126">
                  <c:v>12.565194241037089</c:v>
                </c:pt>
                <c:pt idx="127">
                  <c:v>12.661111531603904</c:v>
                </c:pt>
                <c:pt idx="128">
                  <c:v>12.757028823838963</c:v>
                </c:pt>
                <c:pt idx="129">
                  <c:v>12.852946117704917</c:v>
                </c:pt>
                <c:pt idx="130">
                  <c:v>12.948863413165521</c:v>
                </c:pt>
                <c:pt idx="131">
                  <c:v>13.044780710185602</c:v>
                </c:pt>
                <c:pt idx="132">
                  <c:v>13.140698008731006</c:v>
                </c:pt>
                <c:pt idx="133">
                  <c:v>13.236615308768579</c:v>
                </c:pt>
                <c:pt idx="134">
                  <c:v>13.332532610266114</c:v>
                </c:pt>
                <c:pt idx="135">
                  <c:v>13.428449913192326</c:v>
                </c:pt>
                <c:pt idx="136">
                  <c:v>13.524367217516819</c:v>
                </c:pt>
                <c:pt idx="137">
                  <c:v>13.620284523210049</c:v>
                </c:pt>
                <c:pt idx="138">
                  <c:v>13.716201830243303</c:v>
                </c:pt>
                <c:pt idx="139">
                  <c:v>13.812119138588665</c:v>
                </c:pt>
                <c:pt idx="140">
                  <c:v>13.908036448218988</c:v>
                </c:pt>
                <c:pt idx="141">
                  <c:v>14.003953759107866</c:v>
                </c:pt>
                <c:pt idx="142">
                  <c:v>14.099871071229618</c:v>
                </c:pt>
                <c:pt idx="143">
                  <c:v>14.195788384559247</c:v>
                </c:pt>
                <c:pt idx="144">
                  <c:v>14.291705699072443</c:v>
                </c:pt>
                <c:pt idx="145">
                  <c:v>14.387623014745527</c:v>
                </c:pt>
                <c:pt idx="146">
                  <c:v>14.483540331555457</c:v>
                </c:pt>
                <c:pt idx="147">
                  <c:v>14.579457649479796</c:v>
                </c:pt>
                <c:pt idx="148">
                  <c:v>14.675374968496692</c:v>
                </c:pt>
                <c:pt idx="149">
                  <c:v>14.771292288584863</c:v>
                </c:pt>
                <c:pt idx="150">
                  <c:v>14.867209609723574</c:v>
                </c:pt>
                <c:pt idx="151">
                  <c:v>14.963126931892621</c:v>
                </c:pt>
                <c:pt idx="152">
                  <c:v>15.059044255072317</c:v>
                </c:pt>
                <c:pt idx="153">
                  <c:v>15.154961579243471</c:v>
                </c:pt>
                <c:pt idx="154">
                  <c:v>15.250878904387381</c:v>
                </c:pt>
                <c:pt idx="155">
                  <c:v>15.346796230485802</c:v>
                </c:pt>
                <c:pt idx="156">
                  <c:v>15.442713557520953</c:v>
                </c:pt>
                <c:pt idx="157">
                  <c:v>15.538630885475486</c:v>
                </c:pt>
                <c:pt idx="158">
                  <c:v>15.634548214332478</c:v>
                </c:pt>
                <c:pt idx="159">
                  <c:v>15.730465544075422</c:v>
                </c:pt>
                <c:pt idx="160">
                  <c:v>15.82638287468821</c:v>
                </c:pt>
                <c:pt idx="161">
                  <c:v>15.922300206155121</c:v>
                </c:pt>
                <c:pt idx="162">
                  <c:v>16.01821753846081</c:v>
                </c:pt>
                <c:pt idx="163">
                  <c:v>16.114134871590302</c:v>
                </c:pt>
                <c:pt idx="164">
                  <c:v>16.210052205528974</c:v>
                </c:pt>
                <c:pt idx="165">
                  <c:v>16.305969540262542</c:v>
                </c:pt>
                <c:pt idx="166">
                  <c:v>16.401886875777063</c:v>
                </c:pt>
                <c:pt idx="167">
                  <c:v>16.497804212058917</c:v>
                </c:pt>
                <c:pt idx="168">
                  <c:v>16.593721549094791</c:v>
                </c:pt>
                <c:pt idx="169">
                  <c:v>16.689638886871695</c:v>
                </c:pt>
                <c:pt idx="170">
                  <c:v>16.785556225376919</c:v>
                </c:pt>
                <c:pt idx="171">
                  <c:v>16.88147356459805</c:v>
                </c:pt>
                <c:pt idx="172">
                  <c:v>16.977390904522952</c:v>
                </c:pt>
                <c:pt idx="173">
                  <c:v>17.073308245139771</c:v>
                </c:pt>
                <c:pt idx="174">
                  <c:v>17.169225586436902</c:v>
                </c:pt>
                <c:pt idx="175">
                  <c:v>17.265142928403009</c:v>
                </c:pt>
                <c:pt idx="176">
                  <c:v>17.361060271027004</c:v>
                </c:pt>
                <c:pt idx="177">
                  <c:v>17.456977614298044</c:v>
                </c:pt>
                <c:pt idx="178">
                  <c:v>17.552894958205524</c:v>
                </c:pt>
                <c:pt idx="179">
                  <c:v>17.648812302739064</c:v>
                </c:pt>
                <c:pt idx="180">
                  <c:v>17.744729647888509</c:v>
                </c:pt>
                <c:pt idx="181">
                  <c:v>17.840646993643929</c:v>
                </c:pt>
                <c:pt idx="182">
                  <c:v>17.936564339995602</c:v>
                </c:pt>
                <c:pt idx="183">
                  <c:v>18.032481686934016</c:v>
                </c:pt>
                <c:pt idx="184">
                  <c:v>18.128399034449853</c:v>
                </c:pt>
                <c:pt idx="185">
                  <c:v>18.224316382533992</c:v>
                </c:pt>
                <c:pt idx="186">
                  <c:v>18.32023373117752</c:v>
                </c:pt>
                <c:pt idx="187">
                  <c:v>18.416151080371687</c:v>
                </c:pt>
                <c:pt idx="188">
                  <c:v>18.512068430107934</c:v>
                </c:pt>
                <c:pt idx="189">
                  <c:v>18.607985780377884</c:v>
                </c:pt>
                <c:pt idx="190">
                  <c:v>18.703903131173316</c:v>
                </c:pt>
                <c:pt idx="191">
                  <c:v>18.799820482486201</c:v>
                </c:pt>
                <c:pt idx="192">
                  <c:v>18.895737834308644</c:v>
                </c:pt>
                <c:pt idx="193">
                  <c:v>18.991655186632933</c:v>
                </c:pt>
                <c:pt idx="194">
                  <c:v>19.087572539451504</c:v>
                </c:pt>
                <c:pt idx="195">
                  <c:v>19.183489892756938</c:v>
                </c:pt>
                <c:pt idx="196">
                  <c:v>19.279407246541968</c:v>
                </c:pt>
                <c:pt idx="197">
                  <c:v>19.375324600799477</c:v>
                </c:pt>
                <c:pt idx="198">
                  <c:v>19.47124195552248</c:v>
                </c:pt>
                <c:pt idx="199">
                  <c:v>19.567159310704131</c:v>
                </c:pt>
                <c:pt idx="200">
                  <c:v>19.663076666337712</c:v>
                </c:pt>
                <c:pt idx="201">
                  <c:v>19.758994022416651</c:v>
                </c:pt>
                <c:pt idx="202">
                  <c:v>19.854911378934489</c:v>
                </c:pt>
                <c:pt idx="203">
                  <c:v>19.950828735884897</c:v>
                </c:pt>
                <c:pt idx="204">
                  <c:v>20.046746093261667</c:v>
                </c:pt>
                <c:pt idx="205">
                  <c:v>20.142663451058706</c:v>
                </c:pt>
                <c:pt idx="206">
                  <c:v>20.238580809270037</c:v>
                </c:pt>
                <c:pt idx="207">
                  <c:v>20.334498167889802</c:v>
                </c:pt>
                <c:pt idx="208">
                  <c:v>20.430415526912245</c:v>
                </c:pt>
                <c:pt idx="209">
                  <c:v>20.526332886331723</c:v>
                </c:pt>
                <c:pt idx="210">
                  <c:v>20.622250246142688</c:v>
                </c:pt>
                <c:pt idx="211">
                  <c:v>20.718167606339716</c:v>
                </c:pt>
                <c:pt idx="212">
                  <c:v>20.814084966917463</c:v>
                </c:pt>
                <c:pt idx="213">
                  <c:v>20.910002327870689</c:v>
                </c:pt>
                <c:pt idx="214">
                  <c:v>21.005919689194251</c:v>
                </c:pt>
                <c:pt idx="215">
                  <c:v>21.101837050883102</c:v>
                </c:pt>
                <c:pt idx="216">
                  <c:v>21.19775441293228</c:v>
                </c:pt>
                <c:pt idx="217">
                  <c:v>21.293671775336914</c:v>
                </c:pt>
                <c:pt idx="218">
                  <c:v>21.389589138092223</c:v>
                </c:pt>
                <c:pt idx="219">
                  <c:v>21.485506501193516</c:v>
                </c:pt>
                <c:pt idx="220">
                  <c:v>21.581423864636175</c:v>
                </c:pt>
                <c:pt idx="221">
                  <c:v>21.677341228415671</c:v>
                </c:pt>
                <c:pt idx="222">
                  <c:v>21.773258592527551</c:v>
                </c:pt>
                <c:pt idx="223">
                  <c:v>21.869175956967439</c:v>
                </c:pt>
                <c:pt idx="224">
                  <c:v>21.965093321731043</c:v>
                </c:pt>
                <c:pt idx="225">
                  <c:v>22.061010686814136</c:v>
                </c:pt>
                <c:pt idx="226">
                  <c:v>22.156928052212571</c:v>
                </c:pt>
                <c:pt idx="227">
                  <c:v>22.252845417922266</c:v>
                </c:pt>
                <c:pt idx="228">
                  <c:v>22.348762783939225</c:v>
                </c:pt>
                <c:pt idx="229">
                  <c:v>22.444680150259497</c:v>
                </c:pt>
                <c:pt idx="230">
                  <c:v>22.540597516879217</c:v>
                </c:pt>
                <c:pt idx="231">
                  <c:v>22.636514883794575</c:v>
                </c:pt>
                <c:pt idx="232">
                  <c:v>22.732432251001828</c:v>
                </c:pt>
                <c:pt idx="233">
                  <c:v>22.828349618497299</c:v>
                </c:pt>
                <c:pt idx="234">
                  <c:v>22.924266986277367</c:v>
                </c:pt>
                <c:pt idx="235">
                  <c:v>23.020184354338479</c:v>
                </c:pt>
                <c:pt idx="236">
                  <c:v>23.116101722677133</c:v>
                </c:pt>
                <c:pt idx="237">
                  <c:v>23.212019091289889</c:v>
                </c:pt>
                <c:pt idx="238">
                  <c:v>23.307936460173366</c:v>
                </c:pt>
                <c:pt idx="239">
                  <c:v>23.403853829324234</c:v>
                </c:pt>
                <c:pt idx="240">
                  <c:v>23.499771198739214</c:v>
                </c:pt>
                <c:pt idx="241">
                  <c:v>23.595688568415092</c:v>
                </c:pt>
                <c:pt idx="242">
                  <c:v>23.691605938348697</c:v>
                </c:pt>
                <c:pt idx="243">
                  <c:v>23.787523308536908</c:v>
                </c:pt>
                <c:pt idx="244">
                  <c:v>23.883440678976662</c:v>
                </c:pt>
                <c:pt idx="245">
                  <c:v>23.979358049664938</c:v>
                </c:pt>
              </c:numCache>
            </c:numRef>
          </c:yVal>
          <c:smooth val="1"/>
          <c:extLst>
            <c:ext xmlns:c16="http://schemas.microsoft.com/office/drawing/2014/chart" uri="{C3380CC4-5D6E-409C-BE32-E72D297353CC}">
              <c16:uniqueId val="{00000004-BDF5-4ECF-9003-6B59912514A2}"/>
            </c:ext>
          </c:extLst>
        </c:ser>
        <c:ser>
          <c:idx val="2"/>
          <c:order val="5"/>
          <c:tx>
            <c:v>Source Impedance + Filter Impedance</c:v>
          </c:tx>
          <c:marker>
            <c:symbol val="none"/>
          </c:marker>
          <c:xVal>
            <c:numRef>
              <c:f>'C-HP Filter Design'!$CW$27:$CW$272</c:f>
              <c:numCache>
                <c:formatCode>General</c:formatCode>
                <c:ptCount val="246"/>
                <c:pt idx="0">
                  <c:v>1</c:v>
                </c:pt>
                <c:pt idx="1">
                  <c:v>1.2</c:v>
                </c:pt>
                <c:pt idx="2">
                  <c:v>1.4</c:v>
                </c:pt>
                <c:pt idx="3">
                  <c:v>1.5999999999999999</c:v>
                </c:pt>
                <c:pt idx="4">
                  <c:v>1.7999999999999998</c:v>
                </c:pt>
                <c:pt idx="5">
                  <c:v>1.9999999999999998</c:v>
                </c:pt>
                <c:pt idx="6">
                  <c:v>2.1999999999999997</c:v>
                </c:pt>
                <c:pt idx="7">
                  <c:v>2.4</c:v>
                </c:pt>
                <c:pt idx="8">
                  <c:v>2.6</c:v>
                </c:pt>
                <c:pt idx="9">
                  <c:v>2.8000000000000003</c:v>
                </c:pt>
                <c:pt idx="10">
                  <c:v>3.0000000000000004</c:v>
                </c:pt>
                <c:pt idx="11">
                  <c:v>3.2000000000000006</c:v>
                </c:pt>
                <c:pt idx="12">
                  <c:v>3.4000000000000008</c:v>
                </c:pt>
                <c:pt idx="13">
                  <c:v>3.600000000000001</c:v>
                </c:pt>
                <c:pt idx="14">
                  <c:v>3.8000000000000012</c:v>
                </c:pt>
                <c:pt idx="15">
                  <c:v>4.0000000000000009</c:v>
                </c:pt>
                <c:pt idx="16">
                  <c:v>4.2000000000000011</c:v>
                </c:pt>
                <c:pt idx="17">
                  <c:v>4.4000000000000012</c:v>
                </c:pt>
                <c:pt idx="18">
                  <c:v>4.6000000000000014</c:v>
                </c:pt>
                <c:pt idx="19">
                  <c:v>4.8000000000000016</c:v>
                </c:pt>
                <c:pt idx="20">
                  <c:v>5.0000000000000018</c:v>
                </c:pt>
                <c:pt idx="21">
                  <c:v>5.200000000000002</c:v>
                </c:pt>
                <c:pt idx="22">
                  <c:v>5.4000000000000021</c:v>
                </c:pt>
                <c:pt idx="23">
                  <c:v>5.6000000000000023</c:v>
                </c:pt>
                <c:pt idx="24">
                  <c:v>5.8000000000000025</c:v>
                </c:pt>
                <c:pt idx="25">
                  <c:v>6.0000000000000027</c:v>
                </c:pt>
                <c:pt idx="26">
                  <c:v>6.2000000000000028</c:v>
                </c:pt>
                <c:pt idx="27">
                  <c:v>6.400000000000003</c:v>
                </c:pt>
                <c:pt idx="28">
                  <c:v>6.6000000000000032</c:v>
                </c:pt>
                <c:pt idx="29">
                  <c:v>6.8000000000000034</c:v>
                </c:pt>
                <c:pt idx="30">
                  <c:v>7.0000000000000036</c:v>
                </c:pt>
                <c:pt idx="31">
                  <c:v>7.2000000000000037</c:v>
                </c:pt>
                <c:pt idx="32">
                  <c:v>7.4000000000000039</c:v>
                </c:pt>
                <c:pt idx="33">
                  <c:v>7.6000000000000041</c:v>
                </c:pt>
                <c:pt idx="34">
                  <c:v>7.8000000000000043</c:v>
                </c:pt>
                <c:pt idx="35">
                  <c:v>8.0000000000000036</c:v>
                </c:pt>
                <c:pt idx="36">
                  <c:v>8.2000000000000028</c:v>
                </c:pt>
                <c:pt idx="37">
                  <c:v>8.4000000000000021</c:v>
                </c:pt>
                <c:pt idx="38">
                  <c:v>8.6000000000000014</c:v>
                </c:pt>
                <c:pt idx="39">
                  <c:v>8.8000000000000007</c:v>
                </c:pt>
                <c:pt idx="40">
                  <c:v>9</c:v>
                </c:pt>
                <c:pt idx="41">
                  <c:v>9.1999999999999993</c:v>
                </c:pt>
                <c:pt idx="42">
                  <c:v>9.3999999999999986</c:v>
                </c:pt>
                <c:pt idx="43">
                  <c:v>9.5999999999999979</c:v>
                </c:pt>
                <c:pt idx="44">
                  <c:v>9.7999999999999972</c:v>
                </c:pt>
                <c:pt idx="45">
                  <c:v>9.9999999999999964</c:v>
                </c:pt>
                <c:pt idx="46">
                  <c:v>10.199999999999996</c:v>
                </c:pt>
                <c:pt idx="47">
                  <c:v>10.399999999999995</c:v>
                </c:pt>
                <c:pt idx="48">
                  <c:v>10.599999999999994</c:v>
                </c:pt>
                <c:pt idx="49">
                  <c:v>10.799999999999994</c:v>
                </c:pt>
                <c:pt idx="50">
                  <c:v>10.999999999999993</c:v>
                </c:pt>
                <c:pt idx="51">
                  <c:v>11.199999999999992</c:v>
                </c:pt>
                <c:pt idx="52">
                  <c:v>11.399999999999991</c:v>
                </c:pt>
                <c:pt idx="53">
                  <c:v>11.599999999999991</c:v>
                </c:pt>
                <c:pt idx="54">
                  <c:v>11.79999999999999</c:v>
                </c:pt>
                <c:pt idx="55">
                  <c:v>11.999999999999989</c:v>
                </c:pt>
                <c:pt idx="56">
                  <c:v>12.199999999999989</c:v>
                </c:pt>
                <c:pt idx="57">
                  <c:v>12.399999999999988</c:v>
                </c:pt>
                <c:pt idx="58">
                  <c:v>12.599999999999987</c:v>
                </c:pt>
                <c:pt idx="59">
                  <c:v>12.799999999999986</c:v>
                </c:pt>
                <c:pt idx="60">
                  <c:v>12.999999999999986</c:v>
                </c:pt>
                <c:pt idx="61">
                  <c:v>13.199999999999985</c:v>
                </c:pt>
                <c:pt idx="62">
                  <c:v>13.399999999999984</c:v>
                </c:pt>
                <c:pt idx="63">
                  <c:v>13.599999999999984</c:v>
                </c:pt>
                <c:pt idx="64">
                  <c:v>13.799999999999983</c:v>
                </c:pt>
                <c:pt idx="65">
                  <c:v>13.999999999999982</c:v>
                </c:pt>
                <c:pt idx="66">
                  <c:v>14.199999999999982</c:v>
                </c:pt>
                <c:pt idx="67">
                  <c:v>14.399999999999981</c:v>
                </c:pt>
                <c:pt idx="68">
                  <c:v>14.59999999999998</c:v>
                </c:pt>
                <c:pt idx="69">
                  <c:v>14.799999999999979</c:v>
                </c:pt>
                <c:pt idx="70">
                  <c:v>14.999999999999979</c:v>
                </c:pt>
                <c:pt idx="71">
                  <c:v>15.199999999999978</c:v>
                </c:pt>
                <c:pt idx="72">
                  <c:v>15.399999999999977</c:v>
                </c:pt>
                <c:pt idx="73">
                  <c:v>15.599999999999977</c:v>
                </c:pt>
                <c:pt idx="74">
                  <c:v>15.799999999999976</c:v>
                </c:pt>
                <c:pt idx="75">
                  <c:v>15.999999999999975</c:v>
                </c:pt>
                <c:pt idx="76">
                  <c:v>16.199999999999974</c:v>
                </c:pt>
                <c:pt idx="77">
                  <c:v>16.399999999999974</c:v>
                </c:pt>
                <c:pt idx="78">
                  <c:v>16.599999999999973</c:v>
                </c:pt>
                <c:pt idx="79">
                  <c:v>16.799999999999972</c:v>
                </c:pt>
                <c:pt idx="80">
                  <c:v>16.999999999999972</c:v>
                </c:pt>
                <c:pt idx="81">
                  <c:v>17.199999999999971</c:v>
                </c:pt>
                <c:pt idx="82">
                  <c:v>17.39999999999997</c:v>
                </c:pt>
                <c:pt idx="83">
                  <c:v>17.599999999999969</c:v>
                </c:pt>
                <c:pt idx="84">
                  <c:v>17.799999999999969</c:v>
                </c:pt>
                <c:pt idx="85">
                  <c:v>17.999999999999968</c:v>
                </c:pt>
                <c:pt idx="86">
                  <c:v>18.199999999999967</c:v>
                </c:pt>
                <c:pt idx="87">
                  <c:v>18.399999999999967</c:v>
                </c:pt>
                <c:pt idx="88">
                  <c:v>18.599999999999966</c:v>
                </c:pt>
                <c:pt idx="89">
                  <c:v>18.799999999999965</c:v>
                </c:pt>
                <c:pt idx="90">
                  <c:v>18.999999999999964</c:v>
                </c:pt>
                <c:pt idx="91">
                  <c:v>19.199999999999964</c:v>
                </c:pt>
                <c:pt idx="92">
                  <c:v>19.399999999999963</c:v>
                </c:pt>
                <c:pt idx="93">
                  <c:v>19.599999999999962</c:v>
                </c:pt>
                <c:pt idx="94">
                  <c:v>19.799999999999962</c:v>
                </c:pt>
                <c:pt idx="95">
                  <c:v>19.999999999999961</c:v>
                </c:pt>
                <c:pt idx="96">
                  <c:v>20.19999999999996</c:v>
                </c:pt>
                <c:pt idx="97">
                  <c:v>20.399999999999959</c:v>
                </c:pt>
                <c:pt idx="98">
                  <c:v>20.599999999999959</c:v>
                </c:pt>
                <c:pt idx="99">
                  <c:v>20.799999999999958</c:v>
                </c:pt>
                <c:pt idx="100">
                  <c:v>20.999999999999957</c:v>
                </c:pt>
                <c:pt idx="101">
                  <c:v>21.199999999999957</c:v>
                </c:pt>
                <c:pt idx="102">
                  <c:v>21.399999999999956</c:v>
                </c:pt>
                <c:pt idx="103">
                  <c:v>21.599999999999955</c:v>
                </c:pt>
                <c:pt idx="104">
                  <c:v>21.799999999999955</c:v>
                </c:pt>
                <c:pt idx="105">
                  <c:v>21.999999999999954</c:v>
                </c:pt>
                <c:pt idx="106">
                  <c:v>22.199999999999953</c:v>
                </c:pt>
                <c:pt idx="107">
                  <c:v>22.399999999999952</c:v>
                </c:pt>
                <c:pt idx="108">
                  <c:v>22.599999999999952</c:v>
                </c:pt>
                <c:pt idx="109">
                  <c:v>22.799999999999951</c:v>
                </c:pt>
                <c:pt idx="110">
                  <c:v>22.99999999999995</c:v>
                </c:pt>
                <c:pt idx="111">
                  <c:v>23.19999999999995</c:v>
                </c:pt>
                <c:pt idx="112">
                  <c:v>23.399999999999949</c:v>
                </c:pt>
                <c:pt idx="113">
                  <c:v>23.599999999999948</c:v>
                </c:pt>
                <c:pt idx="114">
                  <c:v>23.799999999999947</c:v>
                </c:pt>
                <c:pt idx="115">
                  <c:v>23.999999999999947</c:v>
                </c:pt>
                <c:pt idx="116">
                  <c:v>24.199999999999946</c:v>
                </c:pt>
                <c:pt idx="117">
                  <c:v>24.399999999999945</c:v>
                </c:pt>
                <c:pt idx="118">
                  <c:v>24.599999999999945</c:v>
                </c:pt>
                <c:pt idx="119">
                  <c:v>24.799999999999944</c:v>
                </c:pt>
                <c:pt idx="120">
                  <c:v>24.999999999999943</c:v>
                </c:pt>
                <c:pt idx="121">
                  <c:v>25.199999999999942</c:v>
                </c:pt>
                <c:pt idx="122">
                  <c:v>25.399999999999942</c:v>
                </c:pt>
                <c:pt idx="123">
                  <c:v>25.599999999999941</c:v>
                </c:pt>
                <c:pt idx="124">
                  <c:v>25.79999999999994</c:v>
                </c:pt>
                <c:pt idx="125">
                  <c:v>25.99999999999994</c:v>
                </c:pt>
                <c:pt idx="126">
                  <c:v>26.199999999999939</c:v>
                </c:pt>
                <c:pt idx="127">
                  <c:v>26.399999999999938</c:v>
                </c:pt>
                <c:pt idx="128">
                  <c:v>26.599999999999937</c:v>
                </c:pt>
                <c:pt idx="129">
                  <c:v>26.799999999999937</c:v>
                </c:pt>
                <c:pt idx="130">
                  <c:v>26.999999999999936</c:v>
                </c:pt>
                <c:pt idx="131">
                  <c:v>27.199999999999935</c:v>
                </c:pt>
                <c:pt idx="132">
                  <c:v>27.399999999999935</c:v>
                </c:pt>
                <c:pt idx="133">
                  <c:v>27.599999999999934</c:v>
                </c:pt>
                <c:pt idx="134">
                  <c:v>27.799999999999933</c:v>
                </c:pt>
                <c:pt idx="135">
                  <c:v>27.999999999999932</c:v>
                </c:pt>
                <c:pt idx="136">
                  <c:v>28.199999999999932</c:v>
                </c:pt>
                <c:pt idx="137">
                  <c:v>28.399999999999931</c:v>
                </c:pt>
                <c:pt idx="138">
                  <c:v>28.59999999999993</c:v>
                </c:pt>
                <c:pt idx="139">
                  <c:v>28.79999999999993</c:v>
                </c:pt>
                <c:pt idx="140">
                  <c:v>28.999999999999929</c:v>
                </c:pt>
                <c:pt idx="141">
                  <c:v>29.199999999999928</c:v>
                </c:pt>
                <c:pt idx="142">
                  <c:v>29.399999999999928</c:v>
                </c:pt>
                <c:pt idx="143">
                  <c:v>29.599999999999927</c:v>
                </c:pt>
                <c:pt idx="144">
                  <c:v>29.799999999999926</c:v>
                </c:pt>
                <c:pt idx="145">
                  <c:v>29.999999999999925</c:v>
                </c:pt>
                <c:pt idx="146">
                  <c:v>30.199999999999925</c:v>
                </c:pt>
                <c:pt idx="147">
                  <c:v>30.399999999999924</c:v>
                </c:pt>
                <c:pt idx="148">
                  <c:v>30.599999999999923</c:v>
                </c:pt>
                <c:pt idx="149">
                  <c:v>30.799999999999923</c:v>
                </c:pt>
                <c:pt idx="150">
                  <c:v>30.999999999999922</c:v>
                </c:pt>
                <c:pt idx="151">
                  <c:v>31.199999999999921</c:v>
                </c:pt>
                <c:pt idx="152">
                  <c:v>31.39999999999992</c:v>
                </c:pt>
                <c:pt idx="153">
                  <c:v>31.59999999999992</c:v>
                </c:pt>
                <c:pt idx="154">
                  <c:v>31.799999999999919</c:v>
                </c:pt>
                <c:pt idx="155">
                  <c:v>31.999999999999918</c:v>
                </c:pt>
                <c:pt idx="156">
                  <c:v>32.199999999999918</c:v>
                </c:pt>
                <c:pt idx="157">
                  <c:v>32.39999999999992</c:v>
                </c:pt>
                <c:pt idx="158">
                  <c:v>32.599999999999923</c:v>
                </c:pt>
                <c:pt idx="159">
                  <c:v>32.799999999999926</c:v>
                </c:pt>
                <c:pt idx="160">
                  <c:v>32.999999999999929</c:v>
                </c:pt>
                <c:pt idx="161">
                  <c:v>33.199999999999932</c:v>
                </c:pt>
                <c:pt idx="162">
                  <c:v>33.399999999999935</c:v>
                </c:pt>
                <c:pt idx="163">
                  <c:v>33.599999999999937</c:v>
                </c:pt>
                <c:pt idx="164">
                  <c:v>33.79999999999994</c:v>
                </c:pt>
                <c:pt idx="165">
                  <c:v>33.999999999999943</c:v>
                </c:pt>
                <c:pt idx="166">
                  <c:v>34.199999999999946</c:v>
                </c:pt>
                <c:pt idx="167">
                  <c:v>34.399999999999949</c:v>
                </c:pt>
                <c:pt idx="168">
                  <c:v>34.599999999999952</c:v>
                </c:pt>
                <c:pt idx="169">
                  <c:v>34.799999999999955</c:v>
                </c:pt>
                <c:pt idx="170">
                  <c:v>34.999999999999957</c:v>
                </c:pt>
                <c:pt idx="171">
                  <c:v>35.19999999999996</c:v>
                </c:pt>
                <c:pt idx="172">
                  <c:v>35.399999999999963</c:v>
                </c:pt>
                <c:pt idx="173">
                  <c:v>35.599999999999966</c:v>
                </c:pt>
                <c:pt idx="174">
                  <c:v>35.799999999999969</c:v>
                </c:pt>
                <c:pt idx="175">
                  <c:v>35.999999999999972</c:v>
                </c:pt>
                <c:pt idx="176">
                  <c:v>36.199999999999974</c:v>
                </c:pt>
                <c:pt idx="177">
                  <c:v>36.399999999999977</c:v>
                </c:pt>
                <c:pt idx="178">
                  <c:v>36.59999999999998</c:v>
                </c:pt>
                <c:pt idx="179">
                  <c:v>36.799999999999983</c:v>
                </c:pt>
                <c:pt idx="180">
                  <c:v>36.999999999999986</c:v>
                </c:pt>
                <c:pt idx="181">
                  <c:v>37.199999999999989</c:v>
                </c:pt>
                <c:pt idx="182">
                  <c:v>37.399999999999991</c:v>
                </c:pt>
                <c:pt idx="183">
                  <c:v>37.599999999999994</c:v>
                </c:pt>
                <c:pt idx="184">
                  <c:v>37.799999999999997</c:v>
                </c:pt>
                <c:pt idx="185">
                  <c:v>38</c:v>
                </c:pt>
                <c:pt idx="186">
                  <c:v>38.200000000000003</c:v>
                </c:pt>
                <c:pt idx="187">
                  <c:v>38.400000000000006</c:v>
                </c:pt>
                <c:pt idx="188">
                  <c:v>38.600000000000009</c:v>
                </c:pt>
                <c:pt idx="189">
                  <c:v>38.800000000000011</c:v>
                </c:pt>
                <c:pt idx="190">
                  <c:v>39.000000000000014</c:v>
                </c:pt>
                <c:pt idx="191">
                  <c:v>39.200000000000017</c:v>
                </c:pt>
                <c:pt idx="192">
                  <c:v>39.40000000000002</c:v>
                </c:pt>
                <c:pt idx="193">
                  <c:v>39.600000000000023</c:v>
                </c:pt>
                <c:pt idx="194">
                  <c:v>39.800000000000026</c:v>
                </c:pt>
                <c:pt idx="195">
                  <c:v>40.000000000000028</c:v>
                </c:pt>
                <c:pt idx="196">
                  <c:v>40.200000000000031</c:v>
                </c:pt>
                <c:pt idx="197">
                  <c:v>40.400000000000034</c:v>
                </c:pt>
                <c:pt idx="198">
                  <c:v>40.600000000000037</c:v>
                </c:pt>
                <c:pt idx="199">
                  <c:v>40.80000000000004</c:v>
                </c:pt>
                <c:pt idx="200">
                  <c:v>41.000000000000043</c:v>
                </c:pt>
                <c:pt idx="201">
                  <c:v>41.200000000000045</c:v>
                </c:pt>
                <c:pt idx="202">
                  <c:v>41.400000000000048</c:v>
                </c:pt>
                <c:pt idx="203">
                  <c:v>41.600000000000051</c:v>
                </c:pt>
                <c:pt idx="204">
                  <c:v>41.800000000000054</c:v>
                </c:pt>
                <c:pt idx="205">
                  <c:v>42.000000000000057</c:v>
                </c:pt>
                <c:pt idx="206">
                  <c:v>42.20000000000006</c:v>
                </c:pt>
                <c:pt idx="207">
                  <c:v>42.400000000000063</c:v>
                </c:pt>
                <c:pt idx="208">
                  <c:v>42.600000000000065</c:v>
                </c:pt>
                <c:pt idx="209">
                  <c:v>42.800000000000068</c:v>
                </c:pt>
                <c:pt idx="210">
                  <c:v>43.000000000000071</c:v>
                </c:pt>
                <c:pt idx="211">
                  <c:v>43.200000000000074</c:v>
                </c:pt>
                <c:pt idx="212">
                  <c:v>43.400000000000077</c:v>
                </c:pt>
                <c:pt idx="213">
                  <c:v>43.60000000000008</c:v>
                </c:pt>
                <c:pt idx="214">
                  <c:v>43.800000000000082</c:v>
                </c:pt>
                <c:pt idx="215">
                  <c:v>44.000000000000085</c:v>
                </c:pt>
                <c:pt idx="216">
                  <c:v>44.200000000000088</c:v>
                </c:pt>
                <c:pt idx="217">
                  <c:v>44.400000000000091</c:v>
                </c:pt>
                <c:pt idx="218">
                  <c:v>44.600000000000094</c:v>
                </c:pt>
                <c:pt idx="219">
                  <c:v>44.800000000000097</c:v>
                </c:pt>
                <c:pt idx="220">
                  <c:v>45.000000000000099</c:v>
                </c:pt>
                <c:pt idx="221">
                  <c:v>45.200000000000102</c:v>
                </c:pt>
                <c:pt idx="222">
                  <c:v>45.400000000000105</c:v>
                </c:pt>
                <c:pt idx="223">
                  <c:v>45.600000000000108</c:v>
                </c:pt>
                <c:pt idx="224">
                  <c:v>45.800000000000111</c:v>
                </c:pt>
                <c:pt idx="225">
                  <c:v>46.000000000000114</c:v>
                </c:pt>
                <c:pt idx="226">
                  <c:v>46.200000000000117</c:v>
                </c:pt>
                <c:pt idx="227">
                  <c:v>46.400000000000119</c:v>
                </c:pt>
                <c:pt idx="228">
                  <c:v>46.600000000000122</c:v>
                </c:pt>
                <c:pt idx="229">
                  <c:v>46.800000000000125</c:v>
                </c:pt>
                <c:pt idx="230">
                  <c:v>47.000000000000128</c:v>
                </c:pt>
                <c:pt idx="231">
                  <c:v>47.200000000000131</c:v>
                </c:pt>
                <c:pt idx="232">
                  <c:v>47.400000000000134</c:v>
                </c:pt>
                <c:pt idx="233">
                  <c:v>47.600000000000136</c:v>
                </c:pt>
                <c:pt idx="234">
                  <c:v>47.800000000000139</c:v>
                </c:pt>
                <c:pt idx="235">
                  <c:v>48.000000000000142</c:v>
                </c:pt>
                <c:pt idx="236">
                  <c:v>48.200000000000145</c:v>
                </c:pt>
                <c:pt idx="237">
                  <c:v>48.400000000000148</c:v>
                </c:pt>
                <c:pt idx="238">
                  <c:v>48.600000000000151</c:v>
                </c:pt>
                <c:pt idx="239">
                  <c:v>48.800000000000153</c:v>
                </c:pt>
                <c:pt idx="240">
                  <c:v>49.000000000000156</c:v>
                </c:pt>
                <c:pt idx="241">
                  <c:v>49.200000000000159</c:v>
                </c:pt>
                <c:pt idx="242">
                  <c:v>49.400000000000162</c:v>
                </c:pt>
                <c:pt idx="243">
                  <c:v>49.600000000000165</c:v>
                </c:pt>
                <c:pt idx="244">
                  <c:v>49.800000000000168</c:v>
                </c:pt>
                <c:pt idx="245">
                  <c:v>50.000000000000171</c:v>
                </c:pt>
              </c:numCache>
            </c:numRef>
          </c:xVal>
          <c:yVal>
            <c:numRef>
              <c:f>'C-HP Filter Design'!$CZ$27:$CZ$272</c:f>
              <c:numCache>
                <c:formatCode>0.0</c:formatCode>
                <c:ptCount val="246"/>
                <c:pt idx="0">
                  <c:v>0.48901946792806178</c:v>
                </c:pt>
                <c:pt idx="1">
                  <c:v>0.59188872771097123</c:v>
                </c:pt>
                <c:pt idx="2">
                  <c:v>0.69805821865848983</c:v>
                </c:pt>
                <c:pt idx="3">
                  <c:v>0.80849880080209524</c:v>
                </c:pt>
                <c:pt idx="4">
                  <c:v>0.92446250881404879</c:v>
                </c:pt>
                <c:pt idx="5">
                  <c:v>1.0475967418607024</c:v>
                </c:pt>
                <c:pt idx="6">
                  <c:v>1.1801129723261188</c:v>
                </c:pt>
                <c:pt idx="7">
                  <c:v>1.3250375061011215</c:v>
                </c:pt>
                <c:pt idx="8">
                  <c:v>1.4865844574367424</c:v>
                </c:pt>
                <c:pt idx="9">
                  <c:v>1.6706996986473137</c:v>
                </c:pt>
                <c:pt idx="10">
                  <c:v>1.8857959705893454</c:v>
                </c:pt>
                <c:pt idx="11">
                  <c:v>2.1434960939888583</c:v>
                </c:pt>
                <c:pt idx="12">
                  <c:v>2.4582980745103913</c:v>
                </c:pt>
                <c:pt idx="13">
                  <c:v>2.8416814647435897</c:v>
                </c:pt>
                <c:pt idx="14">
                  <c:v>3.2762992724930444</c:v>
                </c:pt>
                <c:pt idx="15">
                  <c:v>3.6485854527729291</c:v>
                </c:pt>
                <c:pt idx="16">
                  <c:v>3.7185071262408411</c:v>
                </c:pt>
                <c:pt idx="17">
                  <c:v>3.3865466160580975</c:v>
                </c:pt>
                <c:pt idx="18">
                  <c:v>2.890162666403731</c:v>
                </c:pt>
                <c:pt idx="19">
                  <c:v>2.46229004208202</c:v>
                </c:pt>
                <c:pt idx="20">
                  <c:v>2.1665334995375174</c:v>
                </c:pt>
                <c:pt idx="21">
                  <c:v>1.9860437751945275</c:v>
                </c:pt>
                <c:pt idx="22">
                  <c:v>1.8892151566687487</c:v>
                </c:pt>
                <c:pt idx="23">
                  <c:v>1.8491527771147935</c:v>
                </c:pt>
                <c:pt idx="24">
                  <c:v>1.8465312766007236</c:v>
                </c:pt>
                <c:pt idx="25">
                  <c:v>1.8683418172371629</c:v>
                </c:pt>
                <c:pt idx="26">
                  <c:v>1.9060720530929174</c:v>
                </c:pt>
                <c:pt idx="27">
                  <c:v>1.9542042673577897</c:v>
                </c:pt>
                <c:pt idx="28">
                  <c:v>2.009156361010664</c:v>
                </c:pt>
                <c:pt idx="29">
                  <c:v>2.0685845787583883</c:v>
                </c:pt>
                <c:pt idx="30">
                  <c:v>2.1309383279503766</c:v>
                </c:pt>
                <c:pt idx="31">
                  <c:v>2.1951789490187683</c:v>
                </c:pt>
                <c:pt idx="32">
                  <c:v>2.2606019044869168</c:v>
                </c:pt>
                <c:pt idx="33">
                  <c:v>2.3267235248704576</c:v>
                </c:pt>
                <c:pt idx="34">
                  <c:v>2.3932080831869271</c:v>
                </c:pt>
                <c:pt idx="35">
                  <c:v>2.4598202413084835</c:v>
                </c:pt>
                <c:pt idx="36">
                  <c:v>2.5263936274432766</c:v>
                </c:pt>
                <c:pt idx="37">
                  <c:v>2.5928097965037891</c:v>
                </c:pt>
                <c:pt idx="38">
                  <c:v>2.6589839611408639</c:v>
                </c:pt>
                <c:pt idx="39">
                  <c:v>2.724855196326279</c:v>
                </c:pt>
                <c:pt idx="40">
                  <c:v>2.7903796380238246</c:v>
                </c:pt>
                <c:pt idx="41">
                  <c:v>2.8555257107407415</c:v>
                </c:pt>
                <c:pt idx="42">
                  <c:v>2.9202707461852495</c:v>
                </c:pt>
                <c:pt idx="43">
                  <c:v>2.9845985663749945</c:v>
                </c:pt>
                <c:pt idx="44">
                  <c:v>3.0484977423721036</c:v>
                </c:pt>
                <c:pt idx="45">
                  <c:v>3.1119603309088348</c:v>
                </c:pt>
                <c:pt idx="46">
                  <c:v>3.174980952075289</c:v>
                </c:pt>
                <c:pt idx="47">
                  <c:v>3.2375561124314984</c:v>
                </c:pt>
                <c:pt idx="48">
                  <c:v>3.2996837060617707</c:v>
                </c:pt>
                <c:pt idx="49">
                  <c:v>3.3613626455331547</c:v>
                </c:pt>
                <c:pt idx="50">
                  <c:v>3.422592588277332</c:v>
                </c:pt>
                <c:pt idx="51">
                  <c:v>3.4833737334559363</c:v>
                </c:pt>
                <c:pt idx="52">
                  <c:v>3.5437066711398741</c:v>
                </c:pt>
                <c:pt idx="53">
                  <c:v>3.6035922704788872</c:v>
                </c:pt>
                <c:pt idx="54">
                  <c:v>3.6630315970303848</c:v>
                </c:pt>
                <c:pt idx="55">
                  <c:v>3.7220258519538789</c:v>
                </c:pt>
                <c:pt idx="56">
                  <c:v>3.7805763276317927</c:v>
                </c:pt>
                <c:pt idx="57">
                  <c:v>3.8386843756420213</c:v>
                </c:pt>
                <c:pt idx="58">
                  <c:v>3.8963513840172621</c:v>
                </c:pt>
                <c:pt idx="59">
                  <c:v>3.9535787614778952</c:v>
                </c:pt>
                <c:pt idx="60">
                  <c:v>4.0103679268863832</c:v>
                </c:pt>
                <c:pt idx="61">
                  <c:v>4.0667203025943337</c:v>
                </c:pt>
                <c:pt idx="62">
                  <c:v>4.1226373106709415</c:v>
                </c:pt>
                <c:pt idx="63">
                  <c:v>4.1781203712440131</c:v>
                </c:pt>
                <c:pt idx="64">
                  <c:v>4.2331709023673989</c:v>
                </c:pt>
                <c:pt idx="65">
                  <c:v>4.2877903209688988</c:v>
                </c:pt>
                <c:pt idx="66">
                  <c:v>4.3419800445402572</c:v>
                </c:pt>
                <c:pt idx="67">
                  <c:v>4.3957414933117462</c:v>
                </c:pt>
                <c:pt idx="68">
                  <c:v>4.4490760927183555</c:v>
                </c:pt>
                <c:pt idx="69">
                  <c:v>4.5019852760115011</c:v>
                </c:pt>
                <c:pt idx="70">
                  <c:v>4.5544704869088743</c:v>
                </c:pt>
                <c:pt idx="71">
                  <c:v>4.606533182202484</c:v>
                </c:pt>
                <c:pt idx="72">
                  <c:v>4.6581748342683191</c:v>
                </c:pt>
                <c:pt idx="73">
                  <c:v>4.7093969334367136</c:v>
                </c:pt>
                <c:pt idx="74">
                  <c:v>4.7602009901965969</c:v>
                </c:pt>
                <c:pt idx="75">
                  <c:v>4.8105885372162724</c:v>
                </c:pt>
                <c:pt idx="76">
                  <c:v>4.8605611311707912</c:v>
                </c:pt>
                <c:pt idx="77">
                  <c:v>4.9101203543722933</c:v>
                </c:pt>
                <c:pt idx="78">
                  <c:v>4.9592678162033019</c:v>
                </c:pt>
                <c:pt idx="79">
                  <c:v>5.0080051543563258</c:v>
                </c:pt>
                <c:pt idx="80">
                  <c:v>5.0563340358860529</c:v>
                </c:pt>
                <c:pt idx="81">
                  <c:v>5.1042561580807737</c:v>
                </c:pt>
                <c:pt idx="82">
                  <c:v>5.1517732491622112</c:v>
                </c:pt>
                <c:pt idx="83">
                  <c:v>5.1988870688224811</c:v>
                </c:pt>
                <c:pt idx="84">
                  <c:v>5.2455994086080615</c:v>
                </c:pt>
                <c:pt idx="85">
                  <c:v>5.291912092160211</c:v>
                </c:pt>
                <c:pt idx="86">
                  <c:v>5.337826975322062</c:v>
                </c:pt>
                <c:pt idx="87">
                  <c:v>5.383345946121695</c:v>
                </c:pt>
                <c:pt idx="88">
                  <c:v>5.428470924640612</c:v>
                </c:pt>
                <c:pt idx="89">
                  <c:v>5.4732038627768995</c:v>
                </c:pt>
                <c:pt idx="90">
                  <c:v>5.5175467439115335</c:v>
                </c:pt>
                <c:pt idx="91">
                  <c:v>5.5615015824867209</c:v>
                </c:pt>
                <c:pt idx="92">
                  <c:v>5.6050704235032871</c:v>
                </c:pt>
                <c:pt idx="93">
                  <c:v>5.64825534194601</c:v>
                </c:pt>
                <c:pt idx="94">
                  <c:v>5.6910584421426451</c:v>
                </c:pt>
                <c:pt idx="95">
                  <c:v>5.7334818570645858</c:v>
                </c:pt>
                <c:pt idx="96">
                  <c:v>5.7755277475746176</c:v>
                </c:pt>
                <c:pt idx="97">
                  <c:v>5.8171983016283342</c:v>
                </c:pt>
                <c:pt idx="98">
                  <c:v>5.8584957334343635</c:v>
                </c:pt>
                <c:pt idx="99">
                  <c:v>5.899422282578815</c:v>
                </c:pt>
                <c:pt idx="100">
                  <c:v>5.9399802131190702</c:v>
                </c:pt>
                <c:pt idx="101">
                  <c:v>5.9801718126509051</c:v>
                </c:pt>
                <c:pt idx="102">
                  <c:v>6.0199993913536129</c:v>
                </c:pt>
                <c:pt idx="103">
                  <c:v>6.0594652810168892</c:v>
                </c:pt>
                <c:pt idx="104">
                  <c:v>6.0985718340532715</c:v>
                </c:pt>
                <c:pt idx="105">
                  <c:v>6.1373214224993511</c:v>
                </c:pt>
                <c:pt idx="106">
                  <c:v>6.1757164370089859</c:v>
                </c:pt>
                <c:pt idx="107">
                  <c:v>6.2137592858412294</c:v>
                </c:pt>
                <c:pt idx="108">
                  <c:v>6.251452393846229</c:v>
                </c:pt>
                <c:pt idx="109">
                  <c:v>6.2887982014505273</c:v>
                </c:pt>
                <c:pt idx="110">
                  <c:v>6.3257991636452164</c:v>
                </c:pt>
                <c:pt idx="111">
                  <c:v>6.3624577489779259</c:v>
                </c:pt>
                <c:pt idx="112">
                  <c:v>6.3987764385516215</c:v>
                </c:pt>
                <c:pt idx="113">
                  <c:v>6.4347577250306616</c:v>
                </c:pt>
                <c:pt idx="114">
                  <c:v>6.4704041116570341</c:v>
                </c:pt>
                <c:pt idx="115">
                  <c:v>6.5057181112774991</c:v>
                </c:pt>
                <c:pt idx="116">
                  <c:v>6.5407022453825485</c:v>
                </c:pt>
                <c:pt idx="117">
                  <c:v>6.5753590431592839</c:v>
                </c:pt>
                <c:pt idx="118">
                  <c:v>6.609691040558781</c:v>
                </c:pt>
                <c:pt idx="119">
                  <c:v>6.6437007793788494</c:v>
                </c:pt>
                <c:pt idx="120">
                  <c:v>6.6773908063629772</c:v>
                </c:pt>
                <c:pt idx="121">
                  <c:v>6.7107636723163528</c:v>
                </c:pt>
                <c:pt idx="122">
                  <c:v>6.7438219312397942</c:v>
                </c:pt>
                <c:pt idx="123">
                  <c:v>6.7765681394817117</c:v>
                </c:pt>
                <c:pt idx="124">
                  <c:v>6.8090048549090048</c:v>
                </c:pt>
                <c:pt idx="125">
                  <c:v>6.8411346360966867</c:v>
                </c:pt>
                <c:pt idx="126">
                  <c:v>6.8729600415378762</c:v>
                </c:pt>
                <c:pt idx="127">
                  <c:v>6.9044836288723408</c:v>
                </c:pt>
                <c:pt idx="128">
                  <c:v>6.9357079541364062</c:v>
                </c:pt>
                <c:pt idx="129">
                  <c:v>6.9666355710318433</c:v>
                </c:pt>
                <c:pt idx="130">
                  <c:v>6.9972690302161302</c:v>
                </c:pt>
                <c:pt idx="131">
                  <c:v>7.027610878611851</c:v>
                </c:pt>
                <c:pt idx="132">
                  <c:v>7.05766365873792</c:v>
                </c:pt>
                <c:pt idx="133">
                  <c:v>7.0874299080597316</c:v>
                </c:pt>
                <c:pt idx="134">
                  <c:v>7.1169121583606945</c:v>
                </c:pt>
                <c:pt idx="135">
                  <c:v>7.146112935133802</c:v>
                </c:pt>
                <c:pt idx="136">
                  <c:v>7.1750347569926687</c:v>
                </c:pt>
                <c:pt idx="137">
                  <c:v>7.2036801351034434</c:v>
                </c:pt>
                <c:pt idx="138">
                  <c:v>7.2320515726359984</c:v>
                </c:pt>
                <c:pt idx="139">
                  <c:v>7.2601515642348096</c:v>
                </c:pt>
                <c:pt idx="140">
                  <c:v>7.2879825955093454</c:v>
                </c:pt>
                <c:pt idx="141">
                  <c:v>7.3155471425435064</c:v>
                </c:pt>
                <c:pt idx="142">
                  <c:v>7.3428476714241366</c:v>
                </c:pt>
                <c:pt idx="143">
                  <c:v>7.3698866377878938</c:v>
                </c:pt>
                <c:pt idx="144">
                  <c:v>7.3966664863866489</c:v>
                </c:pt>
                <c:pt idx="145">
                  <c:v>7.4231896506711728</c:v>
                </c:pt>
                <c:pt idx="146">
                  <c:v>7.4494585523919641</c:v>
                </c:pt>
                <c:pt idx="147">
                  <c:v>7.4754756012181405</c:v>
                </c:pt>
                <c:pt idx="148">
                  <c:v>7.5012431943729911</c:v>
                </c:pt>
                <c:pt idx="149">
                  <c:v>7.5267637162867436</c:v>
                </c:pt>
                <c:pt idx="150">
                  <c:v>7.5520395382650731</c:v>
                </c:pt>
                <c:pt idx="151">
                  <c:v>7.5770730181746373</c:v>
                </c:pt>
                <c:pt idx="152">
                  <c:v>7.6018665001434655</c:v>
                </c:pt>
                <c:pt idx="153">
                  <c:v>7.6264223142773782</c:v>
                </c:pt>
                <c:pt idx="154">
                  <c:v>7.650742776390957</c:v>
                </c:pt>
                <c:pt idx="155">
                  <c:v>7.6748301877534635</c:v>
                </c:pt>
                <c:pt idx="156">
                  <c:v>7.6986868348495143</c:v>
                </c:pt>
                <c:pt idx="157">
                  <c:v>7.7223149891524434</c:v>
                </c:pt>
                <c:pt idx="158">
                  <c:v>7.7457169069128087</c:v>
                </c:pt>
                <c:pt idx="159">
                  <c:v>7.7688948289591133</c:v>
                </c:pt>
                <c:pt idx="160">
                  <c:v>7.7918509805118035</c:v>
                </c:pt>
                <c:pt idx="161">
                  <c:v>7.8145875710098558</c:v>
                </c:pt>
                <c:pt idx="162">
                  <c:v>7.8371067939495376</c:v>
                </c:pt>
                <c:pt idx="163">
                  <c:v>7.8594108267347833</c:v>
                </c:pt>
                <c:pt idx="164">
                  <c:v>7.8815018305396114</c:v>
                </c:pt>
                <c:pt idx="165">
                  <c:v>7.9033819501811022</c:v>
                </c:pt>
                <c:pt idx="166">
                  <c:v>7.9250533140038986</c:v>
                </c:pt>
                <c:pt idx="167">
                  <c:v>7.9465180337744865</c:v>
                </c:pt>
                <c:pt idx="168">
                  <c:v>7.9677782045863497</c:v>
                </c:pt>
                <c:pt idx="169">
                  <c:v>7.9888359047744402</c:v>
                </c:pt>
                <c:pt idx="170">
                  <c:v>8.0096931958397288</c:v>
                </c:pt>
                <c:pt idx="171">
                  <c:v>8.0303521223824639</c:v>
                </c:pt>
                <c:pt idx="172">
                  <c:v>8.0508147120447529</c:v>
                </c:pt>
                <c:pt idx="173">
                  <c:v>8.0710829754616888</c:v>
                </c:pt>
                <c:pt idx="174">
                  <c:v>8.0911589062206097</c:v>
                </c:pt>
                <c:pt idx="175">
                  <c:v>8.1110444808289515</c:v>
                </c:pt>
                <c:pt idx="176">
                  <c:v>8.1307416586891215</c:v>
                </c:pt>
                <c:pt idx="177">
                  <c:v>8.1502523820812964</c:v>
                </c:pt>
                <c:pt idx="178">
                  <c:v>8.1695785761536523</c:v>
                </c:pt>
                <c:pt idx="179">
                  <c:v>8.188722148919144</c:v>
                </c:pt>
                <c:pt idx="180">
                  <c:v>8.2076849912589349</c:v>
                </c:pt>
                <c:pt idx="181">
                  <c:v>8.2264689769328285</c:v>
                </c:pt>
                <c:pt idx="182">
                  <c:v>8.2450759625952106</c:v>
                </c:pt>
                <c:pt idx="183">
                  <c:v>8.263507787817268</c:v>
                </c:pt>
                <c:pt idx="184">
                  <c:v>8.2817662751151193</c:v>
                </c:pt>
                <c:pt idx="185">
                  <c:v>8.2998532299827357</c:v>
                </c:pt>
                <c:pt idx="186">
                  <c:v>8.3177704409311897</c:v>
                </c:pt>
                <c:pt idx="187">
                  <c:v>8.3355196795316804</c:v>
                </c:pt>
                <c:pt idx="188">
                  <c:v>8.3531027004645377</c:v>
                </c:pt>
                <c:pt idx="189">
                  <c:v>8.3705212415719377</c:v>
                </c:pt>
                <c:pt idx="190">
                  <c:v>8.3877770239155467</c:v>
                </c:pt>
                <c:pt idx="191">
                  <c:v>8.4048717518382983</c:v>
                </c:pt>
                <c:pt idx="192">
                  <c:v>8.4218071130299474</c:v>
                </c:pt>
                <c:pt idx="193">
                  <c:v>8.4385847785967449</c:v>
                </c:pt>
                <c:pt idx="194">
                  <c:v>8.455206403134417</c:v>
                </c:pt>
                <c:pt idx="195">
                  <c:v>8.4716736248053373</c:v>
                </c:pt>
                <c:pt idx="196">
                  <c:v>8.4879880654178042</c:v>
                </c:pt>
                <c:pt idx="197">
                  <c:v>8.5041513305098206</c:v>
                </c:pt>
                <c:pt idx="198">
                  <c:v>8.5201650094346384</c:v>
                </c:pt>
                <c:pt idx="199">
                  <c:v>8.5360306754499593</c:v>
                </c:pt>
                <c:pt idx="200">
                  <c:v>8.5517498858094925</c:v>
                </c:pt>
                <c:pt idx="201">
                  <c:v>8.5673241818568915</c:v>
                </c:pt>
                <c:pt idx="202">
                  <c:v>8.5827550891223741</c:v>
                </c:pt>
                <c:pt idx="203">
                  <c:v>8.5980441174212032</c:v>
                </c:pt>
                <c:pt idx="204">
                  <c:v>8.6131927609548722</c:v>
                </c:pt>
                <c:pt idx="205">
                  <c:v>8.6282024984134331</c:v>
                </c:pt>
                <c:pt idx="206">
                  <c:v>8.6430747930805918</c:v>
                </c:pt>
                <c:pt idx="207">
                  <c:v>8.6578110929396956</c:v>
                </c:pt>
                <c:pt idx="208">
                  <c:v>8.6724128307819228</c:v>
                </c:pt>
                <c:pt idx="209">
                  <c:v>8.6868814243159189</c:v>
                </c:pt>
                <c:pt idx="210">
                  <c:v>8.7012182762783183</c:v>
                </c:pt>
                <c:pt idx="211">
                  <c:v>8.715424774546193</c:v>
                </c:pt>
                <c:pt idx="212">
                  <c:v>8.7295022922504355</c:v>
                </c:pt>
                <c:pt idx="213">
                  <c:v>8.7434521878899574</c:v>
                </c:pt>
                <c:pt idx="214">
                  <c:v>8.7572758054474669</c:v>
                </c:pt>
                <c:pt idx="215">
                  <c:v>8.7709744745057616</c:v>
                </c:pt>
                <c:pt idx="216">
                  <c:v>8.7845495103647195</c:v>
                </c:pt>
                <c:pt idx="217">
                  <c:v>8.7980022141593093</c:v>
                </c:pt>
                <c:pt idx="218">
                  <c:v>8.8113338729783539</c:v>
                </c:pt>
                <c:pt idx="219">
                  <c:v>8.8245457599833657</c:v>
                </c:pt>
                <c:pt idx="220">
                  <c:v>8.8376391345284748</c:v>
                </c:pt>
                <c:pt idx="221">
                  <c:v>8.8506152422803162</c:v>
                </c:pt>
                <c:pt idx="222">
                  <c:v>8.8634753153386168</c:v>
                </c:pt>
                <c:pt idx="223">
                  <c:v>8.8762205723566243</c:v>
                </c:pt>
                <c:pt idx="224">
                  <c:v>8.8888522186625103</c:v>
                </c:pt>
                <c:pt idx="225">
                  <c:v>8.9013714463801126</c:v>
                </c:pt>
                <c:pt idx="226">
                  <c:v>8.9137794345504897</c:v>
                </c:pt>
                <c:pt idx="227">
                  <c:v>8.9260773492528269</c:v>
                </c:pt>
                <c:pt idx="228">
                  <c:v>8.9382663437260703</c:v>
                </c:pt>
                <c:pt idx="229">
                  <c:v>8.9503475584898577</c:v>
                </c:pt>
                <c:pt idx="230">
                  <c:v>8.962322121465931</c:v>
                </c:pt>
                <c:pt idx="231">
                  <c:v>8.9741911480989529</c:v>
                </c:pt>
                <c:pt idx="232">
                  <c:v>8.9859557414772357</c:v>
                </c:pt>
                <c:pt idx="233">
                  <c:v>8.9976169924534162</c:v>
                </c:pt>
                <c:pt idx="234">
                  <c:v>9.0091759797647111</c:v>
                </c:pt>
                <c:pt idx="235">
                  <c:v>9.02063377015266</c:v>
                </c:pt>
                <c:pt idx="236">
                  <c:v>9.0319914184828463</c:v>
                </c:pt>
                <c:pt idx="237">
                  <c:v>9.0432499678641225</c:v>
                </c:pt>
                <c:pt idx="238">
                  <c:v>9.0544104497674844</c:v>
                </c:pt>
                <c:pt idx="239">
                  <c:v>9.0654738841439286</c:v>
                </c:pt>
                <c:pt idx="240">
                  <c:v>9.0764412795427631</c:v>
                </c:pt>
                <c:pt idx="241">
                  <c:v>9.0873136332285078</c:v>
                </c:pt>
                <c:pt idx="242">
                  <c:v>9.0980919312980095</c:v>
                </c:pt>
                <c:pt idx="243">
                  <c:v>9.1087771487962339</c:v>
                </c:pt>
                <c:pt idx="244">
                  <c:v>9.119370249832043</c:v>
                </c:pt>
                <c:pt idx="245">
                  <c:v>9.1298721876932767</c:v>
                </c:pt>
              </c:numCache>
            </c:numRef>
          </c:yVal>
          <c:smooth val="1"/>
          <c:extLst>
            <c:ext xmlns:c16="http://schemas.microsoft.com/office/drawing/2014/chart" uri="{C3380CC4-5D6E-409C-BE32-E72D297353CC}">
              <c16:uniqueId val="{00000005-BDF5-4ECF-9003-6B59912514A2}"/>
            </c:ext>
          </c:extLst>
        </c:ser>
        <c:dLbls>
          <c:showLegendKey val="0"/>
          <c:showVal val="0"/>
          <c:showCatName val="0"/>
          <c:showSerName val="0"/>
          <c:showPercent val="0"/>
          <c:showBubbleSize val="0"/>
        </c:dLbls>
        <c:axId val="23132032"/>
        <c:axId val="23199744"/>
      </c:scatterChart>
      <c:valAx>
        <c:axId val="23132032"/>
        <c:scaling>
          <c:orientation val="minMax"/>
          <c:max val="50"/>
        </c:scaling>
        <c:delete val="0"/>
        <c:axPos val="b"/>
        <c:majorGridlines/>
        <c:minorGridlines/>
        <c:title>
          <c:tx>
            <c:rich>
              <a:bodyPr/>
              <a:lstStyle/>
              <a:p>
                <a:pPr>
                  <a:defRPr sz="1400" b="1">
                    <a:solidFill>
                      <a:srgbClr val="0E9ED9"/>
                    </a:solidFill>
                  </a:defRPr>
                </a:pPr>
                <a:r>
                  <a:rPr lang="en-US" sz="1400" b="1">
                    <a:solidFill>
                      <a:srgbClr val="0E9ED9"/>
                    </a:solidFill>
                  </a:rPr>
                  <a:t>Harmonic Number</a:t>
                </a:r>
                <a:r>
                  <a:rPr lang="en-US" sz="1400" b="1" baseline="0">
                    <a:solidFill>
                      <a:srgbClr val="0E9ED9"/>
                    </a:solidFill>
                  </a:rPr>
                  <a:t> (n)</a:t>
                </a:r>
                <a:endParaRPr lang="en-US" sz="1400" b="1">
                  <a:solidFill>
                    <a:srgbClr val="0E9ED9"/>
                  </a:solidFill>
                </a:endParaRPr>
              </a:p>
            </c:rich>
          </c:tx>
          <c:overlay val="0"/>
        </c:title>
        <c:numFmt formatCode="General" sourceLinked="1"/>
        <c:majorTickMark val="cross"/>
        <c:minorTickMark val="cross"/>
        <c:tickLblPos val="nextTo"/>
        <c:txPr>
          <a:bodyPr/>
          <a:lstStyle/>
          <a:p>
            <a:pPr>
              <a:defRPr b="1">
                <a:solidFill>
                  <a:srgbClr val="C00000"/>
                </a:solidFill>
              </a:defRPr>
            </a:pPr>
            <a:endParaRPr lang="en-US"/>
          </a:p>
        </c:txPr>
        <c:crossAx val="23199744"/>
        <c:crosses val="autoZero"/>
        <c:crossBetween val="midCat"/>
        <c:majorUnit val="5"/>
        <c:minorUnit val="1"/>
      </c:valAx>
      <c:valAx>
        <c:axId val="23199744"/>
        <c:scaling>
          <c:orientation val="minMax"/>
        </c:scaling>
        <c:delete val="0"/>
        <c:axPos val="l"/>
        <c:majorGridlines>
          <c:spPr>
            <a:ln>
              <a:solidFill>
                <a:srgbClr val="C00000"/>
              </a:solidFill>
            </a:ln>
          </c:spPr>
        </c:majorGridlines>
        <c:minorGridlines/>
        <c:title>
          <c:tx>
            <c:rich>
              <a:bodyPr rot="-5400000" vert="horz"/>
              <a:lstStyle/>
              <a:p>
                <a:pPr>
                  <a:defRPr sz="1400" b="1">
                    <a:solidFill>
                      <a:srgbClr val="0E9ED9"/>
                    </a:solidFill>
                  </a:defRPr>
                </a:pPr>
                <a:r>
                  <a:rPr lang="en-US" sz="1400" b="1">
                    <a:solidFill>
                      <a:srgbClr val="0E9ED9"/>
                    </a:solidFill>
                  </a:rPr>
                  <a:t>Impedance (ohms)</a:t>
                </a:r>
              </a:p>
            </c:rich>
          </c:tx>
          <c:overlay val="0"/>
        </c:title>
        <c:numFmt formatCode="0.0" sourceLinked="1"/>
        <c:majorTickMark val="out"/>
        <c:minorTickMark val="none"/>
        <c:tickLblPos val="nextTo"/>
        <c:txPr>
          <a:bodyPr/>
          <a:lstStyle/>
          <a:p>
            <a:pPr>
              <a:defRPr b="1">
                <a:solidFill>
                  <a:srgbClr val="C00000"/>
                </a:solidFill>
              </a:defRPr>
            </a:pPr>
            <a:endParaRPr lang="en-US"/>
          </a:p>
        </c:txPr>
        <c:crossAx val="23132032"/>
        <c:crosses val="autoZero"/>
        <c:crossBetween val="midCat"/>
      </c:valAx>
      <c:spPr>
        <a:solidFill>
          <a:schemeClr val="bg1"/>
        </a:solidFill>
      </c:spPr>
    </c:plotArea>
    <c:legend>
      <c:legendPos val="r"/>
      <c:legendEntry>
        <c:idx val="2"/>
        <c:delete val="1"/>
      </c:legendEntry>
      <c:legendEntry>
        <c:idx val="3"/>
        <c:delete val="1"/>
      </c:legendEntry>
      <c:legendEntry>
        <c:idx val="4"/>
        <c:delete val="1"/>
      </c:legendEntry>
      <c:layout>
        <c:manualLayout>
          <c:xMode val="edge"/>
          <c:yMode val="edge"/>
          <c:x val="0.13763950237927577"/>
          <c:y val="4.7102149385911785E-2"/>
          <c:w val="0.81277774802267733"/>
          <c:h val="0.11346144535098233"/>
        </c:manualLayout>
      </c:layout>
      <c:overlay val="0"/>
      <c:txPr>
        <a:bodyPr/>
        <a:lstStyle/>
        <a:p>
          <a:pPr>
            <a:defRPr sz="1200" b="1"/>
          </a:pPr>
          <a:endParaRPr lang="en-US"/>
        </a:p>
      </c:txPr>
    </c:legend>
    <c:plotVisOnly val="0"/>
    <c:dispBlanksAs val="gap"/>
    <c:showDLblsOverMax val="0"/>
  </c:chart>
  <c:spPr>
    <a:ln w="19050">
      <a:solidFill>
        <a:srgbClr val="C00000"/>
      </a:solidFill>
    </a:ln>
  </c:sp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8.sv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sv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svg"/><Relationship Id="rId4" Type="http://schemas.openxmlformats.org/officeDocument/2006/relationships/image" Target="../media/image4.sv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8" Type="http://schemas.openxmlformats.org/officeDocument/2006/relationships/image" Target="../media/image14.png"/><Relationship Id="rId13" Type="http://schemas.openxmlformats.org/officeDocument/2006/relationships/image" Target="../media/image11.png"/><Relationship Id="rId3" Type="http://schemas.openxmlformats.org/officeDocument/2006/relationships/image" Target="../media/image13.png"/><Relationship Id="rId7" Type="http://schemas.openxmlformats.org/officeDocument/2006/relationships/chart" Target="../charts/chart4.xml"/><Relationship Id="rId12" Type="http://schemas.openxmlformats.org/officeDocument/2006/relationships/chart" Target="../charts/chart7.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3.xml"/><Relationship Id="rId11" Type="http://schemas.openxmlformats.org/officeDocument/2006/relationships/chart" Target="../charts/chart6.xml"/><Relationship Id="rId5" Type="http://schemas.openxmlformats.org/officeDocument/2006/relationships/chart" Target="../charts/chart2.xml"/><Relationship Id="rId10" Type="http://schemas.openxmlformats.org/officeDocument/2006/relationships/chart" Target="../charts/chart5.xml"/><Relationship Id="rId4" Type="http://schemas.openxmlformats.org/officeDocument/2006/relationships/chart" Target="../charts/chart1.xml"/><Relationship Id="rId9" Type="http://schemas.openxmlformats.org/officeDocument/2006/relationships/image" Target="../media/image15.svg"/><Relationship Id="rId14" Type="http://schemas.openxmlformats.org/officeDocument/2006/relationships/image" Target="../media/image12.svg"/></Relationships>
</file>

<file path=xl/drawings/_rels/drawing4.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12" Type="http://schemas.openxmlformats.org/officeDocument/2006/relationships/image" Target="../media/image10.sv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9.xml"/><Relationship Id="rId11" Type="http://schemas.openxmlformats.org/officeDocument/2006/relationships/image" Target="../media/image9.png"/><Relationship Id="rId5" Type="http://schemas.openxmlformats.org/officeDocument/2006/relationships/chart" Target="../charts/chart8.xml"/><Relationship Id="rId10" Type="http://schemas.openxmlformats.org/officeDocument/2006/relationships/chart" Target="../charts/chart11.xml"/><Relationship Id="rId4" Type="http://schemas.openxmlformats.org/officeDocument/2006/relationships/image" Target="../media/image16.png"/><Relationship Id="rId9"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chart" Target="../charts/chart12.xml"/><Relationship Id="rId7" Type="http://schemas.openxmlformats.org/officeDocument/2006/relationships/image" Target="../media/image1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3.xml"/><Relationship Id="rId11" Type="http://schemas.openxmlformats.org/officeDocument/2006/relationships/chart" Target="../charts/chart16.xml"/><Relationship Id="rId5" Type="http://schemas.openxmlformats.org/officeDocument/2006/relationships/image" Target="../media/image16.png"/><Relationship Id="rId10" Type="http://schemas.openxmlformats.org/officeDocument/2006/relationships/chart" Target="../charts/chart15.xml"/><Relationship Id="rId4" Type="http://schemas.openxmlformats.org/officeDocument/2006/relationships/image" Target="../media/image13.png"/><Relationship Id="rId9"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8" Type="http://schemas.openxmlformats.org/officeDocument/2006/relationships/image" Target="../media/image15.svg"/><Relationship Id="rId3" Type="http://schemas.openxmlformats.org/officeDocument/2006/relationships/chart" Target="../charts/chart17.xml"/><Relationship Id="rId7" Type="http://schemas.openxmlformats.org/officeDocument/2006/relationships/image" Target="../media/image14.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18.xml"/><Relationship Id="rId11" Type="http://schemas.openxmlformats.org/officeDocument/2006/relationships/chart" Target="../charts/chart21.xml"/><Relationship Id="rId5" Type="http://schemas.openxmlformats.org/officeDocument/2006/relationships/image" Target="../media/image16.png"/><Relationship Id="rId10" Type="http://schemas.openxmlformats.org/officeDocument/2006/relationships/chart" Target="../charts/chart20.xml"/><Relationship Id="rId4" Type="http://schemas.openxmlformats.org/officeDocument/2006/relationships/image" Target="../media/image13.png"/><Relationship Id="rId9" Type="http://schemas.openxmlformats.org/officeDocument/2006/relationships/chart" Target="../charts/chart19.xml"/></Relationships>
</file>

<file path=xl/drawings/_rels/drawing7.xml.rels><?xml version="1.0" encoding="UTF-8" standalone="yes"?>
<Relationships xmlns="http://schemas.openxmlformats.org/package/2006/relationships"><Relationship Id="rId8" Type="http://schemas.openxmlformats.org/officeDocument/2006/relationships/image" Target="../media/image20.svg"/><Relationship Id="rId3" Type="http://schemas.openxmlformats.org/officeDocument/2006/relationships/image" Target="../media/image2.png"/><Relationship Id="rId7" Type="http://schemas.openxmlformats.org/officeDocument/2006/relationships/image" Target="../media/image19.png"/><Relationship Id="rId2" Type="http://schemas.openxmlformats.org/officeDocument/2006/relationships/image" Target="../media/image1.png"/><Relationship Id="rId1" Type="http://schemas.openxmlformats.org/officeDocument/2006/relationships/chart" Target="../charts/chart22.xml"/><Relationship Id="rId6" Type="http://schemas.openxmlformats.org/officeDocument/2006/relationships/image" Target="../media/image16.png"/><Relationship Id="rId11" Type="http://schemas.openxmlformats.org/officeDocument/2006/relationships/chart" Target="../charts/chart26.xml"/><Relationship Id="rId5" Type="http://schemas.openxmlformats.org/officeDocument/2006/relationships/image" Target="../media/image13.png"/><Relationship Id="rId10" Type="http://schemas.openxmlformats.org/officeDocument/2006/relationships/chart" Target="../charts/chart25.xml"/><Relationship Id="rId4" Type="http://schemas.openxmlformats.org/officeDocument/2006/relationships/chart" Target="../charts/chart23.xml"/><Relationship Id="rId9" Type="http://schemas.openxmlformats.org/officeDocument/2006/relationships/chart" Target="../charts/chart24.xml"/></Relationships>
</file>

<file path=xl/drawings/_rels/drawing8.xml.rels><?xml version="1.0" encoding="UTF-8" standalone="yes"?>
<Relationships xmlns="http://schemas.openxmlformats.org/package/2006/relationships"><Relationship Id="rId3" Type="http://schemas.openxmlformats.org/officeDocument/2006/relationships/image" Target="../media/image18.svg"/><Relationship Id="rId2" Type="http://schemas.openxmlformats.org/officeDocument/2006/relationships/image" Target="../media/image17.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3" Type="http://schemas.openxmlformats.org/officeDocument/2006/relationships/image" Target="../media/image15.svg"/><Relationship Id="rId2" Type="http://schemas.openxmlformats.org/officeDocument/2006/relationships/image" Target="../media/image14.pn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3" Type="http://schemas.openxmlformats.org/officeDocument/2006/relationships/image" Target="../media/image20.svg"/><Relationship Id="rId2" Type="http://schemas.openxmlformats.org/officeDocument/2006/relationships/image" Target="../media/image19.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2" name="Picture 1">
          <a:extLst>
            <a:ext uri="{FF2B5EF4-FFF2-40B4-BE49-F238E27FC236}">
              <a16:creationId xmlns:a16="http://schemas.microsoft.com/office/drawing/2014/main" id="{408AEDC7-AA11-4968-809F-6E23CF61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73956</xdr:rowOff>
    </xdr:from>
    <xdr:ext cx="1638301" cy="819151"/>
    <xdr:pic>
      <xdr:nvPicPr>
        <xdr:cNvPr id="3" name="Picture 2">
          <a:extLst>
            <a:ext uri="{FF2B5EF4-FFF2-40B4-BE49-F238E27FC236}">
              <a16:creationId xmlns:a16="http://schemas.microsoft.com/office/drawing/2014/main" id="{D0814AC7-A38E-448A-A7F5-C0D54D2CCB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02556"/>
          <a:ext cx="1638301" cy="819151"/>
        </a:xfrm>
        <a:prstGeom prst="rect">
          <a:avLst/>
        </a:prstGeom>
      </xdr:spPr>
    </xdr:pic>
    <xdr:clientData/>
  </xdr:oneCellAnchor>
  <xdr:twoCellAnchor>
    <xdr:from>
      <xdr:col>1</xdr:col>
      <xdr:colOff>115421</xdr:colOff>
      <xdr:row>9</xdr:row>
      <xdr:rowOff>56026</xdr:rowOff>
    </xdr:from>
    <xdr:to>
      <xdr:col>41</xdr:col>
      <xdr:colOff>0</xdr:colOff>
      <xdr:row>46</xdr:row>
      <xdr:rowOff>76200</xdr:rowOff>
    </xdr:to>
    <xdr:sp macro="" textlink="">
      <xdr:nvSpPr>
        <xdr:cNvPr id="10" name="TextBox 9">
          <a:extLst>
            <a:ext uri="{FF2B5EF4-FFF2-40B4-BE49-F238E27FC236}">
              <a16:creationId xmlns:a16="http://schemas.microsoft.com/office/drawing/2014/main" id="{485CA422-32B7-433D-B579-192745384D51}"/>
            </a:ext>
          </a:extLst>
        </xdr:cNvPr>
        <xdr:cNvSpPr txBox="1"/>
      </xdr:nvSpPr>
      <xdr:spPr>
        <a:xfrm>
          <a:off x="296396" y="2113426"/>
          <a:ext cx="7123579" cy="8478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600" b="1">
              <a:solidFill>
                <a:srgbClr val="00B0F0"/>
              </a:solidFill>
            </a:rPr>
            <a:t>Overview</a:t>
          </a:r>
        </a:p>
        <a:p>
          <a:r>
            <a:rPr lang="en-US"/>
            <a:t>VarStec’s Harmonic Filter Design Workbook is an engineering tool developed to support the design, evaluation, and comparison of medium-voltage harmonic filter systems used in industrial,</a:t>
          </a:r>
          <a:r>
            <a:rPr lang="en-US" baseline="0"/>
            <a:t> utility, and renewable </a:t>
          </a:r>
          <a:r>
            <a:rPr lang="en-US"/>
            <a:t>power networks. The workbook provides a consistent, transparent methodology for designing single-tuned (notch), high-pass (HP), C-high-pass (C-HP), H-Type,</a:t>
          </a:r>
          <a:r>
            <a:rPr lang="en-US" baseline="0"/>
            <a:t> </a:t>
          </a:r>
          <a:r>
            <a:rPr lang="en-US"/>
            <a:t>single</a:t>
          </a:r>
          <a:r>
            <a:rPr lang="en-US" baseline="0"/>
            <a:t>-tuned, multi-tuned, single-stage, and multi-stage </a:t>
          </a:r>
          <a:r>
            <a:rPr lang="en-US"/>
            <a:t>filter systems based on fundamental system requirements and known harmonic current spectra. It also allows for</a:t>
          </a:r>
          <a:r>
            <a:rPr lang="en-US" baseline="0"/>
            <a:t> the evaluation of parallel capacitor bank operation.</a:t>
          </a:r>
          <a:br>
            <a:rPr lang="en-US"/>
          </a:br>
          <a:endParaRPr lang="en-US"/>
        </a:p>
        <a:p>
          <a:r>
            <a:rPr lang="en-US"/>
            <a:t>Harmonic filters are applied to mitigate voltage distortion, limit harmonic current propagation, suppress resonance, and provide reactive power support in systems containing non-linear loads such as large variable-speed drives, rectifiers, soft starters, and other power electronic equipment. Proper filter design requires careful coordination of tuning, reactive power rating, component voltage and current duty ratings, and proper rating</a:t>
          </a:r>
          <a:r>
            <a:rPr lang="en-US" baseline="0"/>
            <a:t> of filter components</a:t>
          </a:r>
          <a:r>
            <a:rPr lang="en-US"/>
            <a:t>. Inadequate or poorly coordinated filter designs can result in excessive capacitor stress, resonance amplification, overheating, and premature failure of the filter.</a:t>
          </a:r>
          <a:br>
            <a:rPr lang="en-US"/>
          </a:br>
          <a:endParaRPr lang="en-US"/>
        </a:p>
        <a:p>
          <a:r>
            <a:rPr lang="en-US"/>
            <a:t>This workbook models harmonic filters using established electrical relationships and industry-accepted practices. All calculations are performed using explicit reactance-based formulations, allowing the engineer to clearly trace how tuning, capacitance, inductance, damping, and harmonic current injection influence filter component</a:t>
          </a:r>
          <a:r>
            <a:rPr lang="en-US" baseline="0"/>
            <a:t> ratings.</a:t>
          </a:r>
          <a:r>
            <a:rPr lang="en-US"/>
            <a:t> The workbook does not rely on proprietary algorithms, black-box solvers, or embedded harmonic simulation engines. Instead, it assumes that harmonic current spectra have been developed separately through system studies or measurements and are provided as inputs to the design.</a:t>
          </a:r>
          <a:br>
            <a:rPr lang="en-US"/>
          </a:br>
          <a:endParaRPr lang="en-US"/>
        </a:p>
        <a:p>
          <a:r>
            <a:rPr lang="en-US"/>
            <a:t>By maintaining a fully transparent calculation framework, the workbook enables qualified engineers to independently verify results, perform sensitivity checks, and adapt designs to project-specific requirements. The tool is intended to assist</a:t>
          </a:r>
          <a:r>
            <a:rPr lang="en-US" baseline="0"/>
            <a:t> with filter design and specification and to support engineers performing harmonic studies. </a:t>
          </a:r>
        </a:p>
        <a:p>
          <a:endParaRPr lang="en-US"/>
        </a:p>
        <a:p>
          <a:pPr algn="l"/>
          <a:r>
            <a:rPr lang="en-US" sz="1600" b="1">
              <a:solidFill>
                <a:srgbClr val="00B0F0"/>
              </a:solidFill>
            </a:rPr>
            <a:t>Workboo</a:t>
          </a:r>
          <a:r>
            <a:rPr lang="en-US" sz="1600" b="1" baseline="0">
              <a:solidFill>
                <a:srgbClr val="00B0F0"/>
              </a:solidFill>
            </a:rPr>
            <a:t>k </a:t>
          </a:r>
          <a:r>
            <a:rPr lang="en-US" sz="1600" b="1">
              <a:solidFill>
                <a:srgbClr val="00B0F0"/>
              </a:solidFill>
            </a:rPr>
            <a:t>Purpose</a:t>
          </a:r>
          <a:endParaRPr lang="en-US" sz="1400" b="1">
            <a:solidFill>
              <a:srgbClr val="00B0F0"/>
            </a:solidFill>
          </a:endParaRPr>
        </a:p>
        <a:p>
          <a:r>
            <a:rPr lang="en-US"/>
            <a:t>This workbook is intended to </a:t>
          </a:r>
          <a:r>
            <a:rPr lang="en-US" b="0"/>
            <a:t>support the preliminary sizing, tuning, and verification of medium-voltage harmonic filters engineered by VarStec Power Solutions. It provides a structured framework for evaluating filter performance, component duty, and losses across multiple commonly applied filter topologies. Each worksheet represents a specific filter configuration and is used to determine appropriate capacitor, reactor, and damping resistor ratings that satisfy defined harmonic mitigation and system performance objectives.</a:t>
          </a:r>
          <a:br>
            <a:rPr lang="en-US" b="0"/>
          </a:br>
          <a:endParaRPr lang="en-US" b="0"/>
        </a:p>
        <a:p>
          <a:r>
            <a:rPr lang="en-US" b="0"/>
            <a:t>The workbook supports both forward design and reverse engineering use cases. Forward-design worksheets are used to develop complete filter designs from system requirements (system voltage and frequency, reactive power requirements, current injection data, tuning point, and </a:t>
          </a:r>
          <a:r>
            <a:rPr lang="en-US" b="0" baseline="0"/>
            <a:t>damping factor), </a:t>
          </a:r>
          <a:r>
            <a:rPr lang="en-US" b="0"/>
            <a:t>while reverse-calculator </a:t>
          </a:r>
          <a:r>
            <a:rPr lang="en-US"/>
            <a:t>tools are provided to back-calculate key filter ratings to allow for the use of the forward design</a:t>
          </a:r>
          <a:r>
            <a:rPr lang="en-US" baseline="0"/>
            <a:t> worksheets.</a:t>
          </a:r>
          <a:br>
            <a:rPr lang="en-US" baseline="0"/>
          </a:br>
          <a:br>
            <a:rPr lang="en-US" baseline="0"/>
          </a:br>
          <a:r>
            <a:rPr lang="en-US" sz="1100" b="1">
              <a:solidFill>
                <a:srgbClr val="00B0F0"/>
              </a:solidFill>
              <a:effectLst/>
              <a:latin typeface="+mn-lt"/>
              <a:ea typeface="+mn-ea"/>
              <a:cs typeface="+mn-cs"/>
            </a:rPr>
            <a:t>2</a:t>
          </a:r>
          <a:r>
            <a:rPr lang="en-US" sz="1100" b="1" baseline="0">
              <a:solidFill>
                <a:srgbClr val="00B0F0"/>
              </a:solidFill>
              <a:effectLst/>
              <a:latin typeface="+mn-lt"/>
              <a:ea typeface="+mn-ea"/>
              <a:cs typeface="+mn-cs"/>
            </a:rPr>
            <a:t> to </a:t>
          </a:r>
          <a:r>
            <a:rPr lang="en-US" sz="1100" b="1">
              <a:solidFill>
                <a:srgbClr val="00B0F0"/>
              </a:solidFill>
              <a:effectLst/>
              <a:latin typeface="+mn-lt"/>
              <a:ea typeface="+mn-ea"/>
              <a:cs typeface="+mn-cs"/>
            </a:rPr>
            <a:t>4-Branch H-Filter Design</a:t>
          </a:r>
          <a:endParaRPr lang="en-US" b="1">
            <a:solidFill>
              <a:srgbClr val="00B0F0"/>
            </a:solidFill>
            <a:effectLst/>
          </a:endParaRPr>
        </a:p>
        <a:p>
          <a:r>
            <a:rPr lang="en-US" sz="1100">
              <a:solidFill>
                <a:schemeClr val="dk1"/>
              </a:solidFill>
              <a:effectLst/>
              <a:latin typeface="+mn-lt"/>
              <a:ea typeface="+mn-ea"/>
              <a:cs typeface="+mn-cs"/>
            </a:rPr>
            <a:t>This worksheet supports the design, tuning, and component selection of </a:t>
          </a:r>
          <a:r>
            <a:rPr lang="en-US" sz="1100" b="0">
              <a:solidFill>
                <a:schemeClr val="dk1"/>
              </a:solidFill>
              <a:effectLst/>
              <a:latin typeface="+mn-lt"/>
              <a:ea typeface="+mn-ea"/>
              <a:cs typeface="+mn-cs"/>
            </a:rPr>
            <a:t>2 to 4 branch H-Type Harmonic Filters</a:t>
          </a:r>
          <a:r>
            <a:rPr lang="en-US" sz="1100">
              <a:solidFill>
                <a:schemeClr val="dk1"/>
              </a:solidFill>
              <a:effectLst/>
              <a:latin typeface="+mn-lt"/>
              <a:ea typeface="+mn-ea"/>
              <a:cs typeface="+mn-cs"/>
            </a:rPr>
            <a:t>. H-Type filters combine the characteristics of a multi-tuned, multi-branch notch filter with the damping behavior of a high-pass filter. The damping resistors are inserted between the tuned branches and are especially useful when non-integer harmonics, interharmonics, or broad-spectrum harmonic currents may be present. </a:t>
          </a:r>
          <a:endParaRPr lang="en-US">
            <a:effectLst/>
          </a:endParaRPr>
        </a:p>
      </xdr:txBody>
    </xdr:sp>
    <xdr:clientData/>
  </xdr:twoCellAnchor>
  <xdr:twoCellAnchor>
    <xdr:from>
      <xdr:col>43</xdr:col>
      <xdr:colOff>101412</xdr:colOff>
      <xdr:row>4</xdr:row>
      <xdr:rowOff>212908</xdr:rowOff>
    </xdr:from>
    <xdr:to>
      <xdr:col>82</xdr:col>
      <xdr:colOff>79000</xdr:colOff>
      <xdr:row>46</xdr:row>
      <xdr:rowOff>76200</xdr:rowOff>
    </xdr:to>
    <xdr:sp macro="" textlink="">
      <xdr:nvSpPr>
        <xdr:cNvPr id="11" name="TextBox 10">
          <a:extLst>
            <a:ext uri="{FF2B5EF4-FFF2-40B4-BE49-F238E27FC236}">
              <a16:creationId xmlns:a16="http://schemas.microsoft.com/office/drawing/2014/main" id="{943808FF-8E5B-48D8-9648-4C0D811AF37B}"/>
            </a:ext>
          </a:extLst>
        </xdr:cNvPr>
        <xdr:cNvSpPr txBox="1"/>
      </xdr:nvSpPr>
      <xdr:spPr>
        <a:xfrm>
          <a:off x="7883337" y="1127308"/>
          <a:ext cx="7035613" cy="9464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br>
            <a:rPr lang="en-US" sz="1100" b="1">
              <a:solidFill>
                <a:schemeClr val="dk1"/>
              </a:solidFill>
              <a:effectLst/>
              <a:latin typeface="+mn-lt"/>
              <a:ea typeface="+mn-ea"/>
              <a:cs typeface="+mn-cs"/>
            </a:rPr>
          </a:br>
          <a:r>
            <a:rPr lang="en-US" sz="1100" b="1">
              <a:solidFill>
                <a:srgbClr val="00B0F0"/>
              </a:solidFill>
              <a:effectLst/>
              <a:latin typeface="+mn-lt"/>
              <a:ea typeface="+mn-ea"/>
              <a:cs typeface="+mn-cs"/>
            </a:rPr>
            <a:t>1 to 5-Branch Notch</a:t>
          </a:r>
          <a:r>
            <a:rPr lang="en-US" sz="1100" b="1" baseline="0">
              <a:solidFill>
                <a:srgbClr val="00B0F0"/>
              </a:solidFill>
              <a:effectLst/>
              <a:latin typeface="+mn-lt"/>
              <a:ea typeface="+mn-ea"/>
              <a:cs typeface="+mn-cs"/>
            </a:rPr>
            <a:t>, HP, and Parallel Capacitor </a:t>
          </a:r>
          <a:r>
            <a:rPr lang="en-US" sz="1100" b="1">
              <a:solidFill>
                <a:srgbClr val="00B0F0"/>
              </a:solidFill>
              <a:effectLst/>
              <a:latin typeface="+mn-lt"/>
              <a:ea typeface="+mn-ea"/>
              <a:cs typeface="+mn-cs"/>
            </a:rPr>
            <a:t>Filter Design With Source Modeling</a:t>
          </a:r>
          <a:br>
            <a:rPr lang="en-US" sz="1100" b="1">
              <a:solidFill>
                <a:srgbClr val="00B0F0"/>
              </a:solidFill>
              <a:effectLst/>
              <a:latin typeface="+mn-lt"/>
              <a:ea typeface="+mn-ea"/>
              <a:cs typeface="+mn-cs"/>
            </a:rPr>
          </a:br>
          <a:r>
            <a:rPr lang="en-US" sz="1100">
              <a:solidFill>
                <a:schemeClr val="dk1"/>
              </a:solidFill>
              <a:effectLst/>
              <a:latin typeface="+mn-lt"/>
              <a:ea typeface="+mn-ea"/>
              <a:cs typeface="+mn-cs"/>
            </a:rPr>
            <a:t>This worksheet supports the design, tuning, and component selection of up to </a:t>
          </a:r>
          <a:r>
            <a:rPr lang="en-US" sz="1100" b="0">
              <a:solidFill>
                <a:schemeClr val="dk1"/>
              </a:solidFill>
              <a:effectLst/>
              <a:latin typeface="+mn-lt"/>
              <a:ea typeface="+mn-ea"/>
              <a:cs typeface="+mn-cs"/>
            </a:rPr>
            <a:t>five parallel harmonic filter branches</a:t>
          </a:r>
          <a:r>
            <a:rPr lang="en-US" sz="1100">
              <a:solidFill>
                <a:schemeClr val="dk1"/>
              </a:solidFill>
              <a:effectLst/>
              <a:latin typeface="+mn-lt"/>
              <a:ea typeface="+mn-ea"/>
              <a:cs typeface="+mn-cs"/>
            </a:rPr>
            <a:t>. Each branch may be modeled as a high-pass (HP) filter, which can easily be translated to a C-type high-pass (C-HP) filter, notch filter, or parallel capacitor</a:t>
          </a:r>
          <a:r>
            <a:rPr lang="en-US" sz="1100" baseline="0">
              <a:solidFill>
                <a:schemeClr val="dk1"/>
              </a:solidFill>
              <a:effectLst/>
              <a:latin typeface="+mn-lt"/>
              <a:ea typeface="+mn-ea"/>
              <a:cs typeface="+mn-cs"/>
            </a:rPr>
            <a:t> banks (or stray capacitance). </a:t>
          </a:r>
          <a:r>
            <a:rPr lang="en-US" sz="1100">
              <a:solidFill>
                <a:schemeClr val="dk1"/>
              </a:solidFill>
              <a:effectLst/>
              <a:latin typeface="+mn-lt"/>
              <a:ea typeface="+mn-ea"/>
              <a:cs typeface="+mn-cs"/>
            </a:rPr>
            <a:t>This allows the designer to evaluate multi-tuned filter arrangements, heavily damped filter branches, and potential cost-saving configurations where capacitor banks and filter branches operate together. The spreadsheet also considers the impact of source impedance on filter performance and introduces two VarStec design metrics, </a:t>
          </a:r>
          <a:r>
            <a:rPr lang="en-US" sz="1100" b="1">
              <a:solidFill>
                <a:schemeClr val="dk1"/>
              </a:solidFill>
              <a:effectLst/>
              <a:latin typeface="+mn-lt"/>
              <a:ea typeface="+mn-ea"/>
              <a:cs typeface="+mn-cs"/>
            </a:rPr>
            <a:t>BCMF(h)</a:t>
          </a:r>
          <a:r>
            <a:rPr lang="en-US" sz="1100">
              <a:solidFill>
                <a:schemeClr val="dk1"/>
              </a:solidFill>
              <a:effectLst/>
              <a:latin typeface="+mn-lt"/>
              <a:ea typeface="+mn-ea"/>
              <a:cs typeface="+mn-cs"/>
            </a:rPr>
            <a:t> and </a:t>
          </a:r>
          <a:r>
            <a:rPr lang="en-US" sz="1100" b="1">
              <a:solidFill>
                <a:schemeClr val="dk1"/>
              </a:solidFill>
              <a:effectLst/>
              <a:latin typeface="+mn-lt"/>
              <a:ea typeface="+mn-ea"/>
              <a:cs typeface="+mn-cs"/>
            </a:rPr>
            <a:t>CBCMI(%)</a:t>
          </a:r>
          <a:r>
            <a:rPr lang="en-US" sz="1100">
              <a:solidFill>
                <a:schemeClr val="dk1"/>
              </a:solidFill>
              <a:effectLst/>
              <a:latin typeface="+mn-lt"/>
              <a:ea typeface="+mn-ea"/>
              <a:cs typeface="+mn-cs"/>
            </a:rPr>
            <a:t>, to evaluate internal branch current magnification and support optimization of multi-branch harmonic filter designs.</a:t>
          </a:r>
          <a:endParaRPr lang="en-US">
            <a:effectLst/>
          </a:endParaRPr>
        </a:p>
        <a:p>
          <a:br>
            <a:rPr lang="en-US" sz="1100" b="1">
              <a:solidFill>
                <a:srgbClr val="00B0F0"/>
              </a:solidFill>
              <a:effectLst/>
              <a:latin typeface="+mn-lt"/>
              <a:ea typeface="+mn-ea"/>
              <a:cs typeface="+mn-cs"/>
            </a:rPr>
          </a:br>
          <a:r>
            <a:rPr lang="en-US" sz="1100" b="1">
              <a:solidFill>
                <a:srgbClr val="00B0F0"/>
              </a:solidFill>
              <a:effectLst/>
              <a:latin typeface="+mn-lt"/>
              <a:ea typeface="+mn-ea"/>
              <a:cs typeface="+mn-cs"/>
            </a:rPr>
            <a:t>Single-Stage</a:t>
          </a:r>
          <a:r>
            <a:rPr lang="en-US" sz="1100" b="1" baseline="0">
              <a:solidFill>
                <a:srgbClr val="00B0F0"/>
              </a:solidFill>
              <a:effectLst/>
              <a:latin typeface="+mn-lt"/>
              <a:ea typeface="+mn-ea"/>
              <a:cs typeface="+mn-cs"/>
            </a:rPr>
            <a:t> </a:t>
          </a:r>
          <a:r>
            <a:rPr lang="en-US" sz="1100" b="1">
              <a:solidFill>
                <a:srgbClr val="00B0F0"/>
              </a:solidFill>
              <a:effectLst/>
              <a:latin typeface="+mn-lt"/>
              <a:ea typeface="+mn-ea"/>
              <a:cs typeface="+mn-cs"/>
            </a:rPr>
            <a:t>Notch Filter Design</a:t>
          </a:r>
          <a:endParaRPr lang="en-US" b="1">
            <a:solidFill>
              <a:srgbClr val="00B0F0"/>
            </a:solidFill>
            <a:effectLst/>
          </a:endParaRPr>
        </a:p>
        <a:p>
          <a:pPr eaLnBrk="1" fontAlgn="auto" latinLnBrk="0" hangingPunct="1"/>
          <a:r>
            <a:rPr lang="en-US" sz="1100">
              <a:solidFill>
                <a:schemeClr val="dk1"/>
              </a:solidFill>
              <a:effectLst/>
              <a:latin typeface="+mn-lt"/>
              <a:ea typeface="+mn-ea"/>
              <a:cs typeface="+mn-cs"/>
            </a:rPr>
            <a:t>This worksheet supports the forward design of a classical single-tuned (notch) harmonic filter. The fundamental reactive power rating and tuning point are defined, and the corresponding capacitor and reactor reactances are calculated. Injected harmonic currents are applied to evaluate capacitor voltage stress, current duty, reactive power duty, reactor current loading, and overall filter impedance characteristics.</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notch filter design is typically the most economical solution and is widely applied where harmonic mitigation, power factor correction, and resonance control can be achieved without the use of damping resistors.</a:t>
          </a:r>
          <a:endParaRPr lang="en-US">
            <a:effectLst/>
          </a:endParaRPr>
        </a:p>
        <a:p>
          <a:endParaRPr lang="en-US" sz="1100" b="1">
            <a:solidFill>
              <a:srgbClr val="00B0F0"/>
            </a:solidFill>
            <a:latin typeface="+mn-lt"/>
            <a:ea typeface="+mn-ea"/>
            <a:cs typeface="+mn-cs"/>
          </a:endParaRPr>
        </a:p>
        <a:p>
          <a:r>
            <a:rPr lang="en-US" sz="1100" b="1">
              <a:solidFill>
                <a:srgbClr val="00B0F0"/>
              </a:solidFill>
              <a:latin typeface="+mn-lt"/>
              <a:ea typeface="+mn-ea"/>
              <a:cs typeface="+mn-cs"/>
            </a:rPr>
            <a:t>Single-Stage</a:t>
          </a:r>
          <a:r>
            <a:rPr lang="en-US" sz="1100" b="1" baseline="0">
              <a:solidFill>
                <a:srgbClr val="00B0F0"/>
              </a:solidFill>
              <a:latin typeface="+mn-lt"/>
              <a:ea typeface="+mn-ea"/>
              <a:cs typeface="+mn-cs"/>
            </a:rPr>
            <a:t> </a:t>
          </a:r>
          <a:r>
            <a:rPr lang="en-US" sz="1100" b="1">
              <a:solidFill>
                <a:srgbClr val="00B0F0"/>
              </a:solidFill>
              <a:latin typeface="+mn-lt"/>
              <a:ea typeface="+mn-ea"/>
              <a:cs typeface="+mn-cs"/>
            </a:rPr>
            <a:t>High-Pass (HP) Filter Design</a:t>
          </a:r>
        </a:p>
        <a:p>
          <a:r>
            <a:rPr lang="en-US"/>
            <a:t>This worksheet extends the notch filter methodology by incorporating a damping resistor to provide broadband harmonic attenuation above the tuning frequency. In addition to capacitor and reactor sizing, the tool evaluates damping factor, resistor current, and resistor power dissipation under both fundamental and harmonic conditions.</a:t>
          </a:r>
        </a:p>
        <a:p>
          <a:br>
            <a:rPr lang="en-US"/>
          </a:br>
          <a:r>
            <a:rPr lang="en-US"/>
            <a:t>High-pass filters are typically applied where interharmonics, system capacitance, or multiple resonance points require damping. The worksheet explicitly accounts for the increased losses associated with resistive damping and is used to determine whether a high-pass or alternative topology is more appropriate.</a:t>
          </a:r>
        </a:p>
        <a:p>
          <a:endParaRPr lang="en-US" sz="1100"/>
        </a:p>
        <a:p>
          <a:r>
            <a:rPr lang="en-US" sz="1100" b="1">
              <a:solidFill>
                <a:srgbClr val="00B0F0"/>
              </a:solidFill>
              <a:latin typeface="+mn-lt"/>
              <a:ea typeface="+mn-ea"/>
              <a:cs typeface="+mn-cs"/>
            </a:rPr>
            <a:t>Single C-High-Pass (C-HP) Filter Design</a:t>
          </a:r>
        </a:p>
        <a:p>
          <a:r>
            <a:rPr lang="en-US"/>
            <a:t>This worksheet supports the design of a classical C-high-pass harmonic filter, which incorporates an auxiliary capacitor tuned with the reactor to eliminate fundamental-frequency losses in the damping resistor. This topology allows for very low damping factors while maintaining negligible fundamental losses (50 or 60 Hertz), making it suitable for systems with high harmonic energy or aggressive damping requirements.</a:t>
          </a:r>
        </a:p>
        <a:p>
          <a:br>
            <a:rPr lang="en-US"/>
          </a:br>
          <a:r>
            <a:rPr lang="en-US"/>
            <a:t>The worksheet independently evaluates the main and auxiliary capacitor groups, reactor loading, damping resistor performance, harmonic current distribution, and total losses, providing a complete assessment of C-HP filter design.</a:t>
          </a:r>
          <a:br>
            <a:rPr lang="en-US"/>
          </a:br>
          <a:endParaRPr lang="en-US" sz="1100"/>
        </a:p>
        <a:p>
          <a:r>
            <a:rPr lang="en-US" sz="1100" b="1">
              <a:solidFill>
                <a:srgbClr val="00B0F0"/>
              </a:solidFill>
              <a:latin typeface="+mn-lt"/>
              <a:ea typeface="+mn-ea"/>
              <a:cs typeface="+mn-cs"/>
            </a:rPr>
            <a:t>Reverse Calculator Tools</a:t>
          </a:r>
        </a:p>
        <a:p>
          <a:r>
            <a:rPr lang="en-US"/>
            <a:t>The workbook includes reverse-calculation worksheets for Notch, High-Pass, and C-High-Pass filter topologies. These tools are used when filter inductance, capacitance, and damping resistance are already defined, such as when evaluating existing installations, customer</a:t>
          </a:r>
          <a:r>
            <a:rPr lang="en-US" baseline="0"/>
            <a:t> or EPC supplied component ratings</a:t>
          </a:r>
          <a:r>
            <a:rPr lang="en-US"/>
            <a:t>, or legacy designs with incomplete documentation.</a:t>
          </a:r>
        </a:p>
        <a:p>
          <a:endParaRPr lang="en-US"/>
        </a:p>
        <a:p>
          <a:r>
            <a:rPr lang="en-US"/>
            <a:t>The reverse calculators back-calculate tuning frequency, reactive power rating, and damping factor. Three key inputs</a:t>
          </a:r>
          <a:r>
            <a:rPr lang="en-US" baseline="0"/>
            <a:t> for the forward design worksheets (notch, High-Pass, and C-High-Pass worksheets). With the key inputs, the forward design worksheets may be employed.</a:t>
          </a:r>
          <a:endParaRPr lang="en-US"/>
        </a:p>
        <a:p>
          <a:endParaRPr lang="en-US" sz="1100"/>
        </a:p>
        <a:p>
          <a:endParaRPr lang="en-US" sz="1100"/>
        </a:p>
      </xdr:txBody>
    </xdr:sp>
    <xdr:clientData/>
  </xdr:twoCellAnchor>
  <xdr:twoCellAnchor editAs="oneCell">
    <xdr:from>
      <xdr:col>24</xdr:col>
      <xdr:colOff>28575</xdr:colOff>
      <xdr:row>60</xdr:row>
      <xdr:rowOff>200024</xdr:rowOff>
    </xdr:from>
    <xdr:to>
      <xdr:col>31</xdr:col>
      <xdr:colOff>114299</xdr:colOff>
      <xdr:row>72</xdr:row>
      <xdr:rowOff>161921</xdr:rowOff>
    </xdr:to>
    <xdr:pic>
      <xdr:nvPicPr>
        <xdr:cNvPr id="17" name="Graphic 16">
          <a:extLst>
            <a:ext uri="{FF2B5EF4-FFF2-40B4-BE49-F238E27FC236}">
              <a16:creationId xmlns:a16="http://schemas.microsoft.com/office/drawing/2014/main" id="{31E15051-5281-DE26-0DB5-921287896C8F}"/>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2696825" y="7286624"/>
          <a:ext cx="1352549" cy="2705097"/>
        </a:xfrm>
        <a:prstGeom prst="rect">
          <a:avLst/>
        </a:prstGeom>
      </xdr:spPr>
    </xdr:pic>
    <xdr:clientData/>
  </xdr:twoCellAnchor>
  <xdr:twoCellAnchor editAs="oneCell">
    <xdr:from>
      <xdr:col>14</xdr:col>
      <xdr:colOff>8324</xdr:colOff>
      <xdr:row>60</xdr:row>
      <xdr:rowOff>209550</xdr:rowOff>
    </xdr:from>
    <xdr:to>
      <xdr:col>21</xdr:col>
      <xdr:colOff>140474</xdr:colOff>
      <xdr:row>73</xdr:row>
      <xdr:rowOff>35700</xdr:rowOff>
    </xdr:to>
    <xdr:pic>
      <xdr:nvPicPr>
        <xdr:cNvPr id="19" name="Graphic 18">
          <a:extLst>
            <a:ext uri="{FF2B5EF4-FFF2-40B4-BE49-F238E27FC236}">
              <a16:creationId xmlns:a16="http://schemas.microsoft.com/office/drawing/2014/main" id="{CE191CA1-0BE6-65D5-6B49-878D553A0CE6}"/>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10866824" y="7296150"/>
          <a:ext cx="1398975" cy="2797950"/>
        </a:xfrm>
        <a:prstGeom prst="rect">
          <a:avLst/>
        </a:prstGeom>
      </xdr:spPr>
    </xdr:pic>
    <xdr:clientData/>
  </xdr:twoCellAnchor>
  <xdr:twoCellAnchor editAs="oneCell">
    <xdr:from>
      <xdr:col>3</xdr:col>
      <xdr:colOff>47625</xdr:colOff>
      <xdr:row>61</xdr:row>
      <xdr:rowOff>19050</xdr:rowOff>
    </xdr:from>
    <xdr:to>
      <xdr:col>10</xdr:col>
      <xdr:colOff>157123</xdr:colOff>
      <xdr:row>73</xdr:row>
      <xdr:rowOff>28494</xdr:rowOff>
    </xdr:to>
    <xdr:pic>
      <xdr:nvPicPr>
        <xdr:cNvPr id="21" name="Graphic 20">
          <a:extLst>
            <a:ext uri="{FF2B5EF4-FFF2-40B4-BE49-F238E27FC236}">
              <a16:creationId xmlns:a16="http://schemas.microsoft.com/office/drawing/2014/main" id="{B5B7C468-949F-FF33-8129-5FC0E33FB3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8915400" y="7334250"/>
          <a:ext cx="1376323" cy="2752644"/>
        </a:xfrm>
        <a:prstGeom prst="rect">
          <a:avLst/>
        </a:prstGeom>
      </xdr:spPr>
    </xdr:pic>
    <xdr:clientData/>
  </xdr:twoCellAnchor>
  <xdr:oneCellAnchor>
    <xdr:from>
      <xdr:col>32</xdr:col>
      <xdr:colOff>19049</xdr:colOff>
      <xdr:row>50</xdr:row>
      <xdr:rowOff>73956</xdr:rowOff>
    </xdr:from>
    <xdr:ext cx="1638301" cy="819151"/>
    <xdr:pic>
      <xdr:nvPicPr>
        <xdr:cNvPr id="9" name="Picture 8">
          <a:extLst>
            <a:ext uri="{FF2B5EF4-FFF2-40B4-BE49-F238E27FC236}">
              <a16:creationId xmlns:a16="http://schemas.microsoft.com/office/drawing/2014/main" id="{E78920B2-BD9D-4CBF-A1D8-8CE7E7A6D60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02556"/>
          <a:ext cx="1638301" cy="819151"/>
        </a:xfrm>
        <a:prstGeom prst="rect">
          <a:avLst/>
        </a:prstGeom>
      </xdr:spPr>
    </xdr:pic>
    <xdr:clientData/>
  </xdr:oneCellAnchor>
  <xdr:twoCellAnchor>
    <xdr:from>
      <xdr:col>1</xdr:col>
      <xdr:colOff>76200</xdr:colOff>
      <xdr:row>54</xdr:row>
      <xdr:rowOff>219075</xdr:rowOff>
    </xdr:from>
    <xdr:to>
      <xdr:col>40</xdr:col>
      <xdr:colOff>142874</xdr:colOff>
      <xdr:row>60</xdr:row>
      <xdr:rowOff>57150</xdr:rowOff>
    </xdr:to>
    <xdr:sp macro="" textlink="">
      <xdr:nvSpPr>
        <xdr:cNvPr id="16" name="TextBox 15">
          <a:extLst>
            <a:ext uri="{FF2B5EF4-FFF2-40B4-BE49-F238E27FC236}">
              <a16:creationId xmlns:a16="http://schemas.microsoft.com/office/drawing/2014/main" id="{98BF475A-9FAF-4B8A-B447-74573B01D0D6}"/>
            </a:ext>
          </a:extLst>
        </xdr:cNvPr>
        <xdr:cNvSpPr txBox="1"/>
      </xdr:nvSpPr>
      <xdr:spPr>
        <a:xfrm>
          <a:off x="257175" y="12563475"/>
          <a:ext cx="7124699"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rgbClr val="00B0F0"/>
              </a:solidFill>
              <a:effectLst/>
              <a:latin typeface="+mn-lt"/>
              <a:ea typeface="+mn-ea"/>
              <a:cs typeface="+mn-cs"/>
            </a:rPr>
            <a:t>Intended Use</a:t>
          </a:r>
          <a:br>
            <a:rPr lang="en-US" sz="1100" b="1">
              <a:solidFill>
                <a:srgbClr val="00B0F0"/>
              </a:solidFill>
              <a:effectLst/>
              <a:latin typeface="+mn-lt"/>
              <a:ea typeface="+mn-ea"/>
              <a:cs typeface="+mn-cs"/>
            </a:rPr>
          </a:br>
          <a:r>
            <a:rPr lang="en-US" sz="1100">
              <a:solidFill>
                <a:schemeClr val="dk1"/>
              </a:solidFill>
              <a:effectLst/>
              <a:latin typeface="+mn-lt"/>
              <a:ea typeface="+mn-ea"/>
              <a:cs typeface="+mn-cs"/>
            </a:rPr>
            <a:t>This workbook is intended for use by qualified electrical engineers familiar with medium-voltage power systems and harmonic analysis. It is designed to support early-stage engineering, option screening, and design validation and should be used in conjunction with system harmonic studies, protection coordination, and applicable IEEE and IEC standards.</a:t>
          </a:r>
          <a:endParaRPr lang="en-US">
            <a:effectLst/>
          </a:endParaRPr>
        </a:p>
        <a:p>
          <a:r>
            <a:rPr lang="en-US" sz="1100">
              <a:solidFill>
                <a:schemeClr val="dk1"/>
              </a:solidFill>
              <a:effectLst/>
              <a:latin typeface="+mn-lt"/>
              <a:ea typeface="+mn-ea"/>
              <a:cs typeface="+mn-cs"/>
            </a:rPr>
            <a:t>For additional information, engineering support, or custom harmonic filter designs, contact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a:t>
          </a:r>
          <a:endParaRPr lang="en-US">
            <a:effectLst/>
          </a:endParaRPr>
        </a:p>
        <a:p>
          <a:endParaRPr lang="en-US" sz="1100"/>
        </a:p>
      </xdr:txBody>
    </xdr:sp>
    <xdr:clientData/>
  </xdr:twoCellAnchor>
  <xdr:twoCellAnchor editAs="oneCell">
    <xdr:from>
      <xdr:col>3</xdr:col>
      <xdr:colOff>66675</xdr:colOff>
      <xdr:row>75</xdr:row>
      <xdr:rowOff>161925</xdr:rowOff>
    </xdr:from>
    <xdr:to>
      <xdr:col>28</xdr:col>
      <xdr:colOff>168649</xdr:colOff>
      <xdr:row>90</xdr:row>
      <xdr:rowOff>153651</xdr:rowOff>
    </xdr:to>
    <xdr:pic>
      <xdr:nvPicPr>
        <xdr:cNvPr id="18" name="Graphic 17">
          <a:extLst>
            <a:ext uri="{FF2B5EF4-FFF2-40B4-BE49-F238E27FC236}">
              <a16:creationId xmlns:a16="http://schemas.microsoft.com/office/drawing/2014/main" id="{7125F164-3813-4361-ABED-47E26FC5DF2C}"/>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609600" y="17306925"/>
          <a:ext cx="4626349" cy="3420726"/>
        </a:xfrm>
        <a:prstGeom prst="rect">
          <a:avLst/>
        </a:prstGeom>
      </xdr:spPr>
    </xdr:pic>
    <xdr:clientData/>
  </xdr:twoCellAnchor>
  <xdr:twoCellAnchor editAs="oneCell">
    <xdr:from>
      <xdr:col>44</xdr:col>
      <xdr:colOff>171450</xdr:colOff>
      <xdr:row>54</xdr:row>
      <xdr:rowOff>161925</xdr:rowOff>
    </xdr:from>
    <xdr:to>
      <xdr:col>83</xdr:col>
      <xdr:colOff>24652</xdr:colOff>
      <xdr:row>70</xdr:row>
      <xdr:rowOff>83472</xdr:rowOff>
    </xdr:to>
    <xdr:pic>
      <xdr:nvPicPr>
        <xdr:cNvPr id="20" name="Graphic 19">
          <a:extLst>
            <a:ext uri="{FF2B5EF4-FFF2-40B4-BE49-F238E27FC236}">
              <a16:creationId xmlns:a16="http://schemas.microsoft.com/office/drawing/2014/main" id="{41DD96C2-5FE3-4E2F-836B-81B76AE71B01}"/>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8134350" y="12506325"/>
          <a:ext cx="6911227" cy="3579147"/>
        </a:xfrm>
        <a:prstGeom prst="rect">
          <a:avLst/>
        </a:prstGeom>
      </xdr:spPr>
    </xdr:pic>
    <xdr:clientData/>
  </xdr:twoCellAnchor>
  <xdr:oneCellAnchor>
    <xdr:from>
      <xdr:col>74</xdr:col>
      <xdr:colOff>19049</xdr:colOff>
      <xdr:row>50</xdr:row>
      <xdr:rowOff>73956</xdr:rowOff>
    </xdr:from>
    <xdr:ext cx="1638301" cy="819151"/>
    <xdr:pic>
      <xdr:nvPicPr>
        <xdr:cNvPr id="25" name="Picture 24">
          <a:extLst>
            <a:ext uri="{FF2B5EF4-FFF2-40B4-BE49-F238E27FC236}">
              <a16:creationId xmlns:a16="http://schemas.microsoft.com/office/drawing/2014/main" id="{0A6AD306-07AD-46A4-A52F-FD14C8A8AD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03956"/>
          <a:ext cx="1638301" cy="819151"/>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2" name="Picture 1">
          <a:extLst>
            <a:ext uri="{FF2B5EF4-FFF2-40B4-BE49-F238E27FC236}">
              <a16:creationId xmlns:a16="http://schemas.microsoft.com/office/drawing/2014/main" id="{4C77E15E-D89C-4242-8204-2ECC0512D4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152398</xdr:rowOff>
    </xdr:from>
    <xdr:ext cx="1638301" cy="819151"/>
    <xdr:pic>
      <xdr:nvPicPr>
        <xdr:cNvPr id="3" name="Picture 2">
          <a:extLst>
            <a:ext uri="{FF2B5EF4-FFF2-40B4-BE49-F238E27FC236}">
              <a16:creationId xmlns:a16="http://schemas.microsoft.com/office/drawing/2014/main" id="{89914C42-389B-47B9-8471-E45F01B1255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80998"/>
          <a:ext cx="1638301" cy="819151"/>
        </a:xfrm>
        <a:prstGeom prst="rect">
          <a:avLst/>
        </a:prstGeom>
      </xdr:spPr>
    </xdr:pic>
    <xdr:clientData/>
  </xdr:oneCellAnchor>
  <xdr:oneCellAnchor>
    <xdr:from>
      <xdr:col>32</xdr:col>
      <xdr:colOff>19049</xdr:colOff>
      <xdr:row>50</xdr:row>
      <xdr:rowOff>152398</xdr:rowOff>
    </xdr:from>
    <xdr:ext cx="1638301" cy="819151"/>
    <xdr:pic>
      <xdr:nvPicPr>
        <xdr:cNvPr id="4" name="Picture 3">
          <a:extLst>
            <a:ext uri="{FF2B5EF4-FFF2-40B4-BE49-F238E27FC236}">
              <a16:creationId xmlns:a16="http://schemas.microsoft.com/office/drawing/2014/main" id="{A766C09E-E533-48A7-9950-4AD9FDE6E9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82398"/>
          <a:ext cx="1638301" cy="819151"/>
        </a:xfrm>
        <a:prstGeom prst="rect">
          <a:avLst/>
        </a:prstGeom>
      </xdr:spPr>
    </xdr:pic>
    <xdr:clientData/>
  </xdr:oneCellAnchor>
  <xdr:oneCellAnchor>
    <xdr:from>
      <xdr:col>74</xdr:col>
      <xdr:colOff>19049</xdr:colOff>
      <xdr:row>50</xdr:row>
      <xdr:rowOff>152398</xdr:rowOff>
    </xdr:from>
    <xdr:ext cx="1638301" cy="819151"/>
    <xdr:pic>
      <xdr:nvPicPr>
        <xdr:cNvPr id="5" name="Picture 4">
          <a:extLst>
            <a:ext uri="{FF2B5EF4-FFF2-40B4-BE49-F238E27FC236}">
              <a16:creationId xmlns:a16="http://schemas.microsoft.com/office/drawing/2014/main" id="{75F1466B-6E22-4B9A-A58F-89EB3771083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82398"/>
          <a:ext cx="1638301" cy="819151"/>
        </a:xfrm>
        <a:prstGeom prst="rect">
          <a:avLst/>
        </a:prstGeom>
      </xdr:spPr>
    </xdr:pic>
    <xdr:clientData/>
  </xdr:oneCellAnchor>
  <xdr:oneCellAnchor>
    <xdr:from>
      <xdr:col>32</xdr:col>
      <xdr:colOff>19049</xdr:colOff>
      <xdr:row>99</xdr:row>
      <xdr:rowOff>152398</xdr:rowOff>
    </xdr:from>
    <xdr:ext cx="1638301" cy="819151"/>
    <xdr:pic>
      <xdr:nvPicPr>
        <xdr:cNvPr id="6" name="Picture 5">
          <a:extLst>
            <a:ext uri="{FF2B5EF4-FFF2-40B4-BE49-F238E27FC236}">
              <a16:creationId xmlns:a16="http://schemas.microsoft.com/office/drawing/2014/main" id="{9B08E3C3-47B8-4667-A7E4-41335EB195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83798"/>
          <a:ext cx="1638301" cy="819151"/>
        </a:xfrm>
        <a:prstGeom prst="rect">
          <a:avLst/>
        </a:prstGeom>
      </xdr:spPr>
    </xdr:pic>
    <xdr:clientData/>
  </xdr:oneCellAnchor>
  <xdr:oneCellAnchor>
    <xdr:from>
      <xdr:col>74</xdr:col>
      <xdr:colOff>19049</xdr:colOff>
      <xdr:row>99</xdr:row>
      <xdr:rowOff>152398</xdr:rowOff>
    </xdr:from>
    <xdr:ext cx="1638301" cy="819151"/>
    <xdr:pic>
      <xdr:nvPicPr>
        <xdr:cNvPr id="7" name="Picture 6">
          <a:extLst>
            <a:ext uri="{FF2B5EF4-FFF2-40B4-BE49-F238E27FC236}">
              <a16:creationId xmlns:a16="http://schemas.microsoft.com/office/drawing/2014/main" id="{EC24E334-D8E9-4D85-9C3C-ED7E9A951D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83798"/>
          <a:ext cx="1638301" cy="819151"/>
        </a:xfrm>
        <a:prstGeom prst="rect">
          <a:avLst/>
        </a:prstGeom>
      </xdr:spPr>
    </xdr:pic>
    <xdr:clientData/>
  </xdr:oneCellAnchor>
  <xdr:oneCellAnchor>
    <xdr:from>
      <xdr:col>32</xdr:col>
      <xdr:colOff>19049</xdr:colOff>
      <xdr:row>148</xdr:row>
      <xdr:rowOff>152398</xdr:rowOff>
    </xdr:from>
    <xdr:ext cx="1638301" cy="819151"/>
    <xdr:pic>
      <xdr:nvPicPr>
        <xdr:cNvPr id="8" name="Picture 7">
          <a:extLst>
            <a:ext uri="{FF2B5EF4-FFF2-40B4-BE49-F238E27FC236}">
              <a16:creationId xmlns:a16="http://schemas.microsoft.com/office/drawing/2014/main" id="{A325F459-3983-4999-A13D-1297F07318A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85198"/>
          <a:ext cx="1638301" cy="819151"/>
        </a:xfrm>
        <a:prstGeom prst="rect">
          <a:avLst/>
        </a:prstGeom>
      </xdr:spPr>
    </xdr:pic>
    <xdr:clientData/>
  </xdr:oneCellAnchor>
  <xdr:oneCellAnchor>
    <xdr:from>
      <xdr:col>74</xdr:col>
      <xdr:colOff>19049</xdr:colOff>
      <xdr:row>148</xdr:row>
      <xdr:rowOff>152398</xdr:rowOff>
    </xdr:from>
    <xdr:ext cx="1638301" cy="819151"/>
    <xdr:pic>
      <xdr:nvPicPr>
        <xdr:cNvPr id="9" name="Picture 8">
          <a:extLst>
            <a:ext uri="{FF2B5EF4-FFF2-40B4-BE49-F238E27FC236}">
              <a16:creationId xmlns:a16="http://schemas.microsoft.com/office/drawing/2014/main" id="{7CC6BA23-5BFA-4D08-8239-D4B90A52ACB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85198"/>
          <a:ext cx="1638301" cy="819151"/>
        </a:xfrm>
        <a:prstGeom prst="rect">
          <a:avLst/>
        </a:prstGeom>
      </xdr:spPr>
    </xdr:pic>
    <xdr:clientData/>
  </xdr:oneCellAnchor>
  <xdr:twoCellAnchor editAs="oneCell">
    <xdr:from>
      <xdr:col>2</xdr:col>
      <xdr:colOff>24848</xdr:colOff>
      <xdr:row>172</xdr:row>
      <xdr:rowOff>227071</xdr:rowOff>
    </xdr:from>
    <xdr:to>
      <xdr:col>3</xdr:col>
      <xdr:colOff>108732</xdr:colOff>
      <xdr:row>174</xdr:row>
      <xdr:rowOff>31252</xdr:rowOff>
    </xdr:to>
    <xdr:pic>
      <xdr:nvPicPr>
        <xdr:cNvPr id="10" name="Picture 9">
          <a:extLst>
            <a:ext uri="{FF2B5EF4-FFF2-40B4-BE49-F238E27FC236}">
              <a16:creationId xmlns:a16="http://schemas.microsoft.com/office/drawing/2014/main" id="{A4CF9049-FBC3-4CCB-8AE4-9CFF8B38A29B}"/>
            </a:ext>
          </a:extLst>
        </xdr:cNvPr>
        <xdr:cNvPicPr>
          <a:picLocks noChangeAspect="1"/>
        </xdr:cNvPicPr>
      </xdr:nvPicPr>
      <xdr:blipFill>
        <a:blip xmlns:r="http://schemas.openxmlformats.org/officeDocument/2006/relationships" r:embed="rId3"/>
        <a:stretch>
          <a:fillRect/>
        </a:stretch>
      </xdr:blipFill>
      <xdr:spPr>
        <a:xfrm>
          <a:off x="7987748" y="28344871"/>
          <a:ext cx="264859" cy="261381"/>
        </a:xfrm>
        <a:prstGeom prst="rect">
          <a:avLst/>
        </a:prstGeom>
      </xdr:spPr>
    </xdr:pic>
    <xdr:clientData/>
  </xdr:twoCellAnchor>
  <xdr:twoCellAnchor>
    <xdr:from>
      <xdr:col>2</xdr:col>
      <xdr:colOff>19050</xdr:colOff>
      <xdr:row>104</xdr:row>
      <xdr:rowOff>28575</xdr:rowOff>
    </xdr:from>
    <xdr:to>
      <xdr:col>40</xdr:col>
      <xdr:colOff>132790</xdr:colOff>
      <xdr:row>122</xdr:row>
      <xdr:rowOff>85164</xdr:rowOff>
    </xdr:to>
    <xdr:graphicFrame macro="">
      <xdr:nvGraphicFramePr>
        <xdr:cNvPr id="12" name="Chart 11">
          <a:extLst>
            <a:ext uri="{FF2B5EF4-FFF2-40B4-BE49-F238E27FC236}">
              <a16:creationId xmlns:a16="http://schemas.microsoft.com/office/drawing/2014/main" id="{C70AF0FD-EF38-4022-B468-031B42B6DC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19050</xdr:colOff>
      <xdr:row>64</xdr:row>
      <xdr:rowOff>9525</xdr:rowOff>
    </xdr:from>
    <xdr:to>
      <xdr:col>41</xdr:col>
      <xdr:colOff>30256</xdr:colOff>
      <xdr:row>68</xdr:row>
      <xdr:rowOff>144093</xdr:rowOff>
    </xdr:to>
    <xdr:sp macro="" textlink="">
      <xdr:nvSpPr>
        <xdr:cNvPr id="13" name="TextBox 12">
          <a:extLst>
            <a:ext uri="{FF2B5EF4-FFF2-40B4-BE49-F238E27FC236}">
              <a16:creationId xmlns:a16="http://schemas.microsoft.com/office/drawing/2014/main" id="{FA25C770-B820-4CDC-A431-162A049DD202}"/>
            </a:ext>
          </a:extLst>
        </xdr:cNvPr>
        <xdr:cNvSpPr txBox="1"/>
      </xdr:nvSpPr>
      <xdr:spPr>
        <a:xfrm>
          <a:off x="381000" y="14639925"/>
          <a:ext cx="7069231" cy="10489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The harmonic</a:t>
          </a:r>
          <a:r>
            <a:rPr lang="en-US" b="0" baseline="0"/>
            <a:t> filter </a:t>
          </a:r>
          <a:r>
            <a:rPr lang="en-US" b="0"/>
            <a:t>design for each of the</a:t>
          </a:r>
          <a:r>
            <a:rPr lang="en-US" b="0" baseline="0"/>
            <a:t> branches</a:t>
          </a:r>
          <a:r>
            <a:rPr lang="en-US" b="0"/>
            <a:t> must ensure capacitor operating duties stay within IEEE/IEC-rated limits, including the allowable 10% continuous overvoltage.</a:t>
          </a:r>
          <a:r>
            <a:rPr lang="en-US" b="0" baseline="0"/>
            <a:t> Page 2 (for branches 1-4 and above for branch 5) of this </a:t>
          </a:r>
          <a:r>
            <a:rPr lang="en-US" b="0"/>
            <a:t>spreadsheet checks four key parameters against their rated duty: % Rated</a:t>
          </a:r>
          <a:r>
            <a:rPr lang="en-US" b="0" baseline="0"/>
            <a:t> </a:t>
          </a:r>
          <a:r>
            <a:rPr lang="en-US" b="0"/>
            <a:t>Volts, % Crest Voltage, % Amps, % kVAR. If any value exceeds its limit, the cell turns red. In that case, increase the capacitor voltage rating, or decrease the resistor ohm</a:t>
          </a:r>
          <a:r>
            <a:rPr lang="en-US" b="0" baseline="0"/>
            <a:t> rating</a:t>
          </a:r>
          <a:r>
            <a:rPr lang="en-US" b="0"/>
            <a:t>. The objective is to meet the required duty without significantly exceeding the rating, which would increase cost.</a:t>
          </a:r>
        </a:p>
        <a:p>
          <a:endParaRPr lang="en-US" b="0"/>
        </a:p>
        <a:p>
          <a:endParaRPr lang="en-US" sz="1100" b="0"/>
        </a:p>
      </xdr:txBody>
    </xdr:sp>
    <xdr:clientData/>
  </xdr:twoCellAnchor>
  <xdr:twoCellAnchor>
    <xdr:from>
      <xdr:col>2</xdr:col>
      <xdr:colOff>0</xdr:colOff>
      <xdr:row>251</xdr:row>
      <xdr:rowOff>0</xdr:rowOff>
    </xdr:from>
    <xdr:to>
      <xdr:col>40</xdr:col>
      <xdr:colOff>113740</xdr:colOff>
      <xdr:row>271</xdr:row>
      <xdr:rowOff>75639</xdr:rowOff>
    </xdr:to>
    <xdr:graphicFrame macro="">
      <xdr:nvGraphicFramePr>
        <xdr:cNvPr id="14" name="f-5">
          <a:extLst>
            <a:ext uri="{FF2B5EF4-FFF2-40B4-BE49-F238E27FC236}">
              <a16:creationId xmlns:a16="http://schemas.microsoft.com/office/drawing/2014/main" id="{EB1229EC-3467-4796-BE99-9AD74F7E60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oneCellAnchor>
    <xdr:from>
      <xdr:col>32</xdr:col>
      <xdr:colOff>19049</xdr:colOff>
      <xdr:row>197</xdr:row>
      <xdr:rowOff>28573</xdr:rowOff>
    </xdr:from>
    <xdr:ext cx="1638301" cy="819151"/>
    <xdr:pic>
      <xdr:nvPicPr>
        <xdr:cNvPr id="15" name="Picture 14">
          <a:extLst>
            <a:ext uri="{FF2B5EF4-FFF2-40B4-BE49-F238E27FC236}">
              <a16:creationId xmlns:a16="http://schemas.microsoft.com/office/drawing/2014/main" id="{7113040B-A409-4E2C-ABC7-520DBA934D2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45062773"/>
          <a:ext cx="1638301" cy="819151"/>
        </a:xfrm>
        <a:prstGeom prst="rect">
          <a:avLst/>
        </a:prstGeom>
      </xdr:spPr>
    </xdr:pic>
    <xdr:clientData/>
  </xdr:oneCellAnchor>
  <xdr:oneCellAnchor>
    <xdr:from>
      <xdr:col>74</xdr:col>
      <xdr:colOff>19049</xdr:colOff>
      <xdr:row>197</xdr:row>
      <xdr:rowOff>38098</xdr:rowOff>
    </xdr:from>
    <xdr:ext cx="1638301" cy="819151"/>
    <xdr:pic>
      <xdr:nvPicPr>
        <xdr:cNvPr id="16" name="Picture 15">
          <a:extLst>
            <a:ext uri="{FF2B5EF4-FFF2-40B4-BE49-F238E27FC236}">
              <a16:creationId xmlns:a16="http://schemas.microsoft.com/office/drawing/2014/main" id="{39694EB9-7424-42C0-B15E-5069DDDAF6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45072298"/>
          <a:ext cx="1638301" cy="819151"/>
        </a:xfrm>
        <a:prstGeom prst="rect">
          <a:avLst/>
        </a:prstGeom>
      </xdr:spPr>
    </xdr:pic>
    <xdr:clientData/>
  </xdr:oneCellAnchor>
  <xdr:oneCellAnchor>
    <xdr:from>
      <xdr:col>32</xdr:col>
      <xdr:colOff>19049</xdr:colOff>
      <xdr:row>246</xdr:row>
      <xdr:rowOff>28573</xdr:rowOff>
    </xdr:from>
    <xdr:ext cx="1638301" cy="819151"/>
    <xdr:pic>
      <xdr:nvPicPr>
        <xdr:cNvPr id="33" name="Picture 32">
          <a:extLst>
            <a:ext uri="{FF2B5EF4-FFF2-40B4-BE49-F238E27FC236}">
              <a16:creationId xmlns:a16="http://schemas.microsoft.com/office/drawing/2014/main" id="{842E3C1F-BB65-4106-A0D8-499A2AD352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56264173"/>
          <a:ext cx="1638301" cy="819151"/>
        </a:xfrm>
        <a:prstGeom prst="rect">
          <a:avLst/>
        </a:prstGeom>
      </xdr:spPr>
    </xdr:pic>
    <xdr:clientData/>
  </xdr:oneCellAnchor>
  <xdr:oneCellAnchor>
    <xdr:from>
      <xdr:col>74</xdr:col>
      <xdr:colOff>19049</xdr:colOff>
      <xdr:row>246</xdr:row>
      <xdr:rowOff>38098</xdr:rowOff>
    </xdr:from>
    <xdr:ext cx="1638301" cy="819151"/>
    <xdr:pic>
      <xdr:nvPicPr>
        <xdr:cNvPr id="34" name="Picture 33">
          <a:extLst>
            <a:ext uri="{FF2B5EF4-FFF2-40B4-BE49-F238E27FC236}">
              <a16:creationId xmlns:a16="http://schemas.microsoft.com/office/drawing/2014/main" id="{0C3A0F58-1921-4C75-A648-585F135B945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56273698"/>
          <a:ext cx="1638301" cy="819151"/>
        </a:xfrm>
        <a:prstGeom prst="rect">
          <a:avLst/>
        </a:prstGeom>
      </xdr:spPr>
    </xdr:pic>
    <xdr:clientData/>
  </xdr:oneCellAnchor>
  <xdr:twoCellAnchor>
    <xdr:from>
      <xdr:col>44</xdr:col>
      <xdr:colOff>9525</xdr:colOff>
      <xdr:row>260</xdr:row>
      <xdr:rowOff>137434</xdr:rowOff>
    </xdr:from>
    <xdr:to>
      <xdr:col>82</xdr:col>
      <xdr:colOff>123265</xdr:colOff>
      <xdr:row>282</xdr:row>
      <xdr:rowOff>165448</xdr:rowOff>
    </xdr:to>
    <xdr:graphicFrame macro="">
      <xdr:nvGraphicFramePr>
        <xdr:cNvPr id="35" name="f-5">
          <a:extLst>
            <a:ext uri="{FF2B5EF4-FFF2-40B4-BE49-F238E27FC236}">
              <a16:creationId xmlns:a16="http://schemas.microsoft.com/office/drawing/2014/main" id="{B058AA51-2DDF-449C-A462-E620AA3EB7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19049</xdr:colOff>
      <xdr:row>318</xdr:row>
      <xdr:rowOff>57150</xdr:rowOff>
    </xdr:from>
    <xdr:to>
      <xdr:col>40</xdr:col>
      <xdr:colOff>180974</xdr:colOff>
      <xdr:row>340</xdr:row>
      <xdr:rowOff>37539</xdr:rowOff>
    </xdr:to>
    <xdr:graphicFrame macro="">
      <xdr:nvGraphicFramePr>
        <xdr:cNvPr id="55" name="Chart 54">
          <a:extLst>
            <a:ext uri="{FF2B5EF4-FFF2-40B4-BE49-F238E27FC236}">
              <a16:creationId xmlns:a16="http://schemas.microsoft.com/office/drawing/2014/main" id="{9720D2CA-3F9F-47FF-AA8A-BDC1417B41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oneCellAnchor>
    <xdr:from>
      <xdr:col>32</xdr:col>
      <xdr:colOff>19049</xdr:colOff>
      <xdr:row>295</xdr:row>
      <xdr:rowOff>28573</xdr:rowOff>
    </xdr:from>
    <xdr:ext cx="1638301" cy="819151"/>
    <xdr:pic>
      <xdr:nvPicPr>
        <xdr:cNvPr id="36" name="Picture 35">
          <a:extLst>
            <a:ext uri="{FF2B5EF4-FFF2-40B4-BE49-F238E27FC236}">
              <a16:creationId xmlns:a16="http://schemas.microsoft.com/office/drawing/2014/main" id="{C307B547-1E09-41F2-9279-C17FEFD887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56264173"/>
          <a:ext cx="1638301" cy="819151"/>
        </a:xfrm>
        <a:prstGeom prst="rect">
          <a:avLst/>
        </a:prstGeom>
      </xdr:spPr>
    </xdr:pic>
    <xdr:clientData/>
  </xdr:oneCellAnchor>
  <xdr:oneCellAnchor>
    <xdr:from>
      <xdr:col>74</xdr:col>
      <xdr:colOff>19049</xdr:colOff>
      <xdr:row>295</xdr:row>
      <xdr:rowOff>38098</xdr:rowOff>
    </xdr:from>
    <xdr:ext cx="1638301" cy="819151"/>
    <xdr:pic>
      <xdr:nvPicPr>
        <xdr:cNvPr id="56" name="Picture 55">
          <a:extLst>
            <a:ext uri="{FF2B5EF4-FFF2-40B4-BE49-F238E27FC236}">
              <a16:creationId xmlns:a16="http://schemas.microsoft.com/office/drawing/2014/main" id="{33DB8E14-EC69-483A-9B97-3C5DB5CD27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56273698"/>
          <a:ext cx="1638301" cy="819151"/>
        </a:xfrm>
        <a:prstGeom prst="rect">
          <a:avLst/>
        </a:prstGeom>
      </xdr:spPr>
    </xdr:pic>
    <xdr:clientData/>
  </xdr:oneCellAnchor>
  <xdr:twoCellAnchor>
    <xdr:from>
      <xdr:col>43</xdr:col>
      <xdr:colOff>152400</xdr:colOff>
      <xdr:row>154</xdr:row>
      <xdr:rowOff>76200</xdr:rowOff>
    </xdr:from>
    <xdr:to>
      <xdr:col>83</xdr:col>
      <xdr:colOff>28575</xdr:colOff>
      <xdr:row>192</xdr:row>
      <xdr:rowOff>161926</xdr:rowOff>
    </xdr:to>
    <mc:AlternateContent xmlns:mc="http://schemas.openxmlformats.org/markup-compatibility/2006" xmlns:a14="http://schemas.microsoft.com/office/drawing/2010/main">
      <mc:Choice Requires="a14">
        <xdr:sp macro="" textlink="">
          <xdr:nvSpPr>
            <xdr:cNvPr id="11" name="TextBox 10">
              <a:extLst>
                <a:ext uri="{FF2B5EF4-FFF2-40B4-BE49-F238E27FC236}">
                  <a16:creationId xmlns:a16="http://schemas.microsoft.com/office/drawing/2014/main" id="{48D00163-2D6B-4609-B33D-4607244BF627}"/>
                </a:ext>
              </a:extLst>
            </xdr:cNvPr>
            <xdr:cNvSpPr txBox="1"/>
          </xdr:nvSpPr>
          <xdr:spPr>
            <a:xfrm>
              <a:off x="7934325" y="35280600"/>
              <a:ext cx="7115175" cy="8772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The spreadsheet uses the high-pass filter configuration as the basis for the calculations. However, it can also simulate the performance of notch-type filters, untuned capacitor branches, or straight capacitor stages through strategic entry of the high-pass effective kvar rating, tuning point, and damping factor. If the effective kvar rating is set to 0.01 kvar, the branch is effectively removed from the model. Likewise, if the tuning point is changed to 10,000, the HP filter effectively becomes a capacitor bank. If the damping factor is changed to 1000, the filter effectively becomes a notch filter.</a:t>
              </a:r>
            </a:p>
            <a:p>
              <a:endParaRPr lang="en-US"/>
            </a:p>
            <a:p>
              <a:r>
                <a:rPr lang="en-US"/>
                <a:t>Unlike the single-branch Notch, High-Pass (HP), and C-High-Pass (C-HP) spreadsheet design tools, where each filter branch is designed in isolation, this spreadsheet allows the user to evaluate multi-stage notch, C-HP, and adjacent shunt capacitor bank configurations as a complete multi-branch system. This is important because parallel resonances and amplification between branches can be a significant concern in multi-stage harmonic filter banks. The spreadsheet provides the component ratings required for proper filter performance, including reactances, inductance, capacitor reactive power,</a:t>
              </a:r>
              <a:r>
                <a:rPr lang="en-US" baseline="0"/>
                <a:t> </a:t>
              </a:r>
              <a:r>
                <a:rPr lang="en-US"/>
                <a:t>voltage ratings, harmonic current, voltage stresses, and damping resistance.</a:t>
              </a:r>
            </a:p>
            <a:p>
              <a:endParaRPr lang="en-US"/>
            </a:p>
            <a:p>
              <a:r>
                <a:rPr lang="en-US"/>
                <a:t>The summary below describes the calculation process applied throughout the tool using a 13.8 kV, 1000 kvar high-pass filter branch as an example. The tool assumes that harmonic simulations have already been performed and that the current spectrum flowing into the harmonic filter is known. These harmonic current values are entered in the blue-highlighted fields in rows 20 and 21 on page 1. If a study has not been conducted, the effects</a:t>
              </a:r>
              <a:r>
                <a:rPr lang="en-US" baseline="0"/>
                <a:t> of the source can accounted for and the expected harmonic current flow into the filter calculated based on a strait source impedance</a:t>
              </a:r>
              <a:r>
                <a:rPr lang="en-US" baseline="0">
                  <a:solidFill>
                    <a:schemeClr val="tx1"/>
                  </a:solidFill>
                </a:rPr>
                <a:t>. See Appendix C</a:t>
              </a:r>
              <a:r>
                <a:rPr lang="en-US" baseline="0">
                  <a:solidFill>
                    <a:srgbClr val="FF0000"/>
                  </a:solidFill>
                </a:rPr>
                <a:t>.</a:t>
              </a:r>
              <a:endParaRPr lang="en-US">
                <a:solidFill>
                  <a:srgbClr val="FF0000"/>
                </a:solidFill>
              </a:endParaRPr>
            </a:p>
            <a:p>
              <a:endParaRPr lang="en-US"/>
            </a:p>
            <a:p>
              <a:r>
                <a:rPr lang="en-US"/>
                <a:t>For additional information, engineering support, or custom filter designs, contact VarStec Power Solutions at </a:t>
              </a:r>
              <a:r>
                <a:rPr lang="en-US">
                  <a:hlinkClick xmlns:r="http://schemas.openxmlformats.org/officeDocument/2006/relationships" r:id=""/>
                </a:rPr>
                <a:t>info@varstec.com</a:t>
              </a:r>
              <a:r>
                <a:rPr lang="en-US"/>
                <a:t>.</a:t>
              </a:r>
            </a:p>
            <a:p>
              <a:pPr marL="0" marR="0" lvl="0" indent="0" defTabSz="914400" eaLnBrk="1" fontAlgn="auto" latinLnBrk="0" hangingPunct="1">
                <a:lnSpc>
                  <a:spcPct val="100000"/>
                </a:lnSpc>
                <a:spcBef>
                  <a:spcPts val="0"/>
                </a:spcBef>
                <a:spcAft>
                  <a:spcPts val="0"/>
                </a:spcAft>
                <a:buClrTx/>
                <a:buSzTx/>
                <a:buFontTx/>
                <a:buNone/>
                <a:tabLst/>
                <a:defRPr/>
              </a:pP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and forms the foundation of all subsequent calculations. Using the system’s nominal line-to-line voltage </a:t>
              </a:r>
              <a14:m>
                <m:oMath xmlns:m="http://schemas.openxmlformats.org/officeDocument/2006/math">
                  <m:r>
                    <a:rPr lang="en-US" sz="1100" i="1">
                      <a:solidFill>
                        <a:schemeClr val="dk1"/>
                      </a:solidFill>
                      <a:effectLst/>
                      <a:latin typeface="Cambria Math" panose="02040503050406030204" pitchFamily="18" charset="0"/>
                      <a:ea typeface="+mn-ea"/>
                      <a:cs typeface="+mn-cs"/>
                    </a:rPr>
                    <m:t>𝑘</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𝐿𝐿𝑆𝑌𝑆</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capacitor section,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For a HP filter, this value directly represents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be summed together as one subtracts from the other.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individually are calculated using the relationship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d>
                    <m:dPr>
                      <m:ctrlPr>
                        <a:rPr lang="en-US" sz="1100" i="1">
                          <a:solidFill>
                            <a:schemeClr val="dk1"/>
                          </a:solidFill>
                          <a:effectLst/>
                          <a:latin typeface="Cambria Math" panose="02040503050406030204" pitchFamily="18" charset="0"/>
                          <a:ea typeface="+mn-ea"/>
                          <a:cs typeface="+mn-cs"/>
                        </a:rPr>
                      </m:ctrlPr>
                    </m:dPr>
                    <m:e>
                      <m:f>
                        <m:fPr>
                          <m:ctrlPr>
                            <a:rPr lang="en-US" sz="1100" i="1">
                              <a:solidFill>
                                <a:schemeClr val="dk1"/>
                              </a:solidFill>
                              <a:effectLst/>
                              <a:latin typeface="Cambria Math" panose="02040503050406030204" pitchFamily="18" charset="0"/>
                              <a:ea typeface="+mn-ea"/>
                              <a:cs typeface="+mn-cs"/>
                            </a:rPr>
                          </m:ctrlPr>
                        </m:fPr>
                        <m:num>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num>
                        <m:den>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r>
                            <a:rPr lang="en-US" sz="1100" i="1">
                              <a:solidFill>
                                <a:schemeClr val="dk1"/>
                              </a:solidFill>
                              <a:effectLst/>
                              <a:latin typeface="Cambria Math" panose="02040503050406030204" pitchFamily="18" charset="0"/>
                              <a:ea typeface="+mn-ea"/>
                              <a:cs typeface="+mn-cs"/>
                            </a:rPr>
                            <m:t>−1</m:t>
                          </m:r>
                        </m:den>
                      </m:f>
                    </m:e>
                  </m:d>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a:p>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capacitor kvar ratings is then determined using the rated operating voltage. The spreadsheet next evaluates the high-pass damping resistor. Its ohmic value is derived from the specified damping factor (DF) of the HP filter (determined from harmonic simulations), linking the resistor to the tuning reactance at the harmonic frequency.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spreadsheet then resolves the fundamental and harmonic currents flowing in the reactor, capacitor and high-pass resistors. This is performed using complex current-divider calculations to ensure accurate representation of harmonic behavior. The watt loss in the damping resistor is subsequently computed and verified against its thermal rating.</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en-US" sz="1100"/>
              </a:br>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 of HP harmonic filters. The spreadsheet determines all critical design parameters, including reactances, inductance, kvar ratings, current loading, voltage stress, and damping characteristics, using standardized electrical notation to provide traceability, transparency, and field-proven reliability.</a:t>
              </a:r>
              <a:endParaRPr lang="en-US">
                <a:effectLst/>
              </a:endParaRPr>
            </a:p>
            <a:p>
              <a:endParaRPr lang="en-US" sz="1100"/>
            </a:p>
          </xdr:txBody>
        </xdr:sp>
      </mc:Choice>
      <mc:Fallback xmlns="">
        <xdr:sp macro="" textlink="">
          <xdr:nvSpPr>
            <xdr:cNvPr id="11" name="TextBox 10">
              <a:extLst>
                <a:ext uri="{FF2B5EF4-FFF2-40B4-BE49-F238E27FC236}">
                  <a16:creationId xmlns:a16="http://schemas.microsoft.com/office/drawing/2014/main" id="{48D00163-2D6B-4609-B33D-4607244BF627}"/>
                </a:ext>
              </a:extLst>
            </xdr:cNvPr>
            <xdr:cNvSpPr txBox="1"/>
          </xdr:nvSpPr>
          <xdr:spPr>
            <a:xfrm>
              <a:off x="7934325" y="35280600"/>
              <a:ext cx="7115175" cy="87725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The spreadsheet uses the high-pass filter configuration as the basis for the calculations. However, it can also simulate the performance of notch-type filters, untuned capacitor branches, or straight capacitor stages through strategic entry of the high-pass effective kvar rating, tuning point, and damping factor. If the effective kvar rating is set to 0.01 kvar, the branch is effectively removed from the model. Likewise, if the tuning point is changed to 10,000, the HP filter effectively becomes a capacitor bank. If the damping factor is changed to 1000, the filter effectively becomes a notch filter.</a:t>
              </a:r>
            </a:p>
            <a:p>
              <a:endParaRPr lang="en-US"/>
            </a:p>
            <a:p>
              <a:r>
                <a:rPr lang="en-US"/>
                <a:t>Unlike the single-branch Notch, High-Pass (HP), and C-High-Pass (C-HP) spreadsheet design tools, where each filter branch is designed in isolation, this spreadsheet allows the user to evaluate multi-stage notch, C-HP, and adjacent shunt capacitor bank configurations as a complete multi-branch system. This is important because parallel resonances and amplification between branches can be a significant concern in multi-stage harmonic filter banks. The spreadsheet provides the component ratings required for proper filter performance, including reactances, inductance, capacitor reactive power,</a:t>
              </a:r>
              <a:r>
                <a:rPr lang="en-US" baseline="0"/>
                <a:t> </a:t>
              </a:r>
              <a:r>
                <a:rPr lang="en-US"/>
                <a:t>voltage ratings, harmonic current, voltage stresses, and damping resistance.</a:t>
              </a:r>
            </a:p>
            <a:p>
              <a:endParaRPr lang="en-US"/>
            </a:p>
            <a:p>
              <a:r>
                <a:rPr lang="en-US"/>
                <a:t>The summary below describes the calculation process applied throughout the tool using a 13.8 kV, 1000 kvar high-pass filter branch as an example. The tool assumes that harmonic simulations have already been performed and that the current spectrum flowing into the harmonic filter is known. These harmonic current values are entered in the blue-highlighted fields in rows 20 and 21 on page 1. If a study has not been conducted, the effects</a:t>
              </a:r>
              <a:r>
                <a:rPr lang="en-US" baseline="0"/>
                <a:t> of the source can accounted for and the expected harmonic current flow into the filter calculated based on a strait source impedance</a:t>
              </a:r>
              <a:r>
                <a:rPr lang="en-US" baseline="0">
                  <a:solidFill>
                    <a:schemeClr val="tx1"/>
                  </a:solidFill>
                </a:rPr>
                <a:t>. See Appendix C</a:t>
              </a:r>
              <a:r>
                <a:rPr lang="en-US" baseline="0">
                  <a:solidFill>
                    <a:srgbClr val="FF0000"/>
                  </a:solidFill>
                </a:rPr>
                <a:t>.</a:t>
              </a:r>
              <a:endParaRPr lang="en-US">
                <a:solidFill>
                  <a:srgbClr val="FF0000"/>
                </a:solidFill>
              </a:endParaRPr>
            </a:p>
            <a:p>
              <a:endParaRPr lang="en-US"/>
            </a:p>
            <a:p>
              <a:r>
                <a:rPr lang="en-US"/>
                <a:t>For additional information, engineering support, or custom filter designs, contact VarStec Power Solutions at </a:t>
              </a:r>
              <a:r>
                <a:rPr lang="en-US">
                  <a:hlinkClick xmlns:r="http://schemas.openxmlformats.org/officeDocument/2006/relationships" r:id=""/>
                </a:rPr>
                <a:t>info@varstec.com</a:t>
              </a:r>
              <a:r>
                <a:rPr lang="en-US"/>
                <a:t>.</a:t>
              </a:r>
            </a:p>
            <a:p>
              <a:pPr marL="0" marR="0" lvl="0" indent="0" defTabSz="914400" eaLnBrk="1" fontAlgn="auto" latinLnBrk="0" hangingPunct="1">
                <a:lnSpc>
                  <a:spcPct val="100000"/>
                </a:lnSpc>
                <a:spcBef>
                  <a:spcPts val="0"/>
                </a:spcBef>
                <a:spcAft>
                  <a:spcPts val="0"/>
                </a:spcAft>
                <a:buClrTx/>
                <a:buSzTx/>
                <a:buFontTx/>
                <a:buNone/>
                <a:tabLst/>
                <a:defRPr/>
              </a:pP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r>
                <a:rPr lang="en-US" sz="1100" i="0">
                  <a:solidFill>
                    <a:schemeClr val="dk1"/>
                  </a:solidFill>
                  <a:effectLst/>
                  <a:latin typeface="Cambria Math" panose="02040503050406030204" pitchFamily="18" charset="0"/>
                  <a:ea typeface="+mn-ea"/>
                  <a:cs typeface="+mn-cs"/>
                </a:rPr>
                <a:t>𝑄_𝑒𝑓𝑓</a:t>
              </a:r>
              <a:r>
                <a:rPr lang="en-US" sz="1100">
                  <a:solidFill>
                    <a:schemeClr val="dk1"/>
                  </a:solidFill>
                  <a:effectLst/>
                  <a:latin typeface="+mn-lt"/>
                  <a:ea typeface="+mn-ea"/>
                  <a:cs typeface="+mn-cs"/>
                </a:rPr>
                <a:t>and forms the foundation of all subsequent calculations. Using the system’s nominal line-to-line voltage </a:t>
              </a:r>
              <a:r>
                <a:rPr lang="en-US" sz="1100" i="0">
                  <a:solidFill>
                    <a:schemeClr val="dk1"/>
                  </a:solidFill>
                  <a:effectLst/>
                  <a:latin typeface="Cambria Math" panose="02040503050406030204" pitchFamily="18" charset="0"/>
                  <a:ea typeface="+mn-ea"/>
                  <a:cs typeface="+mn-cs"/>
                </a:rPr>
                <a:t>𝑘𝑉_𝐿𝐿𝑆𝑌𝑆</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capacitor section, </a:t>
              </a:r>
              <a:r>
                <a:rPr lang="en-US" sz="1100" i="0">
                  <a:solidFill>
                    <a:schemeClr val="dk1"/>
                  </a:solidFill>
                  <a:effectLst/>
                  <a:latin typeface="Cambria Math" panose="02040503050406030204" pitchFamily="18" charset="0"/>
                  <a:ea typeface="+mn-ea"/>
                  <a:cs typeface="+mn-cs"/>
                </a:rPr>
                <a:t>𝑋_𝑒𝑓𝑓</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For a HP filter, this value directly represents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be summed together as one subtracts from the other.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individually are calculated using the relationship </a:t>
              </a:r>
              <a:r>
                <a:rPr lang="en-US" sz="1100" i="0">
                  <a:solidFill>
                    <a:schemeClr val="dk1"/>
                  </a:solidFill>
                  <a:effectLst/>
                  <a:latin typeface="Cambria Math" panose="02040503050406030204" pitchFamily="18" charset="0"/>
                  <a:ea typeface="+mn-ea"/>
                  <a:cs typeface="+mn-cs"/>
                </a:rPr>
                <a:t>𝑋_𝐶=(ℎ^2/(ℎ^2−1)) 𝑋_𝑒𝑓𝑓</a:t>
              </a:r>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a:p>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capacitor kvar ratings is then determined using the rated operating voltage. The spreadsheet next evaluates the high-pass damping resistor. Its ohmic value is derived from the specified damping factor (DF) of the HP filter (determined from harmonic simulations), linking the resistor to the tuning reactance at the harmonic frequency.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spreadsheet then resolves the fundamental and harmonic currents flowing in the reactor, capacitor and high-pass resistors. This is performed using complex current-divider calculations to ensure accurate representation of harmonic behavior. The watt loss in the damping resistor is subsequently computed and verified against its thermal rating.</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br>
                <a:rPr lang="en-US" sz="1100"/>
              </a:br>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 of HP harmonic filters. The spreadsheet determines all critical design parameters, including reactances, inductance, kvar ratings, current loading, voltage stress, and damping characteristics, using standardized electrical notation to provide traceability, transparency, and field-proven reliability.</a:t>
              </a:r>
              <a:endParaRPr lang="en-US">
                <a:effectLst/>
              </a:endParaRPr>
            </a:p>
            <a:p>
              <a:endParaRPr lang="en-US" sz="1100"/>
            </a:p>
          </xdr:txBody>
        </xdr:sp>
      </mc:Fallback>
    </mc:AlternateContent>
    <xdr:clientData/>
  </xdr:twoCellAnchor>
  <xdr:twoCellAnchor>
    <xdr:from>
      <xdr:col>12</xdr:col>
      <xdr:colOff>99086</xdr:colOff>
      <xdr:row>210</xdr:row>
      <xdr:rowOff>215472</xdr:rowOff>
    </xdr:from>
    <xdr:to>
      <xdr:col>38</xdr:col>
      <xdr:colOff>88847</xdr:colOff>
      <xdr:row>212</xdr:row>
      <xdr:rowOff>122776</xdr:rowOff>
    </xdr:to>
    <mc:AlternateContent xmlns:mc="http://schemas.openxmlformats.org/markup-compatibility/2006" xmlns:a14="http://schemas.microsoft.com/office/drawing/2010/main">
      <mc:Choice Requires="a14">
        <xdr:sp macro="" textlink="">
          <xdr:nvSpPr>
            <xdr:cNvPr id="37" name="TextBox 12">
              <a:extLst>
                <a:ext uri="{FF2B5EF4-FFF2-40B4-BE49-F238E27FC236}">
                  <a16:creationId xmlns:a16="http://schemas.microsoft.com/office/drawing/2014/main" id="{9214BDC4-6402-44E2-9B2B-2059EADA7170}"/>
                </a:ext>
              </a:extLst>
            </xdr:cNvPr>
            <xdr:cNvSpPr txBox="1"/>
          </xdr:nvSpPr>
          <xdr:spPr>
            <a:xfrm>
              <a:off x="2270786" y="48221472"/>
              <a:ext cx="4695111" cy="3645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𝑋</m:t>
                      </m:r>
                    </m:e>
                    <m:sub>
                      <m:r>
                        <a:rPr lang="en-US" sz="1000" b="0" i="1">
                          <a:latin typeface="Cambria Math"/>
                        </a:rPr>
                        <m:t>𝑒𝑓𝑓</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𝑘𝑉</m:t>
                              </m:r>
                            </m:e>
                            <m:sub>
                              <m:r>
                                <a:rPr lang="en-US" sz="1000" b="0" i="1">
                                  <a:solidFill>
                                    <a:schemeClr val="tx1"/>
                                  </a:solidFill>
                                  <a:effectLst/>
                                  <a:latin typeface="Cambria Math"/>
                                </a:rPr>
                                <m:t>𝐿𝐿𝑆𝑌𝑆</m:t>
                              </m:r>
                            </m:sub>
                          </m:sSub>
                        </m:e>
                        <m:sup>
                          <m:r>
                            <a:rPr lang="en-US" sz="1000" b="0" i="1">
                              <a:solidFill>
                                <a:schemeClr val="tx1"/>
                              </a:solidFill>
                              <a:effectLst/>
                              <a:latin typeface="Cambria Math"/>
                            </a:rPr>
                            <m:t>2</m:t>
                          </m:r>
                        </m:sup>
                      </m:sSup>
                    </m:num>
                    <m:den>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den>
                  </m:f>
                </m:oMath>
              </a14:m>
              <a:r>
                <a:rPr lang="en-US" sz="1000" b="0"/>
                <a:t> (ohms) = </a:t>
              </a:r>
              <a14:m>
                <m:oMath xmlns:m="http://schemas.openxmlformats.org/officeDocument/2006/math">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r>
                            <a:rPr lang="en-US" sz="1000" b="0" i="1">
                              <a:latin typeface="Cambria Math"/>
                            </a:rPr>
                            <m:t>13.8</m:t>
                          </m:r>
                        </m:e>
                        <m:sup>
                          <m:r>
                            <a:rPr lang="en-US" sz="1000" i="1">
                              <a:latin typeface="Cambria Math"/>
                            </a:rPr>
                            <m:t>2</m:t>
                          </m:r>
                        </m:sup>
                      </m:sSup>
                    </m:num>
                    <m:den>
                      <m:r>
                        <a:rPr lang="en-US" sz="1000" b="0" i="1">
                          <a:latin typeface="Cambria Math" panose="02040503050406030204" pitchFamily="18" charset="0"/>
                        </a:rPr>
                        <m:t>1.0</m:t>
                      </m:r>
                      <m:r>
                        <a:rPr lang="en-US" sz="1000" i="1">
                          <a:latin typeface="Cambria Math"/>
                        </a:rPr>
                        <m:t> </m:t>
                      </m:r>
                    </m:den>
                  </m:f>
                  <m:r>
                    <a:rPr lang="en-US" sz="1000" b="0" i="1">
                      <a:latin typeface="Cambria Math"/>
                    </a:rPr>
                    <m:t>=</m:t>
                  </m:r>
                  <m:r>
                    <a:rPr lang="en-US" sz="1000" b="0" i="1">
                      <a:latin typeface="Cambria Math" panose="02040503050406030204" pitchFamily="18" charset="0"/>
                    </a:rPr>
                    <m:t>190.4</m:t>
                  </m:r>
                  <m:r>
                    <a:rPr lang="en-US" sz="1000" b="0" i="1">
                      <a:latin typeface="Cambria Math"/>
                    </a:rPr>
                    <m:t> (</m:t>
                  </m:r>
                  <m:r>
                    <a:rPr lang="en-US" sz="1000" b="0" i="1">
                      <a:latin typeface="Cambria Math"/>
                    </a:rPr>
                    <m:t>𝑜h𝑚𝑠</m:t>
                  </m:r>
                  <m:r>
                    <a:rPr lang="en-US" sz="1000" b="0" i="1">
                      <a:latin typeface="Cambria Math"/>
                    </a:rPr>
                    <m:t>)</m:t>
                  </m:r>
                </m:oMath>
              </a14:m>
              <a:r>
                <a:rPr lang="en-US" sz="1000" b="0"/>
                <a:t> </a:t>
              </a:r>
            </a:p>
          </xdr:txBody>
        </xdr:sp>
      </mc:Choice>
      <mc:Fallback xmlns="">
        <xdr:sp macro="" textlink="">
          <xdr:nvSpPr>
            <xdr:cNvPr id="37" name="TextBox 12">
              <a:extLst>
                <a:ext uri="{FF2B5EF4-FFF2-40B4-BE49-F238E27FC236}">
                  <a16:creationId xmlns:a16="http://schemas.microsoft.com/office/drawing/2014/main" id="{9214BDC4-6402-44E2-9B2B-2059EADA7170}"/>
                </a:ext>
              </a:extLst>
            </xdr:cNvPr>
            <xdr:cNvSpPr txBox="1"/>
          </xdr:nvSpPr>
          <xdr:spPr>
            <a:xfrm>
              <a:off x="2270786" y="48221472"/>
              <a:ext cx="4695111" cy="36450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𝑒𝑓𝑓</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𝑘𝑉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𝐿𝐿𝑆𝑌𝑆</a:t>
              </a:r>
              <a:r>
                <a:rPr lang="en-US" sz="1000" b="0" i="0">
                  <a:solidFill>
                    <a:schemeClr val="tx1"/>
                  </a:solidFill>
                  <a:effectLst/>
                  <a:latin typeface="Cambria Math" panose="02040503050406030204" pitchFamily="18" charset="0"/>
                </a:rPr>
                <a:t>〗^</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rPr>
                <a:t> </a:t>
              </a:r>
              <a:r>
                <a:rPr lang="en-US" sz="1000" b="0"/>
                <a:t> (ohms) = </a:t>
              </a:r>
              <a:r>
                <a:rPr lang="en-US" sz="1000" i="0">
                  <a:latin typeface="Cambria Math" panose="02040503050406030204" pitchFamily="18" charset="0"/>
                </a:rPr>
                <a:t>〖</a:t>
              </a:r>
              <a:r>
                <a:rPr lang="en-US" sz="1000" b="0" i="0">
                  <a:latin typeface="Cambria Math"/>
                </a:rPr>
                <a:t>13.8</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1.0</a:t>
              </a:r>
              <a:r>
                <a:rPr lang="en-US" sz="1000" i="0">
                  <a:latin typeface="Cambria Math"/>
                </a:rPr>
                <a:t> </a:t>
              </a:r>
              <a:r>
                <a:rPr lang="en-US" sz="1000" i="0">
                  <a:latin typeface="Cambria Math" panose="02040503050406030204" pitchFamily="18" charset="0"/>
                  <a:ea typeface="Cambria Math"/>
                </a:rPr>
                <a:t>)</a:t>
              </a:r>
              <a:r>
                <a:rPr lang="en-US" sz="1000" b="0" i="0">
                  <a:latin typeface="Cambria Math"/>
                </a:rPr>
                <a:t>=</a:t>
              </a:r>
              <a:r>
                <a:rPr lang="en-US" sz="1000" b="0" i="0">
                  <a:latin typeface="Cambria Math" panose="02040503050406030204" pitchFamily="18" charset="0"/>
                </a:rPr>
                <a:t>190.4</a:t>
              </a:r>
              <a:r>
                <a:rPr lang="en-US" sz="1000" b="0" i="0">
                  <a:latin typeface="Cambria Math"/>
                </a:rPr>
                <a:t> (𝑜ℎ𝑚𝑠)</a:t>
              </a:r>
              <a:r>
                <a:rPr lang="en-US" sz="1000" b="0"/>
                <a:t> </a:t>
              </a:r>
            </a:p>
          </xdr:txBody>
        </xdr:sp>
      </mc:Fallback>
    </mc:AlternateContent>
    <xdr:clientData/>
  </xdr:twoCellAnchor>
  <xdr:twoCellAnchor>
    <xdr:from>
      <xdr:col>12</xdr:col>
      <xdr:colOff>99086</xdr:colOff>
      <xdr:row>212</xdr:row>
      <xdr:rowOff>47202</xdr:rowOff>
    </xdr:from>
    <xdr:to>
      <xdr:col>41</xdr:col>
      <xdr:colOff>18810</xdr:colOff>
      <xdr:row>213</xdr:row>
      <xdr:rowOff>144569</xdr:rowOff>
    </xdr:to>
    <mc:AlternateContent xmlns:mc="http://schemas.openxmlformats.org/markup-compatibility/2006" xmlns:a14="http://schemas.microsoft.com/office/drawing/2010/main">
      <mc:Choice Requires="a14">
        <xdr:sp macro="" textlink="">
          <xdr:nvSpPr>
            <xdr:cNvPr id="38" name="TextBox 15">
              <a:extLst>
                <a:ext uri="{FF2B5EF4-FFF2-40B4-BE49-F238E27FC236}">
                  <a16:creationId xmlns:a16="http://schemas.microsoft.com/office/drawing/2014/main" id="{E933AE27-CDAE-4A79-905F-C26A19EC1FFF}"/>
                </a:ext>
              </a:extLst>
            </xdr:cNvPr>
            <xdr:cNvSpPr txBox="1"/>
          </xdr:nvSpPr>
          <xdr:spPr>
            <a:xfrm>
              <a:off x="2270786" y="48510402"/>
              <a:ext cx="5167999" cy="3259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𝐶</m:t>
                      </m:r>
                    </m:sub>
                  </m:sSub>
                  <m:r>
                    <a:rPr lang="en-US" sz="1000" i="1">
                      <a:latin typeface="Cambria Math"/>
                      <a:ea typeface="Cambria Math"/>
                    </a:rPr>
                    <m:t>=</m:t>
                  </m:r>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r>
                            <a:rPr lang="en-US" sz="1000" b="0" i="1">
                              <a:latin typeface="Cambria Math"/>
                              <a:ea typeface="Cambria Math"/>
                            </a:rPr>
                            <m:t>−1</m:t>
                          </m:r>
                        </m:den>
                      </m:f>
                    </m:e>
                  </m:d>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𝑒𝑓𝑓</m:t>
                      </m:r>
                    </m:sub>
                  </m:sSub>
                </m:oMath>
              </a14:m>
              <a:r>
                <a:rPr lang="en-US" sz="1000"/>
                <a:t> (ohms) = </a:t>
              </a:r>
              <a14:m>
                <m:oMath xmlns:m="http://schemas.openxmlformats.org/officeDocument/2006/math">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r>
                            <a:rPr lang="en-US" sz="1000" i="1">
                              <a:latin typeface="Cambria Math"/>
                              <a:ea typeface="Cambria Math"/>
                            </a:rPr>
                            <m:t>−1</m:t>
                          </m:r>
                        </m:den>
                      </m:f>
                    </m:e>
                  </m:d>
                </m:oMath>
              </a14:m>
              <a:r>
                <a:rPr lang="en-US" sz="1000"/>
                <a:t> 190.4 (ohms)=199.4 (ohms)</a:t>
              </a:r>
            </a:p>
          </xdr:txBody>
        </xdr:sp>
      </mc:Choice>
      <mc:Fallback xmlns="">
        <xdr:sp macro="" textlink="">
          <xdr:nvSpPr>
            <xdr:cNvPr id="38" name="TextBox 15">
              <a:extLst>
                <a:ext uri="{FF2B5EF4-FFF2-40B4-BE49-F238E27FC236}">
                  <a16:creationId xmlns:a16="http://schemas.microsoft.com/office/drawing/2014/main" id="{E933AE27-CDAE-4A79-905F-C26A19EC1FFF}"/>
                </a:ext>
              </a:extLst>
            </xdr:cNvPr>
            <xdr:cNvSpPr txBox="1"/>
          </xdr:nvSpPr>
          <xdr:spPr>
            <a:xfrm>
              <a:off x="2270786" y="48510402"/>
              <a:ext cx="5167999" cy="3259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𝐶</a:t>
              </a:r>
              <a:r>
                <a:rPr lang="en-US" sz="1000" i="0">
                  <a:latin typeface="Cambria Math"/>
                  <a:ea typeface="Cambria Math"/>
                </a:rPr>
                <a:t>=</a:t>
              </a:r>
              <a:r>
                <a:rPr lang="en-US" sz="100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2−1</a:t>
              </a:r>
              <a:r>
                <a:rPr lang="en-US" sz="1000" b="0" i="0">
                  <a:latin typeface="Cambria Math" panose="02040503050406030204" pitchFamily="18" charset="0"/>
                  <a:ea typeface="Cambria Math"/>
                </a:rPr>
                <a:t>)) </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𝑒𝑓𝑓</a:t>
              </a:r>
              <a:r>
                <a:rPr lang="en-US" sz="1000"/>
                <a:t> (ohms) = </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2−1</a:t>
              </a:r>
              <a:r>
                <a:rPr lang="en-US" sz="1000" i="0">
                  <a:latin typeface="Cambria Math" panose="02040503050406030204" pitchFamily="18" charset="0"/>
                  <a:ea typeface="Cambria Math"/>
                </a:rPr>
                <a:t>))</a:t>
              </a:r>
              <a:r>
                <a:rPr lang="en-US" sz="1000"/>
                <a:t> 190.4 (ohms)=199.4 (ohms)</a:t>
              </a:r>
            </a:p>
          </xdr:txBody>
        </xdr:sp>
      </mc:Fallback>
    </mc:AlternateContent>
    <xdr:clientData/>
  </xdr:twoCellAnchor>
  <xdr:twoCellAnchor>
    <xdr:from>
      <xdr:col>12</xdr:col>
      <xdr:colOff>99086</xdr:colOff>
      <xdr:row>213</xdr:row>
      <xdr:rowOff>176939</xdr:rowOff>
    </xdr:from>
    <xdr:to>
      <xdr:col>36</xdr:col>
      <xdr:colOff>8164</xdr:colOff>
      <xdr:row>215</xdr:row>
      <xdr:rowOff>26176</xdr:rowOff>
    </xdr:to>
    <mc:AlternateContent xmlns:mc="http://schemas.openxmlformats.org/markup-compatibility/2006" xmlns:a14="http://schemas.microsoft.com/office/drawing/2010/main">
      <mc:Choice Requires="a14">
        <xdr:sp macro="" textlink="">
          <xdr:nvSpPr>
            <xdr:cNvPr id="39" name="TextBox 17">
              <a:extLst>
                <a:ext uri="{FF2B5EF4-FFF2-40B4-BE49-F238E27FC236}">
                  <a16:creationId xmlns:a16="http://schemas.microsoft.com/office/drawing/2014/main" id="{B186342D-FDE1-438A-B26C-66FABB66A5E5}"/>
                </a:ext>
              </a:extLst>
            </xdr:cNvPr>
            <xdr:cNvSpPr txBox="1"/>
          </xdr:nvSpPr>
          <xdr:spPr>
            <a:xfrm>
              <a:off x="2270786" y="48868739"/>
              <a:ext cx="4252478" cy="30643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𝐿</m:t>
                      </m:r>
                    </m:sub>
                  </m:sSub>
                  <m:r>
                    <a:rPr lang="en-US" sz="1000" i="1">
                      <a:latin typeface="Cambria Math"/>
                      <a:ea typeface="Cambria Math"/>
                    </a:rPr>
                    <m:t>=</m:t>
                  </m:r>
                  <m:f>
                    <m:fPr>
                      <m:ctrlPr>
                        <a:rPr lang="en-US" sz="1000" i="1">
                          <a:latin typeface="Cambria Math" panose="02040503050406030204" pitchFamily="18" charset="0"/>
                          <a:ea typeface="Cambria Math"/>
                        </a:rPr>
                      </m:ctrlPr>
                    </m:fPr>
                    <m:num>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den>
                  </m:f>
                </m:oMath>
              </a14:m>
              <a:r>
                <a:rPr lang="en-US" sz="1000"/>
                <a:t> =</a:t>
              </a:r>
              <a14:m>
                <m:oMath xmlns:m="http://schemas.openxmlformats.org/officeDocument/2006/math">
                  <m:r>
                    <a:rPr lang="en-US" sz="1000" b="0" i="0">
                      <a:latin typeface="Cambria Math"/>
                      <a:ea typeface="Cambria Math"/>
                    </a:rPr>
                    <m:t> </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199.4</m:t>
                      </m:r>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den>
                  </m:f>
                  <m:r>
                    <a:rPr lang="en-US" sz="1000" b="0" i="1">
                      <a:latin typeface="Cambria Math"/>
                      <a:ea typeface="Cambria Math"/>
                    </a:rPr>
                    <m:t>=</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39" name="TextBox 17">
              <a:extLst>
                <a:ext uri="{FF2B5EF4-FFF2-40B4-BE49-F238E27FC236}">
                  <a16:creationId xmlns:a16="http://schemas.microsoft.com/office/drawing/2014/main" id="{B186342D-FDE1-438A-B26C-66FABB66A5E5}"/>
                </a:ext>
              </a:extLst>
            </xdr:cNvPr>
            <xdr:cNvSpPr txBox="1"/>
          </xdr:nvSpPr>
          <xdr:spPr>
            <a:xfrm>
              <a:off x="2270786" y="48868739"/>
              <a:ext cx="4252478" cy="30643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𝐿</a:t>
              </a:r>
              <a:r>
                <a:rPr lang="en-US" sz="1000" i="0">
                  <a:latin typeface="Cambria Math"/>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 </a:t>
              </a:r>
              <a:r>
                <a:rPr lang="en-US" sz="1000"/>
                <a:t> =</a:t>
              </a:r>
              <a:r>
                <a:rPr lang="en-US" sz="1000" b="0" i="0">
                  <a:latin typeface="Cambria Math"/>
                  <a:ea typeface="Cambria Math"/>
                </a:rPr>
                <a:t> </a:t>
              </a:r>
              <a:r>
                <a:rPr lang="en-US" sz="1000" b="0" i="0">
                  <a:latin typeface="Cambria Math" panose="02040503050406030204" pitchFamily="18" charset="0"/>
                  <a:ea typeface="Cambria Math"/>
                </a:rPr>
                <a:t> 199.4/〖</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12</xdr:col>
      <xdr:colOff>109862</xdr:colOff>
      <xdr:row>221</xdr:row>
      <xdr:rowOff>80180</xdr:rowOff>
    </xdr:from>
    <xdr:to>
      <xdr:col>37</xdr:col>
      <xdr:colOff>12370</xdr:colOff>
      <xdr:row>223</xdr:row>
      <xdr:rowOff>74964</xdr:rowOff>
    </xdr:to>
    <mc:AlternateContent xmlns:mc="http://schemas.openxmlformats.org/markup-compatibility/2006" xmlns:a14="http://schemas.microsoft.com/office/drawing/2010/main">
      <mc:Choice Requires="a14">
        <xdr:sp macro="" textlink="">
          <xdr:nvSpPr>
            <xdr:cNvPr id="40" name="TextBox 13">
              <a:extLst>
                <a:ext uri="{FF2B5EF4-FFF2-40B4-BE49-F238E27FC236}">
                  <a16:creationId xmlns:a16="http://schemas.microsoft.com/office/drawing/2014/main" id="{7833E19D-5983-4AB8-80D0-3A8A6402A82C}"/>
                </a:ext>
              </a:extLst>
            </xdr:cNvPr>
            <xdr:cNvSpPr txBox="1"/>
          </xdr:nvSpPr>
          <xdr:spPr>
            <a:xfrm>
              <a:off x="2281562" y="50600780"/>
              <a:ext cx="4426883" cy="45198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800" b="0" i="1">
                            <a:latin typeface="Cambria Math" panose="02040503050406030204" pitchFamily="18" charset="0"/>
                          </a:rPr>
                        </m:ctrlPr>
                      </m:sSubPr>
                      <m:e>
                        <m:r>
                          <a:rPr lang="en-US" sz="800" b="0" i="1">
                            <a:latin typeface="Cambria Math"/>
                          </a:rPr>
                          <m:t>𝐼</m:t>
                        </m:r>
                      </m:e>
                      <m:sub>
                        <m:r>
                          <a:rPr lang="en-US" sz="800" b="0" i="1">
                            <a:latin typeface="Cambria Math"/>
                          </a:rPr>
                          <m:t>𝐹𝐼𝐿𝑇𝐸𝑅</m:t>
                        </m:r>
                        <m:r>
                          <a:rPr lang="en-US" sz="800" b="0" i="1">
                            <a:latin typeface="Cambria Math"/>
                          </a:rPr>
                          <m:t> </m:t>
                        </m:r>
                        <m:r>
                          <a:rPr lang="en-US" sz="800" b="0" i="1">
                            <a:latin typeface="Cambria Math"/>
                          </a:rPr>
                          <m:t>𝑅𝑀𝑆</m:t>
                        </m:r>
                        <m:r>
                          <a:rPr lang="en-US" sz="800" b="0" i="1">
                            <a:latin typeface="Cambria Math"/>
                          </a:rPr>
                          <m:t> </m:t>
                        </m:r>
                        <m:r>
                          <a:rPr lang="en-US" sz="800" b="0" i="1">
                            <a:latin typeface="Cambria Math"/>
                          </a:rPr>
                          <m:t>𝐶𝑈𝑅𝑅𝐸𝑁𝑇</m:t>
                        </m:r>
                      </m:sub>
                    </m:sSub>
                    <m:r>
                      <a:rPr lang="en-US" sz="800" b="0" i="1">
                        <a:latin typeface="Cambria Math"/>
                        <a:ea typeface="Cambria Math"/>
                      </a:rPr>
                      <m:t>=</m:t>
                    </m:r>
                    <m:rad>
                      <m:radPr>
                        <m:degHide m:val="on"/>
                        <m:ctrlPr>
                          <a:rPr lang="en-US" sz="800" b="0" i="1">
                            <a:latin typeface="Cambria Math" panose="02040503050406030204" pitchFamily="18" charset="0"/>
                            <a:ea typeface="Cambria Math"/>
                          </a:rPr>
                        </m:ctrlPr>
                      </m:radPr>
                      <m:deg/>
                      <m:e>
                        <m:nary>
                          <m:naryPr>
                            <m:chr m:val="∑"/>
                            <m:ctrlPr>
                              <a:rPr lang="en-US" sz="800" b="0" i="1">
                                <a:latin typeface="Cambria Math" panose="02040503050406030204" pitchFamily="18" charset="0"/>
                                <a:ea typeface="Cambria Math"/>
                              </a:rPr>
                            </m:ctrlPr>
                          </m:naryPr>
                          <m:sub>
                            <m:r>
                              <m:rPr>
                                <m:brk m:alnAt="23"/>
                              </m:rPr>
                              <a:rPr lang="en-US" sz="800" b="0" i="1">
                                <a:latin typeface="Cambria Math"/>
                                <a:ea typeface="Cambria Math"/>
                              </a:rPr>
                              <m:t>𝑛</m:t>
                            </m:r>
                            <m:r>
                              <a:rPr lang="en-US" sz="800" b="0" i="1">
                                <a:latin typeface="Cambria Math"/>
                                <a:ea typeface="Cambria Math"/>
                              </a:rPr>
                              <m:t>=1</m:t>
                            </m:r>
                          </m:sub>
                          <m:sup>
                            <m:r>
                              <a:rPr lang="en-US" sz="800" b="0" i="1">
                                <a:latin typeface="Cambria Math"/>
                                <a:ea typeface="Cambria Math"/>
                              </a:rPr>
                              <m:t>𝑛</m:t>
                            </m:r>
                          </m:sup>
                          <m:e>
                            <m:sSubSup>
                              <m:sSubSupPr>
                                <m:ctrlPr>
                                  <a:rPr lang="en-US" sz="1000" b="0" i="1" kern="1200">
                                    <a:solidFill>
                                      <a:schemeClr val="tx1"/>
                                    </a:solidFill>
                                    <a:effectLst/>
                                    <a:latin typeface="Cambria Math" panose="02040503050406030204" pitchFamily="18" charset="0"/>
                                    <a:ea typeface="+mn-ea"/>
                                    <a:cs typeface="+mn-cs"/>
                                  </a:rPr>
                                </m:ctrlPr>
                              </m:sSubSupPr>
                              <m:e>
                                <m:r>
                                  <a:rPr lang="en-US" sz="1000" b="0" i="1" kern="1200">
                                    <a:solidFill>
                                      <a:schemeClr val="tx1"/>
                                    </a:solidFill>
                                    <a:effectLst/>
                                    <a:latin typeface="Cambria Math" panose="02040503050406030204" pitchFamily="18" charset="0"/>
                                    <a:ea typeface="+mn-ea"/>
                                    <a:cs typeface="+mn-cs"/>
                                  </a:rPr>
                                  <m:t>𝐼</m:t>
                                </m:r>
                              </m:e>
                              <m:sub>
                                <m:r>
                                  <a:rPr lang="en-US" sz="1000" b="0" i="1" kern="1200">
                                    <a:solidFill>
                                      <a:schemeClr val="tx1"/>
                                    </a:solidFill>
                                    <a:effectLst/>
                                    <a:latin typeface="Cambria Math" panose="02040503050406030204" pitchFamily="18" charset="0"/>
                                    <a:ea typeface="+mn-ea"/>
                                    <a:cs typeface="+mn-cs"/>
                                  </a:rPr>
                                  <m:t>𝑛</m:t>
                                </m:r>
                              </m:sub>
                              <m:sup>
                                <m:r>
                                  <a:rPr lang="en-US" sz="1000" b="0" i="1" kern="1200">
                                    <a:solidFill>
                                      <a:schemeClr val="tx1"/>
                                    </a:solidFill>
                                    <a:effectLst/>
                                    <a:latin typeface="Cambria Math" panose="02040503050406030204" pitchFamily="18" charset="0"/>
                                    <a:ea typeface="+mn-ea"/>
                                    <a:cs typeface="+mn-cs"/>
                                  </a:rPr>
                                  <m:t>2</m:t>
                                </m:r>
                              </m:sup>
                            </m:sSubSup>
                          </m:e>
                        </m:nary>
                      </m:e>
                    </m:rad>
                  </m:oMath>
                </m:oMathPara>
              </a14:m>
              <a:endParaRPr lang="en-US" sz="800" b="0"/>
            </a:p>
          </xdr:txBody>
        </xdr:sp>
      </mc:Choice>
      <mc:Fallback xmlns="">
        <xdr:sp macro="" textlink="">
          <xdr:nvSpPr>
            <xdr:cNvPr id="40" name="TextBox 13">
              <a:extLst>
                <a:ext uri="{FF2B5EF4-FFF2-40B4-BE49-F238E27FC236}">
                  <a16:creationId xmlns:a16="http://schemas.microsoft.com/office/drawing/2014/main" id="{7833E19D-5983-4AB8-80D0-3A8A6402A82C}"/>
                </a:ext>
              </a:extLst>
            </xdr:cNvPr>
            <xdr:cNvSpPr txBox="1"/>
          </xdr:nvSpPr>
          <xdr:spPr>
            <a:xfrm>
              <a:off x="2281562" y="50600780"/>
              <a:ext cx="4426883" cy="45198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800" b="0" i="0">
                  <a:latin typeface="Cambria Math"/>
                </a:rPr>
                <a:t>𝐼</a:t>
              </a:r>
              <a:r>
                <a:rPr lang="en-US" sz="800" b="0" i="0">
                  <a:latin typeface="Cambria Math" panose="02040503050406030204" pitchFamily="18" charset="0"/>
                </a:rPr>
                <a:t>_(</a:t>
              </a:r>
              <a:r>
                <a:rPr lang="en-US" sz="800" b="0" i="0">
                  <a:latin typeface="Cambria Math"/>
                </a:rPr>
                <a:t>𝐹𝐼𝐿𝑇𝐸𝑅 𝑅𝑀𝑆 𝐶𝑈𝑅𝑅𝐸𝑁𝑇</a:t>
              </a:r>
              <a:r>
                <a:rPr lang="en-US" sz="800" b="0" i="0">
                  <a:latin typeface="Cambria Math" panose="02040503050406030204" pitchFamily="18" charset="0"/>
                </a:rPr>
                <a:t>)</a:t>
              </a:r>
              <a:r>
                <a:rPr lang="en-US" sz="800" b="0" i="0">
                  <a:latin typeface="Cambria Math"/>
                  <a:ea typeface="Cambria Math"/>
                </a:rPr>
                <a:t>=</a:t>
              </a:r>
              <a:r>
                <a:rPr lang="en-US" sz="800" b="0" i="0">
                  <a:latin typeface="Cambria Math" panose="02040503050406030204" pitchFamily="18" charset="0"/>
                  <a:ea typeface="Cambria Math"/>
                </a:rPr>
                <a:t>√(∑_(</a:t>
              </a:r>
              <a:r>
                <a:rPr lang="en-US" sz="800" b="0" i="0">
                  <a:latin typeface="Cambria Math"/>
                  <a:ea typeface="Cambria Math"/>
                </a:rPr>
                <a:t>𝑛=1</a:t>
              </a:r>
              <a:r>
                <a:rPr lang="en-US" sz="800" b="0" i="0">
                  <a:latin typeface="Cambria Math" panose="02040503050406030204" pitchFamily="18" charset="0"/>
                  <a:ea typeface="Cambria Math"/>
                </a:rPr>
                <a:t>)^</a:t>
              </a:r>
              <a:r>
                <a:rPr lang="en-US" sz="800" b="0" i="0">
                  <a:latin typeface="Cambria Math"/>
                  <a:ea typeface="Cambria Math"/>
                </a:rPr>
                <a:t>𝑛</a:t>
              </a:r>
              <a:r>
                <a:rPr lang="en-US" sz="1000" b="0" i="0" kern="1200">
                  <a:solidFill>
                    <a:schemeClr val="tx1"/>
                  </a:solidFill>
                  <a:effectLst/>
                  <a:latin typeface="Cambria Math" panose="02040503050406030204" pitchFamily="18" charset="0"/>
                  <a:ea typeface="+mn-ea"/>
                  <a:cs typeface="+mn-cs"/>
                </a:rPr>
                <a:t>▒𝐼_𝑛^2 </a:t>
              </a:r>
              <a:r>
                <a:rPr lang="en-US" sz="800" b="0" i="0" kern="1200">
                  <a:solidFill>
                    <a:schemeClr val="tx1"/>
                  </a:solidFill>
                  <a:effectLst/>
                  <a:latin typeface="Cambria Math" panose="02040503050406030204" pitchFamily="18" charset="0"/>
                  <a:ea typeface="Cambria Math"/>
                  <a:cs typeface="+mn-cs"/>
                </a:rPr>
                <a:t>)</a:t>
              </a:r>
              <a:endParaRPr lang="en-US" sz="800" b="0"/>
            </a:p>
          </xdr:txBody>
        </xdr:sp>
      </mc:Fallback>
    </mc:AlternateContent>
    <xdr:clientData/>
  </xdr:twoCellAnchor>
  <xdr:twoCellAnchor>
    <xdr:from>
      <xdr:col>12</xdr:col>
      <xdr:colOff>116431</xdr:colOff>
      <xdr:row>219</xdr:row>
      <xdr:rowOff>47646</xdr:rowOff>
    </xdr:from>
    <xdr:to>
      <xdr:col>40</xdr:col>
      <xdr:colOff>88416</xdr:colOff>
      <xdr:row>220</xdr:row>
      <xdr:rowOff>94632</xdr:rowOff>
    </xdr:to>
    <mc:AlternateContent xmlns:mc="http://schemas.openxmlformats.org/markup-compatibility/2006" xmlns:a14="http://schemas.microsoft.com/office/drawing/2010/main">
      <mc:Choice Requires="a14">
        <xdr:sp macro="" textlink="">
          <xdr:nvSpPr>
            <xdr:cNvPr id="41" name="TextBox 14">
              <a:extLst>
                <a:ext uri="{FF2B5EF4-FFF2-40B4-BE49-F238E27FC236}">
                  <a16:creationId xmlns:a16="http://schemas.microsoft.com/office/drawing/2014/main" id="{68431B43-4C4B-4A98-8E69-CC45FDFAB86F}"/>
                </a:ext>
              </a:extLst>
            </xdr:cNvPr>
            <xdr:cNvSpPr txBox="1"/>
          </xdr:nvSpPr>
          <xdr:spPr>
            <a:xfrm>
              <a:off x="2288131" y="50111046"/>
              <a:ext cx="5039285" cy="2755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𝑅𝐴𝑇𝐸𝐷</m:t>
                        </m:r>
                        <m:r>
                          <a:rPr lang="en-US" sz="1000" b="0" i="1">
                            <a:latin typeface="Cambria Math"/>
                          </a:rPr>
                          <m:t> </m:t>
                        </m:r>
                        <m:r>
                          <a:rPr lang="en-US" sz="1000" b="0" i="1">
                            <a:latin typeface="Cambria Math"/>
                          </a:rPr>
                          <m:t>𝐹𝑈𝑁𝐷𝐴𝑀𝐸𝑁𝑇𝐴𝐿</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num>
                      <m:den>
                        <m:r>
                          <a:rPr lang="en-US" sz="1000" b="0" i="1">
                            <a:latin typeface="Cambria Math"/>
                            <a:ea typeface="Cambria Math"/>
                          </a:rPr>
                          <m:t>1.73×</m:t>
                        </m:r>
                        <m:sSub>
                          <m:sSubPr>
                            <m:ctrlPr>
                              <a:rPr lang="en-US" sz="1100" b="0" i="1" kern="1200">
                                <a:solidFill>
                                  <a:schemeClr val="tx1"/>
                                </a:solidFill>
                                <a:effectLst/>
                                <a:latin typeface="Cambria Math" panose="02040503050406030204" pitchFamily="18" charset="0"/>
                                <a:ea typeface="+mn-ea"/>
                                <a:cs typeface="+mn-cs"/>
                              </a:rPr>
                            </m:ctrlPr>
                          </m:sSubPr>
                          <m:e>
                            <m:r>
                              <a:rPr lang="en-US" sz="1100" b="0" i="1" kern="1200">
                                <a:solidFill>
                                  <a:schemeClr val="tx1"/>
                                </a:solidFill>
                                <a:effectLst/>
                                <a:latin typeface="Cambria Math" panose="02040503050406030204" pitchFamily="18" charset="0"/>
                                <a:ea typeface="+mn-ea"/>
                                <a:cs typeface="+mn-cs"/>
                              </a:rPr>
                              <m:t>𝑘𝑉</m:t>
                            </m:r>
                          </m:e>
                          <m:sub>
                            <m:r>
                              <a:rPr lang="en-US" sz="1100" b="0" i="1" kern="1200">
                                <a:solidFill>
                                  <a:schemeClr val="tx1"/>
                                </a:solidFill>
                                <a:effectLst/>
                                <a:latin typeface="Cambria Math" panose="02040503050406030204" pitchFamily="18" charset="0"/>
                                <a:ea typeface="+mn-ea"/>
                                <a:cs typeface="+mn-cs"/>
                              </a:rPr>
                              <m:t>𝐿𝐿𝑆𝑌𝑆</m:t>
                            </m:r>
                          </m:sub>
                        </m:sSub>
                      </m:den>
                    </m:f>
                    <m:r>
                      <a:rPr lang="en-US" sz="1000" b="0" i="1">
                        <a:latin typeface="Cambria Math"/>
                        <a:ea typeface="Cambria Math"/>
                      </a:rPr>
                      <m:t>×1000=</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1.0</m:t>
                        </m:r>
                      </m:num>
                      <m:den>
                        <m:r>
                          <a:rPr lang="en-US" sz="1000" i="1">
                            <a:latin typeface="Cambria Math"/>
                            <a:ea typeface="Cambria Math"/>
                          </a:rPr>
                          <m:t>1.73×</m:t>
                        </m:r>
                        <m:r>
                          <a:rPr lang="en-US" sz="1000" b="0" i="1">
                            <a:latin typeface="Cambria Math"/>
                            <a:ea typeface="Cambria Math"/>
                          </a:rPr>
                          <m:t>13.8</m:t>
                        </m:r>
                      </m:den>
                    </m:f>
                    <m:r>
                      <a:rPr lang="en-US" sz="1000" i="1">
                        <a:latin typeface="Cambria Math"/>
                        <a:ea typeface="Cambria Math"/>
                      </a:rPr>
                      <m:t>×1000</m:t>
                    </m:r>
                    <m:r>
                      <a:rPr lang="en-US" sz="1000" b="0" i="1">
                        <a:latin typeface="Cambria Math"/>
                        <a:ea typeface="Cambria Math"/>
                      </a:rPr>
                      <m:t>=</m:t>
                    </m:r>
                    <m:r>
                      <a:rPr lang="en-US" sz="1000" b="0" i="1">
                        <a:latin typeface="Cambria Math" panose="02040503050406030204" pitchFamily="18" charset="0"/>
                        <a:ea typeface="Cambria Math"/>
                      </a:rPr>
                      <m:t>41.88</m:t>
                    </m:r>
                    <m:r>
                      <a:rPr lang="en-US" sz="1000" b="0" i="1">
                        <a:latin typeface="Cambria Math"/>
                        <a:ea typeface="Cambria Math"/>
                      </a:rPr>
                      <m:t> </m:t>
                    </m:r>
                    <m:r>
                      <a:rPr lang="en-US" sz="1000" b="0" i="1">
                        <a:latin typeface="Cambria Math"/>
                        <a:ea typeface="Cambria Math"/>
                      </a:rPr>
                      <m:t>𝑎𝑚𝑝𝑠</m:t>
                    </m:r>
                  </m:oMath>
                </m:oMathPara>
              </a14:m>
              <a:endParaRPr lang="en-US" sz="1000" b="0"/>
            </a:p>
          </xdr:txBody>
        </xdr:sp>
      </mc:Choice>
      <mc:Fallback xmlns="">
        <xdr:sp macro="" textlink="">
          <xdr:nvSpPr>
            <xdr:cNvPr id="41" name="TextBox 14">
              <a:extLst>
                <a:ext uri="{FF2B5EF4-FFF2-40B4-BE49-F238E27FC236}">
                  <a16:creationId xmlns:a16="http://schemas.microsoft.com/office/drawing/2014/main" id="{68431B43-4C4B-4A98-8E69-CC45FDFAB86F}"/>
                </a:ext>
              </a:extLst>
            </xdr:cNvPr>
            <xdr:cNvSpPr txBox="1"/>
          </xdr:nvSpPr>
          <xdr:spPr>
            <a:xfrm>
              <a:off x="2288131" y="50111046"/>
              <a:ext cx="5039285" cy="27558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a:rPr>
                <a:t>𝐼</a:t>
              </a:r>
              <a:r>
                <a:rPr lang="en-US" sz="1000" b="0" i="0">
                  <a:latin typeface="Cambria Math" panose="02040503050406030204" pitchFamily="18" charset="0"/>
                </a:rPr>
                <a:t>_(</a:t>
              </a:r>
              <a:r>
                <a:rPr lang="en-US" sz="1000" b="0" i="0">
                  <a:latin typeface="Cambria Math"/>
                </a:rPr>
                <a:t>𝑅𝐴𝑇𝐸𝐷 𝐹𝑈𝑁𝐷𝐴𝑀𝐸𝑁𝑇𝐴𝐿</a:t>
              </a:r>
              <a:r>
                <a:rPr lang="en-US" sz="1000" b="0" i="0">
                  <a:latin typeface="Cambria Math" panose="02040503050406030204" pitchFamily="18" charset="0"/>
                </a:rPr>
                <a:t>)</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1.73×</a:t>
              </a:r>
              <a:r>
                <a:rPr lang="en-US" sz="1100" b="0" i="0" kern="1200">
                  <a:solidFill>
                    <a:schemeClr val="tx1"/>
                  </a:solidFill>
                  <a:effectLst/>
                  <a:latin typeface="Cambria Math" panose="02040503050406030204" pitchFamily="18" charset="0"/>
                  <a:ea typeface="+mn-ea"/>
                  <a:cs typeface="+mn-cs"/>
                </a:rPr>
                <a:t>〖𝑘𝑉〗_𝐿𝐿𝑆𝑌𝑆 </a:t>
              </a:r>
              <a:r>
                <a:rPr lang="en-US" sz="1000" b="0" i="0" kern="1200">
                  <a:solidFill>
                    <a:schemeClr val="tx1"/>
                  </a:solidFill>
                  <a:effectLst/>
                  <a:latin typeface="Cambria Math" panose="02040503050406030204" pitchFamily="18" charset="0"/>
                  <a:ea typeface="Cambria Math"/>
                  <a:cs typeface="+mn-cs"/>
                </a:rPr>
                <a:t>)</a:t>
              </a:r>
              <a:r>
                <a:rPr lang="en-US" sz="1000" b="0" i="0">
                  <a:latin typeface="Cambria Math"/>
                  <a:ea typeface="Cambria Math"/>
                </a:rPr>
                <a:t>×1000=</a:t>
              </a:r>
              <a:r>
                <a:rPr lang="en-US" sz="1000" b="0" i="0">
                  <a:latin typeface="Cambria Math" panose="02040503050406030204" pitchFamily="18" charset="0"/>
                  <a:ea typeface="Cambria Math"/>
                </a:rPr>
                <a:t>1.0/(</a:t>
              </a:r>
              <a:r>
                <a:rPr lang="en-US" sz="1000" i="0">
                  <a:latin typeface="Cambria Math"/>
                  <a:ea typeface="Cambria Math"/>
                </a:rPr>
                <a:t>1.73×</a:t>
              </a:r>
              <a:r>
                <a:rPr lang="en-US" sz="1000" b="0" i="0">
                  <a:latin typeface="Cambria Math"/>
                  <a:ea typeface="Cambria Math"/>
                </a:rPr>
                <a:t>13.8</a:t>
              </a:r>
              <a:r>
                <a:rPr lang="en-US" sz="1000" b="0" i="0">
                  <a:latin typeface="Cambria Math" panose="02040503050406030204" pitchFamily="18" charset="0"/>
                  <a:ea typeface="Cambria Math"/>
                </a:rPr>
                <a:t>)</a:t>
              </a:r>
              <a:r>
                <a:rPr lang="en-US" sz="1000" i="0">
                  <a:latin typeface="Cambria Math"/>
                  <a:ea typeface="Cambria Math"/>
                </a:rPr>
                <a:t>×1000</a:t>
              </a:r>
              <a:r>
                <a:rPr lang="en-US" sz="1000" b="0" i="0">
                  <a:latin typeface="Cambria Math"/>
                  <a:ea typeface="Cambria Math"/>
                </a:rPr>
                <a:t>=</a:t>
              </a:r>
              <a:r>
                <a:rPr lang="en-US" sz="1000" b="0" i="0">
                  <a:latin typeface="Cambria Math" panose="02040503050406030204" pitchFamily="18" charset="0"/>
                  <a:ea typeface="Cambria Math"/>
                </a:rPr>
                <a:t>41.88</a:t>
              </a:r>
              <a:r>
                <a:rPr lang="en-US" sz="1000" b="0" i="0">
                  <a:latin typeface="Cambria Math"/>
                  <a:ea typeface="Cambria Math"/>
                </a:rPr>
                <a:t> 𝑎𝑚𝑝𝑠</a:t>
              </a:r>
              <a:endParaRPr lang="en-US" sz="1000" b="0"/>
            </a:p>
          </xdr:txBody>
        </xdr:sp>
      </mc:Fallback>
    </mc:AlternateContent>
    <xdr:clientData/>
  </xdr:twoCellAnchor>
  <xdr:twoCellAnchor>
    <xdr:from>
      <xdr:col>12</xdr:col>
      <xdr:colOff>114232</xdr:colOff>
      <xdr:row>217</xdr:row>
      <xdr:rowOff>100239</xdr:rowOff>
    </xdr:from>
    <xdr:to>
      <xdr:col>40</xdr:col>
      <xdr:colOff>116990</xdr:colOff>
      <xdr:row>219</xdr:row>
      <xdr:rowOff>61372</xdr:rowOff>
    </xdr:to>
    <mc:AlternateContent xmlns:mc="http://schemas.openxmlformats.org/markup-compatibility/2006" xmlns:a14="http://schemas.microsoft.com/office/drawing/2010/main">
      <mc:Choice Requires="a14">
        <xdr:sp macro="" textlink="">
          <xdr:nvSpPr>
            <xdr:cNvPr id="42" name="TextBox 3">
              <a:extLst>
                <a:ext uri="{FF2B5EF4-FFF2-40B4-BE49-F238E27FC236}">
                  <a16:creationId xmlns:a16="http://schemas.microsoft.com/office/drawing/2014/main" id="{C6327370-EA19-4049-A532-38515C60009A}"/>
                </a:ext>
              </a:extLst>
            </xdr:cNvPr>
            <xdr:cNvSpPr txBox="1"/>
          </xdr:nvSpPr>
          <xdr:spPr>
            <a:xfrm>
              <a:off x="2285932" y="49706439"/>
              <a:ext cx="5070058" cy="41833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den>
                        </m:f>
                        <m:r>
                          <a:rPr lang="en-US" sz="1000" b="0" i="1">
                            <a:latin typeface="Cambria Math"/>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a:rPr>
                                      <m:t>9.54</m:t>
                                    </m:r>
                                  </m:e>
                                </m:d>
                              </m:e>
                              <m:sup>
                                <m:r>
                                  <a:rPr lang="en-US" sz="1000" i="1">
                                    <a:latin typeface="Cambria Math"/>
                                  </a:rPr>
                                  <m:t>2</m:t>
                                </m:r>
                              </m:sup>
                            </m:sSup>
                          </m:num>
                          <m:den>
                            <m:r>
                              <a:rPr lang="en-US" sz="1000" b="0" i="1">
                                <a:latin typeface="Cambria Math" panose="02040503050406030204" pitchFamily="18" charset="0"/>
                              </a:rPr>
                              <m:t>199.47</m:t>
                            </m:r>
                          </m:den>
                        </m:f>
                        <m:r>
                          <a:rPr lang="en-US" sz="1000" b="0" i="1">
                            <a:latin typeface="Cambria Math"/>
                            <a:ea typeface="Cambria Math"/>
                          </a:rPr>
                          <m:t>=</m:t>
                        </m:r>
                        <m:r>
                          <a:rPr lang="en-US" sz="1000" b="0" i="1">
                            <a:latin typeface="Cambria Math" panose="02040503050406030204" pitchFamily="18" charset="0"/>
                            <a:ea typeface="Cambria Math"/>
                          </a:rPr>
                          <m:t>0.456 </m:t>
                        </m:r>
                        <m:r>
                          <a:rPr lang="en-US" sz="1000" b="0" i="1">
                            <a:latin typeface="Cambria Math" panose="02040503050406030204" pitchFamily="18" charset="0"/>
                            <a:ea typeface="Cambria Math"/>
                          </a:rPr>
                          <m:t>𝑀𝑉𝐴𝑅</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1000" b="0"/>
            </a:p>
          </xdr:txBody>
        </xdr:sp>
      </mc:Choice>
      <mc:Fallback xmlns="">
        <xdr:sp macro="" textlink="">
          <xdr:nvSpPr>
            <xdr:cNvPr id="42" name="TextBox 3">
              <a:extLst>
                <a:ext uri="{FF2B5EF4-FFF2-40B4-BE49-F238E27FC236}">
                  <a16:creationId xmlns:a16="http://schemas.microsoft.com/office/drawing/2014/main" id="{C6327370-EA19-4049-A532-38515C60009A}"/>
                </a:ext>
              </a:extLst>
            </xdr:cNvPr>
            <xdr:cNvSpPr txBox="1"/>
          </xdr:nvSpPr>
          <xdr:spPr>
            <a:xfrm>
              <a:off x="2285932" y="49706439"/>
              <a:ext cx="5070058" cy="418333"/>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a:t>
              </a:r>
              <a:r>
                <a:rPr lang="en-US" sz="1000" b="0" i="0">
                  <a:latin typeface="Cambria Math"/>
                </a:rPr>
                <a:t>9.54</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199.47</a:t>
              </a:r>
              <a:r>
                <a:rPr lang="en-US" sz="1000" b="0" i="0">
                  <a:latin typeface="Cambria Math"/>
                  <a:ea typeface="Cambria Math"/>
                </a:rPr>
                <a:t>=</a:t>
              </a:r>
              <a:r>
                <a:rPr lang="en-US" sz="1000" b="0" i="0">
                  <a:latin typeface="Cambria Math" panose="02040503050406030204" pitchFamily="18" charset="0"/>
                  <a:ea typeface="Cambria Math"/>
                </a:rPr>
                <a:t>0.456 𝑀𝑉𝐴𝑅/𝑃ℎ𝑎𝑠𝑒〗_</a:t>
              </a:r>
              <a:endParaRPr lang="en-US" sz="1000" b="0"/>
            </a:p>
          </xdr:txBody>
        </xdr:sp>
      </mc:Fallback>
    </mc:AlternateContent>
    <xdr:clientData/>
  </xdr:twoCellAnchor>
  <xdr:twoCellAnchor>
    <xdr:from>
      <xdr:col>12</xdr:col>
      <xdr:colOff>94450</xdr:colOff>
      <xdr:row>208</xdr:row>
      <xdr:rowOff>89648</xdr:rowOff>
    </xdr:from>
    <xdr:to>
      <xdr:col>40</xdr:col>
      <xdr:colOff>161685</xdr:colOff>
      <xdr:row>210</xdr:row>
      <xdr:rowOff>12429</xdr:rowOff>
    </xdr:to>
    <mc:AlternateContent xmlns:mc="http://schemas.openxmlformats.org/markup-compatibility/2006" xmlns:a14="http://schemas.microsoft.com/office/drawing/2010/main">
      <mc:Choice Requires="a14">
        <xdr:sp macro="" textlink="">
          <xdr:nvSpPr>
            <xdr:cNvPr id="43" name="TextBox 14">
              <a:extLst>
                <a:ext uri="{FF2B5EF4-FFF2-40B4-BE49-F238E27FC236}">
                  <a16:creationId xmlns:a16="http://schemas.microsoft.com/office/drawing/2014/main" id="{808F698C-3AE9-4DDB-B600-E01C057C7029}"/>
                </a:ext>
              </a:extLst>
            </xdr:cNvPr>
            <xdr:cNvSpPr txBox="1"/>
          </xdr:nvSpPr>
          <xdr:spPr>
            <a:xfrm>
              <a:off x="2266150" y="47638448"/>
              <a:ext cx="5134535" cy="37998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i="1">
                            <a:latin typeface="Cambria Math" panose="02040503050406030204" pitchFamily="18" charset="0"/>
                          </a:rPr>
                        </m:ctrlPr>
                      </m:sSubPr>
                      <m:e>
                        <m:r>
                          <a:rPr lang="en-US" sz="1000" i="1">
                            <a:latin typeface="Cambria Math"/>
                          </a:rPr>
                          <m:t>𝑄</m:t>
                        </m:r>
                      </m:e>
                      <m:sub>
                        <m:r>
                          <a:rPr lang="en-US" sz="1000" i="1">
                            <a:latin typeface="Cambria Math"/>
                          </a:rPr>
                          <m:t>𝑒𝑓𝑓</m:t>
                        </m:r>
                      </m:sub>
                    </m:sSub>
                    <m:r>
                      <a:rPr lang="en-US" sz="1000" b="0" i="1">
                        <a:latin typeface="Cambria Math"/>
                      </a:rPr>
                      <m:t>=</m:t>
                    </m:r>
                    <m:r>
                      <a:rPr lang="en-US" sz="1000" b="0" i="1">
                        <a:latin typeface="Cambria Math"/>
                      </a:rPr>
                      <m:t>𝑂𝑢𝑡𝑝𝑢𝑡</m:t>
                    </m:r>
                    <m:r>
                      <a:rPr lang="en-US" sz="1000" b="0" i="1">
                        <a:latin typeface="Cambria Math"/>
                      </a:rPr>
                      <m:t> </m:t>
                    </m:r>
                    <m:r>
                      <a:rPr lang="en-US" sz="1000" b="0" i="1">
                        <a:latin typeface="Cambria Math"/>
                      </a:rPr>
                      <m:t>𝑀𝑉𝐴𝑅</m:t>
                    </m:r>
                    <m:r>
                      <a:rPr lang="en-US" sz="1000" b="0" i="1">
                        <a:latin typeface="Cambria Math"/>
                      </a:rPr>
                      <m:t> </m:t>
                    </m:r>
                    <m:r>
                      <a:rPr lang="en-US" sz="1000" b="0" i="1">
                        <a:latin typeface="Cambria Math"/>
                      </a:rPr>
                      <m:t>𝑅𝑎𝑡𝑖𝑛𝑔</m:t>
                    </m:r>
                    <m:r>
                      <a:rPr lang="en-US" sz="1000" b="0" i="1">
                        <a:latin typeface="Cambria Math"/>
                      </a:rPr>
                      <m:t> </m:t>
                    </m:r>
                    <m:r>
                      <a:rPr lang="en-US" sz="1000" b="0" i="1">
                        <a:latin typeface="Cambria Math"/>
                      </a:rPr>
                      <m:t>𝑜𝑓</m:t>
                    </m:r>
                    <m:r>
                      <a:rPr lang="en-US" sz="1000" b="0" i="1">
                        <a:latin typeface="Cambria Math"/>
                      </a:rPr>
                      <m:t> </m:t>
                    </m:r>
                    <m:r>
                      <a:rPr lang="en-US" sz="1000" b="0" i="1">
                        <a:latin typeface="Cambria Math"/>
                      </a:rPr>
                      <m:t>𝐹𝑖𝑙𝑡𝑒𝑟</m:t>
                    </m:r>
                    <m:r>
                      <a:rPr lang="en-US" sz="1000" b="0" i="1">
                        <a:latin typeface="Cambria Math"/>
                        <a:ea typeface="Cambria Math"/>
                      </a:rPr>
                      <m:t>=</m:t>
                    </m:r>
                    <m:f>
                      <m:fPr>
                        <m:ctrlPr>
                          <a:rPr lang="en-US" sz="1000" b="0" i="1">
                            <a:latin typeface="Cambria Math" panose="02040503050406030204" pitchFamily="18" charset="0"/>
                            <a:ea typeface="Cambria Math"/>
                          </a:rPr>
                        </m:ctrlPr>
                      </m:fPr>
                      <m:num>
                        <m:r>
                          <a:rPr lang="en-US" sz="1000" i="1">
                            <a:latin typeface="Cambria Math"/>
                            <a:ea typeface="Cambria Math"/>
                          </a:rPr>
                          <m:t>𝐷𝑒𝑠𝑖𝑟𝑒𝑑</m:t>
                        </m:r>
                        <m:r>
                          <a:rPr lang="en-US" sz="1000" i="1">
                            <a:latin typeface="Cambria Math"/>
                            <a:ea typeface="Cambria Math"/>
                          </a:rPr>
                          <m:t> 3 </m:t>
                        </m:r>
                        <m:r>
                          <a:rPr lang="en-US" sz="1000" b="0" i="1">
                            <a:latin typeface="Cambria Math"/>
                            <a:ea typeface="Cambria Math"/>
                          </a:rPr>
                          <m:t>𝑃h𝑎𝑠𝑒</m:t>
                        </m:r>
                        <m:r>
                          <a:rPr lang="en-US" sz="1000" b="0" i="1">
                            <a:latin typeface="Cambria Math"/>
                            <a:ea typeface="Cambria Math"/>
                          </a:rPr>
                          <m:t> </m:t>
                        </m:r>
                        <m:r>
                          <a:rPr lang="en-US" sz="1000" i="1">
                            <a:latin typeface="Cambria Math"/>
                            <a:ea typeface="Cambria Math"/>
                          </a:rPr>
                          <m:t>𝑘𝑣𝑎𝑟</m:t>
                        </m:r>
                      </m:num>
                      <m:den>
                        <m:r>
                          <a:rPr lang="en-US" sz="1000" b="0" i="1">
                            <a:latin typeface="Cambria Math"/>
                            <a:ea typeface="Cambria Math"/>
                          </a:rPr>
                          <m:t>1000</m:t>
                        </m:r>
                      </m:den>
                    </m:f>
                    <m:r>
                      <a:rPr lang="en-US" sz="1000" b="0" i="1">
                        <a:latin typeface="Cambria Math"/>
                        <a:ea typeface="Cambria Math"/>
                      </a:rPr>
                      <m:t> =</m:t>
                    </m:r>
                    <m:r>
                      <a:rPr lang="en-US" sz="1000" b="0" i="1">
                        <a:latin typeface="Cambria Math" panose="02040503050406030204" pitchFamily="18" charset="0"/>
                        <a:ea typeface="Cambria Math"/>
                      </a:rPr>
                      <m:t>1</m:t>
                    </m:r>
                    <m:r>
                      <a:rPr lang="en-US" sz="1000" b="0" i="1">
                        <a:latin typeface="Cambria Math"/>
                        <a:ea typeface="Cambria Math"/>
                      </a:rPr>
                      <m:t>.</m:t>
                    </m:r>
                    <m:r>
                      <a:rPr lang="en-US" sz="1000" b="0" i="1">
                        <a:latin typeface="Cambria Math" panose="02040503050406030204" pitchFamily="18" charset="0"/>
                        <a:ea typeface="Cambria Math"/>
                      </a:rPr>
                      <m:t>0</m:t>
                    </m:r>
                    <m:r>
                      <a:rPr lang="en-US" sz="1000" b="0" i="1">
                        <a:latin typeface="Cambria Math"/>
                        <a:ea typeface="Cambria Math"/>
                      </a:rPr>
                      <m:t> </m:t>
                    </m:r>
                    <m:r>
                      <a:rPr lang="en-US" sz="1000" b="0" i="1">
                        <a:latin typeface="Cambria Math"/>
                        <a:ea typeface="Cambria Math"/>
                      </a:rPr>
                      <m:t>𝑀𝑉𝐴𝑅</m:t>
                    </m:r>
                  </m:oMath>
                </m:oMathPara>
              </a14:m>
              <a:endParaRPr lang="en-US" sz="1000" b="0"/>
            </a:p>
          </xdr:txBody>
        </xdr:sp>
      </mc:Choice>
      <mc:Fallback xmlns="">
        <xdr:sp macro="" textlink="">
          <xdr:nvSpPr>
            <xdr:cNvPr id="43" name="TextBox 14">
              <a:extLst>
                <a:ext uri="{FF2B5EF4-FFF2-40B4-BE49-F238E27FC236}">
                  <a16:creationId xmlns:a16="http://schemas.microsoft.com/office/drawing/2014/main" id="{808F698C-3AE9-4DDB-B600-E01C057C7029}"/>
                </a:ext>
              </a:extLst>
            </xdr:cNvPr>
            <xdr:cNvSpPr txBox="1"/>
          </xdr:nvSpPr>
          <xdr:spPr>
            <a:xfrm>
              <a:off x="2266150" y="47638448"/>
              <a:ext cx="5134535" cy="37998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i="0">
                  <a:latin typeface="Cambria Math"/>
                </a:rPr>
                <a:t>𝑄</a:t>
              </a:r>
              <a:r>
                <a:rPr lang="en-US" sz="1000" i="0">
                  <a:latin typeface="Cambria Math" panose="02040503050406030204" pitchFamily="18" charset="0"/>
                </a:rPr>
                <a:t>_</a:t>
              </a:r>
              <a:r>
                <a:rPr lang="en-US" sz="1000" i="0">
                  <a:latin typeface="Cambria Math"/>
                </a:rPr>
                <a:t>𝑒𝑓𝑓</a:t>
              </a:r>
              <a:r>
                <a:rPr lang="en-US" sz="1000" b="0" i="0">
                  <a:latin typeface="Cambria Math"/>
                </a:rPr>
                <a:t>=𝑂𝑢𝑡𝑝𝑢𝑡 𝑀𝑉𝐴𝑅 𝑅𝑎𝑡𝑖𝑛𝑔 𝑜𝑓 𝐹𝑖𝑙𝑡𝑒𝑟</a:t>
              </a:r>
              <a:r>
                <a:rPr lang="en-US" sz="1000" b="0" i="0">
                  <a:latin typeface="Cambria Math"/>
                  <a:ea typeface="Cambria Math"/>
                </a:rPr>
                <a:t>=</a:t>
              </a:r>
              <a:r>
                <a:rPr lang="en-US" sz="1000" b="0" i="0">
                  <a:latin typeface="Cambria Math" panose="02040503050406030204" pitchFamily="18" charset="0"/>
                  <a:ea typeface="Cambria Math"/>
                </a:rPr>
                <a:t>(</a:t>
              </a:r>
              <a:r>
                <a:rPr lang="en-US" sz="1000" i="0">
                  <a:latin typeface="Cambria Math"/>
                  <a:ea typeface="Cambria Math"/>
                </a:rPr>
                <a:t>𝐷𝑒𝑠𝑖𝑟𝑒𝑑 3 </a:t>
              </a:r>
              <a:r>
                <a:rPr lang="en-US" sz="1000" b="0" i="0">
                  <a:latin typeface="Cambria Math"/>
                  <a:ea typeface="Cambria Math"/>
                </a:rPr>
                <a:t>𝑃ℎ𝑎𝑠𝑒 </a:t>
              </a:r>
              <a:r>
                <a:rPr lang="en-US" sz="1000" i="0">
                  <a:latin typeface="Cambria Math"/>
                  <a:ea typeface="Cambria Math"/>
                </a:rPr>
                <a:t>𝑘𝑣𝑎𝑟</a:t>
              </a:r>
              <a:r>
                <a:rPr lang="en-US" sz="1000" b="0" i="0">
                  <a:latin typeface="Cambria Math" panose="02040503050406030204" pitchFamily="18" charset="0"/>
                  <a:ea typeface="Cambria Math"/>
                </a:rPr>
                <a:t>)/</a:t>
              </a:r>
              <a:r>
                <a:rPr lang="en-US" sz="1000" b="0" i="0">
                  <a:latin typeface="Cambria Math"/>
                  <a:ea typeface="Cambria Math"/>
                </a:rPr>
                <a:t>1000  =</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0</a:t>
              </a:r>
              <a:r>
                <a:rPr lang="en-US" sz="1000" b="0" i="0">
                  <a:latin typeface="Cambria Math"/>
                  <a:ea typeface="Cambria Math"/>
                </a:rPr>
                <a:t> 𝑀𝑉𝐴𝑅</a:t>
              </a:r>
              <a:endParaRPr lang="en-US" sz="1000" b="0"/>
            </a:p>
          </xdr:txBody>
        </xdr:sp>
      </mc:Fallback>
    </mc:AlternateContent>
    <xdr:clientData/>
  </xdr:twoCellAnchor>
  <xdr:twoCellAnchor>
    <xdr:from>
      <xdr:col>12</xdr:col>
      <xdr:colOff>99086</xdr:colOff>
      <xdr:row>209</xdr:row>
      <xdr:rowOff>220329</xdr:rowOff>
    </xdr:from>
    <xdr:to>
      <xdr:col>39</xdr:col>
      <xdr:colOff>96691</xdr:colOff>
      <xdr:row>211</xdr:row>
      <xdr:rowOff>7498</xdr:rowOff>
    </xdr:to>
    <mc:AlternateContent xmlns:mc="http://schemas.openxmlformats.org/markup-compatibility/2006" xmlns:a14="http://schemas.microsoft.com/office/drawing/2010/main">
      <mc:Choice Requires="a14">
        <xdr:sp macro="" textlink="">
          <xdr:nvSpPr>
            <xdr:cNvPr id="44" name="TextBox 25">
              <a:extLst>
                <a:ext uri="{FF2B5EF4-FFF2-40B4-BE49-F238E27FC236}">
                  <a16:creationId xmlns:a16="http://schemas.microsoft.com/office/drawing/2014/main" id="{9CBE1453-64B0-45D8-BA5F-D7160CBCDB56}"/>
                </a:ext>
              </a:extLst>
            </xdr:cNvPr>
            <xdr:cNvSpPr txBox="1"/>
          </xdr:nvSpPr>
          <xdr:spPr>
            <a:xfrm>
              <a:off x="2270786" y="47997729"/>
              <a:ext cx="4883930" cy="2443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𝑉</m:t>
                      </m:r>
                    </m:e>
                    <m:sub>
                      <m:r>
                        <a:rPr lang="en-US" sz="1000" b="0" i="1">
                          <a:latin typeface="Cambria Math"/>
                        </a:rPr>
                        <m:t>𝐿𝐿𝑆𝑌𝑆</m:t>
                      </m:r>
                    </m:sub>
                  </m:sSub>
                  <m:r>
                    <a:rPr lang="en-US" sz="1000" b="0" i="1">
                      <a:latin typeface="Cambria Math"/>
                      <a:ea typeface="Cambria Math"/>
                    </a:rPr>
                    <m:t>=</m:t>
                  </m:r>
                  <m:r>
                    <a:rPr lang="en-US" sz="1000" b="0" i="1">
                      <a:latin typeface="Cambria Math"/>
                      <a:ea typeface="Cambria Math"/>
                    </a:rPr>
                    <m:t>𝐹𝑖𝑙𝑡𝑒𝑟</m:t>
                  </m:r>
                  <m:r>
                    <a:rPr lang="en-US" sz="1000" b="0" i="1">
                      <a:latin typeface="Cambria Math"/>
                      <a:ea typeface="Cambria Math"/>
                    </a:rPr>
                    <m:t> </m:t>
                  </m:r>
                  <m:r>
                    <a:rPr lang="en-US" sz="1000" b="0" i="1">
                      <a:latin typeface="Cambria Math"/>
                      <a:ea typeface="Cambria Math"/>
                    </a:rPr>
                    <m:t>𝑁𝑜𝑚𝑖𝑛𝑎𝑙</m:t>
                  </m:r>
                  <m:r>
                    <a:rPr lang="en-US" sz="1000" b="0" i="1">
                      <a:latin typeface="Cambria Math"/>
                      <a:ea typeface="Cambria Math"/>
                    </a:rPr>
                    <m:t> </m:t>
                  </m:r>
                  <m:r>
                    <a:rPr lang="en-US" sz="1000" b="0" i="1">
                      <a:latin typeface="Cambria Math"/>
                      <a:ea typeface="Cambria Math"/>
                    </a:rPr>
                    <m:t>𝐿𝑖𝑛𝑒</m:t>
                  </m:r>
                  <m:r>
                    <a:rPr lang="en-US" sz="1000" b="0" i="1">
                      <a:latin typeface="Cambria Math" panose="02040503050406030204" pitchFamily="18" charset="0"/>
                      <a:ea typeface="Cambria Math"/>
                    </a:rPr>
                    <m:t>−</m:t>
                  </m:r>
                  <m:r>
                    <a:rPr lang="en-US" sz="1000" b="0" i="1">
                      <a:latin typeface="Cambria Math"/>
                      <a:ea typeface="Cambria Math"/>
                    </a:rPr>
                    <m:t>𝑡𝑜</m:t>
                  </m:r>
                  <m:r>
                    <a:rPr lang="en-US" sz="1000" b="0" i="1">
                      <a:latin typeface="Cambria Math" panose="02040503050406030204" pitchFamily="18" charset="0"/>
                      <a:ea typeface="Cambria Math"/>
                    </a:rPr>
                    <m:t>−</m:t>
                  </m:r>
                  <m:r>
                    <a:rPr lang="en-US" sz="1000" b="0" i="1">
                      <a:latin typeface="Cambria Math"/>
                      <a:ea typeface="Cambria Math"/>
                    </a:rPr>
                    <m:t>𝐿𝑖𝑛𝑒</m:t>
                  </m:r>
                  <m:r>
                    <a:rPr lang="en-US" sz="1000" b="0" i="1">
                      <a:latin typeface="Cambria Math"/>
                      <a:ea typeface="Cambria Math"/>
                    </a:rPr>
                    <m:t> </m:t>
                  </m:r>
                  <m:r>
                    <a:rPr lang="en-US" sz="1000" b="0" i="1">
                      <a:latin typeface="Cambria Math"/>
                      <a:ea typeface="Cambria Math"/>
                    </a:rPr>
                    <m:t>𝑉𝑜𝑙𝑡𝑎𝑔𝑒</m:t>
                  </m:r>
                  <m:r>
                    <a:rPr lang="en-US" sz="1000" b="0" i="1">
                      <a:latin typeface="Cambria Math"/>
                      <a:ea typeface="Cambria Math"/>
                    </a:rPr>
                    <m:t> </m:t>
                  </m:r>
                  <m:r>
                    <a:rPr lang="en-US" sz="1000" b="0" i="1">
                      <a:latin typeface="Cambria Math"/>
                      <a:ea typeface="Cambria Math"/>
                    </a:rPr>
                    <m:t>𝑅𝑎𝑡𝑖𝑛𝑔</m:t>
                  </m:r>
                  <m:r>
                    <a:rPr lang="en-US" sz="1000" b="0" i="1">
                      <a:latin typeface="Cambria Math"/>
                      <a:ea typeface="Cambria Math"/>
                    </a:rPr>
                    <m:t> </m:t>
                  </m:r>
                  <m:d>
                    <m:dPr>
                      <m:ctrlPr>
                        <a:rPr lang="en-US" sz="1000" b="0" i="1">
                          <a:latin typeface="Cambria Math" panose="02040503050406030204" pitchFamily="18" charset="0"/>
                          <a:ea typeface="Cambria Math"/>
                        </a:rPr>
                      </m:ctrlPr>
                    </m:dPr>
                    <m:e>
                      <m:r>
                        <a:rPr lang="en-US" sz="1000" b="0" i="1">
                          <a:latin typeface="Cambria Math"/>
                          <a:ea typeface="Cambria Math"/>
                        </a:rPr>
                        <m:t>𝐾𝑉</m:t>
                      </m:r>
                    </m:e>
                  </m:d>
                  <m:r>
                    <a:rPr lang="en-US" sz="1000" b="0" i="1">
                      <a:latin typeface="Cambria Math"/>
                      <a:ea typeface="Cambria Math"/>
                    </a:rPr>
                    <m:t>=13.8 </m:t>
                  </m:r>
                  <m:r>
                    <a:rPr lang="en-US" sz="1000" b="0" i="1">
                      <a:latin typeface="Cambria Math"/>
                      <a:ea typeface="Cambria Math"/>
                    </a:rPr>
                    <m:t>𝑘𝑉</m:t>
                  </m:r>
                </m:oMath>
              </a14:m>
              <a:endParaRPr lang="en-US" sz="1000" b="0"/>
            </a:p>
          </xdr:txBody>
        </xdr:sp>
      </mc:Choice>
      <mc:Fallback xmlns="">
        <xdr:sp macro="" textlink="">
          <xdr:nvSpPr>
            <xdr:cNvPr id="44" name="TextBox 25">
              <a:extLst>
                <a:ext uri="{FF2B5EF4-FFF2-40B4-BE49-F238E27FC236}">
                  <a16:creationId xmlns:a16="http://schemas.microsoft.com/office/drawing/2014/main" id="{9CBE1453-64B0-45D8-BA5F-D7160CBCDB56}"/>
                </a:ext>
              </a:extLst>
            </xdr:cNvPr>
            <xdr:cNvSpPr txBox="1"/>
          </xdr:nvSpPr>
          <xdr:spPr>
            <a:xfrm>
              <a:off x="2270786" y="47997729"/>
              <a:ext cx="4883930" cy="2443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r>
                <a:rPr lang="en-US" sz="1000" b="0" i="0">
                  <a:latin typeface="Cambria Math"/>
                </a:rPr>
                <a:t>𝑉</a:t>
              </a:r>
              <a:r>
                <a:rPr lang="en-US" sz="1000" b="0" i="0">
                  <a:latin typeface="Cambria Math" panose="02040503050406030204" pitchFamily="18" charset="0"/>
                </a:rPr>
                <a:t>_</a:t>
              </a:r>
              <a:r>
                <a:rPr lang="en-US" sz="1000" b="0" i="0">
                  <a:latin typeface="Cambria Math"/>
                </a:rPr>
                <a:t>𝐿𝐿𝑆𝑌𝑆</a:t>
              </a:r>
              <a:r>
                <a:rPr lang="en-US" sz="1000" b="0" i="0">
                  <a:latin typeface="Cambria Math"/>
                  <a:ea typeface="Cambria Math"/>
                </a:rPr>
                <a:t>=𝐹𝑖𝑙𝑡𝑒𝑟 𝑁𝑜𝑚𝑖𝑛𝑎𝑙 𝐿𝑖𝑛𝑒</a:t>
              </a:r>
              <a:r>
                <a:rPr lang="en-US" sz="1000" b="0" i="0">
                  <a:latin typeface="Cambria Math" panose="02040503050406030204" pitchFamily="18" charset="0"/>
                  <a:ea typeface="Cambria Math"/>
                </a:rPr>
                <a:t>−</a:t>
              </a:r>
              <a:r>
                <a:rPr lang="en-US" sz="1000" b="0" i="0">
                  <a:latin typeface="Cambria Math"/>
                  <a:ea typeface="Cambria Math"/>
                </a:rPr>
                <a:t>𝑡𝑜</a:t>
              </a:r>
              <a:r>
                <a:rPr lang="en-US" sz="1000" b="0" i="0">
                  <a:latin typeface="Cambria Math" panose="02040503050406030204" pitchFamily="18" charset="0"/>
                  <a:ea typeface="Cambria Math"/>
                </a:rPr>
                <a:t>−</a:t>
              </a:r>
              <a:r>
                <a:rPr lang="en-US" sz="1000" b="0" i="0">
                  <a:latin typeface="Cambria Math"/>
                  <a:ea typeface="Cambria Math"/>
                </a:rPr>
                <a:t>𝐿𝑖𝑛𝑒 𝑉𝑜𝑙𝑡𝑎𝑔𝑒 𝑅𝑎𝑡𝑖𝑛𝑔 </a:t>
              </a:r>
              <a:r>
                <a:rPr lang="en-US" sz="1000" b="0" i="0">
                  <a:latin typeface="Cambria Math" panose="02040503050406030204" pitchFamily="18" charset="0"/>
                  <a:ea typeface="Cambria Math"/>
                </a:rPr>
                <a:t>(</a:t>
              </a:r>
              <a:r>
                <a:rPr lang="en-US" sz="1000" b="0" i="0">
                  <a:latin typeface="Cambria Math"/>
                  <a:ea typeface="Cambria Math"/>
                </a:rPr>
                <a:t>𝐾𝑉</a:t>
              </a:r>
              <a:r>
                <a:rPr lang="en-US" sz="1000" b="0" i="0">
                  <a:latin typeface="Cambria Math" panose="02040503050406030204" pitchFamily="18" charset="0"/>
                  <a:ea typeface="Cambria Math"/>
                </a:rPr>
                <a:t>)</a:t>
              </a:r>
              <a:r>
                <a:rPr lang="en-US" sz="1000" b="0" i="0">
                  <a:latin typeface="Cambria Math"/>
                  <a:ea typeface="Cambria Math"/>
                </a:rPr>
                <a:t>=13.8 𝑘𝑉</a:t>
              </a:r>
              <a:endParaRPr lang="en-US" sz="1000" b="0"/>
            </a:p>
          </xdr:txBody>
        </xdr:sp>
      </mc:Fallback>
    </mc:AlternateContent>
    <xdr:clientData/>
  </xdr:twoCellAnchor>
  <xdr:twoCellAnchor>
    <xdr:from>
      <xdr:col>31</xdr:col>
      <xdr:colOff>176963</xdr:colOff>
      <xdr:row>212</xdr:row>
      <xdr:rowOff>110874</xdr:rowOff>
    </xdr:from>
    <xdr:to>
      <xdr:col>37</xdr:col>
      <xdr:colOff>159552</xdr:colOff>
      <xdr:row>213</xdr:row>
      <xdr:rowOff>116500</xdr:rowOff>
    </xdr:to>
    <mc:AlternateContent xmlns:mc="http://schemas.openxmlformats.org/markup-compatibility/2006" xmlns:a14="http://schemas.microsoft.com/office/drawing/2010/main">
      <mc:Choice Requires="a14">
        <xdr:sp macro="" textlink="">
          <xdr:nvSpPr>
            <xdr:cNvPr id="45" name="TextBox 19">
              <a:extLst>
                <a:ext uri="{FF2B5EF4-FFF2-40B4-BE49-F238E27FC236}">
                  <a16:creationId xmlns:a16="http://schemas.microsoft.com/office/drawing/2014/main" id="{F7432243-13FD-4D48-A327-5DC3E6DFB178}"/>
                </a:ext>
              </a:extLst>
            </xdr:cNvPr>
            <xdr:cNvSpPr txBox="1"/>
          </xdr:nvSpPr>
          <xdr:spPr>
            <a:xfrm>
              <a:off x="5787188" y="48574074"/>
              <a:ext cx="1068439" cy="23422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14:m>
                <m:oMath xmlns:m="http://schemas.openxmlformats.org/officeDocument/2006/math">
                  <m:r>
                    <a:rPr lang="en-US" sz="1000" b="0" i="1">
                      <a:solidFill>
                        <a:schemeClr val="tx1"/>
                      </a:solidFill>
                      <a:latin typeface="Cambria Math" panose="02040503050406030204" pitchFamily="18" charset="0"/>
                    </a:rPr>
                    <m:t>𝐶</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r>
                        <a:rPr lang="en-US" sz="1000" b="0" i="1">
                          <a:solidFill>
                            <a:schemeClr val="tx1"/>
                          </a:solidFill>
                          <a:latin typeface="Cambria Math" panose="02040503050406030204" pitchFamily="18" charset="0"/>
                        </a:rPr>
                        <m:t>1</m:t>
                      </m:r>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𝑋</m:t>
                          </m:r>
                        </m:e>
                        <m:sub>
                          <m:r>
                            <a:rPr lang="en-US" sz="1000" b="0" i="1">
                              <a:solidFill>
                                <a:schemeClr val="tx1"/>
                              </a:solidFill>
                              <a:latin typeface="Cambria Math" panose="02040503050406030204" pitchFamily="18" charset="0"/>
                              <a:ea typeface="Cambria Math" panose="02040503050406030204" pitchFamily="18" charset="0"/>
                            </a:rPr>
                            <m:t>𝑐</m:t>
                          </m:r>
                        </m:sub>
                      </m:sSub>
                    </m:den>
                  </m:f>
                </m:oMath>
              </a14:m>
              <a:r>
                <a:rPr lang="en-US" sz="1000">
                  <a:solidFill>
                    <a:schemeClr val="tx1"/>
                  </a:solidFill>
                </a:rPr>
                <a:t> (f)</a:t>
              </a:r>
            </a:p>
          </xdr:txBody>
        </xdr:sp>
      </mc:Choice>
      <mc:Fallback xmlns="">
        <xdr:sp macro="" textlink="">
          <xdr:nvSpPr>
            <xdr:cNvPr id="45" name="TextBox 19">
              <a:extLst>
                <a:ext uri="{FF2B5EF4-FFF2-40B4-BE49-F238E27FC236}">
                  <a16:creationId xmlns:a16="http://schemas.microsoft.com/office/drawing/2014/main" id="{F7432243-13FD-4D48-A327-5DC3E6DFB178}"/>
                </a:ext>
              </a:extLst>
            </xdr:cNvPr>
            <xdr:cNvSpPr txBox="1"/>
          </xdr:nvSpPr>
          <xdr:spPr>
            <a:xfrm>
              <a:off x="5787188" y="48574074"/>
              <a:ext cx="1068439" cy="23422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b="0" i="0">
                  <a:solidFill>
                    <a:schemeClr val="tx1"/>
                  </a:solidFill>
                  <a:latin typeface="Cambria Math" panose="02040503050406030204" pitchFamily="18" charset="0"/>
                </a:rPr>
                <a:t>𝐶</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1/(2</a:t>
              </a:r>
              <a:r>
                <a:rPr lang="en-US" sz="1000" b="0" i="0">
                  <a:solidFill>
                    <a:schemeClr val="tx1"/>
                  </a:solidFill>
                  <a:latin typeface="Cambria Math" panose="02040503050406030204" pitchFamily="18" charset="0"/>
                  <a:ea typeface="Cambria Math" panose="02040503050406030204" pitchFamily="18" charset="0"/>
                </a:rPr>
                <a:t>𝜋𝑓𝑋_𝑐 )</a:t>
              </a:r>
              <a:r>
                <a:rPr lang="en-US" sz="1000">
                  <a:solidFill>
                    <a:schemeClr val="tx1"/>
                  </a:solidFill>
                </a:rPr>
                <a:t> (f)</a:t>
              </a:r>
            </a:p>
          </xdr:txBody>
        </xdr:sp>
      </mc:Fallback>
    </mc:AlternateContent>
    <xdr:clientData/>
  </xdr:twoCellAnchor>
  <xdr:twoCellAnchor>
    <xdr:from>
      <xdr:col>21</xdr:col>
      <xdr:colOff>49807</xdr:colOff>
      <xdr:row>213</xdr:row>
      <xdr:rowOff>190785</xdr:rowOff>
    </xdr:from>
    <xdr:to>
      <xdr:col>28</xdr:col>
      <xdr:colOff>153205</xdr:colOff>
      <xdr:row>215</xdr:row>
      <xdr:rowOff>45719</xdr:rowOff>
    </xdr:to>
    <mc:AlternateContent xmlns:mc="http://schemas.openxmlformats.org/markup-compatibility/2006" xmlns:a14="http://schemas.microsoft.com/office/drawing/2010/main">
      <mc:Choice Requires="a14">
        <xdr:sp macro="" textlink="">
          <xdr:nvSpPr>
            <xdr:cNvPr id="46" name="TextBox 34">
              <a:extLst>
                <a:ext uri="{FF2B5EF4-FFF2-40B4-BE49-F238E27FC236}">
                  <a16:creationId xmlns:a16="http://schemas.microsoft.com/office/drawing/2014/main" id="{6773618E-7143-4C4B-8DA0-9C21C4AE4E8F}"/>
                </a:ext>
              </a:extLst>
            </xdr:cNvPr>
            <xdr:cNvSpPr txBox="1"/>
          </xdr:nvSpPr>
          <xdr:spPr>
            <a:xfrm>
              <a:off x="3850282" y="48882585"/>
              <a:ext cx="1370223" cy="312134"/>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sz="1000" b="0" i="1">
                        <a:solidFill>
                          <a:schemeClr val="tx1"/>
                        </a:solidFill>
                        <a:latin typeface="Cambria Math" panose="02040503050406030204" pitchFamily="18" charset="0"/>
                      </a:rPr>
                      <m:t>𝐿</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sSub>
                          <m:sSubPr>
                            <m:ctrlPr>
                              <a:rPr lang="en-US" sz="1000" i="1">
                                <a:solidFill>
                                  <a:schemeClr val="tx1"/>
                                </a:solidFill>
                                <a:latin typeface="Cambria Math" panose="02040503050406030204" pitchFamily="18" charset="0"/>
                              </a:rPr>
                            </m:ctrlPr>
                          </m:sSubPr>
                          <m:e>
                            <m:r>
                              <a:rPr lang="en-US" sz="1000" b="0" i="1">
                                <a:solidFill>
                                  <a:schemeClr val="tx1"/>
                                </a:solidFill>
                                <a:latin typeface="Cambria Math" panose="02040503050406030204" pitchFamily="18" charset="0"/>
                              </a:rPr>
                              <m:t>𝑋</m:t>
                            </m:r>
                          </m:e>
                          <m:sub>
                            <m:r>
                              <a:rPr lang="en-US" sz="1000" b="0" i="1">
                                <a:solidFill>
                                  <a:schemeClr val="tx1"/>
                                </a:solidFill>
                                <a:latin typeface="Cambria Math" panose="02040503050406030204" pitchFamily="18" charset="0"/>
                              </a:rPr>
                              <m:t>𝐿</m:t>
                            </m:r>
                          </m:sub>
                        </m:sSub>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den>
                    </m:f>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𝐻</m:t>
                    </m:r>
                    <m:r>
                      <a:rPr lang="en-US" sz="1000" b="0" i="1">
                        <a:solidFill>
                          <a:schemeClr val="tx1"/>
                        </a:solidFill>
                        <a:latin typeface="Cambria Math" panose="02040503050406030204" pitchFamily="18" charset="0"/>
                        <a:ea typeface="Cambria Math" panose="02040503050406030204" pitchFamily="18" charset="0"/>
                      </a:rPr>
                      <m:t>)</m:t>
                    </m:r>
                  </m:oMath>
                </m:oMathPara>
              </a14:m>
              <a:endParaRPr lang="en-US" sz="1000">
                <a:solidFill>
                  <a:schemeClr val="tx1"/>
                </a:solidFill>
              </a:endParaRPr>
            </a:p>
          </xdr:txBody>
        </xdr:sp>
      </mc:Choice>
      <mc:Fallback xmlns="">
        <xdr:sp macro="" textlink="">
          <xdr:nvSpPr>
            <xdr:cNvPr id="46" name="TextBox 34">
              <a:extLst>
                <a:ext uri="{FF2B5EF4-FFF2-40B4-BE49-F238E27FC236}">
                  <a16:creationId xmlns:a16="http://schemas.microsoft.com/office/drawing/2014/main" id="{6773618E-7143-4C4B-8DA0-9C21C4AE4E8F}"/>
                </a:ext>
              </a:extLst>
            </xdr:cNvPr>
            <xdr:cNvSpPr txBox="1"/>
          </xdr:nvSpPr>
          <xdr:spPr>
            <a:xfrm>
              <a:off x="3850282" y="48882585"/>
              <a:ext cx="1370223" cy="312134"/>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r>
                <a:rPr lang="en-US" sz="1000" b="0" i="0">
                  <a:solidFill>
                    <a:schemeClr val="tx1"/>
                  </a:solidFill>
                  <a:latin typeface="Cambria Math" panose="02040503050406030204" pitchFamily="18" charset="0"/>
                </a:rPr>
                <a:t>𝐿</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𝑋_𝐿/2</a:t>
              </a:r>
              <a:r>
                <a:rPr lang="en-US" sz="1000" b="0" i="0">
                  <a:solidFill>
                    <a:schemeClr val="tx1"/>
                  </a:solidFill>
                  <a:latin typeface="Cambria Math" panose="02040503050406030204" pitchFamily="18" charset="0"/>
                  <a:ea typeface="Cambria Math" panose="02040503050406030204" pitchFamily="18" charset="0"/>
                </a:rPr>
                <a:t>𝜋𝑓  (𝐻)</a:t>
              </a:r>
              <a:endParaRPr lang="en-US" sz="1000">
                <a:solidFill>
                  <a:schemeClr val="tx1"/>
                </a:solidFill>
              </a:endParaRPr>
            </a:p>
          </xdr:txBody>
        </xdr:sp>
      </mc:Fallback>
    </mc:AlternateContent>
    <xdr:clientData/>
  </xdr:twoCellAnchor>
  <xdr:twoCellAnchor>
    <xdr:from>
      <xdr:col>13</xdr:col>
      <xdr:colOff>13417</xdr:colOff>
      <xdr:row>215</xdr:row>
      <xdr:rowOff>96352</xdr:rowOff>
    </xdr:from>
    <xdr:to>
      <xdr:col>21</xdr:col>
      <xdr:colOff>115956</xdr:colOff>
      <xdr:row>216</xdr:row>
      <xdr:rowOff>27050</xdr:rowOff>
    </xdr:to>
    <mc:AlternateContent xmlns:mc="http://schemas.openxmlformats.org/markup-compatibility/2006" xmlns:a14="http://schemas.microsoft.com/office/drawing/2010/main">
      <mc:Choice Requires="a14">
        <xdr:sp macro="" textlink="">
          <xdr:nvSpPr>
            <xdr:cNvPr id="47" name="TextBox 39">
              <a:extLst>
                <a:ext uri="{FF2B5EF4-FFF2-40B4-BE49-F238E27FC236}">
                  <a16:creationId xmlns:a16="http://schemas.microsoft.com/office/drawing/2014/main" id="{1043F75A-C29C-409C-9184-BBCE09D4B2E0}"/>
                </a:ext>
              </a:extLst>
            </xdr:cNvPr>
            <xdr:cNvSpPr txBox="1"/>
          </xdr:nvSpPr>
          <xdr:spPr>
            <a:xfrm>
              <a:off x="2366092" y="49245352"/>
              <a:ext cx="1550339" cy="15929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chemeClr val="tx1"/>
                  </a:solidFill>
                </a:rPr>
                <a:t>R</a:t>
              </a:r>
              <a14:m>
                <m:oMath xmlns:m="http://schemas.openxmlformats.org/officeDocument/2006/math">
                  <m:r>
                    <a:rPr lang="en-US" sz="1000" i="1">
                      <a:solidFill>
                        <a:schemeClr val="tx1"/>
                      </a:solidFill>
                      <a:latin typeface="Cambria Math" panose="02040503050406030204" pitchFamily="18" charset="0"/>
                    </a:rPr>
                    <m:t>=</m:t>
                  </m:r>
                  <m:r>
                    <a:rPr lang="en-US" sz="1000" b="0" i="1">
                      <a:solidFill>
                        <a:schemeClr val="tx1"/>
                      </a:solidFill>
                      <a:latin typeface="Cambria Math" panose="02040503050406030204" pitchFamily="18" charset="0"/>
                    </a:rPr>
                    <m:t>𝐷𝐹</m:t>
                  </m:r>
                  <m:r>
                    <a:rPr lang="en-US" sz="1000" b="0" i="1">
                      <a:solidFill>
                        <a:schemeClr val="tx1"/>
                      </a:solidFill>
                      <a:latin typeface="Cambria Math" panose="02040503050406030204" pitchFamily="18" charset="0"/>
                      <a:ea typeface="Cambria Math" panose="02040503050406030204" pitchFamily="18" charset="0"/>
                    </a:rPr>
                    <m:t>×</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𝑥</m:t>
                      </m:r>
                    </m:e>
                    <m:sub>
                      <m:r>
                        <a:rPr lang="en-US" sz="1000" b="0" i="1">
                          <a:solidFill>
                            <a:schemeClr val="tx1"/>
                          </a:solidFill>
                          <a:latin typeface="Cambria Math" panose="02040503050406030204" pitchFamily="18" charset="0"/>
                          <a:ea typeface="Cambria Math" panose="02040503050406030204" pitchFamily="18" charset="0"/>
                        </a:rPr>
                        <m:t>𝐿</m:t>
                      </m:r>
                    </m:sub>
                  </m:sSub>
                  <m:r>
                    <a:rPr lang="en-US" sz="1000" b="0" i="1">
                      <a:solidFill>
                        <a:schemeClr val="tx1"/>
                      </a:solidFill>
                      <a:latin typeface="Cambria Math" panose="02040503050406030204" pitchFamily="18" charset="0"/>
                      <a:ea typeface="Cambria Math" panose="02040503050406030204" pitchFamily="18" charset="0"/>
                    </a:rPr>
                    <m:t>×</m:t>
                  </m:r>
                  <m:r>
                    <a:rPr lang="en-US" sz="1000" b="0" i="1">
                      <a:solidFill>
                        <a:schemeClr val="tx1"/>
                      </a:solidFill>
                      <a:latin typeface="Cambria Math" panose="02040503050406030204" pitchFamily="18" charset="0"/>
                      <a:ea typeface="Cambria Math" panose="02040503050406030204" pitchFamily="18" charset="0"/>
                    </a:rPr>
                    <m:t>h</m:t>
                  </m:r>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𝑜h𝑚𝑠</m:t>
                  </m:r>
                  <m:r>
                    <a:rPr lang="en-US" sz="1000" b="0" i="1">
                      <a:solidFill>
                        <a:schemeClr val="tx1"/>
                      </a:solidFill>
                      <a:latin typeface="Cambria Math" panose="02040503050406030204" pitchFamily="18" charset="0"/>
                      <a:ea typeface="Cambria Math" panose="02040503050406030204" pitchFamily="18" charset="0"/>
                    </a:rPr>
                    <m:t>)</m:t>
                  </m:r>
                </m:oMath>
              </a14:m>
              <a:endParaRPr lang="en-US" sz="1000">
                <a:solidFill>
                  <a:schemeClr val="tx1"/>
                </a:solidFill>
              </a:endParaRPr>
            </a:p>
          </xdr:txBody>
        </xdr:sp>
      </mc:Choice>
      <mc:Fallback xmlns="">
        <xdr:sp macro="" textlink="">
          <xdr:nvSpPr>
            <xdr:cNvPr id="47" name="TextBox 39">
              <a:extLst>
                <a:ext uri="{FF2B5EF4-FFF2-40B4-BE49-F238E27FC236}">
                  <a16:creationId xmlns:a16="http://schemas.microsoft.com/office/drawing/2014/main" id="{1043F75A-C29C-409C-9184-BBCE09D4B2E0}"/>
                </a:ext>
              </a:extLst>
            </xdr:cNvPr>
            <xdr:cNvSpPr txBox="1"/>
          </xdr:nvSpPr>
          <xdr:spPr>
            <a:xfrm>
              <a:off x="2366092" y="49245352"/>
              <a:ext cx="1550339" cy="15929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chemeClr val="tx1"/>
                  </a:solidFill>
                </a:rPr>
                <a:t>R</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𝐷𝐹</a:t>
              </a:r>
              <a:r>
                <a:rPr lang="en-US" sz="1000" b="0" i="0">
                  <a:solidFill>
                    <a:schemeClr val="tx1"/>
                  </a:solidFill>
                  <a:latin typeface="Cambria Math" panose="02040503050406030204" pitchFamily="18" charset="0"/>
                  <a:ea typeface="Cambria Math" panose="02040503050406030204" pitchFamily="18" charset="0"/>
                </a:rPr>
                <a:t>×𝑥_𝐿×ℎ (𝑜ℎ𝑚𝑠)</a:t>
              </a:r>
              <a:endParaRPr lang="en-US" sz="1000">
                <a:solidFill>
                  <a:schemeClr val="tx1"/>
                </a:solidFill>
              </a:endParaRPr>
            </a:p>
          </xdr:txBody>
        </xdr:sp>
      </mc:Fallback>
    </mc:AlternateContent>
    <xdr:clientData/>
  </xdr:twoCellAnchor>
  <xdr:twoCellAnchor>
    <xdr:from>
      <xdr:col>4</xdr:col>
      <xdr:colOff>161828</xdr:colOff>
      <xdr:row>209</xdr:row>
      <xdr:rowOff>132306</xdr:rowOff>
    </xdr:from>
    <xdr:to>
      <xdr:col>4</xdr:col>
      <xdr:colOff>161828</xdr:colOff>
      <xdr:row>220</xdr:row>
      <xdr:rowOff>150642</xdr:rowOff>
    </xdr:to>
    <xdr:cxnSp macro="">
      <xdr:nvCxnSpPr>
        <xdr:cNvPr id="48" name="Straight Arrow Connector 47">
          <a:extLst>
            <a:ext uri="{FF2B5EF4-FFF2-40B4-BE49-F238E27FC236}">
              <a16:creationId xmlns:a16="http://schemas.microsoft.com/office/drawing/2014/main" id="{317CF044-F81E-421A-80D6-5A552BD159BF}"/>
            </a:ext>
          </a:extLst>
        </xdr:cNvPr>
        <xdr:cNvCxnSpPr/>
      </xdr:nvCxnSpPr>
      <xdr:spPr>
        <a:xfrm flipV="1">
          <a:off x="885728" y="47909706"/>
          <a:ext cx="0" cy="2532936"/>
        </a:xfrm>
        <a:prstGeom prst="straightConnector1">
          <a:avLst/>
        </a:prstGeom>
        <a:ln w="19050">
          <a:solidFill>
            <a:srgbClr val="0E9ED9"/>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0</xdr:colOff>
      <xdr:row>214</xdr:row>
      <xdr:rowOff>104255</xdr:rowOff>
    </xdr:from>
    <xdr:to>
      <xdr:col>4</xdr:col>
      <xdr:colOff>161828</xdr:colOff>
      <xdr:row>215</xdr:row>
      <xdr:rowOff>187150</xdr:rowOff>
    </xdr:to>
    <xdr:sp macro="" textlink="">
      <xdr:nvSpPr>
        <xdr:cNvPr id="49" name="TextBox 47">
          <a:extLst>
            <a:ext uri="{FF2B5EF4-FFF2-40B4-BE49-F238E27FC236}">
              <a16:creationId xmlns:a16="http://schemas.microsoft.com/office/drawing/2014/main" id="{FAED9C87-0F2F-44F6-AB97-9955C93AD764}"/>
            </a:ext>
          </a:extLst>
        </xdr:cNvPr>
        <xdr:cNvSpPr txBox="1"/>
      </xdr:nvSpPr>
      <xdr:spPr>
        <a:xfrm>
          <a:off x="361950" y="49024655"/>
          <a:ext cx="523778" cy="311495"/>
        </a:xfrm>
        <a:prstGeom prst="rect">
          <a:avLst/>
        </a:prstGeom>
        <a:noFill/>
        <a:ln w="19050">
          <a:noFill/>
        </a:ln>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400" b="1"/>
            <a:t>V</a:t>
          </a:r>
          <a:r>
            <a:rPr lang="en-US" sz="1400" b="1" baseline="-25000"/>
            <a:t>LN</a:t>
          </a:r>
        </a:p>
      </xdr:txBody>
    </xdr:sp>
    <xdr:clientData/>
  </xdr:twoCellAnchor>
  <xdr:twoCellAnchor>
    <xdr:from>
      <xdr:col>8</xdr:col>
      <xdr:colOff>35309</xdr:colOff>
      <xdr:row>211</xdr:row>
      <xdr:rowOff>165375</xdr:rowOff>
    </xdr:from>
    <xdr:to>
      <xdr:col>10</xdr:col>
      <xdr:colOff>134876</xdr:colOff>
      <xdr:row>212</xdr:row>
      <xdr:rowOff>206141</xdr:rowOff>
    </xdr:to>
    <xdr:sp macro="" textlink="">
      <xdr:nvSpPr>
        <xdr:cNvPr id="50" name="TextBox 42">
          <a:extLst>
            <a:ext uri="{FF2B5EF4-FFF2-40B4-BE49-F238E27FC236}">
              <a16:creationId xmlns:a16="http://schemas.microsoft.com/office/drawing/2014/main" id="{99F8373D-4A5D-45F8-8AFC-C8F461973172}"/>
            </a:ext>
          </a:extLst>
        </xdr:cNvPr>
        <xdr:cNvSpPr txBox="1"/>
      </xdr:nvSpPr>
      <xdr:spPr>
        <a:xfrm>
          <a:off x="1483109" y="48399975"/>
          <a:ext cx="461517" cy="26936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50" b="1"/>
            <a:t>JX</a:t>
          </a:r>
          <a:r>
            <a:rPr lang="en-US" sz="1050" b="1" baseline="-25000"/>
            <a:t>L</a:t>
          </a:r>
        </a:p>
      </xdr:txBody>
    </xdr:sp>
    <xdr:clientData/>
  </xdr:twoCellAnchor>
  <xdr:twoCellAnchor>
    <xdr:from>
      <xdr:col>8</xdr:col>
      <xdr:colOff>59912</xdr:colOff>
      <xdr:row>219</xdr:row>
      <xdr:rowOff>119310</xdr:rowOff>
    </xdr:from>
    <xdr:to>
      <xdr:col>11</xdr:col>
      <xdr:colOff>64114</xdr:colOff>
      <xdr:row>220</xdr:row>
      <xdr:rowOff>176911</xdr:rowOff>
    </xdr:to>
    <xdr:sp macro="" textlink="">
      <xdr:nvSpPr>
        <xdr:cNvPr id="51" name="TextBox 43">
          <a:extLst>
            <a:ext uri="{FF2B5EF4-FFF2-40B4-BE49-F238E27FC236}">
              <a16:creationId xmlns:a16="http://schemas.microsoft.com/office/drawing/2014/main" id="{F4840832-DA62-4EA6-AB72-A2694819817A}"/>
            </a:ext>
          </a:extLst>
        </xdr:cNvPr>
        <xdr:cNvSpPr txBox="1"/>
      </xdr:nvSpPr>
      <xdr:spPr>
        <a:xfrm>
          <a:off x="1507712" y="50182710"/>
          <a:ext cx="547127" cy="286201"/>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-JX</a:t>
          </a:r>
          <a:r>
            <a:rPr lang="en-US" sz="1100" b="1" baseline="-25000"/>
            <a:t>C</a:t>
          </a:r>
        </a:p>
      </xdr:txBody>
    </xdr:sp>
    <xdr:clientData/>
  </xdr:twoCellAnchor>
  <xdr:twoCellAnchor>
    <xdr:from>
      <xdr:col>4</xdr:col>
      <xdr:colOff>161828</xdr:colOff>
      <xdr:row>211</xdr:row>
      <xdr:rowOff>93524</xdr:rowOff>
    </xdr:from>
    <xdr:to>
      <xdr:col>6</xdr:col>
      <xdr:colOff>132979</xdr:colOff>
      <xdr:row>212</xdr:row>
      <xdr:rowOff>142708</xdr:rowOff>
    </xdr:to>
    <xdr:sp macro="" textlink="">
      <xdr:nvSpPr>
        <xdr:cNvPr id="52" name="TextBox 45">
          <a:extLst>
            <a:ext uri="{FF2B5EF4-FFF2-40B4-BE49-F238E27FC236}">
              <a16:creationId xmlns:a16="http://schemas.microsoft.com/office/drawing/2014/main" id="{D08C2117-0149-4FE3-9A53-EAEA5FB82D6E}"/>
            </a:ext>
          </a:extLst>
        </xdr:cNvPr>
        <xdr:cNvSpPr txBox="1"/>
      </xdr:nvSpPr>
      <xdr:spPr>
        <a:xfrm>
          <a:off x="885728" y="48328124"/>
          <a:ext cx="333101" cy="277784"/>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R</a:t>
          </a:r>
          <a:endParaRPr lang="en-US" sz="1100" b="1" baseline="-25000"/>
        </a:p>
      </xdr:txBody>
    </xdr:sp>
    <xdr:clientData/>
  </xdr:twoCellAnchor>
  <xdr:twoCellAnchor editAs="oneCell">
    <xdr:from>
      <xdr:col>3</xdr:col>
      <xdr:colOff>4380</xdr:colOff>
      <xdr:row>208</xdr:row>
      <xdr:rowOff>0</xdr:rowOff>
    </xdr:from>
    <xdr:to>
      <xdr:col>12</xdr:col>
      <xdr:colOff>16008</xdr:colOff>
      <xdr:row>222</xdr:row>
      <xdr:rowOff>80406</xdr:rowOff>
    </xdr:to>
    <xdr:pic>
      <xdr:nvPicPr>
        <xdr:cNvPr id="53" name="Graphic 52">
          <a:extLst>
            <a:ext uri="{FF2B5EF4-FFF2-40B4-BE49-F238E27FC236}">
              <a16:creationId xmlns:a16="http://schemas.microsoft.com/office/drawing/2014/main" id="{4D7472AB-FF8A-4746-BC74-04896629582A}"/>
            </a:ext>
          </a:extLst>
        </xdr:cNvPr>
        <xdr:cNvPicPr>
          <a:picLocks noChangeAspect="1"/>
        </xdr:cNvPicPr>
      </xdr:nvPicPr>
      <xdr:blipFill>
        <a:blip xmlns:r="http://schemas.openxmlformats.org/officeDocument/2006/relationships" r:embed="rId8">
          <a:extLst>
            <a:ext uri="{96DAC541-7B7A-43D3-8B79-37D633B846F1}">
              <asvg:svgBlip xmlns:asvg="http://schemas.microsoft.com/office/drawing/2016/SVG/main" r:embed="rId9"/>
            </a:ext>
          </a:extLst>
        </a:blip>
        <a:stretch>
          <a:fillRect/>
        </a:stretch>
      </xdr:blipFill>
      <xdr:spPr>
        <a:xfrm>
          <a:off x="547305" y="47548800"/>
          <a:ext cx="1640403" cy="3280806"/>
        </a:xfrm>
        <a:prstGeom prst="rect">
          <a:avLst/>
        </a:prstGeom>
      </xdr:spPr>
    </xdr:pic>
    <xdr:clientData/>
  </xdr:twoCellAnchor>
  <xdr:oneCellAnchor>
    <xdr:from>
      <xdr:col>32</xdr:col>
      <xdr:colOff>19049</xdr:colOff>
      <xdr:row>344</xdr:row>
      <xdr:rowOff>28573</xdr:rowOff>
    </xdr:from>
    <xdr:ext cx="1638301" cy="819151"/>
    <xdr:pic>
      <xdr:nvPicPr>
        <xdr:cNvPr id="18" name="Picture 17">
          <a:extLst>
            <a:ext uri="{FF2B5EF4-FFF2-40B4-BE49-F238E27FC236}">
              <a16:creationId xmlns:a16="http://schemas.microsoft.com/office/drawing/2014/main" id="{084FE2DF-8C5E-4D39-B866-81F2005327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67465573"/>
          <a:ext cx="1638301" cy="819151"/>
        </a:xfrm>
        <a:prstGeom prst="rect">
          <a:avLst/>
        </a:prstGeom>
      </xdr:spPr>
    </xdr:pic>
    <xdr:clientData/>
  </xdr:oneCellAnchor>
  <xdr:oneCellAnchor>
    <xdr:from>
      <xdr:col>74</xdr:col>
      <xdr:colOff>19049</xdr:colOff>
      <xdr:row>344</xdr:row>
      <xdr:rowOff>38098</xdr:rowOff>
    </xdr:from>
    <xdr:ext cx="1638301" cy="819151"/>
    <xdr:pic>
      <xdr:nvPicPr>
        <xdr:cNvPr id="19" name="Picture 18">
          <a:extLst>
            <a:ext uri="{FF2B5EF4-FFF2-40B4-BE49-F238E27FC236}">
              <a16:creationId xmlns:a16="http://schemas.microsoft.com/office/drawing/2014/main" id="{E608D36B-6227-416A-9276-7D76D889061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67475098"/>
          <a:ext cx="1638301" cy="819151"/>
        </a:xfrm>
        <a:prstGeom prst="rect">
          <a:avLst/>
        </a:prstGeom>
      </xdr:spPr>
    </xdr:pic>
    <xdr:clientData/>
  </xdr:oneCellAnchor>
  <xdr:oneCellAnchor>
    <xdr:from>
      <xdr:col>32</xdr:col>
      <xdr:colOff>19049</xdr:colOff>
      <xdr:row>393</xdr:row>
      <xdr:rowOff>28573</xdr:rowOff>
    </xdr:from>
    <xdr:ext cx="1638301" cy="819151"/>
    <xdr:pic>
      <xdr:nvPicPr>
        <xdr:cNvPr id="20" name="Picture 19">
          <a:extLst>
            <a:ext uri="{FF2B5EF4-FFF2-40B4-BE49-F238E27FC236}">
              <a16:creationId xmlns:a16="http://schemas.microsoft.com/office/drawing/2014/main" id="{A8D07B30-1668-4B9E-A16E-4134F537102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76838173"/>
          <a:ext cx="1638301" cy="819151"/>
        </a:xfrm>
        <a:prstGeom prst="rect">
          <a:avLst/>
        </a:prstGeom>
      </xdr:spPr>
    </xdr:pic>
    <xdr:clientData/>
  </xdr:oneCellAnchor>
  <xdr:oneCellAnchor>
    <xdr:from>
      <xdr:col>74</xdr:col>
      <xdr:colOff>19049</xdr:colOff>
      <xdr:row>393</xdr:row>
      <xdr:rowOff>38098</xdr:rowOff>
    </xdr:from>
    <xdr:ext cx="1638301" cy="819151"/>
    <xdr:pic>
      <xdr:nvPicPr>
        <xdr:cNvPr id="21" name="Picture 20">
          <a:extLst>
            <a:ext uri="{FF2B5EF4-FFF2-40B4-BE49-F238E27FC236}">
              <a16:creationId xmlns:a16="http://schemas.microsoft.com/office/drawing/2014/main" id="{F9CB6CE6-57EE-4E94-8D95-A38F89D35A6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76847698"/>
          <a:ext cx="1638301" cy="819151"/>
        </a:xfrm>
        <a:prstGeom prst="rect">
          <a:avLst/>
        </a:prstGeom>
      </xdr:spPr>
    </xdr:pic>
    <xdr:clientData/>
  </xdr:oneCellAnchor>
  <xdr:twoCellAnchor>
    <xdr:from>
      <xdr:col>1</xdr:col>
      <xdr:colOff>180974</xdr:colOff>
      <xdr:row>348</xdr:row>
      <xdr:rowOff>185736</xdr:rowOff>
    </xdr:from>
    <xdr:to>
      <xdr:col>40</xdr:col>
      <xdr:colOff>180974</xdr:colOff>
      <xdr:row>370</xdr:row>
      <xdr:rowOff>152399</xdr:rowOff>
    </xdr:to>
    <xdr:graphicFrame macro="">
      <xdr:nvGraphicFramePr>
        <xdr:cNvPr id="23" name="Chart 22">
          <a:extLst>
            <a:ext uri="{FF2B5EF4-FFF2-40B4-BE49-F238E27FC236}">
              <a16:creationId xmlns:a16="http://schemas.microsoft.com/office/drawing/2014/main" id="{9B664E80-CEDD-049C-832B-17744078D4F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fLocksWithSheet="0" fPrintsWithSheet="0"/>
  </xdr:twoCellAnchor>
  <xdr:twoCellAnchor>
    <xdr:from>
      <xdr:col>44</xdr:col>
      <xdr:colOff>8124</xdr:colOff>
      <xdr:row>349</xdr:row>
      <xdr:rowOff>6443</xdr:rowOff>
    </xdr:from>
    <xdr:to>
      <xdr:col>83</xdr:col>
      <xdr:colOff>3362</xdr:colOff>
      <xdr:row>370</xdr:row>
      <xdr:rowOff>173131</xdr:rowOff>
    </xdr:to>
    <xdr:graphicFrame macro="">
      <xdr:nvGraphicFramePr>
        <xdr:cNvPr id="27" name="Chart 26">
          <a:extLst>
            <a:ext uri="{FF2B5EF4-FFF2-40B4-BE49-F238E27FC236}">
              <a16:creationId xmlns:a16="http://schemas.microsoft.com/office/drawing/2014/main" id="{ECB1C119-9C72-61CF-8D58-469884C272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fLocksWithSheet="0" fPrintsWithSheet="0"/>
  </xdr:twoCellAnchor>
  <xdr:twoCellAnchor>
    <xdr:from>
      <xdr:col>1</xdr:col>
      <xdr:colOff>161925</xdr:colOff>
      <xdr:row>397</xdr:row>
      <xdr:rowOff>62192</xdr:rowOff>
    </xdr:from>
    <xdr:to>
      <xdr:col>41</xdr:col>
      <xdr:colOff>28575</xdr:colOff>
      <xdr:row>415</xdr:row>
      <xdr:rowOff>142875</xdr:rowOff>
    </xdr:to>
    <xdr:sp macro="" textlink="">
      <xdr:nvSpPr>
        <xdr:cNvPr id="30" name="TextBox 29">
          <a:extLst>
            <a:ext uri="{FF2B5EF4-FFF2-40B4-BE49-F238E27FC236}">
              <a16:creationId xmlns:a16="http://schemas.microsoft.com/office/drawing/2014/main" id="{55A5B25A-23C6-F04E-215A-262242673585}"/>
            </a:ext>
          </a:extLst>
        </xdr:cNvPr>
        <xdr:cNvSpPr txBox="1"/>
      </xdr:nvSpPr>
      <xdr:spPr>
        <a:xfrm>
          <a:off x="342900" y="86968292"/>
          <a:ext cx="7105650" cy="35096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t>In an ideal current-sharing condition, the total of the individual branch current magnitudes would be equal to the current entering the filter system, resulting in a BCMF of 1.0. In practice, however, interaction between the filter branches and the source</a:t>
          </a:r>
          <a:r>
            <a:rPr lang="en-US" baseline="0"/>
            <a:t> impedance</a:t>
          </a:r>
          <a:r>
            <a:rPr lang="en-US"/>
            <a:t> can produce internal and external</a:t>
          </a:r>
          <a:r>
            <a:rPr lang="en-US" baseline="0"/>
            <a:t> </a:t>
          </a:r>
          <a:r>
            <a:rPr lang="en-US"/>
            <a:t>circulating currents, causing the sum of the individual branch currents to exceed the total harmonic current entering the filter as well</a:t>
          </a:r>
          <a:r>
            <a:rPr lang="en-US" baseline="0"/>
            <a:t> as the non-linear harmonic load current injection at the filter bus</a:t>
          </a:r>
          <a:r>
            <a:rPr lang="en-US"/>
            <a:t>.  </a:t>
          </a:r>
          <a:r>
            <a:rPr lang="en-US" sz="1400"/>
            <a:t>I</a:t>
          </a:r>
          <a:r>
            <a:rPr lang="en-US" sz="1400" baseline="-25000"/>
            <a:t>Filter Input</a:t>
          </a:r>
          <a:r>
            <a:rPr lang="en-US" sz="1200" baseline="0"/>
            <a:t>(h)</a:t>
          </a:r>
          <a:r>
            <a:rPr lang="en-US" baseline="0"/>
            <a:t> is the total current that flows at each harmonic at the incoming to the filter system and is calculated as a magnitude of the vector sum of the 5 individual filter harmonic branch currents at each harmonic (both current magnitude and angle are consided here). </a:t>
          </a:r>
          <a:br>
            <a:rPr lang="en-US" baseline="0"/>
          </a:br>
          <a:br>
            <a:rPr lang="en-US" baseline="0"/>
          </a:br>
          <a:r>
            <a:rPr lang="en-US" sz="1100">
              <a:solidFill>
                <a:schemeClr val="dk1"/>
              </a:solidFill>
              <a:effectLst/>
              <a:latin typeface="+mn-lt"/>
              <a:ea typeface="+mn-ea"/>
              <a:cs typeface="+mn-cs"/>
            </a:rPr>
            <a:t>A higher BCMF(h) indicates that the capacitors, reactors, and resistors that make up the filter branches must be rated for higher harmonic current duty, which increases component size and stress, cost, and losses. For this reason, minimizing BCMF(h) is part of </a:t>
          </a:r>
          <a:r>
            <a:rPr lang="en-US" sz="1100" baseline="0">
              <a:solidFill>
                <a:schemeClr val="dk1"/>
              </a:solidFill>
              <a:effectLst/>
              <a:latin typeface="+mn-lt"/>
              <a:ea typeface="+mn-ea"/>
              <a:cs typeface="+mn-cs"/>
            </a:rPr>
            <a:t>VarStec's </a:t>
          </a:r>
          <a:r>
            <a:rPr lang="en-US" sz="1100">
              <a:solidFill>
                <a:schemeClr val="dk1"/>
              </a:solidFill>
              <a:effectLst/>
              <a:latin typeface="+mn-lt"/>
              <a:ea typeface="+mn-ea"/>
              <a:cs typeface="+mn-cs"/>
            </a:rPr>
            <a:t>filter design process. Slight adjustments to filter tuning points, damping factors, and, where appropriate, individual stage reactive power ratings can reduce BCMF(h) values and provide better utilization of the filter components. The</a:t>
          </a:r>
          <a:r>
            <a:rPr lang="en-US" sz="1100" baseline="0">
              <a:solidFill>
                <a:schemeClr val="dk1"/>
              </a:solidFill>
              <a:effectLst/>
              <a:latin typeface="+mn-lt"/>
              <a:ea typeface="+mn-ea"/>
              <a:cs typeface="+mn-cs"/>
            </a:rPr>
            <a:t> plot below provides the BCMF(h) for the filter system model, source impedance and injected harmonics on page 14.</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p>
      </xdr:txBody>
    </xdr:sp>
    <xdr:clientData/>
  </xdr:twoCellAnchor>
  <xdr:twoCellAnchor>
    <xdr:from>
      <xdr:col>43</xdr:col>
      <xdr:colOff>114300</xdr:colOff>
      <xdr:row>374</xdr:row>
      <xdr:rowOff>47625</xdr:rowOff>
    </xdr:from>
    <xdr:to>
      <xdr:col>83</xdr:col>
      <xdr:colOff>133350</xdr:colOff>
      <xdr:row>388</xdr:row>
      <xdr:rowOff>0</xdr:rowOff>
    </xdr:to>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D26FF39F-5E7A-F9DD-B385-840D5D1607CC}"/>
                </a:ext>
              </a:extLst>
            </xdr:cNvPr>
            <xdr:cNvSpPr txBox="1"/>
          </xdr:nvSpPr>
          <xdr:spPr>
            <a:xfrm>
              <a:off x="7896225" y="82619850"/>
              <a:ext cx="7258050" cy="261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r>
                <a:rPr lang="en-US" sz="1100" b="1">
                  <a:solidFill>
                    <a:schemeClr val="dk1"/>
                  </a:solidFill>
                  <a:effectLst/>
                  <a:latin typeface="+mn-lt"/>
                  <a:ea typeface="+mn-ea"/>
                  <a:cs typeface="+mn-cs"/>
                </a:rPr>
                <a:t>The Branch Current Magnification Factor, BCMF(h)</a:t>
              </a:r>
              <a:r>
                <a:rPr lang="en-US" sz="1100">
                  <a:solidFill>
                    <a:schemeClr val="dk1"/>
                  </a:solidFill>
                  <a:effectLst/>
                  <a:latin typeface="+mn-lt"/>
                  <a:ea typeface="+mn-ea"/>
                  <a:cs typeface="+mn-cs"/>
                </a:rPr>
                <a:t>, is a performance metric developed by VarStec to evaluate and use to minimize internal harmonic current magnification within multi-branch harmonic filter systems.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VarStec uses BCMF(h) during the filter design process as a means of optimizing filter performance and component utilization. VarStec defines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BCMF(h) as the summation of the magnitudes of the individual filter branch currents divided by the total harmonic current entering the filter system at harmonic order h.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14:m>
                <m:oMathPara xmlns:m="http://schemas.openxmlformats.org/officeDocument/2006/math">
                  <m:oMathParaPr>
                    <m:jc m:val="centerGroup"/>
                  </m:oMathParaPr>
                  <m:oMath xmlns:m="http://schemas.openxmlformats.org/officeDocument/2006/math">
                    <m:r>
                      <m:rPr>
                        <m:sty m:val="p"/>
                      </m:rPr>
                      <a:rPr lang="en-US" sz="1400" b="0" i="0">
                        <a:solidFill>
                          <a:schemeClr val="dk1"/>
                        </a:solidFill>
                        <a:effectLst/>
                        <a:latin typeface="Cambria Math" panose="02040503050406030204" pitchFamily="18" charset="0"/>
                        <a:ea typeface="+mn-ea"/>
                        <a:cs typeface="+mn-cs"/>
                      </a:rPr>
                      <m:t>Branch</m:t>
                    </m:r>
                    <m:r>
                      <a:rPr lang="en-US" sz="1400" b="0" i="0">
                        <a:solidFill>
                          <a:schemeClr val="dk1"/>
                        </a:solidFill>
                        <a:effectLst/>
                        <a:latin typeface="Cambria Math" panose="02040503050406030204" pitchFamily="18" charset="0"/>
                        <a:ea typeface="+mn-ea"/>
                        <a:cs typeface="+mn-cs"/>
                      </a:rPr>
                      <m:t> </m:t>
                    </m:r>
                    <m:r>
                      <m:rPr>
                        <m:sty m:val="p"/>
                      </m:rPr>
                      <a:rPr lang="en-US" sz="1400" b="0" i="0">
                        <a:solidFill>
                          <a:schemeClr val="dk1"/>
                        </a:solidFill>
                        <a:effectLst/>
                        <a:latin typeface="Cambria Math" panose="02040503050406030204" pitchFamily="18" charset="0"/>
                        <a:ea typeface="+mn-ea"/>
                        <a:cs typeface="+mn-cs"/>
                      </a:rPr>
                      <m:t>Current</m:t>
                    </m:r>
                    <m:r>
                      <a:rPr lang="en-US" sz="1400" b="0" i="0">
                        <a:solidFill>
                          <a:schemeClr val="dk1"/>
                        </a:solidFill>
                        <a:effectLst/>
                        <a:latin typeface="Cambria Math" panose="02040503050406030204" pitchFamily="18" charset="0"/>
                        <a:ea typeface="+mn-ea"/>
                        <a:cs typeface="+mn-cs"/>
                      </a:rPr>
                      <m:t> </m:t>
                    </m:r>
                    <m:r>
                      <m:rPr>
                        <m:sty m:val="p"/>
                      </m:rPr>
                      <a:rPr lang="en-US" sz="1400" b="0" i="0">
                        <a:solidFill>
                          <a:schemeClr val="dk1"/>
                        </a:solidFill>
                        <a:effectLst/>
                        <a:latin typeface="Cambria Math" panose="02040503050406030204" pitchFamily="18" charset="0"/>
                        <a:ea typeface="+mn-ea"/>
                        <a:cs typeface="+mn-cs"/>
                      </a:rPr>
                      <m:t>Magnification</m:t>
                    </m:r>
                    <m:r>
                      <a:rPr lang="en-US" sz="1400" b="0" i="0">
                        <a:solidFill>
                          <a:schemeClr val="dk1"/>
                        </a:solidFill>
                        <a:effectLst/>
                        <a:latin typeface="Cambria Math" panose="02040503050406030204" pitchFamily="18" charset="0"/>
                        <a:ea typeface="+mn-ea"/>
                        <a:cs typeface="+mn-cs"/>
                      </a:rPr>
                      <m:t> </m:t>
                    </m:r>
                    <m:r>
                      <m:rPr>
                        <m:sty m:val="p"/>
                      </m:rPr>
                      <a:rPr lang="en-US" sz="1400" b="0" i="0">
                        <a:solidFill>
                          <a:schemeClr val="dk1"/>
                        </a:solidFill>
                        <a:effectLst/>
                        <a:latin typeface="Cambria Math" panose="02040503050406030204" pitchFamily="18" charset="0"/>
                        <a:ea typeface="+mn-ea"/>
                        <a:cs typeface="+mn-cs"/>
                      </a:rPr>
                      <m:t>Factor</m:t>
                    </m:r>
                    <m:r>
                      <a:rPr lang="en-US" sz="1400" b="0" i="1">
                        <a:solidFill>
                          <a:schemeClr val="dk1"/>
                        </a:solidFill>
                        <a:effectLst/>
                        <a:latin typeface="Cambria Math" panose="02040503050406030204" pitchFamily="18" charset="0"/>
                        <a:ea typeface="+mn-ea"/>
                        <a:cs typeface="+mn-cs"/>
                      </a:rPr>
                      <m:t> (</m:t>
                    </m:r>
                    <m:r>
                      <m:rPr>
                        <m:sty m:val="p"/>
                      </m:rPr>
                      <a:rPr lang="en-US" sz="1400" b="0" i="1">
                        <a:solidFill>
                          <a:schemeClr val="dk1"/>
                        </a:solidFill>
                        <a:effectLst/>
                        <a:latin typeface="Cambria Math" panose="02040503050406030204" pitchFamily="18" charset="0"/>
                        <a:ea typeface="+mn-ea"/>
                        <a:cs typeface="+mn-cs"/>
                      </a:rPr>
                      <m:t>h</m:t>
                    </m:r>
                    <m:r>
                      <a:rPr lang="en-US" sz="1400" b="0" i="1">
                        <a:solidFill>
                          <a:schemeClr val="dk1"/>
                        </a:solidFill>
                        <a:effectLst/>
                        <a:latin typeface="Cambria Math" panose="02040503050406030204" pitchFamily="18" charset="0"/>
                        <a:ea typeface="+mn-ea"/>
                        <a:cs typeface="+mn-cs"/>
                      </a:rPr>
                      <m:t>)=</m:t>
                    </m:r>
                    <m:r>
                      <m:rPr>
                        <m:sty m:val="p"/>
                      </m:rPr>
                      <a:rPr lang="en-US" sz="1400" b="0" i="1">
                        <a:solidFill>
                          <a:schemeClr val="dk1"/>
                        </a:solidFill>
                        <a:effectLst/>
                        <a:latin typeface="Cambria Math" panose="02040503050406030204" pitchFamily="18" charset="0"/>
                        <a:ea typeface="+mn-ea"/>
                        <a:cs typeface="+mn-cs"/>
                      </a:rPr>
                      <m:t>BCMF</m:t>
                    </m:r>
                    <m:r>
                      <a:rPr lang="en-US" sz="1400" b="0" i="1">
                        <a:solidFill>
                          <a:schemeClr val="dk1"/>
                        </a:solidFill>
                        <a:effectLst/>
                        <a:latin typeface="Cambria Math" panose="02040503050406030204" pitchFamily="18" charset="0"/>
                        <a:ea typeface="+mn-ea"/>
                        <a:cs typeface="+mn-cs"/>
                      </a:rPr>
                      <m:t>(</m:t>
                    </m:r>
                    <m:r>
                      <m:rPr>
                        <m:sty m:val="p"/>
                      </m:rPr>
                      <a:rPr lang="en-US" sz="1400" b="0" i="1">
                        <a:solidFill>
                          <a:schemeClr val="dk1"/>
                        </a:solidFill>
                        <a:effectLst/>
                        <a:latin typeface="Cambria Math" panose="02040503050406030204" pitchFamily="18" charset="0"/>
                        <a:ea typeface="+mn-ea"/>
                        <a:cs typeface="+mn-cs"/>
                      </a:rPr>
                      <m:t>h</m:t>
                    </m:r>
                    <m:r>
                      <a:rPr lang="en-US" sz="1400" b="0" i="1">
                        <a:solidFill>
                          <a:schemeClr val="dk1"/>
                        </a:solidFill>
                        <a:effectLst/>
                        <a:latin typeface="Cambria Math" panose="02040503050406030204" pitchFamily="18" charset="0"/>
                        <a:ea typeface="+mn-ea"/>
                        <a:cs typeface="+mn-cs"/>
                      </a:rPr>
                      <m:t>) =</m:t>
                    </m:r>
                    <m:f>
                      <m:fPr>
                        <m:ctrlPr>
                          <a:rPr lang="en-US" sz="1400" b="0" i="1">
                            <a:solidFill>
                              <a:schemeClr val="dk1"/>
                            </a:solidFill>
                            <a:effectLst/>
                            <a:latin typeface="Cambria Math" panose="02040503050406030204" pitchFamily="18" charset="0"/>
                            <a:ea typeface="+mn-ea"/>
                            <a:cs typeface="+mn-cs"/>
                          </a:rPr>
                        </m:ctrlPr>
                      </m:fPr>
                      <m:num>
                        <m:nary>
                          <m:naryPr>
                            <m:chr m:val="∑"/>
                            <m:ctrlPr>
                              <a:rPr lang="en-US" sz="1400" b="0" i="1">
                                <a:solidFill>
                                  <a:schemeClr val="dk1"/>
                                </a:solidFill>
                                <a:effectLst/>
                                <a:latin typeface="Cambria Math" panose="02040503050406030204" pitchFamily="18" charset="0"/>
                                <a:ea typeface="+mn-ea"/>
                                <a:cs typeface="+mn-cs"/>
                              </a:rPr>
                            </m:ctrlPr>
                          </m:naryPr>
                          <m:sub>
                            <m:r>
                              <m:rPr>
                                <m:sty m:val="p"/>
                                <m:brk m:alnAt="23"/>
                              </m:rPr>
                              <a:rPr lang="en-US" sz="1400" b="0" i="1">
                                <a:solidFill>
                                  <a:schemeClr val="dk1"/>
                                </a:solidFill>
                                <a:effectLst/>
                                <a:latin typeface="Cambria Math" panose="02040503050406030204" pitchFamily="18" charset="0"/>
                                <a:ea typeface="+mn-ea"/>
                                <a:cs typeface="+mn-cs"/>
                              </a:rPr>
                              <m:t>k</m:t>
                            </m:r>
                            <m:r>
                              <a:rPr lang="en-US" sz="1400" b="0" i="1">
                                <a:solidFill>
                                  <a:schemeClr val="dk1"/>
                                </a:solidFill>
                                <a:effectLst/>
                                <a:latin typeface="Cambria Math" panose="02040503050406030204" pitchFamily="18" charset="0"/>
                                <a:ea typeface="+mn-ea"/>
                                <a:cs typeface="+mn-cs"/>
                              </a:rPr>
                              <m:t>=</m:t>
                            </m:r>
                            <m:r>
                              <m:rPr>
                                <m:brk m:alnAt="23"/>
                              </m:rPr>
                              <a:rPr lang="en-US" sz="1400" b="0" i="1">
                                <a:solidFill>
                                  <a:schemeClr val="dk1"/>
                                </a:solidFill>
                                <a:effectLst/>
                                <a:latin typeface="Cambria Math" panose="02040503050406030204" pitchFamily="18" charset="0"/>
                                <a:ea typeface="+mn-ea"/>
                                <a:cs typeface="+mn-cs"/>
                              </a:rPr>
                              <m:t>1</m:t>
                            </m:r>
                          </m:sub>
                          <m:sup>
                            <m:r>
                              <m:rPr>
                                <m:sty m:val="p"/>
                              </m:rPr>
                              <a:rPr lang="en-US" sz="1400" b="0" i="1">
                                <a:solidFill>
                                  <a:schemeClr val="dk1"/>
                                </a:solidFill>
                                <a:effectLst/>
                                <a:latin typeface="Cambria Math" panose="02040503050406030204" pitchFamily="18" charset="0"/>
                                <a:ea typeface="+mn-ea"/>
                                <a:cs typeface="+mn-cs"/>
                              </a:rPr>
                              <m:t>k</m:t>
                            </m:r>
                            <m:r>
                              <a:rPr lang="en-US" sz="1400" b="0" i="1">
                                <a:solidFill>
                                  <a:schemeClr val="dk1"/>
                                </a:solidFill>
                                <a:effectLst/>
                                <a:latin typeface="Cambria Math" panose="02040503050406030204" pitchFamily="18" charset="0"/>
                                <a:ea typeface="+mn-ea"/>
                                <a:cs typeface="+mn-cs"/>
                              </a:rPr>
                              <m:t>=5</m:t>
                            </m:r>
                          </m:sup>
                          <m:e>
                            <m:sSub>
                              <m:sSubPr>
                                <m:ctrlPr>
                                  <a:rPr lang="en-US" sz="1400" b="0" i="1">
                                    <a:solidFill>
                                      <a:schemeClr val="dk1"/>
                                    </a:solidFill>
                                    <a:effectLst/>
                                    <a:latin typeface="Cambria Math" panose="02040503050406030204" pitchFamily="18" charset="0"/>
                                    <a:ea typeface="+mn-ea"/>
                                    <a:cs typeface="+mn-cs"/>
                                  </a:rPr>
                                </m:ctrlPr>
                              </m:sSubPr>
                              <m:e>
                                <m:r>
                                  <m:rPr>
                                    <m:sty m:val="p"/>
                                  </m:rPr>
                                  <a:rPr lang="en-US" sz="1400" b="0" i="1">
                                    <a:solidFill>
                                      <a:schemeClr val="dk1"/>
                                    </a:solidFill>
                                    <a:effectLst/>
                                    <a:latin typeface="Cambria Math" panose="02040503050406030204" pitchFamily="18" charset="0"/>
                                    <a:ea typeface="+mn-ea"/>
                                    <a:cs typeface="+mn-cs"/>
                                  </a:rPr>
                                  <m:t>I</m:t>
                                </m:r>
                              </m:e>
                              <m:sub>
                                <m:r>
                                  <m:rPr>
                                    <m:sty m:val="p"/>
                                  </m:rPr>
                                  <a:rPr lang="en-US" sz="1400" b="0" i="1">
                                    <a:solidFill>
                                      <a:schemeClr val="dk1"/>
                                    </a:solidFill>
                                    <a:effectLst/>
                                    <a:latin typeface="Cambria Math" panose="02040503050406030204" pitchFamily="18" charset="0"/>
                                    <a:ea typeface="+mn-ea"/>
                                    <a:cs typeface="+mn-cs"/>
                                  </a:rPr>
                                  <m:t>Branch</m:t>
                                </m:r>
                                <m:r>
                                  <a:rPr lang="en-US" sz="1400" b="0" i="1">
                                    <a:solidFill>
                                      <a:schemeClr val="dk1"/>
                                    </a:solidFill>
                                    <a:effectLst/>
                                    <a:latin typeface="Cambria Math" panose="02040503050406030204" pitchFamily="18" charset="0"/>
                                    <a:ea typeface="+mn-ea"/>
                                    <a:cs typeface="+mn-cs"/>
                                  </a:rPr>
                                  <m:t>,</m:t>
                                </m:r>
                                <m:r>
                                  <m:rPr>
                                    <m:sty m:val="p"/>
                                  </m:rPr>
                                  <a:rPr lang="en-US" sz="1400" b="0" i="1">
                                    <a:solidFill>
                                      <a:schemeClr val="dk1"/>
                                    </a:solidFill>
                                    <a:effectLst/>
                                    <a:latin typeface="Cambria Math" panose="02040503050406030204" pitchFamily="18" charset="0"/>
                                    <a:ea typeface="+mn-ea"/>
                                    <a:cs typeface="+mn-cs"/>
                                  </a:rPr>
                                  <m:t>k</m:t>
                                </m:r>
                              </m:sub>
                            </m:sSub>
                            <m:r>
                              <a:rPr lang="en-US" sz="1400" b="0" i="1">
                                <a:solidFill>
                                  <a:schemeClr val="dk1"/>
                                </a:solidFill>
                                <a:effectLst/>
                                <a:latin typeface="Cambria Math" panose="02040503050406030204" pitchFamily="18" charset="0"/>
                                <a:ea typeface="+mn-ea"/>
                                <a:cs typeface="+mn-cs"/>
                              </a:rPr>
                              <m:t>(</m:t>
                            </m:r>
                            <m:r>
                              <m:rPr>
                                <m:sty m:val="p"/>
                              </m:rPr>
                              <a:rPr lang="en-US" sz="1400" b="0" i="1">
                                <a:solidFill>
                                  <a:schemeClr val="dk1"/>
                                </a:solidFill>
                                <a:effectLst/>
                                <a:latin typeface="Cambria Math" panose="02040503050406030204" pitchFamily="18" charset="0"/>
                                <a:ea typeface="+mn-ea"/>
                                <a:cs typeface="+mn-cs"/>
                              </a:rPr>
                              <m:t>h</m:t>
                            </m:r>
                            <m:r>
                              <a:rPr lang="en-US" sz="1400" b="0" i="1">
                                <a:solidFill>
                                  <a:schemeClr val="dk1"/>
                                </a:solidFill>
                                <a:effectLst/>
                                <a:latin typeface="Cambria Math" panose="02040503050406030204" pitchFamily="18" charset="0"/>
                                <a:ea typeface="+mn-ea"/>
                                <a:cs typeface="+mn-cs"/>
                              </a:rPr>
                              <m:t>)</m:t>
                            </m:r>
                          </m:e>
                        </m:nary>
                      </m:num>
                      <m:den>
                        <m:sSub>
                          <m:sSubPr>
                            <m:ctrlPr>
                              <a:rPr lang="en-US" sz="1400" b="0" i="1">
                                <a:solidFill>
                                  <a:schemeClr val="dk1"/>
                                </a:solidFill>
                                <a:effectLst/>
                                <a:latin typeface="Cambria Math" panose="02040503050406030204" pitchFamily="18" charset="0"/>
                                <a:ea typeface="+mn-ea"/>
                                <a:cs typeface="+mn-cs"/>
                              </a:rPr>
                            </m:ctrlPr>
                          </m:sSubPr>
                          <m:e>
                            <m:r>
                              <m:rPr>
                                <m:sty m:val="p"/>
                              </m:rPr>
                              <a:rPr lang="en-US" sz="1400" b="0" i="1">
                                <a:solidFill>
                                  <a:schemeClr val="dk1"/>
                                </a:solidFill>
                                <a:effectLst/>
                                <a:latin typeface="Cambria Math" panose="02040503050406030204" pitchFamily="18" charset="0"/>
                                <a:ea typeface="+mn-ea"/>
                                <a:cs typeface="+mn-cs"/>
                              </a:rPr>
                              <m:t>I</m:t>
                            </m:r>
                          </m:e>
                          <m:sub>
                            <m:r>
                              <m:rPr>
                                <m:sty m:val="p"/>
                              </m:rPr>
                              <a:rPr lang="en-US" sz="1400" b="0" i="1">
                                <a:solidFill>
                                  <a:schemeClr val="dk1"/>
                                </a:solidFill>
                                <a:effectLst/>
                                <a:latin typeface="Cambria Math" panose="02040503050406030204" pitchFamily="18" charset="0"/>
                                <a:ea typeface="+mn-ea"/>
                                <a:cs typeface="+mn-cs"/>
                              </a:rPr>
                              <m:t>Filter</m:t>
                            </m:r>
                            <m:r>
                              <a:rPr lang="en-US" sz="1400" b="0" i="1">
                                <a:solidFill>
                                  <a:schemeClr val="dk1"/>
                                </a:solidFill>
                                <a:effectLst/>
                                <a:latin typeface="Cambria Math" panose="02040503050406030204" pitchFamily="18" charset="0"/>
                                <a:ea typeface="+mn-ea"/>
                                <a:cs typeface="+mn-cs"/>
                              </a:rPr>
                              <m:t> </m:t>
                            </m:r>
                            <m:r>
                              <m:rPr>
                                <m:sty m:val="p"/>
                              </m:rPr>
                              <a:rPr lang="en-US" sz="1400" b="0" i="1">
                                <a:solidFill>
                                  <a:schemeClr val="dk1"/>
                                </a:solidFill>
                                <a:effectLst/>
                                <a:latin typeface="Cambria Math" panose="02040503050406030204" pitchFamily="18" charset="0"/>
                                <a:ea typeface="+mn-ea"/>
                                <a:cs typeface="+mn-cs"/>
                              </a:rPr>
                              <m:t>Input</m:t>
                            </m:r>
                          </m:sub>
                        </m:sSub>
                        <m:r>
                          <a:rPr lang="en-US" sz="1400" b="0" i="1">
                            <a:solidFill>
                              <a:schemeClr val="dk1"/>
                            </a:solidFill>
                            <a:effectLst/>
                            <a:latin typeface="Cambria Math" panose="02040503050406030204" pitchFamily="18" charset="0"/>
                            <a:ea typeface="+mn-ea"/>
                            <a:cs typeface="+mn-cs"/>
                          </a:rPr>
                          <m:t>(</m:t>
                        </m:r>
                        <m:r>
                          <m:rPr>
                            <m:sty m:val="p"/>
                          </m:rPr>
                          <a:rPr lang="en-US" sz="1400" b="0" i="1">
                            <a:solidFill>
                              <a:schemeClr val="dk1"/>
                            </a:solidFill>
                            <a:effectLst/>
                            <a:latin typeface="Cambria Math" panose="02040503050406030204" pitchFamily="18" charset="0"/>
                            <a:ea typeface="+mn-ea"/>
                            <a:cs typeface="+mn-cs"/>
                          </a:rPr>
                          <m:t>h</m:t>
                        </m:r>
                        <m:r>
                          <a:rPr lang="en-US" sz="1400" b="0" i="1">
                            <a:solidFill>
                              <a:schemeClr val="dk1"/>
                            </a:solidFill>
                            <a:effectLst/>
                            <a:latin typeface="Cambria Math" panose="02040503050406030204" pitchFamily="18" charset="0"/>
                            <a:ea typeface="+mn-ea"/>
                            <a:cs typeface="+mn-cs"/>
                          </a:rPr>
                          <m:t>)</m:t>
                        </m:r>
                      </m:den>
                    </m:f>
                    <m:r>
                      <a:rPr lang="en-US" sz="1400" b="0" i="1">
                        <a:solidFill>
                          <a:schemeClr val="dk1"/>
                        </a:solidFill>
                        <a:effectLst/>
                        <a:latin typeface="Cambria Math" panose="02040503050406030204" pitchFamily="18" charset="0"/>
                        <a:ea typeface="+mn-ea"/>
                        <a:cs typeface="+mn-cs"/>
                      </a:rPr>
                      <m:t> </m:t>
                    </m:r>
                  </m:oMath>
                </m:oMathPara>
              </a14:m>
              <a:br>
                <a:rPr lang="en-US" sz="1400">
                  <a:solidFill>
                    <a:schemeClr val="dk1"/>
                  </a:solidFill>
                  <a:effectLst/>
                  <a:latin typeface="+mn-lt"/>
                  <a:ea typeface="+mn-ea"/>
                  <a:cs typeface="+mn-cs"/>
                </a:rPr>
              </a:br>
              <a:br>
                <a:rPr lang="en-US" sz="1100">
                  <a:solidFill>
                    <a:schemeClr val="dk1"/>
                  </a:solidFill>
                  <a:effectLst/>
                  <a:latin typeface="+mn-lt"/>
                  <a:ea typeface="+mn-ea"/>
                  <a:cs typeface="+mn-cs"/>
                </a:rPr>
              </a:br>
              <a:endParaRPr lang="en-US" sz="1100"/>
            </a:p>
          </xdr:txBody>
        </xdr:sp>
      </mc:Choice>
      <mc:Fallback xmlns="">
        <xdr:sp macro="" textlink="">
          <xdr:nvSpPr>
            <xdr:cNvPr id="17" name="TextBox 16">
              <a:extLst>
                <a:ext uri="{FF2B5EF4-FFF2-40B4-BE49-F238E27FC236}">
                  <a16:creationId xmlns:a16="http://schemas.microsoft.com/office/drawing/2014/main" id="{D26FF39F-5E7A-F9DD-B385-840D5D1607CC}"/>
                </a:ext>
              </a:extLst>
            </xdr:cNvPr>
            <xdr:cNvSpPr txBox="1"/>
          </xdr:nvSpPr>
          <xdr:spPr>
            <a:xfrm>
              <a:off x="7896225" y="82619850"/>
              <a:ext cx="7258050" cy="2619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r>
                <a:rPr lang="en-US" sz="1100" b="1">
                  <a:solidFill>
                    <a:schemeClr val="dk1"/>
                  </a:solidFill>
                  <a:effectLst/>
                  <a:latin typeface="+mn-lt"/>
                  <a:ea typeface="+mn-ea"/>
                  <a:cs typeface="+mn-cs"/>
                </a:rPr>
                <a:t>The Branch Current Magnification Factor, BCMF(h)</a:t>
              </a:r>
              <a:r>
                <a:rPr lang="en-US" sz="1100">
                  <a:solidFill>
                    <a:schemeClr val="dk1"/>
                  </a:solidFill>
                  <a:effectLst/>
                  <a:latin typeface="+mn-lt"/>
                  <a:ea typeface="+mn-ea"/>
                  <a:cs typeface="+mn-cs"/>
                </a:rPr>
                <a:t>, is a performance metric developed by VarStec to evaluate and use to minimize internal harmonic current magnification within multi-branch harmonic filter systems.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VarStec uses BCMF(h) during the filter design process as a means of optimizing filter performance and component utilization. VarStec defines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BCMF(h) as the summation of the magnitudes of the individual filter branch currents divided by the total harmonic current entering the filter system at harmonic order h.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400" b="0" i="0">
                  <a:solidFill>
                    <a:schemeClr val="dk1"/>
                  </a:solidFill>
                  <a:effectLst/>
                  <a:latin typeface="Cambria Math" panose="02040503050406030204" pitchFamily="18" charset="0"/>
                  <a:ea typeface="+mn-ea"/>
                  <a:cs typeface="+mn-cs"/>
                </a:rPr>
                <a:t>Branch Current Magnification Factor (h)=BCMF(h) =(∑_(k=1)^(k=5)▒〖I_(Branch,k) (h)〗)/(I_(Filter Input) (h))  </a:t>
              </a:r>
              <a:br>
                <a:rPr lang="en-US" sz="1400">
                  <a:solidFill>
                    <a:schemeClr val="dk1"/>
                  </a:solidFill>
                  <a:effectLst/>
                  <a:latin typeface="+mn-lt"/>
                  <a:ea typeface="+mn-ea"/>
                  <a:cs typeface="+mn-cs"/>
                </a:rPr>
              </a:br>
              <a:br>
                <a:rPr lang="en-US" sz="1100">
                  <a:solidFill>
                    <a:schemeClr val="dk1"/>
                  </a:solidFill>
                  <a:effectLst/>
                  <a:latin typeface="+mn-lt"/>
                  <a:ea typeface="+mn-ea"/>
                  <a:cs typeface="+mn-cs"/>
                </a:rPr>
              </a:br>
              <a:endParaRPr lang="en-US" sz="1100"/>
            </a:p>
          </xdr:txBody>
        </xdr:sp>
      </mc:Fallback>
    </mc:AlternateContent>
    <xdr:clientData/>
  </xdr:twoCellAnchor>
  <xdr:twoCellAnchor>
    <xdr:from>
      <xdr:col>2</xdr:col>
      <xdr:colOff>9524</xdr:colOff>
      <xdr:row>412</xdr:row>
      <xdr:rowOff>4761</xdr:rowOff>
    </xdr:from>
    <xdr:to>
      <xdr:col>41</xdr:col>
      <xdr:colOff>9524</xdr:colOff>
      <xdr:row>433</xdr:row>
      <xdr:rowOff>161925</xdr:rowOff>
    </xdr:to>
    <xdr:graphicFrame macro="">
      <xdr:nvGraphicFramePr>
        <xdr:cNvPr id="22" name="Chart 21">
          <a:extLst>
            <a:ext uri="{FF2B5EF4-FFF2-40B4-BE49-F238E27FC236}">
              <a16:creationId xmlns:a16="http://schemas.microsoft.com/office/drawing/2014/main" id="{F4BC9EE2-9CF7-265D-1FB5-E7C440BC3D2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fLocksWithSheet="0" fPrintsWithSheet="0"/>
  </xdr:twoCellAnchor>
  <xdr:twoCellAnchor>
    <xdr:from>
      <xdr:col>43</xdr:col>
      <xdr:colOff>171450</xdr:colOff>
      <xdr:row>400</xdr:row>
      <xdr:rowOff>85725</xdr:rowOff>
    </xdr:from>
    <xdr:to>
      <xdr:col>83</xdr:col>
      <xdr:colOff>9525</xdr:colOff>
      <xdr:row>410</xdr:row>
      <xdr:rowOff>9525</xdr:rowOff>
    </xdr:to>
    <mc:AlternateContent xmlns:mc="http://schemas.openxmlformats.org/markup-compatibility/2006" xmlns:a14="http://schemas.microsoft.com/office/drawing/2010/main">
      <mc:Choice Requires="a14">
        <xdr:sp macro="" textlink="">
          <xdr:nvSpPr>
            <xdr:cNvPr id="24" name="TextBox 23">
              <a:extLst>
                <a:ext uri="{FF2B5EF4-FFF2-40B4-BE49-F238E27FC236}">
                  <a16:creationId xmlns:a16="http://schemas.microsoft.com/office/drawing/2014/main" id="{A0753E72-6263-2E57-E858-C1CDC9CE8D82}"/>
                </a:ext>
              </a:extLst>
            </xdr:cNvPr>
            <xdr:cNvSpPr txBox="1"/>
          </xdr:nvSpPr>
          <xdr:spPr>
            <a:xfrm>
              <a:off x="7953375" y="87610950"/>
              <a:ext cx="7077075" cy="1828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r>
                <a:rPr lang="en-US"/>
                <a:t>The Cumulative Branch Current Magnification Index, CBCMI, is another VarStec design parameter used to provide a single-number indication of the total excess internal branch current magnification within a multi-branch harmonic filter system. While BCMF(h) evaluates the Branch Current Magnification Factor at each individual harmonic order, CBCMI sums the excess portion of BCMF(h) above 1.0 over the selected harmonic range. CBCMI is calculated as:</a:t>
              </a:r>
              <a:br>
                <a:rPr lang="en-US"/>
              </a:br>
              <a:br>
                <a:rPr lang="en-US"/>
              </a:br>
              <a14:m>
                <m:oMathPara xmlns:m="http://schemas.openxmlformats.org/officeDocument/2006/math">
                  <m:oMathParaPr>
                    <m:jc m:val="centerGroup"/>
                  </m:oMathParaPr>
                  <m:oMath xmlns:m="http://schemas.openxmlformats.org/officeDocument/2006/math">
                    <m:r>
                      <m:rPr>
                        <m:sty m:val="p"/>
                      </m:rPr>
                      <a:rPr lang="en-US" sz="1200" b="0" i="0">
                        <a:solidFill>
                          <a:schemeClr val="dk1"/>
                        </a:solidFill>
                        <a:effectLst/>
                        <a:latin typeface="Cambria Math" panose="02040503050406030204" pitchFamily="18" charset="0"/>
                        <a:ea typeface="+mn-ea"/>
                        <a:cs typeface="+mn-cs"/>
                      </a:rPr>
                      <m:t>Cumulative</m:t>
                    </m:r>
                    <m:r>
                      <a:rPr lang="en-US" sz="1200" b="0" i="0">
                        <a:solidFill>
                          <a:schemeClr val="dk1"/>
                        </a:solidFill>
                        <a:effectLst/>
                        <a:latin typeface="Cambria Math" panose="02040503050406030204" pitchFamily="18" charset="0"/>
                        <a:ea typeface="+mn-ea"/>
                        <a:cs typeface="+mn-cs"/>
                      </a:rPr>
                      <m:t> </m:t>
                    </m:r>
                    <m:r>
                      <m:rPr>
                        <m:sty m:val="p"/>
                      </m:rPr>
                      <a:rPr lang="en-US" sz="1200" b="0" i="0">
                        <a:solidFill>
                          <a:schemeClr val="dk1"/>
                        </a:solidFill>
                        <a:effectLst/>
                        <a:latin typeface="Cambria Math" panose="02040503050406030204" pitchFamily="18" charset="0"/>
                        <a:ea typeface="+mn-ea"/>
                        <a:cs typeface="+mn-cs"/>
                      </a:rPr>
                      <m:t>Branch</m:t>
                    </m:r>
                    <m:r>
                      <a:rPr lang="en-US" sz="1200" b="0" i="0">
                        <a:solidFill>
                          <a:schemeClr val="dk1"/>
                        </a:solidFill>
                        <a:effectLst/>
                        <a:latin typeface="Cambria Math" panose="02040503050406030204" pitchFamily="18" charset="0"/>
                        <a:ea typeface="+mn-ea"/>
                        <a:cs typeface="+mn-cs"/>
                      </a:rPr>
                      <m:t> </m:t>
                    </m:r>
                    <m:r>
                      <m:rPr>
                        <m:sty m:val="p"/>
                      </m:rPr>
                      <a:rPr lang="en-US" sz="1200" b="0" i="0">
                        <a:solidFill>
                          <a:schemeClr val="dk1"/>
                        </a:solidFill>
                        <a:effectLst/>
                        <a:latin typeface="Cambria Math" panose="02040503050406030204" pitchFamily="18" charset="0"/>
                        <a:ea typeface="+mn-ea"/>
                        <a:cs typeface="+mn-cs"/>
                      </a:rPr>
                      <m:t>Current</m:t>
                    </m:r>
                    <m:r>
                      <a:rPr lang="en-US" sz="1200" b="0" i="0">
                        <a:solidFill>
                          <a:schemeClr val="dk1"/>
                        </a:solidFill>
                        <a:effectLst/>
                        <a:latin typeface="Cambria Math" panose="02040503050406030204" pitchFamily="18" charset="0"/>
                        <a:ea typeface="+mn-ea"/>
                        <a:cs typeface="+mn-cs"/>
                      </a:rPr>
                      <m:t> </m:t>
                    </m:r>
                    <m:r>
                      <m:rPr>
                        <m:sty m:val="p"/>
                      </m:rPr>
                      <a:rPr lang="en-US" sz="1200" b="0" i="0">
                        <a:solidFill>
                          <a:schemeClr val="dk1"/>
                        </a:solidFill>
                        <a:effectLst/>
                        <a:latin typeface="Cambria Math" panose="02040503050406030204" pitchFamily="18" charset="0"/>
                        <a:ea typeface="+mn-ea"/>
                        <a:cs typeface="+mn-cs"/>
                      </a:rPr>
                      <m:t>Magnification</m:t>
                    </m:r>
                    <m:r>
                      <a:rPr lang="en-US" sz="1200" b="0" i="0">
                        <a:solidFill>
                          <a:schemeClr val="dk1"/>
                        </a:solidFill>
                        <a:effectLst/>
                        <a:latin typeface="Cambria Math" panose="02040503050406030204" pitchFamily="18" charset="0"/>
                        <a:ea typeface="+mn-ea"/>
                        <a:cs typeface="+mn-cs"/>
                      </a:rPr>
                      <m:t> </m:t>
                    </m:r>
                    <m:r>
                      <m:rPr>
                        <m:sty m:val="p"/>
                      </m:rPr>
                      <a:rPr lang="en-US" sz="1200" b="0" i="0">
                        <a:solidFill>
                          <a:schemeClr val="dk1"/>
                        </a:solidFill>
                        <a:effectLst/>
                        <a:latin typeface="Cambria Math" panose="02040503050406030204" pitchFamily="18" charset="0"/>
                        <a:ea typeface="+mn-ea"/>
                        <a:cs typeface="+mn-cs"/>
                      </a:rPr>
                      <m:t>Index</m:t>
                    </m:r>
                    <m:r>
                      <a:rPr lang="en-US" sz="1200" b="0" i="0">
                        <a:solidFill>
                          <a:schemeClr val="dk1"/>
                        </a:solidFill>
                        <a:effectLst/>
                        <a:latin typeface="Cambria Math" panose="02040503050406030204" pitchFamily="18" charset="0"/>
                        <a:ea typeface="+mn-ea"/>
                        <a:cs typeface="+mn-cs"/>
                      </a:rPr>
                      <m:t> (%) = </m:t>
                    </m:r>
                    <m:r>
                      <m:rPr>
                        <m:sty m:val="p"/>
                      </m:rPr>
                      <a:rPr lang="en-US" sz="1200" b="0" i="0">
                        <a:solidFill>
                          <a:schemeClr val="dk1"/>
                        </a:solidFill>
                        <a:effectLst/>
                        <a:latin typeface="Cambria Math" panose="02040503050406030204" pitchFamily="18" charset="0"/>
                        <a:ea typeface="+mn-ea"/>
                        <a:cs typeface="+mn-cs"/>
                      </a:rPr>
                      <m:t>CBCMI</m:t>
                    </m:r>
                    <m:r>
                      <a:rPr lang="en-US" sz="1200" b="0" i="0">
                        <a:solidFill>
                          <a:schemeClr val="dk1"/>
                        </a:solidFill>
                        <a:effectLst/>
                        <a:latin typeface="Cambria Math" panose="02040503050406030204" pitchFamily="18" charset="0"/>
                        <a:ea typeface="+mn-ea"/>
                        <a:cs typeface="+mn-cs"/>
                      </a:rPr>
                      <m:t>(%)</m:t>
                    </m:r>
                    <m:r>
                      <a:rPr lang="en-US" sz="1200" b="0" i="1">
                        <a:solidFill>
                          <a:schemeClr val="dk1"/>
                        </a:solidFill>
                        <a:effectLst/>
                        <a:latin typeface="Cambria Math" panose="02040503050406030204" pitchFamily="18" charset="0"/>
                        <a:ea typeface="+mn-ea"/>
                        <a:cs typeface="+mn-cs"/>
                      </a:rPr>
                      <m:t>=</m:t>
                    </m:r>
                    <m:nary>
                      <m:naryPr>
                        <m:chr m:val="∑"/>
                        <m:supHide m:val="on"/>
                        <m:ctrlPr>
                          <a:rPr lang="en-US" sz="1200" b="0" i="1">
                            <a:solidFill>
                              <a:schemeClr val="dk1"/>
                            </a:solidFill>
                            <a:effectLst/>
                            <a:latin typeface="Cambria Math" panose="02040503050406030204" pitchFamily="18" charset="0"/>
                            <a:ea typeface="+mn-ea"/>
                            <a:cs typeface="+mn-cs"/>
                          </a:rPr>
                        </m:ctrlPr>
                      </m:naryPr>
                      <m:sub>
                        <m:r>
                          <m:rPr>
                            <m:sty m:val="p"/>
                          </m:rPr>
                          <a:rPr lang="en-US" sz="1200" b="0" i="1">
                            <a:solidFill>
                              <a:schemeClr val="dk1"/>
                            </a:solidFill>
                            <a:effectLst/>
                            <a:latin typeface="Cambria Math" panose="02040503050406030204" pitchFamily="18" charset="0"/>
                            <a:ea typeface="+mn-ea"/>
                            <a:cs typeface="+mn-cs"/>
                          </a:rPr>
                          <m:t>h</m:t>
                        </m:r>
                        <m:r>
                          <a:rPr lang="en-US" sz="1200" b="0" i="1">
                            <a:solidFill>
                              <a:schemeClr val="dk1"/>
                            </a:solidFill>
                            <a:effectLst/>
                            <a:latin typeface="Cambria Math" panose="02040503050406030204" pitchFamily="18" charset="0"/>
                            <a:ea typeface="Cambria Math" panose="02040503050406030204" pitchFamily="18" charset="0"/>
                            <a:cs typeface="+mn-cs"/>
                          </a:rPr>
                          <m:t>𝜖</m:t>
                        </m:r>
                        <m:r>
                          <m:rPr>
                            <m:sty m:val="p"/>
                          </m:rPr>
                          <a:rPr lang="en-US" sz="1200" b="0" i="1">
                            <a:solidFill>
                              <a:schemeClr val="dk1"/>
                            </a:solidFill>
                            <a:effectLst/>
                            <a:latin typeface="Cambria Math" panose="02040503050406030204" pitchFamily="18" charset="0"/>
                            <a:ea typeface="Cambria Math" panose="02040503050406030204" pitchFamily="18" charset="0"/>
                            <a:cs typeface="+mn-cs"/>
                          </a:rPr>
                          <m:t>H</m:t>
                        </m:r>
                      </m:sub>
                      <m:sup/>
                      <m:e>
                        <m:d>
                          <m:dPr>
                            <m:begChr m:val="["/>
                            <m:endChr m:val="]"/>
                            <m:ctrlPr>
                              <a:rPr lang="en-US" sz="1200" b="0" i="1">
                                <a:solidFill>
                                  <a:schemeClr val="dk1"/>
                                </a:solidFill>
                                <a:effectLst/>
                                <a:latin typeface="Cambria Math" panose="02040503050406030204" pitchFamily="18" charset="0"/>
                                <a:ea typeface="+mn-ea"/>
                                <a:cs typeface="+mn-cs"/>
                              </a:rPr>
                            </m:ctrlPr>
                          </m:dPr>
                          <m:e>
                            <m:r>
                              <m:rPr>
                                <m:sty m:val="p"/>
                              </m:rPr>
                              <a:rPr lang="en-US" sz="1200" b="0" i="1">
                                <a:solidFill>
                                  <a:schemeClr val="dk1"/>
                                </a:solidFill>
                                <a:effectLst/>
                                <a:latin typeface="Cambria Math" panose="02040503050406030204" pitchFamily="18" charset="0"/>
                                <a:ea typeface="+mn-ea"/>
                                <a:cs typeface="+mn-cs"/>
                              </a:rPr>
                              <m:t>BCMF</m:t>
                            </m:r>
                            <m:r>
                              <a:rPr lang="en-US" sz="1200" b="0" i="1">
                                <a:solidFill>
                                  <a:schemeClr val="dk1"/>
                                </a:solidFill>
                                <a:effectLst/>
                                <a:latin typeface="Cambria Math" panose="02040503050406030204" pitchFamily="18" charset="0"/>
                                <a:ea typeface="+mn-ea"/>
                                <a:cs typeface="+mn-cs"/>
                              </a:rPr>
                              <m:t>(</m:t>
                            </m:r>
                            <m:r>
                              <m:rPr>
                                <m:sty m:val="p"/>
                              </m:rPr>
                              <a:rPr lang="en-US" sz="1200" b="0" i="1">
                                <a:solidFill>
                                  <a:schemeClr val="dk1"/>
                                </a:solidFill>
                                <a:effectLst/>
                                <a:latin typeface="Cambria Math" panose="02040503050406030204" pitchFamily="18" charset="0"/>
                                <a:ea typeface="+mn-ea"/>
                                <a:cs typeface="+mn-cs"/>
                              </a:rPr>
                              <m:t>h</m:t>
                            </m:r>
                            <m:r>
                              <a:rPr lang="en-US" sz="1200" b="0" i="1">
                                <a:solidFill>
                                  <a:schemeClr val="dk1"/>
                                </a:solidFill>
                                <a:effectLst/>
                                <a:latin typeface="Cambria Math" panose="02040503050406030204" pitchFamily="18" charset="0"/>
                                <a:ea typeface="+mn-ea"/>
                                <a:cs typeface="+mn-cs"/>
                              </a:rPr>
                              <m:t>)−1</m:t>
                            </m:r>
                          </m:e>
                        </m:d>
                      </m:e>
                    </m:nary>
                    <m:r>
                      <a:rPr lang="en-US" sz="1200" b="0" i="1">
                        <a:solidFill>
                          <a:schemeClr val="dk1"/>
                        </a:solidFill>
                        <a:effectLst/>
                        <a:latin typeface="Cambria Math" panose="02040503050406030204" pitchFamily="18" charset="0"/>
                        <a:ea typeface="+mn-ea"/>
                        <a:cs typeface="+mn-cs"/>
                      </a:rPr>
                      <m:t> </m:t>
                    </m:r>
                  </m:oMath>
                </m:oMathPara>
              </a14:m>
              <a:endParaRPr lang="en-US" sz="1200"/>
            </a:p>
            <a:p>
              <a:r>
                <a:rPr lang="en-US"/>
                <a:t>Where (H) is the set of harmonic orders being evaluated, and BCMF(h) is the Branch Current Magnification Factor at harmonic order (h). The calculated CBCMI value for this filter design is shown below.</a:t>
              </a:r>
              <a:endParaRPr lang="en-US" sz="1100"/>
            </a:p>
          </xdr:txBody>
        </xdr:sp>
      </mc:Choice>
      <mc:Fallback xmlns="">
        <xdr:sp macro="" textlink="">
          <xdr:nvSpPr>
            <xdr:cNvPr id="24" name="TextBox 23">
              <a:extLst>
                <a:ext uri="{FF2B5EF4-FFF2-40B4-BE49-F238E27FC236}">
                  <a16:creationId xmlns:a16="http://schemas.microsoft.com/office/drawing/2014/main" id="{A0753E72-6263-2E57-E858-C1CDC9CE8D82}"/>
                </a:ext>
              </a:extLst>
            </xdr:cNvPr>
            <xdr:cNvSpPr txBox="1"/>
          </xdr:nvSpPr>
          <xdr:spPr>
            <a:xfrm>
              <a:off x="7953375" y="87610950"/>
              <a:ext cx="7077075" cy="1828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The Cumulative Branch Current Magnification Index, CBCMI, is another VarStec design parameter used to provide a single-number indication of the total excess internal branch current magnification within a multi-branch harmonic filter system. While BCMF(h) evaluates the Branch Current Magnification Factor at each individual harmonic order, CBCMI sums the excess portion of BCMF(h) above 1.0 over the selected harmonic range. CBCMI is calculated as:</a:t>
              </a:r>
              <a:br>
                <a:rPr lang="en-US"/>
              </a:br>
              <a:br>
                <a:rPr lang="en-US"/>
              </a:br>
              <a:r>
                <a:rPr lang="en-US" sz="1200" b="0" i="0">
                  <a:solidFill>
                    <a:schemeClr val="dk1"/>
                  </a:solidFill>
                  <a:effectLst/>
                  <a:latin typeface="Cambria Math" panose="02040503050406030204" pitchFamily="18" charset="0"/>
                  <a:ea typeface="+mn-ea"/>
                  <a:cs typeface="+mn-cs"/>
                </a:rPr>
                <a:t>Cumulative Branch Current Magnification Index (%) = CBCMI(%)</a:t>
              </a:r>
              <a:r>
                <a:rPr lang="en-US" sz="1200" b="0" i="0">
                  <a:solidFill>
                    <a:schemeClr val="dk1"/>
                  </a:solidFill>
                  <a:effectLst/>
                  <a:latin typeface="+mn-lt"/>
                  <a:ea typeface="+mn-ea"/>
                  <a:cs typeface="+mn-cs"/>
                </a:rPr>
                <a:t>=</a:t>
              </a:r>
              <a:r>
                <a:rPr lang="en-US" sz="1200" b="0" i="0">
                  <a:solidFill>
                    <a:schemeClr val="dk1"/>
                  </a:solidFill>
                  <a:effectLst/>
                  <a:latin typeface="Cambria Math" panose="02040503050406030204" pitchFamily="18" charset="0"/>
                  <a:ea typeface="+mn-ea"/>
                  <a:cs typeface="+mn-cs"/>
                </a:rPr>
                <a:t>∑8_h</a:t>
              </a:r>
              <a:r>
                <a:rPr lang="en-US" sz="1200" b="0" i="0">
                  <a:solidFill>
                    <a:schemeClr val="dk1"/>
                  </a:solidFill>
                  <a:effectLst/>
                  <a:latin typeface="Cambria Math" panose="02040503050406030204" pitchFamily="18" charset="0"/>
                  <a:ea typeface="Cambria Math" panose="02040503050406030204" pitchFamily="18" charset="0"/>
                  <a:cs typeface="+mn-cs"/>
                </a:rPr>
                <a:t>𝜖H</a:t>
              </a:r>
              <a:r>
                <a:rPr lang="en-US" sz="1200" b="0" i="0">
                  <a:solidFill>
                    <a:schemeClr val="dk1"/>
                  </a:solidFill>
                  <a:effectLst/>
                  <a:latin typeface="Cambria Math" panose="02040503050406030204" pitchFamily="18" charset="0"/>
                  <a:ea typeface="+mn-ea"/>
                  <a:cs typeface="+mn-cs"/>
                </a:rPr>
                <a:t>▒[BCMF(h)-1] </a:t>
              </a:r>
              <a:r>
                <a:rPr lang="en-US" sz="1200" b="0" i="0">
                  <a:solidFill>
                    <a:schemeClr val="dk1"/>
                  </a:solidFill>
                  <a:effectLst/>
                  <a:latin typeface="+mn-lt"/>
                  <a:ea typeface="+mn-ea"/>
                  <a:cs typeface="+mn-cs"/>
                </a:rPr>
                <a:t>  </a:t>
              </a:r>
              <a:endParaRPr lang="en-US" sz="1200"/>
            </a:p>
            <a:p>
              <a:r>
                <a:rPr lang="en-US"/>
                <a:t>Where (H) is the set of harmonic orders being evaluated, and BCMF(h) is the Branch Current Magnification Factor at harmonic order (h). The calculated CBCMI value for this filter design is shown below.</a:t>
              </a:r>
              <a:endParaRPr lang="en-US" sz="1100"/>
            </a:p>
          </xdr:txBody>
        </xdr:sp>
      </mc:Fallback>
    </mc:AlternateContent>
    <xdr:clientData/>
  </xdr:twoCellAnchor>
  <xdr:twoCellAnchor editAs="oneCell">
    <xdr:from>
      <xdr:col>44</xdr:col>
      <xdr:colOff>112059</xdr:colOff>
      <xdr:row>80</xdr:row>
      <xdr:rowOff>5055</xdr:rowOff>
    </xdr:from>
    <xdr:to>
      <xdr:col>83</xdr:col>
      <xdr:colOff>30815</xdr:colOff>
      <xdr:row>95</xdr:row>
      <xdr:rowOff>222438</xdr:rowOff>
    </xdr:to>
    <xdr:pic>
      <xdr:nvPicPr>
        <xdr:cNvPr id="54" name="Graphic 53">
          <a:extLst>
            <a:ext uri="{FF2B5EF4-FFF2-40B4-BE49-F238E27FC236}">
              <a16:creationId xmlns:a16="http://schemas.microsoft.com/office/drawing/2014/main" id="{81A6D93E-565E-B327-FD76-0AFE5F188B9C}"/>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8001000" y="17934467"/>
          <a:ext cx="6911227" cy="3579147"/>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0.74899</cdr:x>
      <cdr:y>0.09966</cdr:y>
    </cdr:from>
    <cdr:to>
      <cdr:x>0.97031</cdr:x>
      <cdr:y>0.16609</cdr:y>
    </cdr:to>
    <cdr:sp macro="" textlink="">
      <cdr:nvSpPr>
        <cdr:cNvPr id="2" name="TextBox 1">
          <a:extLst xmlns:a="http://schemas.openxmlformats.org/drawingml/2006/main">
            <a:ext uri="{FF2B5EF4-FFF2-40B4-BE49-F238E27FC236}">
              <a16:creationId xmlns:a16="http://schemas.microsoft.com/office/drawing/2014/main" id="{FD817FB9-003F-D521-9D44-1F0F91BC53A9}"/>
            </a:ext>
          </a:extLst>
        </cdr:cNvPr>
        <cdr:cNvSpPr txBox="1"/>
      </cdr:nvSpPr>
      <cdr:spPr>
        <a:xfrm xmlns:a="http://schemas.openxmlformats.org/drawingml/2006/main">
          <a:off x="5286376" y="414339"/>
          <a:ext cx="1562100" cy="2762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kern="1200"/>
        </a:p>
      </cdr:txBody>
    </cdr:sp>
  </cdr:relSizeAnchor>
  <cdr:relSizeAnchor xmlns:cdr="http://schemas.openxmlformats.org/drawingml/2006/chartDrawing">
    <cdr:from>
      <cdr:x>0.72941</cdr:x>
      <cdr:y>0.16854</cdr:y>
    </cdr:from>
    <cdr:to>
      <cdr:x>0.97979</cdr:x>
      <cdr:y>0.22526</cdr:y>
    </cdr:to>
    <cdr:sp macro="" textlink="">
      <cdr:nvSpPr>
        <cdr:cNvPr id="3" name="TextBox 24">
          <a:extLst xmlns:a="http://schemas.openxmlformats.org/drawingml/2006/main">
            <a:ext uri="{FF2B5EF4-FFF2-40B4-BE49-F238E27FC236}">
              <a16:creationId xmlns:a16="http://schemas.microsoft.com/office/drawing/2014/main" id="{F2BC7099-591B-2682-5843-1D6A36564732}"/>
            </a:ext>
          </a:extLst>
        </cdr:cNvPr>
        <cdr:cNvSpPr txBox="1"/>
      </cdr:nvSpPr>
      <cdr:spPr>
        <a:xfrm xmlns:a="http://schemas.openxmlformats.org/drawingml/2006/main">
          <a:off x="5100360" y="700745"/>
          <a:ext cx="1750760" cy="235792"/>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6953F48-80F3-4EAA-B86F-8CBCD6B77421}" type="TxLink">
            <a:rPr lang="en-US" sz="1400" b="1" i="0" u="none" strike="noStrike">
              <a:solidFill>
                <a:srgbClr val="00B0F0"/>
              </a:solidFill>
              <a:latin typeface="Calibri"/>
              <a:ea typeface="Calibri"/>
              <a:cs typeface="Calibri"/>
            </a:rPr>
            <a:pPr algn="r"/>
            <a:t>CBCMI(%): 162%</a:t>
          </a:fld>
          <a:endParaRPr lang="en-US" sz="1400" b="1">
            <a:solidFill>
              <a:srgbClr val="00B0F0"/>
            </a:solidFill>
          </a:endParaRP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2" name="Picture 1">
          <a:extLst>
            <a:ext uri="{FF2B5EF4-FFF2-40B4-BE49-F238E27FC236}">
              <a16:creationId xmlns:a16="http://schemas.microsoft.com/office/drawing/2014/main" id="{DB84F8B1-0F2D-44F1-A127-04FCF0931B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152398</xdr:rowOff>
    </xdr:from>
    <xdr:ext cx="1638301" cy="819151"/>
    <xdr:pic>
      <xdr:nvPicPr>
        <xdr:cNvPr id="3" name="Picture 2">
          <a:extLst>
            <a:ext uri="{FF2B5EF4-FFF2-40B4-BE49-F238E27FC236}">
              <a16:creationId xmlns:a16="http://schemas.microsoft.com/office/drawing/2014/main" id="{1710D9F3-3252-4254-9855-B9D8B70B41A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80998"/>
          <a:ext cx="1638301" cy="819151"/>
        </a:xfrm>
        <a:prstGeom prst="rect">
          <a:avLst/>
        </a:prstGeom>
      </xdr:spPr>
    </xdr:pic>
    <xdr:clientData/>
  </xdr:oneCellAnchor>
  <xdr:oneCellAnchor>
    <xdr:from>
      <xdr:col>32</xdr:col>
      <xdr:colOff>19049</xdr:colOff>
      <xdr:row>50</xdr:row>
      <xdr:rowOff>152398</xdr:rowOff>
    </xdr:from>
    <xdr:ext cx="1638301" cy="819151"/>
    <xdr:pic>
      <xdr:nvPicPr>
        <xdr:cNvPr id="4" name="Picture 3">
          <a:extLst>
            <a:ext uri="{FF2B5EF4-FFF2-40B4-BE49-F238E27FC236}">
              <a16:creationId xmlns:a16="http://schemas.microsoft.com/office/drawing/2014/main" id="{D1E307D1-A129-454E-B6C0-CCDC76446F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82398"/>
          <a:ext cx="1638301" cy="819151"/>
        </a:xfrm>
        <a:prstGeom prst="rect">
          <a:avLst/>
        </a:prstGeom>
      </xdr:spPr>
    </xdr:pic>
    <xdr:clientData/>
  </xdr:oneCellAnchor>
  <xdr:oneCellAnchor>
    <xdr:from>
      <xdr:col>74</xdr:col>
      <xdr:colOff>19049</xdr:colOff>
      <xdr:row>50</xdr:row>
      <xdr:rowOff>152398</xdr:rowOff>
    </xdr:from>
    <xdr:ext cx="1638301" cy="819151"/>
    <xdr:pic>
      <xdr:nvPicPr>
        <xdr:cNvPr id="5" name="Picture 4">
          <a:extLst>
            <a:ext uri="{FF2B5EF4-FFF2-40B4-BE49-F238E27FC236}">
              <a16:creationId xmlns:a16="http://schemas.microsoft.com/office/drawing/2014/main" id="{83B2F12E-0724-46C2-B7D8-B8E6472AF27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82398"/>
          <a:ext cx="1638301" cy="819151"/>
        </a:xfrm>
        <a:prstGeom prst="rect">
          <a:avLst/>
        </a:prstGeom>
      </xdr:spPr>
    </xdr:pic>
    <xdr:clientData/>
  </xdr:oneCellAnchor>
  <xdr:oneCellAnchor>
    <xdr:from>
      <xdr:col>32</xdr:col>
      <xdr:colOff>19049</xdr:colOff>
      <xdr:row>99</xdr:row>
      <xdr:rowOff>152398</xdr:rowOff>
    </xdr:from>
    <xdr:ext cx="1638301" cy="819151"/>
    <xdr:pic>
      <xdr:nvPicPr>
        <xdr:cNvPr id="6" name="Picture 5">
          <a:extLst>
            <a:ext uri="{FF2B5EF4-FFF2-40B4-BE49-F238E27FC236}">
              <a16:creationId xmlns:a16="http://schemas.microsoft.com/office/drawing/2014/main" id="{563FE80F-65D2-4FFC-9D8A-382F8705A32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83798"/>
          <a:ext cx="1638301" cy="819151"/>
        </a:xfrm>
        <a:prstGeom prst="rect">
          <a:avLst/>
        </a:prstGeom>
      </xdr:spPr>
    </xdr:pic>
    <xdr:clientData/>
  </xdr:oneCellAnchor>
  <xdr:oneCellAnchor>
    <xdr:from>
      <xdr:col>74</xdr:col>
      <xdr:colOff>19049</xdr:colOff>
      <xdr:row>99</xdr:row>
      <xdr:rowOff>152398</xdr:rowOff>
    </xdr:from>
    <xdr:ext cx="1638301" cy="819151"/>
    <xdr:pic>
      <xdr:nvPicPr>
        <xdr:cNvPr id="7" name="Picture 6">
          <a:extLst>
            <a:ext uri="{FF2B5EF4-FFF2-40B4-BE49-F238E27FC236}">
              <a16:creationId xmlns:a16="http://schemas.microsoft.com/office/drawing/2014/main" id="{89D97273-B2DF-4383-8F08-FCD428FF9CE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83798"/>
          <a:ext cx="1638301" cy="819151"/>
        </a:xfrm>
        <a:prstGeom prst="rect">
          <a:avLst/>
        </a:prstGeom>
      </xdr:spPr>
    </xdr:pic>
    <xdr:clientData/>
  </xdr:oneCellAnchor>
  <xdr:oneCellAnchor>
    <xdr:from>
      <xdr:col>32</xdr:col>
      <xdr:colOff>19049</xdr:colOff>
      <xdr:row>148</xdr:row>
      <xdr:rowOff>152398</xdr:rowOff>
    </xdr:from>
    <xdr:ext cx="1638301" cy="819151"/>
    <xdr:pic>
      <xdr:nvPicPr>
        <xdr:cNvPr id="8" name="Picture 7">
          <a:extLst>
            <a:ext uri="{FF2B5EF4-FFF2-40B4-BE49-F238E27FC236}">
              <a16:creationId xmlns:a16="http://schemas.microsoft.com/office/drawing/2014/main" id="{7A35F851-CCEE-4B69-8A0F-E9AAC66F567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85198"/>
          <a:ext cx="1638301" cy="819151"/>
        </a:xfrm>
        <a:prstGeom prst="rect">
          <a:avLst/>
        </a:prstGeom>
      </xdr:spPr>
    </xdr:pic>
    <xdr:clientData/>
  </xdr:oneCellAnchor>
  <xdr:oneCellAnchor>
    <xdr:from>
      <xdr:col>74</xdr:col>
      <xdr:colOff>19049</xdr:colOff>
      <xdr:row>148</xdr:row>
      <xdr:rowOff>152398</xdr:rowOff>
    </xdr:from>
    <xdr:ext cx="1638301" cy="819151"/>
    <xdr:pic>
      <xdr:nvPicPr>
        <xdr:cNvPr id="9" name="Picture 8">
          <a:extLst>
            <a:ext uri="{FF2B5EF4-FFF2-40B4-BE49-F238E27FC236}">
              <a16:creationId xmlns:a16="http://schemas.microsoft.com/office/drawing/2014/main" id="{7EE97E7A-6FAB-4818-82E4-72A5363C219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85198"/>
          <a:ext cx="1638301" cy="819151"/>
        </a:xfrm>
        <a:prstGeom prst="rect">
          <a:avLst/>
        </a:prstGeom>
      </xdr:spPr>
    </xdr:pic>
    <xdr:clientData/>
  </xdr:oneCellAnchor>
  <xdr:twoCellAnchor editAs="oneCell">
    <xdr:from>
      <xdr:col>44</xdr:col>
      <xdr:colOff>24848</xdr:colOff>
      <xdr:row>123</xdr:row>
      <xdr:rowOff>227071</xdr:rowOff>
    </xdr:from>
    <xdr:to>
      <xdr:col>45</xdr:col>
      <xdr:colOff>108732</xdr:colOff>
      <xdr:row>125</xdr:row>
      <xdr:rowOff>31252</xdr:rowOff>
    </xdr:to>
    <xdr:pic>
      <xdr:nvPicPr>
        <xdr:cNvPr id="14" name="Picture 13">
          <a:extLst>
            <a:ext uri="{FF2B5EF4-FFF2-40B4-BE49-F238E27FC236}">
              <a16:creationId xmlns:a16="http://schemas.microsoft.com/office/drawing/2014/main" id="{7C45CF0F-ED6D-4E98-8E1D-058E148EC0B3}"/>
            </a:ext>
          </a:extLst>
        </xdr:cNvPr>
        <xdr:cNvPicPr>
          <a:picLocks noChangeAspect="1"/>
        </xdr:cNvPicPr>
      </xdr:nvPicPr>
      <xdr:blipFill>
        <a:blip xmlns:r="http://schemas.openxmlformats.org/officeDocument/2006/relationships" r:embed="rId3"/>
        <a:stretch>
          <a:fillRect/>
        </a:stretch>
      </xdr:blipFill>
      <xdr:spPr>
        <a:xfrm>
          <a:off x="7987748" y="23772871"/>
          <a:ext cx="264859" cy="261381"/>
        </a:xfrm>
        <a:prstGeom prst="rect">
          <a:avLst/>
        </a:prstGeom>
      </xdr:spPr>
    </xdr:pic>
    <xdr:clientData/>
  </xdr:twoCellAnchor>
  <xdr:twoCellAnchor editAs="oneCell">
    <xdr:from>
      <xdr:col>1</xdr:col>
      <xdr:colOff>158903</xdr:colOff>
      <xdr:row>153</xdr:row>
      <xdr:rowOff>180974</xdr:rowOff>
    </xdr:from>
    <xdr:to>
      <xdr:col>3</xdr:col>
      <xdr:colOff>114432</xdr:colOff>
      <xdr:row>155</xdr:row>
      <xdr:rowOff>57286</xdr:rowOff>
    </xdr:to>
    <xdr:pic>
      <xdr:nvPicPr>
        <xdr:cNvPr id="15" name="Picture 14">
          <a:extLst>
            <a:ext uri="{FF2B5EF4-FFF2-40B4-BE49-F238E27FC236}">
              <a16:creationId xmlns:a16="http://schemas.microsoft.com/office/drawing/2014/main" id="{AB349753-1D43-47F7-9E19-55DF327773E8}"/>
            </a:ext>
          </a:extLst>
        </xdr:cNvPr>
        <xdr:cNvPicPr>
          <a:picLocks noChangeAspect="1"/>
        </xdr:cNvPicPr>
      </xdr:nvPicPr>
      <xdr:blipFill>
        <a:blip xmlns:r="http://schemas.openxmlformats.org/officeDocument/2006/relationships" r:embed="rId4"/>
        <a:stretch>
          <a:fillRect/>
        </a:stretch>
      </xdr:blipFill>
      <xdr:spPr>
        <a:xfrm>
          <a:off x="7940828" y="27841574"/>
          <a:ext cx="317479" cy="333512"/>
        </a:xfrm>
        <a:prstGeom prst="rect">
          <a:avLst/>
        </a:prstGeom>
      </xdr:spPr>
    </xdr:pic>
    <xdr:clientData/>
  </xdr:twoCellAnchor>
  <xdr:twoCellAnchor>
    <xdr:from>
      <xdr:col>44</xdr:col>
      <xdr:colOff>47625</xdr:colOff>
      <xdr:row>75</xdr:row>
      <xdr:rowOff>38100</xdr:rowOff>
    </xdr:from>
    <xdr:to>
      <xdr:col>82</xdr:col>
      <xdr:colOff>161365</xdr:colOff>
      <xdr:row>93</xdr:row>
      <xdr:rowOff>94689</xdr:rowOff>
    </xdr:to>
    <xdr:graphicFrame macro="">
      <xdr:nvGraphicFramePr>
        <xdr:cNvPr id="11" name="Chart 10">
          <a:extLst>
            <a:ext uri="{FF2B5EF4-FFF2-40B4-BE49-F238E27FC236}">
              <a16:creationId xmlns:a16="http://schemas.microsoft.com/office/drawing/2014/main" id="{FA1134C0-94A5-482C-A700-32E7FD2665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55</xdr:row>
      <xdr:rowOff>0</xdr:rowOff>
    </xdr:from>
    <xdr:to>
      <xdr:col>41</xdr:col>
      <xdr:colOff>11206</xdr:colOff>
      <xdr:row>59</xdr:row>
      <xdr:rowOff>134568</xdr:rowOff>
    </xdr:to>
    <xdr:sp macro="" textlink="">
      <xdr:nvSpPr>
        <xdr:cNvPr id="10" name="TextBox 9">
          <a:extLst>
            <a:ext uri="{FF2B5EF4-FFF2-40B4-BE49-F238E27FC236}">
              <a16:creationId xmlns:a16="http://schemas.microsoft.com/office/drawing/2014/main" id="{700DB001-144C-4BE5-B3D0-76D0941F0A40}"/>
            </a:ext>
          </a:extLst>
        </xdr:cNvPr>
        <xdr:cNvSpPr txBox="1"/>
      </xdr:nvSpPr>
      <xdr:spPr>
        <a:xfrm>
          <a:off x="361950" y="12258675"/>
          <a:ext cx="7069231" cy="10489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The harmonic</a:t>
          </a:r>
          <a:r>
            <a:rPr lang="en-US" b="0" baseline="0"/>
            <a:t> filter </a:t>
          </a:r>
          <a:r>
            <a:rPr lang="en-US" b="0"/>
            <a:t>design for each of the</a:t>
          </a:r>
          <a:r>
            <a:rPr lang="en-US" b="0" baseline="0"/>
            <a:t> branches</a:t>
          </a:r>
          <a:r>
            <a:rPr lang="en-US" b="0"/>
            <a:t> must ensure capacitor operating duties stay within IEEE/IEC-rated limits, including the allowable 10% continuous overvoltage.</a:t>
          </a:r>
          <a:r>
            <a:rPr lang="en-US" b="0" baseline="0"/>
            <a:t> Page 2 of this </a:t>
          </a:r>
          <a:r>
            <a:rPr lang="en-US" b="0"/>
            <a:t>spreadsheet checks four key parameters against their rated duty: % Rated</a:t>
          </a:r>
          <a:r>
            <a:rPr lang="en-US" b="0" baseline="0"/>
            <a:t> </a:t>
          </a:r>
          <a:r>
            <a:rPr lang="en-US" b="0"/>
            <a:t>Volts, % Crest Voltage, % Amps, % kVAR. If any value exceeds its limit, the cell turns red. In that case, increase the capacitor voltage rating, or decrease the resistor ohm</a:t>
          </a:r>
          <a:r>
            <a:rPr lang="en-US" b="0" baseline="0"/>
            <a:t> rating</a:t>
          </a:r>
          <a:r>
            <a:rPr lang="en-US" b="0"/>
            <a:t>. The objective is to meet the required duty without significantly exceeding the rating, which would increase cost.</a:t>
          </a:r>
        </a:p>
        <a:p>
          <a:endParaRPr lang="en-US" sz="1100" b="0"/>
        </a:p>
      </xdr:txBody>
    </xdr:sp>
    <xdr:clientData/>
  </xdr:twoCellAnchor>
  <xdr:twoCellAnchor>
    <xdr:from>
      <xdr:col>44</xdr:col>
      <xdr:colOff>19050</xdr:colOff>
      <xdr:row>202</xdr:row>
      <xdr:rowOff>28575</xdr:rowOff>
    </xdr:from>
    <xdr:to>
      <xdr:col>82</xdr:col>
      <xdr:colOff>132790</xdr:colOff>
      <xdr:row>222</xdr:row>
      <xdr:rowOff>104214</xdr:rowOff>
    </xdr:to>
    <xdr:graphicFrame macro="">
      <xdr:nvGraphicFramePr>
        <xdr:cNvPr id="12" name="f-5">
          <a:extLst>
            <a:ext uri="{FF2B5EF4-FFF2-40B4-BE49-F238E27FC236}">
              <a16:creationId xmlns:a16="http://schemas.microsoft.com/office/drawing/2014/main" id="{15080B27-D998-42AD-99E2-F13DA8BC71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oneCellAnchor>
    <xdr:from>
      <xdr:col>32</xdr:col>
      <xdr:colOff>19049</xdr:colOff>
      <xdr:row>197</xdr:row>
      <xdr:rowOff>28573</xdr:rowOff>
    </xdr:from>
    <xdr:ext cx="1638301" cy="819151"/>
    <xdr:pic>
      <xdr:nvPicPr>
        <xdr:cNvPr id="13" name="Picture 12">
          <a:extLst>
            <a:ext uri="{FF2B5EF4-FFF2-40B4-BE49-F238E27FC236}">
              <a16:creationId xmlns:a16="http://schemas.microsoft.com/office/drawing/2014/main" id="{086239BF-7861-445E-AB8E-A3166283D28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44691298"/>
          <a:ext cx="1638301" cy="819151"/>
        </a:xfrm>
        <a:prstGeom prst="rect">
          <a:avLst/>
        </a:prstGeom>
      </xdr:spPr>
    </xdr:pic>
    <xdr:clientData/>
  </xdr:oneCellAnchor>
  <xdr:oneCellAnchor>
    <xdr:from>
      <xdr:col>74</xdr:col>
      <xdr:colOff>19049</xdr:colOff>
      <xdr:row>197</xdr:row>
      <xdr:rowOff>38098</xdr:rowOff>
    </xdr:from>
    <xdr:ext cx="1638301" cy="819151"/>
    <xdr:pic>
      <xdr:nvPicPr>
        <xdr:cNvPr id="16" name="Picture 15">
          <a:extLst>
            <a:ext uri="{FF2B5EF4-FFF2-40B4-BE49-F238E27FC236}">
              <a16:creationId xmlns:a16="http://schemas.microsoft.com/office/drawing/2014/main" id="{B0A6B219-A324-4FD9-BDE0-F4BE003D02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44700823"/>
          <a:ext cx="1638301" cy="819151"/>
        </a:xfrm>
        <a:prstGeom prst="rect">
          <a:avLst/>
        </a:prstGeom>
      </xdr:spPr>
    </xdr:pic>
    <xdr:clientData/>
  </xdr:oneCellAnchor>
  <xdr:twoCellAnchor>
    <xdr:from>
      <xdr:col>2</xdr:col>
      <xdr:colOff>0</xdr:colOff>
      <xdr:row>155</xdr:row>
      <xdr:rowOff>38100</xdr:rowOff>
    </xdr:from>
    <xdr:to>
      <xdr:col>40</xdr:col>
      <xdr:colOff>114300</xdr:colOff>
      <xdr:row>193</xdr:row>
      <xdr:rowOff>19049</xdr:rowOff>
    </xdr:to>
    <mc:AlternateContent xmlns:mc="http://schemas.openxmlformats.org/markup-compatibility/2006" xmlns:a14="http://schemas.microsoft.com/office/drawing/2010/main">
      <mc:Choice Requires="a14">
        <xdr:sp macro="" textlink="">
          <xdr:nvSpPr>
            <xdr:cNvPr id="18" name="TextBox 17">
              <a:extLst>
                <a:ext uri="{FF2B5EF4-FFF2-40B4-BE49-F238E27FC236}">
                  <a16:creationId xmlns:a16="http://schemas.microsoft.com/office/drawing/2014/main" id="{51D3C461-6EA7-4B76-A1ED-DB6A26CB46AC}"/>
                </a:ext>
              </a:extLst>
            </xdr:cNvPr>
            <xdr:cNvSpPr txBox="1"/>
          </xdr:nvSpPr>
          <xdr:spPr>
            <a:xfrm>
              <a:off x="361950" y="35242500"/>
              <a:ext cx="6991350" cy="8667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supports the design, tuning, and component selection of </a:t>
              </a:r>
              <a:r>
                <a:rPr lang="en-US" b="1"/>
                <a:t>H-Type Harmonic Filters</a:t>
              </a:r>
              <a:r>
                <a:rPr lang="en-US"/>
                <a:t> as engineered by </a:t>
              </a:r>
              <a:r>
                <a:rPr lang="en-US" b="1"/>
                <a:t>VarStec Power Solutions</a:t>
              </a:r>
              <a:r>
                <a:rPr lang="en-US"/>
                <a:t>.</a:t>
              </a:r>
            </a:p>
            <a:p>
              <a:br>
                <a:rPr lang="en-US"/>
              </a:br>
              <a:r>
                <a:rPr lang="en-US"/>
                <a:t>H-Type filters differ from conventional </a:t>
              </a:r>
              <a:r>
                <a:rPr lang="en-US" b="1"/>
                <a:t>high-pass (HP)</a:t>
              </a:r>
              <a:r>
                <a:rPr lang="en-US"/>
                <a:t> and </a:t>
              </a:r>
              <a:r>
                <a:rPr lang="en-US" b="1"/>
                <a:t>C-type high-pass (C-HP)</a:t>
              </a:r>
              <a:r>
                <a:rPr lang="en-US"/>
                <a:t> harmonic filters. Their impedance profile combines characteristics of a </a:t>
              </a:r>
              <a:r>
                <a:rPr lang="en-US" b="1"/>
                <a:t>multi-tuned, multi-branch notch filter</a:t>
              </a:r>
              <a:r>
                <a:rPr lang="en-US"/>
                <a:t> with the damping behavior of a high-pass filter. The resistor elements provide damping between the tuned branches and are particularly useful when non-integer harmonics, interharmonics, or broad-spectrum harmonic currents may be present.</a:t>
              </a:r>
            </a:p>
            <a:p>
              <a:br>
                <a:rPr lang="en-US"/>
              </a:br>
              <a:r>
                <a:rPr lang="en-US"/>
                <a:t>This spreadsheet provides a consistent methodology for determining the electrical parameters required for proper filter performance, including reactance, inductance, capacitor reactive power, capacitor voltage rating, harmonic current duty, voltage stress, and damping resistance.</a:t>
              </a:r>
              <a:br>
                <a:rPr lang="en-US"/>
              </a:br>
              <a:endParaRPr lang="en-US"/>
            </a:p>
            <a:p>
              <a:r>
                <a:rPr lang="en-US" b="0"/>
                <a:t>The calculation process begins by sizing each tuned branch using the standard single-tuned notch-filter design method. For purposes of this description, a 13.8 kV, 1000 kvar filter branch is used as the example. After the components for each tuned branch are calculated, damping resistors R12, R23, and R34 are inserted between the filter branches at the load-side terminals of the tuning reactors.</a:t>
              </a:r>
            </a:p>
            <a:p>
              <a:br>
                <a:rPr lang="en-US" b="0"/>
              </a:br>
              <a:r>
                <a:rPr lang="en-US" b="0"/>
                <a:t>The tool then performs a frequency-domain harmonic analysis using a nodal admittance matrix, also commonly referred to as the Y-bus method, to calculate filter performance, node voltages, branch currents, and component duties across the harmonic spectrum. The matrix solution is performed using matrix factorization followed by forward and backward substitution.</a:t>
              </a:r>
            </a:p>
            <a:p>
              <a:r>
                <a:rPr lang="en-US" b="0"/>
                <a:t>The tool assumes that harmonic simulations have already been performed and that the current spectrum entering the harmonic filter is known. These harmonic current values are entered in the blue-highlighted fields in Rows 24 and 25 on Page 1.</a:t>
              </a:r>
            </a:p>
            <a:p>
              <a:br>
                <a:rPr lang="en-US" b="0"/>
              </a:br>
              <a:r>
                <a:rPr lang="en-US" b="0"/>
                <a:t>For additional information, engineering support, or custom filter designs, contact VarStec Power Solutions at info@varstec.com.</a:t>
              </a:r>
            </a:p>
            <a:p>
              <a:br>
                <a:rPr lang="en-US" sz="1100" b="0">
                  <a:solidFill>
                    <a:schemeClr val="dk1"/>
                  </a:solidFill>
                  <a:effectLst/>
                  <a:latin typeface="+mn-lt"/>
                  <a:ea typeface="+mn-ea"/>
                  <a:cs typeface="+mn-cs"/>
                </a:rPr>
              </a:br>
              <a:r>
                <a:rPr lang="en-US" sz="1100" b="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14:m>
                <m:oMath xmlns:m="http://schemas.openxmlformats.org/officeDocument/2006/math">
                  <m:sSub>
                    <m:sSubPr>
                      <m:ctrlPr>
                        <a:rPr lang="en-US" sz="1100" b="0" i="1">
                          <a:solidFill>
                            <a:schemeClr val="dk1"/>
                          </a:solidFill>
                          <a:effectLst/>
                          <a:latin typeface="Cambria Math" panose="02040503050406030204" pitchFamily="18" charset="0"/>
                          <a:ea typeface="+mn-ea"/>
                          <a:cs typeface="+mn-cs"/>
                        </a:rPr>
                      </m:ctrlPr>
                    </m:sSubPr>
                    <m:e>
                      <m:r>
                        <a:rPr lang="en-US" sz="1100" b="0" i="1">
                          <a:solidFill>
                            <a:schemeClr val="dk1"/>
                          </a:solidFill>
                          <a:effectLst/>
                          <a:latin typeface="Cambria Math" panose="02040503050406030204" pitchFamily="18" charset="0"/>
                          <a:ea typeface="+mn-ea"/>
                          <a:cs typeface="+mn-cs"/>
                        </a:rPr>
                        <m:t>𝑄</m:t>
                      </m:r>
                    </m:e>
                    <m:sub>
                      <m:r>
                        <a:rPr lang="en-US" sz="1100" b="0" i="1">
                          <a:solidFill>
                            <a:schemeClr val="dk1"/>
                          </a:solidFill>
                          <a:effectLst/>
                          <a:latin typeface="Cambria Math" panose="02040503050406030204" pitchFamily="18" charset="0"/>
                          <a:ea typeface="+mn-ea"/>
                          <a:cs typeface="+mn-cs"/>
                        </a:rPr>
                        <m:t>𝑒𝑓𝑓</m:t>
                      </m:r>
                    </m:sub>
                  </m:sSub>
                  <m:r>
                    <a:rPr lang="en-US" sz="1100" b="0" i="1">
                      <a:solidFill>
                        <a:schemeClr val="dk1"/>
                      </a:solidFill>
                      <a:effectLst/>
                      <a:latin typeface="Cambria Math" panose="02040503050406030204" pitchFamily="18" charset="0"/>
                      <a:ea typeface="+mn-ea"/>
                      <a:cs typeface="+mn-cs"/>
                    </a:rPr>
                    <m:t> </m:t>
                  </m:r>
                </m:oMath>
              </a14:m>
              <a:r>
                <a:rPr lang="en-US" sz="1100" b="0">
                  <a:solidFill>
                    <a:schemeClr val="dk1"/>
                  </a:solidFill>
                  <a:effectLst/>
                  <a:latin typeface="+mn-lt"/>
                  <a:ea typeface="+mn-ea"/>
                  <a:cs typeface="+mn-cs"/>
                </a:rPr>
                <a:t>and forms the foundation </a:t>
              </a:r>
              <a:r>
                <a:rPr lang="en-US" sz="1100">
                  <a:solidFill>
                    <a:schemeClr val="dk1"/>
                  </a:solidFill>
                  <a:effectLst/>
                  <a:latin typeface="+mn-lt"/>
                  <a:ea typeface="+mn-ea"/>
                  <a:cs typeface="+mn-cs"/>
                </a:rPr>
                <a:t>of all subsequent calculations. Using the system’s nominal line-to-line voltage </a:t>
              </a:r>
              <a14:m>
                <m:oMath xmlns:m="http://schemas.openxmlformats.org/officeDocument/2006/math">
                  <m:r>
                    <a:rPr lang="en-US" sz="1100" i="1">
                      <a:solidFill>
                        <a:schemeClr val="dk1"/>
                      </a:solidFill>
                      <a:effectLst/>
                      <a:latin typeface="Cambria Math" panose="02040503050406030204" pitchFamily="18" charset="0"/>
                      <a:ea typeface="+mn-ea"/>
                      <a:cs typeface="+mn-cs"/>
                    </a:rPr>
                    <m:t>𝑘</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𝐿𝐿𝑆𝑌𝑆</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filter reactance,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For a notch type filter,  the summation of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sum to this</a:t>
              </a:r>
              <a:r>
                <a:rPr lang="en-US" sz="1100" baseline="0">
                  <a:solidFill>
                    <a:schemeClr val="dk1"/>
                  </a:solidFill>
                  <a:effectLst/>
                  <a:latin typeface="+mn-lt"/>
                  <a:ea typeface="+mn-ea"/>
                  <a:cs typeface="+mn-cs"/>
                </a:rPr>
                <a:t> value where </a:t>
              </a:r>
              <a:r>
                <a:rPr lang="en-US" sz="1100">
                  <a:solidFill>
                    <a:schemeClr val="dk1"/>
                  </a:solidFill>
                  <a:effectLst/>
                  <a:latin typeface="+mn-lt"/>
                  <a:ea typeface="+mn-ea"/>
                  <a:cs typeface="+mn-cs"/>
                </a:rPr>
                <a:t>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Xc and determined using</a:t>
              </a:r>
              <a:r>
                <a:rPr lang="en-US" sz="1100" baseline="0">
                  <a:solidFill>
                    <a:schemeClr val="dk1"/>
                  </a:solidFill>
                  <a:effectLst/>
                  <a:latin typeface="+mn-lt"/>
                  <a:ea typeface="+mn-ea"/>
                  <a:cs typeface="+mn-cs"/>
                </a:rPr>
                <a:t> the tuning point and the relationship:</a:t>
              </a:r>
              <a:r>
                <a:rPr lang="en-US" sz="1100">
                  <a:solidFill>
                    <a:schemeClr val="dk1"/>
                  </a:solidFill>
                  <a:effectLst/>
                  <a:latin typeface="+mn-lt"/>
                  <a:ea typeface="+mn-ea"/>
                  <a:cs typeface="+mn-cs"/>
                </a:rPr>
                <a: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d>
                    <m:dPr>
                      <m:ctrlPr>
                        <a:rPr lang="en-US" sz="1100" i="1">
                          <a:solidFill>
                            <a:schemeClr val="dk1"/>
                          </a:solidFill>
                          <a:effectLst/>
                          <a:latin typeface="Cambria Math" panose="02040503050406030204" pitchFamily="18" charset="0"/>
                          <a:ea typeface="+mn-ea"/>
                          <a:cs typeface="+mn-cs"/>
                        </a:rPr>
                      </m:ctrlPr>
                    </m:dPr>
                    <m:e>
                      <m:f>
                        <m:fPr>
                          <m:ctrlPr>
                            <a:rPr lang="en-US" sz="1100" i="1">
                              <a:solidFill>
                                <a:schemeClr val="dk1"/>
                              </a:solidFill>
                              <a:effectLst/>
                              <a:latin typeface="Cambria Math" panose="02040503050406030204" pitchFamily="18" charset="0"/>
                              <a:ea typeface="+mn-ea"/>
                              <a:cs typeface="+mn-cs"/>
                            </a:rPr>
                          </m:ctrlPr>
                        </m:fPr>
                        <m:num>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num>
                        <m:den>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r>
                            <a:rPr lang="en-US" sz="1100" i="1">
                              <a:solidFill>
                                <a:schemeClr val="dk1"/>
                              </a:solidFill>
                              <a:effectLst/>
                              <a:latin typeface="Cambria Math" panose="02040503050406030204" pitchFamily="18" charset="0"/>
                              <a:ea typeface="+mn-ea"/>
                              <a:cs typeface="+mn-cs"/>
                            </a:rPr>
                            <m:t>−1</m:t>
                          </m:r>
                        </m:den>
                      </m:f>
                    </m:e>
                  </m:d>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br>
                <a:rPr lang="en-US" sz="1100" baseline="-25000">
                  <a:solidFill>
                    <a:schemeClr val="dk1"/>
                  </a:solidFill>
                  <a:effectLst/>
                  <a:latin typeface="+mn-lt"/>
                  <a:ea typeface="+mn-ea"/>
                  <a:cs typeface="+mn-cs"/>
                </a:rPr>
              </a:br>
              <a:br>
                <a:rPr lang="en-US" sz="1100" baseline="-25000">
                  <a:solidFill>
                    <a:schemeClr val="dk1"/>
                  </a:solidFill>
                  <a:effectLst/>
                  <a:latin typeface="+mn-lt"/>
                  <a:ea typeface="+mn-ea"/>
                  <a:cs typeface="+mn-cs"/>
                </a:rPr>
              </a:br>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capacitor kvar ratings is then determined using the rated operating voltage.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a:t>
              </a:r>
              <a:r>
                <a:rPr lang="en-US" sz="1100" baseline="0">
                  <a:solidFill>
                    <a:schemeClr val="dk1"/>
                  </a:solidFill>
                  <a:effectLst/>
                  <a:latin typeface="+mn-lt"/>
                  <a:ea typeface="+mn-ea"/>
                  <a:cs typeface="+mn-cs"/>
                </a:rPr>
                <a:t> H-type and associated notch type</a:t>
              </a:r>
              <a:r>
                <a:rPr lang="en-US" sz="1100">
                  <a:solidFill>
                    <a:schemeClr val="dk1"/>
                  </a:solidFill>
                  <a:effectLst/>
                  <a:latin typeface="+mn-lt"/>
                  <a:ea typeface="+mn-ea"/>
                  <a:cs typeface="+mn-cs"/>
                </a:rPr>
                <a:t> harmonic filters. This spreadsheet determines all critical design parameters, including reactances, inductance, kvar ratings, current loading, and voltage stress, using standardized electrical notation to provide traceability, transparency, and field-proven reliability.</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endParaRPr lang="en-US" sz="1100"/>
            </a:p>
          </xdr:txBody>
        </xdr:sp>
      </mc:Choice>
      <mc:Fallback xmlns="">
        <xdr:sp macro="" textlink="">
          <xdr:nvSpPr>
            <xdr:cNvPr id="18" name="TextBox 17">
              <a:extLst>
                <a:ext uri="{FF2B5EF4-FFF2-40B4-BE49-F238E27FC236}">
                  <a16:creationId xmlns:a16="http://schemas.microsoft.com/office/drawing/2014/main" id="{51D3C461-6EA7-4B76-A1ED-DB6A26CB46AC}"/>
                </a:ext>
              </a:extLst>
            </xdr:cNvPr>
            <xdr:cNvSpPr txBox="1"/>
          </xdr:nvSpPr>
          <xdr:spPr>
            <a:xfrm>
              <a:off x="361950" y="35242500"/>
              <a:ext cx="6991350" cy="866774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t>This spreadsheet supports the design, tuning, and component selection of </a:t>
              </a:r>
              <a:r>
                <a:rPr lang="en-US" b="1"/>
                <a:t>H-Type Harmonic Filters</a:t>
              </a:r>
              <a:r>
                <a:rPr lang="en-US"/>
                <a:t> as engineered by </a:t>
              </a:r>
              <a:r>
                <a:rPr lang="en-US" b="1"/>
                <a:t>VarStec Power Solutions</a:t>
              </a:r>
              <a:r>
                <a:rPr lang="en-US"/>
                <a:t>.</a:t>
              </a:r>
            </a:p>
            <a:p>
              <a:br>
                <a:rPr lang="en-US"/>
              </a:br>
              <a:r>
                <a:rPr lang="en-US"/>
                <a:t>H-Type filters differ from conventional </a:t>
              </a:r>
              <a:r>
                <a:rPr lang="en-US" b="1"/>
                <a:t>high-pass (HP)</a:t>
              </a:r>
              <a:r>
                <a:rPr lang="en-US"/>
                <a:t> and </a:t>
              </a:r>
              <a:r>
                <a:rPr lang="en-US" b="1"/>
                <a:t>C-type high-pass (C-HP)</a:t>
              </a:r>
              <a:r>
                <a:rPr lang="en-US"/>
                <a:t> harmonic filters. Their impedance profile combines characteristics of a </a:t>
              </a:r>
              <a:r>
                <a:rPr lang="en-US" b="1"/>
                <a:t>multi-tuned, multi-branch notch filter</a:t>
              </a:r>
              <a:r>
                <a:rPr lang="en-US"/>
                <a:t> with the damping behavior of a high-pass filter. The resistor elements provide damping between the tuned branches and are particularly useful when non-integer harmonics, interharmonics, or broad-spectrum harmonic currents may be present.</a:t>
              </a:r>
            </a:p>
            <a:p>
              <a:br>
                <a:rPr lang="en-US"/>
              </a:br>
              <a:r>
                <a:rPr lang="en-US"/>
                <a:t>This spreadsheet provides a consistent methodology for determining the electrical parameters required for proper filter performance, including reactance, inductance, capacitor reactive power, capacitor voltage rating, harmonic current duty, voltage stress, and damping resistance.</a:t>
              </a:r>
              <a:br>
                <a:rPr lang="en-US"/>
              </a:br>
              <a:endParaRPr lang="en-US"/>
            </a:p>
            <a:p>
              <a:r>
                <a:rPr lang="en-US" b="0"/>
                <a:t>The calculation process begins by sizing each tuned branch using the standard single-tuned notch-filter design method. For purposes of this description, a 13.8 kV, 1000 kvar filter branch is used as the example. After the components for each tuned branch are calculated, damping resistors R12, R23, and R34 are inserted between the filter branches at the load-side terminals of the tuning reactors.</a:t>
              </a:r>
            </a:p>
            <a:p>
              <a:br>
                <a:rPr lang="en-US" b="0"/>
              </a:br>
              <a:r>
                <a:rPr lang="en-US" b="0"/>
                <a:t>The tool then performs a frequency-domain harmonic analysis using a nodal admittance matrix, also commonly referred to as the Y-bus method, to calculate filter performance, node voltages, branch currents, and component duties across the harmonic spectrum. The matrix solution is performed using matrix factorization followed by forward and backward substitution.</a:t>
              </a:r>
            </a:p>
            <a:p>
              <a:r>
                <a:rPr lang="en-US" b="0"/>
                <a:t>The tool assumes that harmonic simulations have already been performed and that the current spectrum entering the harmonic filter is known. These harmonic current values are entered in the blue-highlighted fields in Rows 24 and 25 on Page 1.</a:t>
              </a:r>
            </a:p>
            <a:p>
              <a:br>
                <a:rPr lang="en-US" b="0"/>
              </a:br>
              <a:r>
                <a:rPr lang="en-US" b="0"/>
                <a:t>For additional information, engineering support, or custom filter designs, contact VarStec Power Solutions at info@varstec.com.</a:t>
              </a:r>
            </a:p>
            <a:p>
              <a:br>
                <a:rPr lang="en-US" sz="1100" b="0">
                  <a:solidFill>
                    <a:schemeClr val="dk1"/>
                  </a:solidFill>
                  <a:effectLst/>
                  <a:latin typeface="+mn-lt"/>
                  <a:ea typeface="+mn-ea"/>
                  <a:cs typeface="+mn-cs"/>
                </a:rPr>
              </a:br>
              <a:r>
                <a:rPr lang="en-US" sz="1100" b="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r>
                <a:rPr lang="en-US" sz="1100" b="0" i="0">
                  <a:solidFill>
                    <a:schemeClr val="dk1"/>
                  </a:solidFill>
                  <a:effectLst/>
                  <a:latin typeface="Cambria Math" panose="02040503050406030204" pitchFamily="18" charset="0"/>
                  <a:ea typeface="+mn-ea"/>
                  <a:cs typeface="+mn-cs"/>
                </a:rPr>
                <a:t>𝑄_𝑒𝑓𝑓  </a:t>
              </a:r>
              <a:r>
                <a:rPr lang="en-US" sz="1100" b="0">
                  <a:solidFill>
                    <a:schemeClr val="dk1"/>
                  </a:solidFill>
                  <a:effectLst/>
                  <a:latin typeface="+mn-lt"/>
                  <a:ea typeface="+mn-ea"/>
                  <a:cs typeface="+mn-cs"/>
                </a:rPr>
                <a:t>and forms the foundation </a:t>
              </a:r>
              <a:r>
                <a:rPr lang="en-US" sz="1100">
                  <a:solidFill>
                    <a:schemeClr val="dk1"/>
                  </a:solidFill>
                  <a:effectLst/>
                  <a:latin typeface="+mn-lt"/>
                  <a:ea typeface="+mn-ea"/>
                  <a:cs typeface="+mn-cs"/>
                </a:rPr>
                <a:t>of all subsequent calculations. Using the system’s nominal line-to-line voltage </a:t>
              </a:r>
              <a:r>
                <a:rPr lang="en-US" sz="1100" i="0">
                  <a:solidFill>
                    <a:schemeClr val="dk1"/>
                  </a:solidFill>
                  <a:effectLst/>
                  <a:latin typeface="Cambria Math" panose="02040503050406030204" pitchFamily="18" charset="0"/>
                  <a:ea typeface="+mn-ea"/>
                  <a:cs typeface="+mn-cs"/>
                </a:rPr>
                <a:t>𝑘𝑉_𝐿𝐿𝑆𝑌𝑆</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filter reactance, </a:t>
              </a:r>
              <a:r>
                <a:rPr lang="en-US" sz="1100" i="0">
                  <a:solidFill>
                    <a:schemeClr val="dk1"/>
                  </a:solidFill>
                  <a:effectLst/>
                  <a:latin typeface="Cambria Math" panose="02040503050406030204" pitchFamily="18" charset="0"/>
                  <a:ea typeface="+mn-ea"/>
                  <a:cs typeface="+mn-cs"/>
                </a:rPr>
                <a:t>𝑋_𝑒𝑓𝑓</a:t>
              </a:r>
              <a:r>
                <a:rPr lang="en-US" sz="1100">
                  <a:solidFill>
                    <a:schemeClr val="dk1"/>
                  </a:solidFill>
                  <a:effectLst/>
                  <a:latin typeface="+mn-lt"/>
                  <a:ea typeface="+mn-ea"/>
                  <a:cs typeface="+mn-cs"/>
                </a:rPr>
                <a:t>. For a notch type filter,  the summation of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sum to this</a:t>
              </a:r>
              <a:r>
                <a:rPr lang="en-US" sz="1100" baseline="0">
                  <a:solidFill>
                    <a:schemeClr val="dk1"/>
                  </a:solidFill>
                  <a:effectLst/>
                  <a:latin typeface="+mn-lt"/>
                  <a:ea typeface="+mn-ea"/>
                  <a:cs typeface="+mn-cs"/>
                </a:rPr>
                <a:t> value where </a:t>
              </a:r>
              <a:r>
                <a:rPr lang="en-US" sz="1100">
                  <a:solidFill>
                    <a:schemeClr val="dk1"/>
                  </a:solidFill>
                  <a:effectLst/>
                  <a:latin typeface="+mn-lt"/>
                  <a:ea typeface="+mn-ea"/>
                  <a:cs typeface="+mn-cs"/>
                </a:rPr>
                <a:t>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Xc and determined using</a:t>
              </a:r>
              <a:r>
                <a:rPr lang="en-US" sz="1100" baseline="0">
                  <a:solidFill>
                    <a:schemeClr val="dk1"/>
                  </a:solidFill>
                  <a:effectLst/>
                  <a:latin typeface="+mn-lt"/>
                  <a:ea typeface="+mn-ea"/>
                  <a:cs typeface="+mn-cs"/>
                </a:rPr>
                <a:t> the tuning point and the relationship:</a:t>
              </a:r>
              <a:r>
                <a:rPr lang="en-US" sz="1100">
                  <a:solidFill>
                    <a:schemeClr val="dk1"/>
                  </a:solidFill>
                  <a:effectLst/>
                  <a:latin typeface="+mn-lt"/>
                  <a:ea typeface="+mn-ea"/>
                  <a:cs typeface="+mn-cs"/>
                </a:rPr>
                <a:t> </a:t>
              </a:r>
              <a:r>
                <a:rPr lang="en-US" sz="1100" i="0">
                  <a:solidFill>
                    <a:schemeClr val="dk1"/>
                  </a:solidFill>
                  <a:effectLst/>
                  <a:latin typeface="Cambria Math" panose="02040503050406030204" pitchFamily="18" charset="0"/>
                  <a:ea typeface="+mn-ea"/>
                  <a:cs typeface="+mn-cs"/>
                </a:rPr>
                <a:t>𝑋_𝐶=(ℎ^2/(ℎ^2−1)) 𝑋_𝑒𝑓𝑓</a:t>
              </a:r>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br>
                <a:rPr lang="en-US" sz="1100" baseline="-25000">
                  <a:solidFill>
                    <a:schemeClr val="dk1"/>
                  </a:solidFill>
                  <a:effectLst/>
                  <a:latin typeface="+mn-lt"/>
                  <a:ea typeface="+mn-ea"/>
                  <a:cs typeface="+mn-cs"/>
                </a:rPr>
              </a:br>
              <a:br>
                <a:rPr lang="en-US" sz="1100" baseline="-25000">
                  <a:solidFill>
                    <a:schemeClr val="dk1"/>
                  </a:solidFill>
                  <a:effectLst/>
                  <a:latin typeface="+mn-lt"/>
                  <a:ea typeface="+mn-ea"/>
                  <a:cs typeface="+mn-cs"/>
                </a:rPr>
              </a:br>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capacitor kvar ratings is then determined using the rated operating voltage.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a:t>
              </a:r>
              <a:r>
                <a:rPr lang="en-US" sz="1100" baseline="0">
                  <a:solidFill>
                    <a:schemeClr val="dk1"/>
                  </a:solidFill>
                  <a:effectLst/>
                  <a:latin typeface="+mn-lt"/>
                  <a:ea typeface="+mn-ea"/>
                  <a:cs typeface="+mn-cs"/>
                </a:rPr>
                <a:t> H-type and associated notch type</a:t>
              </a:r>
              <a:r>
                <a:rPr lang="en-US" sz="1100">
                  <a:solidFill>
                    <a:schemeClr val="dk1"/>
                  </a:solidFill>
                  <a:effectLst/>
                  <a:latin typeface="+mn-lt"/>
                  <a:ea typeface="+mn-ea"/>
                  <a:cs typeface="+mn-cs"/>
                </a:rPr>
                <a:t> harmonic filters. This spreadsheet determines all critical design parameters, including reactances, inductance, kvar ratings, current loading, and voltage stress, using standardized electrical notation to provide traceability, transparency, and field-proven reliability.</a:t>
              </a:r>
              <a:endParaRPr lang="en-US">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100">
                <a:solidFill>
                  <a:schemeClr val="dk1"/>
                </a:solidFill>
                <a:effectLst/>
                <a:latin typeface="+mn-lt"/>
                <a:ea typeface="+mn-ea"/>
                <a:cs typeface="+mn-cs"/>
              </a:endParaRPr>
            </a:p>
            <a:p>
              <a:endParaRPr lang="en-US" sz="1100"/>
            </a:p>
          </xdr:txBody>
        </xdr:sp>
      </mc:Fallback>
    </mc:AlternateContent>
    <xdr:clientData/>
  </xdr:twoCellAnchor>
  <xdr:twoCellAnchor>
    <xdr:from>
      <xdr:col>55</xdr:col>
      <xdr:colOff>13842</xdr:colOff>
      <xdr:row>161</xdr:row>
      <xdr:rowOff>42261</xdr:rowOff>
    </xdr:from>
    <xdr:to>
      <xdr:col>81</xdr:col>
      <xdr:colOff>48986</xdr:colOff>
      <xdr:row>162</xdr:row>
      <xdr:rowOff>187130</xdr:rowOff>
    </xdr:to>
    <mc:AlternateContent xmlns:mc="http://schemas.openxmlformats.org/markup-compatibility/2006" xmlns:a14="http://schemas.microsoft.com/office/drawing/2010/main">
      <mc:Choice Requires="a14">
        <xdr:sp macro="" textlink="">
          <xdr:nvSpPr>
            <xdr:cNvPr id="19" name="TextBox 12">
              <a:extLst>
                <a:ext uri="{FF2B5EF4-FFF2-40B4-BE49-F238E27FC236}">
                  <a16:creationId xmlns:a16="http://schemas.microsoft.com/office/drawing/2014/main" id="{F95928E0-B9C8-48B5-BFFC-D174E3DF462D}"/>
                </a:ext>
              </a:extLst>
            </xdr:cNvPr>
            <xdr:cNvSpPr txBox="1"/>
          </xdr:nvSpPr>
          <xdr:spPr>
            <a:xfrm>
              <a:off x="9967467" y="36618261"/>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𝑋</m:t>
                      </m:r>
                    </m:e>
                    <m:sub>
                      <m:r>
                        <a:rPr lang="en-US" sz="1000" b="0" i="1">
                          <a:latin typeface="Cambria Math"/>
                        </a:rPr>
                        <m:t>𝑒𝑓𝑓</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𝑘𝑉</m:t>
                              </m:r>
                            </m:e>
                            <m:sub>
                              <m:r>
                                <a:rPr lang="en-US" sz="1000" b="0" i="1">
                                  <a:solidFill>
                                    <a:schemeClr val="tx1"/>
                                  </a:solidFill>
                                  <a:effectLst/>
                                  <a:latin typeface="Cambria Math"/>
                                </a:rPr>
                                <m:t>𝐿𝐿𝑆𝑌𝑆</m:t>
                              </m:r>
                            </m:sub>
                          </m:sSub>
                        </m:e>
                        <m:sup>
                          <m:r>
                            <a:rPr lang="en-US" sz="1000" b="0" i="1">
                              <a:solidFill>
                                <a:schemeClr val="tx1"/>
                              </a:solidFill>
                              <a:effectLst/>
                              <a:latin typeface="Cambria Math"/>
                            </a:rPr>
                            <m:t>2</m:t>
                          </m:r>
                        </m:sup>
                      </m:sSup>
                    </m:num>
                    <m:den>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den>
                  </m:f>
                </m:oMath>
              </a14:m>
              <a:r>
                <a:rPr lang="en-US" sz="1000" b="0"/>
                <a:t> (ohms) = </a:t>
              </a:r>
              <a14:m>
                <m:oMath xmlns:m="http://schemas.openxmlformats.org/officeDocument/2006/math">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r>
                            <a:rPr lang="en-US" sz="1000" b="0" i="1">
                              <a:latin typeface="Cambria Math"/>
                            </a:rPr>
                            <m:t>13.8</m:t>
                          </m:r>
                        </m:e>
                        <m:sup>
                          <m:r>
                            <a:rPr lang="en-US" sz="1000" i="1">
                              <a:latin typeface="Cambria Math"/>
                            </a:rPr>
                            <m:t>2</m:t>
                          </m:r>
                        </m:sup>
                      </m:sSup>
                    </m:num>
                    <m:den>
                      <m:r>
                        <a:rPr lang="en-US" sz="1000" b="0" i="1">
                          <a:latin typeface="Cambria Math" panose="02040503050406030204" pitchFamily="18" charset="0"/>
                        </a:rPr>
                        <m:t>1.0</m:t>
                      </m:r>
                      <m:r>
                        <a:rPr lang="en-US" sz="1000" i="1">
                          <a:latin typeface="Cambria Math"/>
                        </a:rPr>
                        <m:t> </m:t>
                      </m:r>
                    </m:den>
                  </m:f>
                  <m:r>
                    <a:rPr lang="en-US" sz="1000" b="0" i="1">
                      <a:latin typeface="Cambria Math"/>
                    </a:rPr>
                    <m:t>=</m:t>
                  </m:r>
                  <m:r>
                    <a:rPr lang="en-US" sz="1000" b="0" i="1">
                      <a:latin typeface="Cambria Math" panose="02040503050406030204" pitchFamily="18" charset="0"/>
                    </a:rPr>
                    <m:t>190.4</m:t>
                  </m:r>
                  <m:r>
                    <a:rPr lang="en-US" sz="1000" b="0" i="1">
                      <a:latin typeface="Cambria Math"/>
                    </a:rPr>
                    <m:t> (</m:t>
                  </m:r>
                  <m:r>
                    <a:rPr lang="en-US" sz="1000" b="0" i="1">
                      <a:latin typeface="Cambria Math"/>
                    </a:rPr>
                    <m:t>𝑜h𝑚𝑠</m:t>
                  </m:r>
                  <m:r>
                    <a:rPr lang="en-US" sz="1000" b="0" i="1">
                      <a:latin typeface="Cambria Math"/>
                    </a:rPr>
                    <m:t>)</m:t>
                  </m:r>
                </m:oMath>
              </a14:m>
              <a:r>
                <a:rPr lang="en-US" sz="1000" b="0"/>
                <a:t> </a:t>
              </a:r>
            </a:p>
          </xdr:txBody>
        </xdr:sp>
      </mc:Choice>
      <mc:Fallback xmlns="">
        <xdr:sp macro="" textlink="">
          <xdr:nvSpPr>
            <xdr:cNvPr id="19" name="TextBox 12">
              <a:extLst>
                <a:ext uri="{FF2B5EF4-FFF2-40B4-BE49-F238E27FC236}">
                  <a16:creationId xmlns:a16="http://schemas.microsoft.com/office/drawing/2014/main" id="{F95928E0-B9C8-48B5-BFFC-D174E3DF462D}"/>
                </a:ext>
              </a:extLst>
            </xdr:cNvPr>
            <xdr:cNvSpPr txBox="1"/>
          </xdr:nvSpPr>
          <xdr:spPr>
            <a:xfrm>
              <a:off x="9967467" y="36618261"/>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𝑒𝑓𝑓</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𝑘𝑉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𝐿𝐿𝑆𝑌𝑆</a:t>
              </a:r>
              <a:r>
                <a:rPr lang="en-US" sz="1000" b="0" i="0">
                  <a:solidFill>
                    <a:schemeClr val="tx1"/>
                  </a:solidFill>
                  <a:effectLst/>
                  <a:latin typeface="Cambria Math" panose="02040503050406030204" pitchFamily="18" charset="0"/>
                </a:rPr>
                <a:t>〗^</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rPr>
                <a:t> </a:t>
              </a:r>
              <a:r>
                <a:rPr lang="en-US" sz="1000" b="0"/>
                <a:t> (ohms) = </a:t>
              </a:r>
              <a:r>
                <a:rPr lang="en-US" sz="1000" i="0">
                  <a:latin typeface="Cambria Math" panose="02040503050406030204" pitchFamily="18" charset="0"/>
                </a:rPr>
                <a:t>〖</a:t>
              </a:r>
              <a:r>
                <a:rPr lang="en-US" sz="1000" b="0" i="0">
                  <a:latin typeface="Cambria Math"/>
                </a:rPr>
                <a:t>13.8</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1.0</a:t>
              </a:r>
              <a:r>
                <a:rPr lang="en-US" sz="1000" i="0">
                  <a:latin typeface="Cambria Math"/>
                </a:rPr>
                <a:t> </a:t>
              </a:r>
              <a:r>
                <a:rPr lang="en-US" sz="1000" i="0">
                  <a:latin typeface="Cambria Math" panose="02040503050406030204" pitchFamily="18" charset="0"/>
                  <a:ea typeface="Cambria Math"/>
                </a:rPr>
                <a:t>)</a:t>
              </a:r>
              <a:r>
                <a:rPr lang="en-US" sz="1000" b="0" i="0">
                  <a:latin typeface="Cambria Math"/>
                </a:rPr>
                <a:t>=</a:t>
              </a:r>
              <a:r>
                <a:rPr lang="en-US" sz="1000" b="0" i="0">
                  <a:latin typeface="Cambria Math" panose="02040503050406030204" pitchFamily="18" charset="0"/>
                </a:rPr>
                <a:t>190.4</a:t>
              </a:r>
              <a:r>
                <a:rPr lang="en-US" sz="1000" b="0" i="0">
                  <a:latin typeface="Cambria Math"/>
                </a:rPr>
                <a:t> (𝑜ℎ𝑚𝑠)</a:t>
              </a:r>
              <a:r>
                <a:rPr lang="en-US" sz="1000" b="0"/>
                <a:t> </a:t>
              </a:r>
            </a:p>
          </xdr:txBody>
        </xdr:sp>
      </mc:Fallback>
    </mc:AlternateContent>
    <xdr:clientData/>
  </xdr:twoCellAnchor>
  <xdr:twoCellAnchor>
    <xdr:from>
      <xdr:col>55</xdr:col>
      <xdr:colOff>13842</xdr:colOff>
      <xdr:row>162</xdr:row>
      <xdr:rowOff>107073</xdr:rowOff>
    </xdr:from>
    <xdr:to>
      <xdr:col>83</xdr:col>
      <xdr:colOff>163286</xdr:colOff>
      <xdr:row>163</xdr:row>
      <xdr:rowOff>213405</xdr:rowOff>
    </xdr:to>
    <mc:AlternateContent xmlns:mc="http://schemas.openxmlformats.org/markup-compatibility/2006" xmlns:a14="http://schemas.microsoft.com/office/drawing/2010/main">
      <mc:Choice Requires="a14">
        <xdr:sp macro="" textlink="">
          <xdr:nvSpPr>
            <xdr:cNvPr id="20" name="TextBox 15">
              <a:extLst>
                <a:ext uri="{FF2B5EF4-FFF2-40B4-BE49-F238E27FC236}">
                  <a16:creationId xmlns:a16="http://schemas.microsoft.com/office/drawing/2014/main" id="{E7A3BA04-FB20-4EB6-9F77-EFDCE15635AC}"/>
                </a:ext>
              </a:extLst>
            </xdr:cNvPr>
            <xdr:cNvSpPr txBox="1"/>
          </xdr:nvSpPr>
          <xdr:spPr>
            <a:xfrm>
              <a:off x="9967467" y="36911673"/>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𝐶</m:t>
                      </m:r>
                    </m:sub>
                  </m:sSub>
                  <m:r>
                    <a:rPr lang="en-US" sz="1000" i="1">
                      <a:latin typeface="Cambria Math"/>
                      <a:ea typeface="Cambria Math"/>
                    </a:rPr>
                    <m:t>=</m:t>
                  </m:r>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r>
                            <a:rPr lang="en-US" sz="1000" b="0" i="1">
                              <a:latin typeface="Cambria Math"/>
                              <a:ea typeface="Cambria Math"/>
                            </a:rPr>
                            <m:t>−1</m:t>
                          </m:r>
                        </m:den>
                      </m:f>
                    </m:e>
                  </m:d>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𝑒𝑓𝑓</m:t>
                      </m:r>
                    </m:sub>
                  </m:sSub>
                </m:oMath>
              </a14:m>
              <a:r>
                <a:rPr lang="en-US" sz="1000"/>
                <a:t> (ohms) = </a:t>
              </a:r>
              <a14:m>
                <m:oMath xmlns:m="http://schemas.openxmlformats.org/officeDocument/2006/math">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r>
                            <a:rPr lang="en-US" sz="1000" i="1">
                              <a:latin typeface="Cambria Math"/>
                              <a:ea typeface="Cambria Math"/>
                            </a:rPr>
                            <m:t>−1</m:t>
                          </m:r>
                        </m:den>
                      </m:f>
                    </m:e>
                  </m:d>
                </m:oMath>
              </a14:m>
              <a:r>
                <a:rPr lang="en-US" sz="1000"/>
                <a:t> 190.4 (ohms)=199.4 (ohms)</a:t>
              </a:r>
            </a:p>
          </xdr:txBody>
        </xdr:sp>
      </mc:Choice>
      <mc:Fallback xmlns="">
        <xdr:sp macro="" textlink="">
          <xdr:nvSpPr>
            <xdr:cNvPr id="20" name="TextBox 15">
              <a:extLst>
                <a:ext uri="{FF2B5EF4-FFF2-40B4-BE49-F238E27FC236}">
                  <a16:creationId xmlns:a16="http://schemas.microsoft.com/office/drawing/2014/main" id="{E7A3BA04-FB20-4EB6-9F77-EFDCE15635AC}"/>
                </a:ext>
              </a:extLst>
            </xdr:cNvPr>
            <xdr:cNvSpPr txBox="1"/>
          </xdr:nvSpPr>
          <xdr:spPr>
            <a:xfrm>
              <a:off x="9967467" y="36911673"/>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𝐶</a:t>
              </a:r>
              <a:r>
                <a:rPr lang="en-US" sz="1000" i="0">
                  <a:latin typeface="Cambria Math"/>
                  <a:ea typeface="Cambria Math"/>
                </a:rPr>
                <a:t>=</a:t>
              </a:r>
              <a:r>
                <a:rPr lang="en-US" sz="100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2−1</a:t>
              </a:r>
              <a:r>
                <a:rPr lang="en-US" sz="1000" b="0" i="0">
                  <a:latin typeface="Cambria Math" panose="02040503050406030204" pitchFamily="18" charset="0"/>
                  <a:ea typeface="Cambria Math"/>
                </a:rPr>
                <a:t>)) </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𝑒𝑓𝑓</a:t>
              </a:r>
              <a:r>
                <a:rPr lang="en-US" sz="1000"/>
                <a:t> (ohms) = </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2−1</a:t>
              </a:r>
              <a:r>
                <a:rPr lang="en-US" sz="1000" i="0">
                  <a:latin typeface="Cambria Math" panose="02040503050406030204" pitchFamily="18" charset="0"/>
                  <a:ea typeface="Cambria Math"/>
                </a:rPr>
                <a:t>))</a:t>
              </a:r>
              <a:r>
                <a:rPr lang="en-US" sz="1000"/>
                <a:t> 190.4 (ohms)=199.4 (ohms)</a:t>
              </a:r>
            </a:p>
          </xdr:txBody>
        </xdr:sp>
      </mc:Fallback>
    </mc:AlternateContent>
    <xdr:clientData/>
  </xdr:twoCellAnchor>
  <xdr:twoCellAnchor>
    <xdr:from>
      <xdr:col>55</xdr:col>
      <xdr:colOff>13842</xdr:colOff>
      <xdr:row>164</xdr:row>
      <xdr:rowOff>17175</xdr:rowOff>
    </xdr:from>
    <xdr:to>
      <xdr:col>78</xdr:col>
      <xdr:colOff>144236</xdr:colOff>
      <xdr:row>165</xdr:row>
      <xdr:rowOff>99494</xdr:rowOff>
    </xdr:to>
    <mc:AlternateContent xmlns:mc="http://schemas.openxmlformats.org/markup-compatibility/2006" xmlns:a14="http://schemas.microsoft.com/office/drawing/2010/main">
      <mc:Choice Requires="a14">
        <xdr:sp macro="" textlink="">
          <xdr:nvSpPr>
            <xdr:cNvPr id="21" name="TextBox 17">
              <a:extLst>
                <a:ext uri="{FF2B5EF4-FFF2-40B4-BE49-F238E27FC236}">
                  <a16:creationId xmlns:a16="http://schemas.microsoft.com/office/drawing/2014/main" id="{08877C6C-5490-4EB9-A4B5-596518A61650}"/>
                </a:ext>
              </a:extLst>
            </xdr:cNvPr>
            <xdr:cNvSpPr txBox="1"/>
          </xdr:nvSpPr>
          <xdr:spPr>
            <a:xfrm>
              <a:off x="9967467" y="37278975"/>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𝐿</m:t>
                      </m:r>
                    </m:sub>
                  </m:sSub>
                  <m:r>
                    <a:rPr lang="en-US" sz="1000" i="1">
                      <a:latin typeface="Cambria Math"/>
                      <a:ea typeface="Cambria Math"/>
                    </a:rPr>
                    <m:t>=</m:t>
                  </m:r>
                  <m:f>
                    <m:fPr>
                      <m:ctrlPr>
                        <a:rPr lang="en-US" sz="1000" i="1">
                          <a:latin typeface="Cambria Math" panose="02040503050406030204" pitchFamily="18" charset="0"/>
                          <a:ea typeface="Cambria Math"/>
                        </a:rPr>
                      </m:ctrlPr>
                    </m:fPr>
                    <m:num>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den>
                  </m:f>
                </m:oMath>
              </a14:m>
              <a:r>
                <a:rPr lang="en-US" sz="1000"/>
                <a:t> =</a:t>
              </a:r>
              <a14:m>
                <m:oMath xmlns:m="http://schemas.openxmlformats.org/officeDocument/2006/math">
                  <m:r>
                    <a:rPr lang="en-US" sz="1000" b="0" i="0">
                      <a:latin typeface="Cambria Math"/>
                      <a:ea typeface="Cambria Math"/>
                    </a:rPr>
                    <m:t> </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199.4</m:t>
                      </m:r>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den>
                  </m:f>
                  <m:r>
                    <a:rPr lang="en-US" sz="1000" b="0" i="1">
                      <a:latin typeface="Cambria Math"/>
                      <a:ea typeface="Cambria Math"/>
                    </a:rPr>
                    <m:t>=</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21" name="TextBox 17">
              <a:extLst>
                <a:ext uri="{FF2B5EF4-FFF2-40B4-BE49-F238E27FC236}">
                  <a16:creationId xmlns:a16="http://schemas.microsoft.com/office/drawing/2014/main" id="{08877C6C-5490-4EB9-A4B5-596518A61650}"/>
                </a:ext>
              </a:extLst>
            </xdr:cNvPr>
            <xdr:cNvSpPr txBox="1"/>
          </xdr:nvSpPr>
          <xdr:spPr>
            <a:xfrm>
              <a:off x="9967467" y="37278975"/>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𝐿</a:t>
              </a:r>
              <a:r>
                <a:rPr lang="en-US" sz="1000" i="0">
                  <a:latin typeface="Cambria Math"/>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 </a:t>
              </a:r>
              <a:r>
                <a:rPr lang="en-US" sz="1000"/>
                <a:t> =</a:t>
              </a:r>
              <a:r>
                <a:rPr lang="en-US" sz="1000" b="0" i="0">
                  <a:latin typeface="Cambria Math"/>
                  <a:ea typeface="Cambria Math"/>
                </a:rPr>
                <a:t> </a:t>
              </a:r>
              <a:r>
                <a:rPr lang="en-US" sz="1000" b="0" i="0">
                  <a:latin typeface="Cambria Math" panose="02040503050406030204" pitchFamily="18" charset="0"/>
                  <a:ea typeface="Cambria Math"/>
                </a:rPr>
                <a:t> 199.4/〖</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55</xdr:col>
      <xdr:colOff>26298</xdr:colOff>
      <xdr:row>171</xdr:row>
      <xdr:rowOff>184875</xdr:rowOff>
    </xdr:from>
    <xdr:to>
      <xdr:col>79</xdr:col>
      <xdr:colOff>150123</xdr:colOff>
      <xdr:row>173</xdr:row>
      <xdr:rowOff>188624</xdr:rowOff>
    </xdr:to>
    <mc:AlternateContent xmlns:mc="http://schemas.openxmlformats.org/markup-compatibility/2006" xmlns:a14="http://schemas.microsoft.com/office/drawing/2010/main">
      <mc:Choice Requires="a14">
        <xdr:sp macro="" textlink="">
          <xdr:nvSpPr>
            <xdr:cNvPr id="22" name="TextBox 13">
              <a:extLst>
                <a:ext uri="{FF2B5EF4-FFF2-40B4-BE49-F238E27FC236}">
                  <a16:creationId xmlns:a16="http://schemas.microsoft.com/office/drawing/2014/main" id="{A8034405-2C29-4D00-BFCC-CCAE2A95F541}"/>
                </a:ext>
              </a:extLst>
            </xdr:cNvPr>
            <xdr:cNvSpPr txBox="1"/>
          </xdr:nvSpPr>
          <xdr:spPr>
            <a:xfrm>
              <a:off x="9979923" y="39046875"/>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800" b="0" i="1">
                            <a:latin typeface="Cambria Math" panose="02040503050406030204" pitchFamily="18" charset="0"/>
                          </a:rPr>
                        </m:ctrlPr>
                      </m:sSubPr>
                      <m:e>
                        <m:r>
                          <a:rPr lang="en-US" sz="800" b="0" i="1">
                            <a:latin typeface="Cambria Math"/>
                          </a:rPr>
                          <m:t>𝐼</m:t>
                        </m:r>
                      </m:e>
                      <m:sub>
                        <m:r>
                          <a:rPr lang="en-US" sz="800" b="0" i="1">
                            <a:latin typeface="Cambria Math"/>
                          </a:rPr>
                          <m:t>𝐹𝐼𝐿𝑇𝐸𝑅</m:t>
                        </m:r>
                        <m:r>
                          <a:rPr lang="en-US" sz="800" b="0" i="1">
                            <a:latin typeface="Cambria Math"/>
                          </a:rPr>
                          <m:t> </m:t>
                        </m:r>
                        <m:r>
                          <a:rPr lang="en-US" sz="800" b="0" i="1">
                            <a:latin typeface="Cambria Math"/>
                          </a:rPr>
                          <m:t>𝑅𝑀𝑆</m:t>
                        </m:r>
                        <m:r>
                          <a:rPr lang="en-US" sz="800" b="0" i="1">
                            <a:latin typeface="Cambria Math"/>
                          </a:rPr>
                          <m:t> </m:t>
                        </m:r>
                        <m:r>
                          <a:rPr lang="en-US" sz="800" b="0" i="1">
                            <a:latin typeface="Cambria Math"/>
                          </a:rPr>
                          <m:t>𝐶𝑈𝑅𝑅𝐸𝑁𝑇</m:t>
                        </m:r>
                      </m:sub>
                    </m:sSub>
                    <m:r>
                      <a:rPr lang="en-US" sz="800" b="0" i="1">
                        <a:latin typeface="Cambria Math"/>
                        <a:ea typeface="Cambria Math"/>
                      </a:rPr>
                      <m:t>=</m:t>
                    </m:r>
                    <m:rad>
                      <m:radPr>
                        <m:degHide m:val="on"/>
                        <m:ctrlPr>
                          <a:rPr lang="en-US" sz="800" b="0" i="1">
                            <a:latin typeface="Cambria Math" panose="02040503050406030204" pitchFamily="18" charset="0"/>
                            <a:ea typeface="Cambria Math"/>
                          </a:rPr>
                        </m:ctrlPr>
                      </m:radPr>
                      <m:deg/>
                      <m:e>
                        <m:nary>
                          <m:naryPr>
                            <m:chr m:val="∑"/>
                            <m:ctrlPr>
                              <a:rPr lang="en-US" sz="800" b="0" i="1">
                                <a:latin typeface="Cambria Math" panose="02040503050406030204" pitchFamily="18" charset="0"/>
                                <a:ea typeface="Cambria Math"/>
                              </a:rPr>
                            </m:ctrlPr>
                          </m:naryPr>
                          <m:sub>
                            <m:r>
                              <m:rPr>
                                <m:brk m:alnAt="23"/>
                              </m:rPr>
                              <a:rPr lang="en-US" sz="800" b="0" i="1">
                                <a:latin typeface="Cambria Math"/>
                                <a:ea typeface="Cambria Math"/>
                              </a:rPr>
                              <m:t>𝑛</m:t>
                            </m:r>
                            <m:r>
                              <a:rPr lang="en-US" sz="800" b="0" i="1">
                                <a:latin typeface="Cambria Math"/>
                                <a:ea typeface="Cambria Math"/>
                              </a:rPr>
                              <m:t>=1</m:t>
                            </m:r>
                          </m:sub>
                          <m:sup>
                            <m:r>
                              <a:rPr lang="en-US" sz="800" b="0" i="1">
                                <a:latin typeface="Cambria Math"/>
                                <a:ea typeface="Cambria Math"/>
                              </a:rPr>
                              <m:t>𝑛</m:t>
                            </m:r>
                          </m:sup>
                          <m:e>
                            <m:sSubSup>
                              <m:sSubSupPr>
                                <m:ctrlPr>
                                  <a:rPr lang="en-US" sz="1000" b="0" i="1" kern="1200">
                                    <a:solidFill>
                                      <a:schemeClr val="tx1"/>
                                    </a:solidFill>
                                    <a:effectLst/>
                                    <a:latin typeface="Cambria Math" panose="02040503050406030204" pitchFamily="18" charset="0"/>
                                    <a:ea typeface="+mn-ea"/>
                                    <a:cs typeface="+mn-cs"/>
                                  </a:rPr>
                                </m:ctrlPr>
                              </m:sSubSupPr>
                              <m:e>
                                <m:r>
                                  <a:rPr lang="en-US" sz="1000" b="0" i="1" kern="1200">
                                    <a:solidFill>
                                      <a:schemeClr val="tx1"/>
                                    </a:solidFill>
                                    <a:effectLst/>
                                    <a:latin typeface="Cambria Math" panose="02040503050406030204" pitchFamily="18" charset="0"/>
                                    <a:ea typeface="+mn-ea"/>
                                    <a:cs typeface="+mn-cs"/>
                                  </a:rPr>
                                  <m:t>𝐼</m:t>
                                </m:r>
                              </m:e>
                              <m:sub>
                                <m:r>
                                  <a:rPr lang="en-US" sz="1000" b="0" i="1" kern="1200">
                                    <a:solidFill>
                                      <a:schemeClr val="tx1"/>
                                    </a:solidFill>
                                    <a:effectLst/>
                                    <a:latin typeface="Cambria Math" panose="02040503050406030204" pitchFamily="18" charset="0"/>
                                    <a:ea typeface="+mn-ea"/>
                                    <a:cs typeface="+mn-cs"/>
                                  </a:rPr>
                                  <m:t>𝑛</m:t>
                                </m:r>
                              </m:sub>
                              <m:sup>
                                <m:r>
                                  <a:rPr lang="en-US" sz="1000" b="0" i="1" kern="1200">
                                    <a:solidFill>
                                      <a:schemeClr val="tx1"/>
                                    </a:solidFill>
                                    <a:effectLst/>
                                    <a:latin typeface="Cambria Math" panose="02040503050406030204" pitchFamily="18" charset="0"/>
                                    <a:ea typeface="+mn-ea"/>
                                    <a:cs typeface="+mn-cs"/>
                                  </a:rPr>
                                  <m:t>2</m:t>
                                </m:r>
                              </m:sup>
                            </m:sSubSup>
                          </m:e>
                        </m:nary>
                      </m:e>
                    </m:rad>
                  </m:oMath>
                </m:oMathPara>
              </a14:m>
              <a:endParaRPr lang="en-US" sz="800" b="0"/>
            </a:p>
          </xdr:txBody>
        </xdr:sp>
      </mc:Choice>
      <mc:Fallback xmlns="">
        <xdr:sp macro="" textlink="">
          <xdr:nvSpPr>
            <xdr:cNvPr id="22" name="TextBox 13">
              <a:extLst>
                <a:ext uri="{FF2B5EF4-FFF2-40B4-BE49-F238E27FC236}">
                  <a16:creationId xmlns:a16="http://schemas.microsoft.com/office/drawing/2014/main" id="{A8034405-2C29-4D00-BFCC-CCAE2A95F541}"/>
                </a:ext>
              </a:extLst>
            </xdr:cNvPr>
            <xdr:cNvSpPr txBox="1"/>
          </xdr:nvSpPr>
          <xdr:spPr>
            <a:xfrm>
              <a:off x="9979923" y="39046875"/>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800" b="0" i="0">
                  <a:latin typeface="Cambria Math"/>
                </a:rPr>
                <a:t>𝐼</a:t>
              </a:r>
              <a:r>
                <a:rPr lang="en-US" sz="800" b="0" i="0">
                  <a:latin typeface="Cambria Math" panose="02040503050406030204" pitchFamily="18" charset="0"/>
                </a:rPr>
                <a:t>_(</a:t>
              </a:r>
              <a:r>
                <a:rPr lang="en-US" sz="800" b="0" i="0">
                  <a:latin typeface="Cambria Math"/>
                </a:rPr>
                <a:t>𝐹𝐼𝐿𝑇𝐸𝑅 𝑅𝑀𝑆 𝐶𝑈𝑅𝑅𝐸𝑁𝑇</a:t>
              </a:r>
              <a:r>
                <a:rPr lang="en-US" sz="800" b="0" i="0">
                  <a:latin typeface="Cambria Math" panose="02040503050406030204" pitchFamily="18" charset="0"/>
                </a:rPr>
                <a:t>)</a:t>
              </a:r>
              <a:r>
                <a:rPr lang="en-US" sz="800" b="0" i="0">
                  <a:latin typeface="Cambria Math"/>
                  <a:ea typeface="Cambria Math"/>
                </a:rPr>
                <a:t>=</a:t>
              </a:r>
              <a:r>
                <a:rPr lang="en-US" sz="800" b="0" i="0">
                  <a:latin typeface="Cambria Math" panose="02040503050406030204" pitchFamily="18" charset="0"/>
                  <a:ea typeface="Cambria Math"/>
                </a:rPr>
                <a:t>√(∑_(</a:t>
              </a:r>
              <a:r>
                <a:rPr lang="en-US" sz="800" b="0" i="0">
                  <a:latin typeface="Cambria Math"/>
                  <a:ea typeface="Cambria Math"/>
                </a:rPr>
                <a:t>𝑛=1</a:t>
              </a:r>
              <a:r>
                <a:rPr lang="en-US" sz="800" b="0" i="0">
                  <a:latin typeface="Cambria Math" panose="02040503050406030204" pitchFamily="18" charset="0"/>
                  <a:ea typeface="Cambria Math"/>
                </a:rPr>
                <a:t>)^</a:t>
              </a:r>
              <a:r>
                <a:rPr lang="en-US" sz="800" b="0" i="0">
                  <a:latin typeface="Cambria Math"/>
                  <a:ea typeface="Cambria Math"/>
                </a:rPr>
                <a:t>𝑛</a:t>
              </a:r>
              <a:r>
                <a:rPr lang="en-US" sz="1000" b="0" i="0" kern="1200">
                  <a:solidFill>
                    <a:schemeClr val="tx1"/>
                  </a:solidFill>
                  <a:effectLst/>
                  <a:latin typeface="Cambria Math" panose="02040503050406030204" pitchFamily="18" charset="0"/>
                  <a:ea typeface="+mn-ea"/>
                  <a:cs typeface="+mn-cs"/>
                </a:rPr>
                <a:t>▒𝐼_𝑛^2 </a:t>
              </a:r>
              <a:r>
                <a:rPr lang="en-US" sz="800" b="0" i="0" kern="1200">
                  <a:solidFill>
                    <a:schemeClr val="tx1"/>
                  </a:solidFill>
                  <a:effectLst/>
                  <a:latin typeface="Cambria Math" panose="02040503050406030204" pitchFamily="18" charset="0"/>
                  <a:ea typeface="Cambria Math"/>
                  <a:cs typeface="+mn-cs"/>
                </a:rPr>
                <a:t>)</a:t>
              </a:r>
              <a:endParaRPr lang="en-US" sz="800" b="0"/>
            </a:p>
          </xdr:txBody>
        </xdr:sp>
      </mc:Fallback>
    </mc:AlternateContent>
    <xdr:clientData/>
  </xdr:twoCellAnchor>
  <xdr:twoCellAnchor>
    <xdr:from>
      <xdr:col>55</xdr:col>
      <xdr:colOff>32867</xdr:colOff>
      <xdr:row>169</xdr:row>
      <xdr:rowOff>143376</xdr:rowOff>
    </xdr:from>
    <xdr:to>
      <xdr:col>83</xdr:col>
      <xdr:colOff>51917</xdr:colOff>
      <xdr:row>170</xdr:row>
      <xdr:rowOff>194845</xdr:rowOff>
    </xdr:to>
    <mc:AlternateContent xmlns:mc="http://schemas.openxmlformats.org/markup-compatibility/2006" xmlns:a14="http://schemas.microsoft.com/office/drawing/2010/main">
      <mc:Choice Requires="a14">
        <xdr:sp macro="" textlink="">
          <xdr:nvSpPr>
            <xdr:cNvPr id="23" name="TextBox 14">
              <a:extLst>
                <a:ext uri="{FF2B5EF4-FFF2-40B4-BE49-F238E27FC236}">
                  <a16:creationId xmlns:a16="http://schemas.microsoft.com/office/drawing/2014/main" id="{4E1AC42D-96AB-4AFE-8F3C-F63D12867F3D}"/>
                </a:ext>
              </a:extLst>
            </xdr:cNvPr>
            <xdr:cNvSpPr txBox="1"/>
          </xdr:nvSpPr>
          <xdr:spPr>
            <a:xfrm>
              <a:off x="9986492" y="38548176"/>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𝑅𝐴𝑇𝐸𝐷</m:t>
                        </m:r>
                        <m:r>
                          <a:rPr lang="en-US" sz="1000" b="0" i="1">
                            <a:latin typeface="Cambria Math"/>
                          </a:rPr>
                          <m:t> </m:t>
                        </m:r>
                        <m:r>
                          <a:rPr lang="en-US" sz="1000" b="0" i="1">
                            <a:latin typeface="Cambria Math"/>
                          </a:rPr>
                          <m:t>𝐹𝑈𝑁𝐷𝐴𝑀𝐸𝑁𝑇𝐴𝐿</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num>
                      <m:den>
                        <m:r>
                          <a:rPr lang="en-US" sz="1000" b="0" i="1">
                            <a:latin typeface="Cambria Math"/>
                            <a:ea typeface="Cambria Math"/>
                          </a:rPr>
                          <m:t>1.73×</m:t>
                        </m:r>
                        <m:sSub>
                          <m:sSubPr>
                            <m:ctrlPr>
                              <a:rPr lang="en-US" sz="1100" b="0" i="1" kern="1200">
                                <a:solidFill>
                                  <a:schemeClr val="tx1"/>
                                </a:solidFill>
                                <a:effectLst/>
                                <a:latin typeface="Cambria Math" panose="02040503050406030204" pitchFamily="18" charset="0"/>
                                <a:ea typeface="+mn-ea"/>
                                <a:cs typeface="+mn-cs"/>
                              </a:rPr>
                            </m:ctrlPr>
                          </m:sSubPr>
                          <m:e>
                            <m:r>
                              <a:rPr lang="en-US" sz="1100" b="0" i="1" kern="1200">
                                <a:solidFill>
                                  <a:schemeClr val="tx1"/>
                                </a:solidFill>
                                <a:effectLst/>
                                <a:latin typeface="Cambria Math" panose="02040503050406030204" pitchFamily="18" charset="0"/>
                                <a:ea typeface="+mn-ea"/>
                                <a:cs typeface="+mn-cs"/>
                              </a:rPr>
                              <m:t>𝑘𝑉</m:t>
                            </m:r>
                          </m:e>
                          <m:sub>
                            <m:r>
                              <a:rPr lang="en-US" sz="1100" b="0" i="1" kern="1200">
                                <a:solidFill>
                                  <a:schemeClr val="tx1"/>
                                </a:solidFill>
                                <a:effectLst/>
                                <a:latin typeface="Cambria Math" panose="02040503050406030204" pitchFamily="18" charset="0"/>
                                <a:ea typeface="+mn-ea"/>
                                <a:cs typeface="+mn-cs"/>
                              </a:rPr>
                              <m:t>𝐿𝐿𝑆𝑌𝑆</m:t>
                            </m:r>
                          </m:sub>
                        </m:sSub>
                      </m:den>
                    </m:f>
                    <m:r>
                      <a:rPr lang="en-US" sz="1000" b="0" i="1">
                        <a:latin typeface="Cambria Math"/>
                        <a:ea typeface="Cambria Math"/>
                      </a:rPr>
                      <m:t>×1000=</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1.0</m:t>
                        </m:r>
                      </m:num>
                      <m:den>
                        <m:r>
                          <a:rPr lang="en-US" sz="1000" i="1">
                            <a:latin typeface="Cambria Math"/>
                            <a:ea typeface="Cambria Math"/>
                          </a:rPr>
                          <m:t>1.73×</m:t>
                        </m:r>
                        <m:r>
                          <a:rPr lang="en-US" sz="1000" b="0" i="1">
                            <a:latin typeface="Cambria Math"/>
                            <a:ea typeface="Cambria Math"/>
                          </a:rPr>
                          <m:t>13.8</m:t>
                        </m:r>
                      </m:den>
                    </m:f>
                    <m:r>
                      <a:rPr lang="en-US" sz="1000" i="1">
                        <a:latin typeface="Cambria Math"/>
                        <a:ea typeface="Cambria Math"/>
                      </a:rPr>
                      <m:t>×1000</m:t>
                    </m:r>
                    <m:r>
                      <a:rPr lang="en-US" sz="1000" b="0" i="1">
                        <a:latin typeface="Cambria Math"/>
                        <a:ea typeface="Cambria Math"/>
                      </a:rPr>
                      <m:t>=</m:t>
                    </m:r>
                    <m:r>
                      <a:rPr lang="en-US" sz="1000" b="0" i="1">
                        <a:latin typeface="Cambria Math" panose="02040503050406030204" pitchFamily="18" charset="0"/>
                        <a:ea typeface="Cambria Math"/>
                      </a:rPr>
                      <m:t>41.88</m:t>
                    </m:r>
                    <m:r>
                      <a:rPr lang="en-US" sz="1000" b="0" i="1">
                        <a:latin typeface="Cambria Math"/>
                        <a:ea typeface="Cambria Math"/>
                      </a:rPr>
                      <m:t> </m:t>
                    </m:r>
                    <m:r>
                      <a:rPr lang="en-US" sz="1000" b="0" i="1">
                        <a:latin typeface="Cambria Math"/>
                        <a:ea typeface="Cambria Math"/>
                      </a:rPr>
                      <m:t>𝑎𝑚𝑝𝑠</m:t>
                    </m:r>
                  </m:oMath>
                </m:oMathPara>
              </a14:m>
              <a:endParaRPr lang="en-US" sz="1000" b="0"/>
            </a:p>
          </xdr:txBody>
        </xdr:sp>
      </mc:Choice>
      <mc:Fallback xmlns="">
        <xdr:sp macro="" textlink="">
          <xdr:nvSpPr>
            <xdr:cNvPr id="23" name="TextBox 14">
              <a:extLst>
                <a:ext uri="{FF2B5EF4-FFF2-40B4-BE49-F238E27FC236}">
                  <a16:creationId xmlns:a16="http://schemas.microsoft.com/office/drawing/2014/main" id="{4E1AC42D-96AB-4AFE-8F3C-F63D12867F3D}"/>
                </a:ext>
              </a:extLst>
            </xdr:cNvPr>
            <xdr:cNvSpPr txBox="1"/>
          </xdr:nvSpPr>
          <xdr:spPr>
            <a:xfrm>
              <a:off x="9986492" y="38548176"/>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a:rPr>
                <a:t>𝐼</a:t>
              </a:r>
              <a:r>
                <a:rPr lang="en-US" sz="1000" b="0" i="0">
                  <a:latin typeface="Cambria Math" panose="02040503050406030204" pitchFamily="18" charset="0"/>
                </a:rPr>
                <a:t>_(</a:t>
              </a:r>
              <a:r>
                <a:rPr lang="en-US" sz="1000" b="0" i="0">
                  <a:latin typeface="Cambria Math"/>
                </a:rPr>
                <a:t>𝑅𝐴𝑇𝐸𝐷 𝐹𝑈𝑁𝐷𝐴𝑀𝐸𝑁𝑇𝐴𝐿</a:t>
              </a:r>
              <a:r>
                <a:rPr lang="en-US" sz="1000" b="0" i="0">
                  <a:latin typeface="Cambria Math" panose="02040503050406030204" pitchFamily="18" charset="0"/>
                </a:rPr>
                <a:t>)</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1.73×</a:t>
              </a:r>
              <a:r>
                <a:rPr lang="en-US" sz="1100" b="0" i="0" kern="1200">
                  <a:solidFill>
                    <a:schemeClr val="tx1"/>
                  </a:solidFill>
                  <a:effectLst/>
                  <a:latin typeface="Cambria Math" panose="02040503050406030204" pitchFamily="18" charset="0"/>
                  <a:ea typeface="+mn-ea"/>
                  <a:cs typeface="+mn-cs"/>
                </a:rPr>
                <a:t>〖𝑘𝑉〗_𝐿𝐿𝑆𝑌𝑆 </a:t>
              </a:r>
              <a:r>
                <a:rPr lang="en-US" sz="1000" b="0" i="0" kern="1200">
                  <a:solidFill>
                    <a:schemeClr val="tx1"/>
                  </a:solidFill>
                  <a:effectLst/>
                  <a:latin typeface="Cambria Math" panose="02040503050406030204" pitchFamily="18" charset="0"/>
                  <a:ea typeface="Cambria Math"/>
                  <a:cs typeface="+mn-cs"/>
                </a:rPr>
                <a:t>)</a:t>
              </a:r>
              <a:r>
                <a:rPr lang="en-US" sz="1000" b="0" i="0">
                  <a:latin typeface="Cambria Math"/>
                  <a:ea typeface="Cambria Math"/>
                </a:rPr>
                <a:t>×1000=</a:t>
              </a:r>
              <a:r>
                <a:rPr lang="en-US" sz="1000" b="0" i="0">
                  <a:latin typeface="Cambria Math" panose="02040503050406030204" pitchFamily="18" charset="0"/>
                  <a:ea typeface="Cambria Math"/>
                </a:rPr>
                <a:t>1.0/(</a:t>
              </a:r>
              <a:r>
                <a:rPr lang="en-US" sz="1000" i="0">
                  <a:latin typeface="Cambria Math"/>
                  <a:ea typeface="Cambria Math"/>
                </a:rPr>
                <a:t>1.73×</a:t>
              </a:r>
              <a:r>
                <a:rPr lang="en-US" sz="1000" b="0" i="0">
                  <a:latin typeface="Cambria Math"/>
                  <a:ea typeface="Cambria Math"/>
                </a:rPr>
                <a:t>13.8</a:t>
              </a:r>
              <a:r>
                <a:rPr lang="en-US" sz="1000" b="0" i="0">
                  <a:latin typeface="Cambria Math" panose="02040503050406030204" pitchFamily="18" charset="0"/>
                  <a:ea typeface="Cambria Math"/>
                </a:rPr>
                <a:t>)</a:t>
              </a:r>
              <a:r>
                <a:rPr lang="en-US" sz="1000" i="0">
                  <a:latin typeface="Cambria Math"/>
                  <a:ea typeface="Cambria Math"/>
                </a:rPr>
                <a:t>×1000</a:t>
              </a:r>
              <a:r>
                <a:rPr lang="en-US" sz="1000" b="0" i="0">
                  <a:latin typeface="Cambria Math"/>
                  <a:ea typeface="Cambria Math"/>
                </a:rPr>
                <a:t>=</a:t>
              </a:r>
              <a:r>
                <a:rPr lang="en-US" sz="1000" b="0" i="0">
                  <a:latin typeface="Cambria Math" panose="02040503050406030204" pitchFamily="18" charset="0"/>
                  <a:ea typeface="Cambria Math"/>
                </a:rPr>
                <a:t>41.88</a:t>
              </a:r>
              <a:r>
                <a:rPr lang="en-US" sz="1000" b="0" i="0">
                  <a:latin typeface="Cambria Math"/>
                  <a:ea typeface="Cambria Math"/>
                </a:rPr>
                <a:t> 𝑎𝑚𝑝𝑠</a:t>
              </a:r>
              <a:endParaRPr lang="en-US" sz="1000" b="0"/>
            </a:p>
          </xdr:txBody>
        </xdr:sp>
      </mc:Fallback>
    </mc:AlternateContent>
    <xdr:clientData/>
  </xdr:twoCellAnchor>
  <xdr:twoCellAnchor>
    <xdr:from>
      <xdr:col>55</xdr:col>
      <xdr:colOff>30668</xdr:colOff>
      <xdr:row>167</xdr:row>
      <xdr:rowOff>91755</xdr:rowOff>
    </xdr:from>
    <xdr:to>
      <xdr:col>83</xdr:col>
      <xdr:colOff>80491</xdr:colOff>
      <xdr:row>169</xdr:row>
      <xdr:rowOff>61852</xdr:rowOff>
    </xdr:to>
    <mc:AlternateContent xmlns:mc="http://schemas.openxmlformats.org/markup-compatibility/2006" xmlns:a14="http://schemas.microsoft.com/office/drawing/2010/main">
      <mc:Choice Requires="a14">
        <xdr:sp macro="" textlink="">
          <xdr:nvSpPr>
            <xdr:cNvPr id="24" name="TextBox 3">
              <a:extLst>
                <a:ext uri="{FF2B5EF4-FFF2-40B4-BE49-F238E27FC236}">
                  <a16:creationId xmlns:a16="http://schemas.microsoft.com/office/drawing/2014/main" id="{6A847791-A758-4F3F-802C-E2D1C1171197}"/>
                </a:ext>
              </a:extLst>
            </xdr:cNvPr>
            <xdr:cNvSpPr txBox="1"/>
          </xdr:nvSpPr>
          <xdr:spPr>
            <a:xfrm>
              <a:off x="9984293" y="38039355"/>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den>
                        </m:f>
                        <m:r>
                          <a:rPr lang="en-US" sz="1000" b="0" i="1">
                            <a:latin typeface="Cambria Math"/>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a:rPr>
                                      <m:t>9.54</m:t>
                                    </m:r>
                                  </m:e>
                                </m:d>
                              </m:e>
                              <m:sup>
                                <m:r>
                                  <a:rPr lang="en-US" sz="1000" i="1">
                                    <a:latin typeface="Cambria Math"/>
                                  </a:rPr>
                                  <m:t>2</m:t>
                                </m:r>
                              </m:sup>
                            </m:sSup>
                          </m:num>
                          <m:den>
                            <m:r>
                              <a:rPr lang="en-US" sz="1000" b="0" i="1">
                                <a:latin typeface="Cambria Math" panose="02040503050406030204" pitchFamily="18" charset="0"/>
                              </a:rPr>
                              <m:t>199.47</m:t>
                            </m:r>
                          </m:den>
                        </m:f>
                        <m:r>
                          <a:rPr lang="en-US" sz="1000" b="0" i="1">
                            <a:latin typeface="Cambria Math"/>
                            <a:ea typeface="Cambria Math"/>
                          </a:rPr>
                          <m:t>=</m:t>
                        </m:r>
                        <m:r>
                          <a:rPr lang="en-US" sz="1000" b="0" i="1">
                            <a:latin typeface="Cambria Math" panose="02040503050406030204" pitchFamily="18" charset="0"/>
                            <a:ea typeface="Cambria Math"/>
                          </a:rPr>
                          <m:t>0.456 </m:t>
                        </m:r>
                        <m:r>
                          <a:rPr lang="en-US" sz="1000" b="0" i="1">
                            <a:latin typeface="Cambria Math" panose="02040503050406030204" pitchFamily="18" charset="0"/>
                            <a:ea typeface="Cambria Math"/>
                          </a:rPr>
                          <m:t>𝑀𝑉𝐴𝑅</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1000" b="0"/>
            </a:p>
          </xdr:txBody>
        </xdr:sp>
      </mc:Choice>
      <mc:Fallback xmlns="">
        <xdr:sp macro="" textlink="">
          <xdr:nvSpPr>
            <xdr:cNvPr id="24" name="TextBox 3">
              <a:extLst>
                <a:ext uri="{FF2B5EF4-FFF2-40B4-BE49-F238E27FC236}">
                  <a16:creationId xmlns:a16="http://schemas.microsoft.com/office/drawing/2014/main" id="{6A847791-A758-4F3F-802C-E2D1C1171197}"/>
                </a:ext>
              </a:extLst>
            </xdr:cNvPr>
            <xdr:cNvSpPr txBox="1"/>
          </xdr:nvSpPr>
          <xdr:spPr>
            <a:xfrm>
              <a:off x="9984293" y="38039355"/>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a:t>
              </a:r>
              <a:r>
                <a:rPr lang="en-US" sz="1000" b="0" i="0">
                  <a:latin typeface="Cambria Math"/>
                </a:rPr>
                <a:t>9.54</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199.47</a:t>
              </a:r>
              <a:r>
                <a:rPr lang="en-US" sz="1000" b="0" i="0">
                  <a:latin typeface="Cambria Math"/>
                  <a:ea typeface="Cambria Math"/>
                </a:rPr>
                <a:t>=</a:t>
              </a:r>
              <a:r>
                <a:rPr lang="en-US" sz="1000" b="0" i="0">
                  <a:latin typeface="Cambria Math" panose="02040503050406030204" pitchFamily="18" charset="0"/>
                  <a:ea typeface="Cambria Math"/>
                </a:rPr>
                <a:t>0.456 𝑀𝑉𝐴𝑅/𝑃ℎ𝑎𝑠𝑒〗_</a:t>
              </a:r>
              <a:endParaRPr lang="en-US" sz="1000" b="0"/>
            </a:p>
          </xdr:txBody>
        </xdr:sp>
      </mc:Fallback>
    </mc:AlternateContent>
    <xdr:clientData/>
  </xdr:twoCellAnchor>
  <xdr:twoCellAnchor>
    <xdr:from>
      <xdr:col>55</xdr:col>
      <xdr:colOff>10886</xdr:colOff>
      <xdr:row>158</xdr:row>
      <xdr:rowOff>136072</xdr:rowOff>
    </xdr:from>
    <xdr:to>
      <xdr:col>83</xdr:col>
      <xdr:colOff>125186</xdr:colOff>
      <xdr:row>160</xdr:row>
      <xdr:rowOff>63336</xdr:rowOff>
    </xdr:to>
    <mc:AlternateContent xmlns:mc="http://schemas.openxmlformats.org/markup-compatibility/2006" xmlns:a14="http://schemas.microsoft.com/office/drawing/2010/main">
      <mc:Choice Requires="a14">
        <xdr:sp macro="" textlink="">
          <xdr:nvSpPr>
            <xdr:cNvPr id="25" name="TextBox 14">
              <a:extLst>
                <a:ext uri="{FF2B5EF4-FFF2-40B4-BE49-F238E27FC236}">
                  <a16:creationId xmlns:a16="http://schemas.microsoft.com/office/drawing/2014/main" id="{D896F3D8-75AA-42DC-98F1-60AE772FEAE5}"/>
                </a:ext>
              </a:extLst>
            </xdr:cNvPr>
            <xdr:cNvSpPr txBox="1"/>
          </xdr:nvSpPr>
          <xdr:spPr>
            <a:xfrm>
              <a:off x="9964511" y="36026272"/>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i="1">
                            <a:latin typeface="Cambria Math" panose="02040503050406030204" pitchFamily="18" charset="0"/>
                          </a:rPr>
                        </m:ctrlPr>
                      </m:sSubPr>
                      <m:e>
                        <m:r>
                          <a:rPr lang="en-US" sz="1000" i="1">
                            <a:latin typeface="Cambria Math"/>
                          </a:rPr>
                          <m:t>𝑄</m:t>
                        </m:r>
                      </m:e>
                      <m:sub>
                        <m:r>
                          <a:rPr lang="en-US" sz="1000" i="1">
                            <a:latin typeface="Cambria Math"/>
                          </a:rPr>
                          <m:t>𝑒𝑓𝑓</m:t>
                        </m:r>
                      </m:sub>
                    </m:sSub>
                    <m:r>
                      <a:rPr lang="en-US" sz="1000" b="0" i="1">
                        <a:latin typeface="Cambria Math"/>
                      </a:rPr>
                      <m:t>=</m:t>
                    </m:r>
                    <m:r>
                      <a:rPr lang="en-US" sz="1000" b="0" i="1">
                        <a:latin typeface="Cambria Math"/>
                      </a:rPr>
                      <m:t>𝑂𝑢𝑡𝑝𝑢𝑡</m:t>
                    </m:r>
                    <m:r>
                      <a:rPr lang="en-US" sz="1000" b="0" i="1">
                        <a:latin typeface="Cambria Math"/>
                      </a:rPr>
                      <m:t> </m:t>
                    </m:r>
                    <m:r>
                      <a:rPr lang="en-US" sz="1000" b="0" i="1">
                        <a:latin typeface="Cambria Math"/>
                      </a:rPr>
                      <m:t>𝑀𝑉𝐴𝑅</m:t>
                    </m:r>
                    <m:r>
                      <a:rPr lang="en-US" sz="1000" b="0" i="1">
                        <a:latin typeface="Cambria Math"/>
                      </a:rPr>
                      <m:t> </m:t>
                    </m:r>
                    <m:r>
                      <a:rPr lang="en-US" sz="1000" b="0" i="1">
                        <a:latin typeface="Cambria Math"/>
                      </a:rPr>
                      <m:t>𝑅𝑎𝑡𝑖𝑛𝑔</m:t>
                    </m:r>
                    <m:r>
                      <a:rPr lang="en-US" sz="1000" b="0" i="1">
                        <a:latin typeface="Cambria Math"/>
                      </a:rPr>
                      <m:t> </m:t>
                    </m:r>
                    <m:r>
                      <a:rPr lang="en-US" sz="1000" b="0" i="1">
                        <a:latin typeface="Cambria Math"/>
                      </a:rPr>
                      <m:t>𝑜𝑓</m:t>
                    </m:r>
                    <m:r>
                      <a:rPr lang="en-US" sz="1000" b="0" i="1">
                        <a:latin typeface="Cambria Math"/>
                      </a:rPr>
                      <m:t> </m:t>
                    </m:r>
                    <m:r>
                      <a:rPr lang="en-US" sz="1000" b="0" i="1">
                        <a:latin typeface="Cambria Math"/>
                      </a:rPr>
                      <m:t>𝐹𝑖𝑙𝑡𝑒𝑟</m:t>
                    </m:r>
                    <m:r>
                      <a:rPr lang="en-US" sz="1000" b="0" i="1">
                        <a:latin typeface="Cambria Math"/>
                        <a:ea typeface="Cambria Math"/>
                      </a:rPr>
                      <m:t>=</m:t>
                    </m:r>
                    <m:f>
                      <m:fPr>
                        <m:ctrlPr>
                          <a:rPr lang="en-US" sz="1000" b="0" i="1">
                            <a:latin typeface="Cambria Math" panose="02040503050406030204" pitchFamily="18" charset="0"/>
                            <a:ea typeface="Cambria Math"/>
                          </a:rPr>
                        </m:ctrlPr>
                      </m:fPr>
                      <m:num>
                        <m:r>
                          <a:rPr lang="en-US" sz="1000" i="1">
                            <a:latin typeface="Cambria Math"/>
                            <a:ea typeface="Cambria Math"/>
                          </a:rPr>
                          <m:t>𝐷𝑒𝑠𝑖𝑟𝑒𝑑</m:t>
                        </m:r>
                        <m:r>
                          <a:rPr lang="en-US" sz="1000" i="1">
                            <a:latin typeface="Cambria Math"/>
                            <a:ea typeface="Cambria Math"/>
                          </a:rPr>
                          <m:t> 3 </m:t>
                        </m:r>
                        <m:r>
                          <a:rPr lang="en-US" sz="1000" b="0" i="1">
                            <a:latin typeface="Cambria Math"/>
                            <a:ea typeface="Cambria Math"/>
                          </a:rPr>
                          <m:t>𝑃h𝑎𝑠𝑒</m:t>
                        </m:r>
                        <m:r>
                          <a:rPr lang="en-US" sz="1000" b="0" i="1">
                            <a:latin typeface="Cambria Math"/>
                            <a:ea typeface="Cambria Math"/>
                          </a:rPr>
                          <m:t> </m:t>
                        </m:r>
                        <m:r>
                          <a:rPr lang="en-US" sz="1000" i="1">
                            <a:latin typeface="Cambria Math"/>
                            <a:ea typeface="Cambria Math"/>
                          </a:rPr>
                          <m:t>𝑘𝑣𝑎𝑟</m:t>
                        </m:r>
                      </m:num>
                      <m:den>
                        <m:r>
                          <a:rPr lang="en-US" sz="1000" b="0" i="1">
                            <a:latin typeface="Cambria Math"/>
                            <a:ea typeface="Cambria Math"/>
                          </a:rPr>
                          <m:t>1000</m:t>
                        </m:r>
                      </m:den>
                    </m:f>
                    <m:r>
                      <a:rPr lang="en-US" sz="1000" b="0" i="1">
                        <a:latin typeface="Cambria Math"/>
                        <a:ea typeface="Cambria Math"/>
                      </a:rPr>
                      <m:t> =</m:t>
                    </m:r>
                    <m:r>
                      <a:rPr lang="en-US" sz="1000" b="0" i="1">
                        <a:latin typeface="Cambria Math" panose="02040503050406030204" pitchFamily="18" charset="0"/>
                        <a:ea typeface="Cambria Math"/>
                      </a:rPr>
                      <m:t>1</m:t>
                    </m:r>
                    <m:r>
                      <a:rPr lang="en-US" sz="1000" b="0" i="1">
                        <a:latin typeface="Cambria Math"/>
                        <a:ea typeface="Cambria Math"/>
                      </a:rPr>
                      <m:t>.</m:t>
                    </m:r>
                    <m:r>
                      <a:rPr lang="en-US" sz="1000" b="0" i="1">
                        <a:latin typeface="Cambria Math" panose="02040503050406030204" pitchFamily="18" charset="0"/>
                        <a:ea typeface="Cambria Math"/>
                      </a:rPr>
                      <m:t>0</m:t>
                    </m:r>
                    <m:r>
                      <a:rPr lang="en-US" sz="1000" b="0" i="1">
                        <a:latin typeface="Cambria Math"/>
                        <a:ea typeface="Cambria Math"/>
                      </a:rPr>
                      <m:t> </m:t>
                    </m:r>
                    <m:r>
                      <a:rPr lang="en-US" sz="1000" b="0" i="1">
                        <a:latin typeface="Cambria Math"/>
                        <a:ea typeface="Cambria Math"/>
                      </a:rPr>
                      <m:t>𝑀𝑉𝐴𝑅</m:t>
                    </m:r>
                  </m:oMath>
                </m:oMathPara>
              </a14:m>
              <a:endParaRPr lang="en-US" sz="1000" b="0"/>
            </a:p>
          </xdr:txBody>
        </xdr:sp>
      </mc:Choice>
      <mc:Fallback xmlns="">
        <xdr:sp macro="" textlink="">
          <xdr:nvSpPr>
            <xdr:cNvPr id="25" name="TextBox 14">
              <a:extLst>
                <a:ext uri="{FF2B5EF4-FFF2-40B4-BE49-F238E27FC236}">
                  <a16:creationId xmlns:a16="http://schemas.microsoft.com/office/drawing/2014/main" id="{D896F3D8-75AA-42DC-98F1-60AE772FEAE5}"/>
                </a:ext>
              </a:extLst>
            </xdr:cNvPr>
            <xdr:cNvSpPr txBox="1"/>
          </xdr:nvSpPr>
          <xdr:spPr>
            <a:xfrm>
              <a:off x="9964511" y="36026272"/>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i="0">
                  <a:latin typeface="Cambria Math"/>
                </a:rPr>
                <a:t>𝑄</a:t>
              </a:r>
              <a:r>
                <a:rPr lang="en-US" sz="1000" i="0">
                  <a:latin typeface="Cambria Math" panose="02040503050406030204" pitchFamily="18" charset="0"/>
                </a:rPr>
                <a:t>_</a:t>
              </a:r>
              <a:r>
                <a:rPr lang="en-US" sz="1000" i="0">
                  <a:latin typeface="Cambria Math"/>
                </a:rPr>
                <a:t>𝑒𝑓𝑓</a:t>
              </a:r>
              <a:r>
                <a:rPr lang="en-US" sz="1000" b="0" i="0">
                  <a:latin typeface="Cambria Math"/>
                </a:rPr>
                <a:t>=𝑂𝑢𝑡𝑝𝑢𝑡 𝑀𝑉𝐴𝑅 𝑅𝑎𝑡𝑖𝑛𝑔 𝑜𝑓 𝐹𝑖𝑙𝑡𝑒𝑟</a:t>
              </a:r>
              <a:r>
                <a:rPr lang="en-US" sz="1000" b="0" i="0">
                  <a:latin typeface="Cambria Math"/>
                  <a:ea typeface="Cambria Math"/>
                </a:rPr>
                <a:t>=</a:t>
              </a:r>
              <a:r>
                <a:rPr lang="en-US" sz="1000" b="0" i="0">
                  <a:latin typeface="Cambria Math" panose="02040503050406030204" pitchFamily="18" charset="0"/>
                  <a:ea typeface="Cambria Math"/>
                </a:rPr>
                <a:t>(</a:t>
              </a:r>
              <a:r>
                <a:rPr lang="en-US" sz="1000" i="0">
                  <a:latin typeface="Cambria Math"/>
                  <a:ea typeface="Cambria Math"/>
                </a:rPr>
                <a:t>𝐷𝑒𝑠𝑖𝑟𝑒𝑑 3 </a:t>
              </a:r>
              <a:r>
                <a:rPr lang="en-US" sz="1000" b="0" i="0">
                  <a:latin typeface="Cambria Math"/>
                  <a:ea typeface="Cambria Math"/>
                </a:rPr>
                <a:t>𝑃ℎ𝑎𝑠𝑒 </a:t>
              </a:r>
              <a:r>
                <a:rPr lang="en-US" sz="1000" i="0">
                  <a:latin typeface="Cambria Math"/>
                  <a:ea typeface="Cambria Math"/>
                </a:rPr>
                <a:t>𝑘𝑣𝑎𝑟</a:t>
              </a:r>
              <a:r>
                <a:rPr lang="en-US" sz="1000" b="0" i="0">
                  <a:latin typeface="Cambria Math" panose="02040503050406030204" pitchFamily="18" charset="0"/>
                  <a:ea typeface="Cambria Math"/>
                </a:rPr>
                <a:t>)/</a:t>
              </a:r>
              <a:r>
                <a:rPr lang="en-US" sz="1000" b="0" i="0">
                  <a:latin typeface="Cambria Math"/>
                  <a:ea typeface="Cambria Math"/>
                </a:rPr>
                <a:t>1000  =</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0</a:t>
              </a:r>
              <a:r>
                <a:rPr lang="en-US" sz="1000" b="0" i="0">
                  <a:latin typeface="Cambria Math"/>
                  <a:ea typeface="Cambria Math"/>
                </a:rPr>
                <a:t> 𝑀𝑉𝐴𝑅</a:t>
              </a:r>
              <a:endParaRPr lang="en-US" sz="1000" b="0"/>
            </a:p>
          </xdr:txBody>
        </xdr:sp>
      </mc:Fallback>
    </mc:AlternateContent>
    <xdr:clientData/>
  </xdr:twoCellAnchor>
  <xdr:twoCellAnchor>
    <xdr:from>
      <xdr:col>55</xdr:col>
      <xdr:colOff>13842</xdr:colOff>
      <xdr:row>160</xdr:row>
      <xdr:rowOff>42636</xdr:rowOff>
    </xdr:from>
    <xdr:to>
      <xdr:col>82</xdr:col>
      <xdr:colOff>58511</xdr:colOff>
      <xdr:row>161</xdr:row>
      <xdr:rowOff>62887</xdr:rowOff>
    </xdr:to>
    <mc:AlternateContent xmlns:mc="http://schemas.openxmlformats.org/markup-compatibility/2006" xmlns:a14="http://schemas.microsoft.com/office/drawing/2010/main">
      <mc:Choice Requires="a14">
        <xdr:sp macro="" textlink="">
          <xdr:nvSpPr>
            <xdr:cNvPr id="26" name="TextBox 25">
              <a:extLst>
                <a:ext uri="{FF2B5EF4-FFF2-40B4-BE49-F238E27FC236}">
                  <a16:creationId xmlns:a16="http://schemas.microsoft.com/office/drawing/2014/main" id="{07138DF9-94A7-40E8-A8DD-FD59C079115C}"/>
                </a:ext>
              </a:extLst>
            </xdr:cNvPr>
            <xdr:cNvSpPr txBox="1"/>
          </xdr:nvSpPr>
          <xdr:spPr>
            <a:xfrm>
              <a:off x="9967467" y="36390036"/>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𝑉</m:t>
                      </m:r>
                    </m:e>
                    <m:sub>
                      <m:r>
                        <a:rPr lang="en-US" sz="1000" b="0" i="1">
                          <a:latin typeface="Cambria Math"/>
                        </a:rPr>
                        <m:t>𝐿𝐿𝑆𝑌𝑆</m:t>
                      </m:r>
                    </m:sub>
                  </m:sSub>
                  <m:r>
                    <a:rPr lang="en-US" sz="1000" b="0" i="1">
                      <a:latin typeface="Cambria Math"/>
                      <a:ea typeface="Cambria Math"/>
                    </a:rPr>
                    <m:t>=</m:t>
                  </m:r>
                  <m:r>
                    <a:rPr lang="en-US" sz="1000" b="0" i="1">
                      <a:latin typeface="Cambria Math"/>
                      <a:ea typeface="Cambria Math"/>
                    </a:rPr>
                    <m:t>𝐹𝑖𝑙𝑡𝑒𝑟</m:t>
                  </m:r>
                  <m:r>
                    <a:rPr lang="en-US" sz="1000" b="0" i="1">
                      <a:latin typeface="Cambria Math"/>
                      <a:ea typeface="Cambria Math"/>
                    </a:rPr>
                    <m:t> </m:t>
                  </m:r>
                  <m:r>
                    <a:rPr lang="en-US" sz="1000" b="0" i="1">
                      <a:latin typeface="Cambria Math"/>
                      <a:ea typeface="Cambria Math"/>
                    </a:rPr>
                    <m:t>𝑁𝑜𝑚𝑖𝑛𝑎𝑙</m:t>
                  </m:r>
                  <m:r>
                    <a:rPr lang="en-US" sz="1000" b="0" i="1">
                      <a:latin typeface="Cambria Math"/>
                      <a:ea typeface="Cambria Math"/>
                    </a:rPr>
                    <m:t> </m:t>
                  </m:r>
                  <m:r>
                    <a:rPr lang="en-US" sz="1000" b="0" i="1">
                      <a:latin typeface="Cambria Math"/>
                      <a:ea typeface="Cambria Math"/>
                    </a:rPr>
                    <m:t>𝐿𝑖𝑛𝑒</m:t>
                  </m:r>
                  <m:r>
                    <a:rPr lang="en-US" sz="1000" b="0" i="1">
                      <a:latin typeface="Cambria Math" panose="02040503050406030204" pitchFamily="18" charset="0"/>
                      <a:ea typeface="Cambria Math"/>
                    </a:rPr>
                    <m:t>−</m:t>
                  </m:r>
                  <m:r>
                    <a:rPr lang="en-US" sz="1000" b="0" i="1">
                      <a:latin typeface="Cambria Math"/>
                      <a:ea typeface="Cambria Math"/>
                    </a:rPr>
                    <m:t>𝑡𝑜</m:t>
                  </m:r>
                  <m:r>
                    <a:rPr lang="en-US" sz="1000" b="0" i="1">
                      <a:latin typeface="Cambria Math" panose="02040503050406030204" pitchFamily="18" charset="0"/>
                      <a:ea typeface="Cambria Math"/>
                    </a:rPr>
                    <m:t>−</m:t>
                  </m:r>
                  <m:r>
                    <a:rPr lang="en-US" sz="1000" b="0" i="1">
                      <a:latin typeface="Cambria Math"/>
                      <a:ea typeface="Cambria Math"/>
                    </a:rPr>
                    <m:t>𝐿𝑖𝑛𝑒</m:t>
                  </m:r>
                  <m:r>
                    <a:rPr lang="en-US" sz="1000" b="0" i="1">
                      <a:latin typeface="Cambria Math"/>
                      <a:ea typeface="Cambria Math"/>
                    </a:rPr>
                    <m:t> </m:t>
                  </m:r>
                  <m:r>
                    <a:rPr lang="en-US" sz="1000" b="0" i="1">
                      <a:latin typeface="Cambria Math"/>
                      <a:ea typeface="Cambria Math"/>
                    </a:rPr>
                    <m:t>𝑉𝑜𝑙𝑡𝑎𝑔𝑒</m:t>
                  </m:r>
                  <m:r>
                    <a:rPr lang="en-US" sz="1000" b="0" i="1">
                      <a:latin typeface="Cambria Math"/>
                      <a:ea typeface="Cambria Math"/>
                    </a:rPr>
                    <m:t> </m:t>
                  </m:r>
                  <m:r>
                    <a:rPr lang="en-US" sz="1000" b="0" i="1">
                      <a:latin typeface="Cambria Math"/>
                      <a:ea typeface="Cambria Math"/>
                    </a:rPr>
                    <m:t>𝑅𝑎𝑡𝑖𝑛𝑔</m:t>
                  </m:r>
                  <m:r>
                    <a:rPr lang="en-US" sz="1000" b="0" i="1">
                      <a:latin typeface="Cambria Math"/>
                      <a:ea typeface="Cambria Math"/>
                    </a:rPr>
                    <m:t> </m:t>
                  </m:r>
                  <m:d>
                    <m:dPr>
                      <m:ctrlPr>
                        <a:rPr lang="en-US" sz="1000" b="0" i="1">
                          <a:latin typeface="Cambria Math" panose="02040503050406030204" pitchFamily="18" charset="0"/>
                          <a:ea typeface="Cambria Math"/>
                        </a:rPr>
                      </m:ctrlPr>
                    </m:dPr>
                    <m:e>
                      <m:r>
                        <a:rPr lang="en-US" sz="1000" b="0" i="1">
                          <a:latin typeface="Cambria Math"/>
                          <a:ea typeface="Cambria Math"/>
                        </a:rPr>
                        <m:t>𝐾𝑉</m:t>
                      </m:r>
                    </m:e>
                  </m:d>
                  <m:r>
                    <a:rPr lang="en-US" sz="1000" b="0" i="1">
                      <a:latin typeface="Cambria Math"/>
                      <a:ea typeface="Cambria Math"/>
                    </a:rPr>
                    <m:t>=13.8 </m:t>
                  </m:r>
                  <m:r>
                    <a:rPr lang="en-US" sz="1000" b="0" i="1">
                      <a:latin typeface="Cambria Math"/>
                      <a:ea typeface="Cambria Math"/>
                    </a:rPr>
                    <m:t>𝑘𝑉</m:t>
                  </m:r>
                </m:oMath>
              </a14:m>
              <a:endParaRPr lang="en-US" sz="1000" b="0"/>
            </a:p>
          </xdr:txBody>
        </xdr:sp>
      </mc:Choice>
      <mc:Fallback xmlns="">
        <xdr:sp macro="" textlink="">
          <xdr:nvSpPr>
            <xdr:cNvPr id="26" name="TextBox 25">
              <a:extLst>
                <a:ext uri="{FF2B5EF4-FFF2-40B4-BE49-F238E27FC236}">
                  <a16:creationId xmlns:a16="http://schemas.microsoft.com/office/drawing/2014/main" id="{07138DF9-94A7-40E8-A8DD-FD59C079115C}"/>
                </a:ext>
              </a:extLst>
            </xdr:cNvPr>
            <xdr:cNvSpPr txBox="1"/>
          </xdr:nvSpPr>
          <xdr:spPr>
            <a:xfrm>
              <a:off x="9967467" y="36390036"/>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r>
                <a:rPr lang="en-US" sz="1000" b="0" i="0">
                  <a:latin typeface="Cambria Math"/>
                </a:rPr>
                <a:t>𝑉</a:t>
              </a:r>
              <a:r>
                <a:rPr lang="en-US" sz="1000" b="0" i="0">
                  <a:latin typeface="Cambria Math" panose="02040503050406030204" pitchFamily="18" charset="0"/>
                </a:rPr>
                <a:t>_</a:t>
              </a:r>
              <a:r>
                <a:rPr lang="en-US" sz="1000" b="0" i="0">
                  <a:latin typeface="Cambria Math"/>
                </a:rPr>
                <a:t>𝐿𝐿𝑆𝑌𝑆</a:t>
              </a:r>
              <a:r>
                <a:rPr lang="en-US" sz="1000" b="0" i="0">
                  <a:latin typeface="Cambria Math"/>
                  <a:ea typeface="Cambria Math"/>
                </a:rPr>
                <a:t>=𝐹𝑖𝑙𝑡𝑒𝑟 𝑁𝑜𝑚𝑖𝑛𝑎𝑙 𝐿𝑖𝑛𝑒</a:t>
              </a:r>
              <a:r>
                <a:rPr lang="en-US" sz="1000" b="0" i="0">
                  <a:latin typeface="Cambria Math" panose="02040503050406030204" pitchFamily="18" charset="0"/>
                  <a:ea typeface="Cambria Math"/>
                </a:rPr>
                <a:t>−</a:t>
              </a:r>
              <a:r>
                <a:rPr lang="en-US" sz="1000" b="0" i="0">
                  <a:latin typeface="Cambria Math"/>
                  <a:ea typeface="Cambria Math"/>
                </a:rPr>
                <a:t>𝑡𝑜</a:t>
              </a:r>
              <a:r>
                <a:rPr lang="en-US" sz="1000" b="0" i="0">
                  <a:latin typeface="Cambria Math" panose="02040503050406030204" pitchFamily="18" charset="0"/>
                  <a:ea typeface="Cambria Math"/>
                </a:rPr>
                <a:t>−</a:t>
              </a:r>
              <a:r>
                <a:rPr lang="en-US" sz="1000" b="0" i="0">
                  <a:latin typeface="Cambria Math"/>
                  <a:ea typeface="Cambria Math"/>
                </a:rPr>
                <a:t>𝐿𝑖𝑛𝑒 𝑉𝑜𝑙𝑡𝑎𝑔𝑒 𝑅𝑎𝑡𝑖𝑛𝑔 </a:t>
              </a:r>
              <a:r>
                <a:rPr lang="en-US" sz="1000" b="0" i="0">
                  <a:latin typeface="Cambria Math" panose="02040503050406030204" pitchFamily="18" charset="0"/>
                  <a:ea typeface="Cambria Math"/>
                </a:rPr>
                <a:t>(</a:t>
              </a:r>
              <a:r>
                <a:rPr lang="en-US" sz="1000" b="0" i="0">
                  <a:latin typeface="Cambria Math"/>
                  <a:ea typeface="Cambria Math"/>
                </a:rPr>
                <a:t>𝐾𝑉</a:t>
              </a:r>
              <a:r>
                <a:rPr lang="en-US" sz="1000" b="0" i="0">
                  <a:latin typeface="Cambria Math" panose="02040503050406030204" pitchFamily="18" charset="0"/>
                  <a:ea typeface="Cambria Math"/>
                </a:rPr>
                <a:t>)</a:t>
              </a:r>
              <a:r>
                <a:rPr lang="en-US" sz="1000" b="0" i="0">
                  <a:latin typeface="Cambria Math"/>
                  <a:ea typeface="Cambria Math"/>
                </a:rPr>
                <a:t>=13.8 𝑘𝑉</a:t>
              </a:r>
              <a:endParaRPr lang="en-US" sz="1000" b="0"/>
            </a:p>
          </xdr:txBody>
        </xdr:sp>
      </mc:Fallback>
    </mc:AlternateContent>
    <xdr:clientData/>
  </xdr:twoCellAnchor>
  <xdr:twoCellAnchor>
    <xdr:from>
      <xdr:col>74</xdr:col>
      <xdr:colOff>125336</xdr:colOff>
      <xdr:row>162</xdr:row>
      <xdr:rowOff>175228</xdr:rowOff>
    </xdr:from>
    <xdr:to>
      <xdr:col>80</xdr:col>
      <xdr:colOff>118011</xdr:colOff>
      <xdr:row>163</xdr:row>
      <xdr:rowOff>185336</xdr:rowOff>
    </xdr:to>
    <mc:AlternateContent xmlns:mc="http://schemas.openxmlformats.org/markup-compatibility/2006" xmlns:a14="http://schemas.microsoft.com/office/drawing/2010/main">
      <mc:Choice Requires="a14">
        <xdr:sp macro="" textlink="">
          <xdr:nvSpPr>
            <xdr:cNvPr id="27" name="TextBox 19">
              <a:extLst>
                <a:ext uri="{FF2B5EF4-FFF2-40B4-BE49-F238E27FC236}">
                  <a16:creationId xmlns:a16="http://schemas.microsoft.com/office/drawing/2014/main" id="{D158F117-E95A-474D-859A-A07E2F82409D}"/>
                </a:ext>
              </a:extLst>
            </xdr:cNvPr>
            <xdr:cNvSpPr txBox="1"/>
          </xdr:nvSpPr>
          <xdr:spPr>
            <a:xfrm>
              <a:off x="13517486" y="36979828"/>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14:m>
                <m:oMath xmlns:m="http://schemas.openxmlformats.org/officeDocument/2006/math">
                  <m:r>
                    <a:rPr lang="en-US" sz="1000" b="0" i="1">
                      <a:solidFill>
                        <a:schemeClr val="tx1"/>
                      </a:solidFill>
                      <a:latin typeface="Cambria Math" panose="02040503050406030204" pitchFamily="18" charset="0"/>
                    </a:rPr>
                    <m:t>𝐶</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r>
                        <a:rPr lang="en-US" sz="1000" b="0" i="1">
                          <a:solidFill>
                            <a:schemeClr val="tx1"/>
                          </a:solidFill>
                          <a:latin typeface="Cambria Math" panose="02040503050406030204" pitchFamily="18" charset="0"/>
                        </a:rPr>
                        <m:t>1</m:t>
                      </m:r>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𝑋</m:t>
                          </m:r>
                        </m:e>
                        <m:sub>
                          <m:r>
                            <a:rPr lang="en-US" sz="1000" b="0" i="1">
                              <a:solidFill>
                                <a:schemeClr val="tx1"/>
                              </a:solidFill>
                              <a:latin typeface="Cambria Math" panose="02040503050406030204" pitchFamily="18" charset="0"/>
                              <a:ea typeface="Cambria Math" panose="02040503050406030204" pitchFamily="18" charset="0"/>
                            </a:rPr>
                            <m:t>𝑐</m:t>
                          </m:r>
                        </m:sub>
                      </m:sSub>
                    </m:den>
                  </m:f>
                </m:oMath>
              </a14:m>
              <a:r>
                <a:rPr lang="en-US" sz="1000">
                  <a:solidFill>
                    <a:schemeClr val="tx1"/>
                  </a:solidFill>
                </a:rPr>
                <a:t> (f)</a:t>
              </a:r>
            </a:p>
          </xdr:txBody>
        </xdr:sp>
      </mc:Choice>
      <mc:Fallback xmlns="">
        <xdr:sp macro="" textlink="">
          <xdr:nvSpPr>
            <xdr:cNvPr id="27" name="TextBox 19">
              <a:extLst>
                <a:ext uri="{FF2B5EF4-FFF2-40B4-BE49-F238E27FC236}">
                  <a16:creationId xmlns:a16="http://schemas.microsoft.com/office/drawing/2014/main" id="{D158F117-E95A-474D-859A-A07E2F82409D}"/>
                </a:ext>
              </a:extLst>
            </xdr:cNvPr>
            <xdr:cNvSpPr txBox="1"/>
          </xdr:nvSpPr>
          <xdr:spPr>
            <a:xfrm>
              <a:off x="13517486" y="36979828"/>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b="0" i="0">
                  <a:solidFill>
                    <a:schemeClr val="tx1"/>
                  </a:solidFill>
                  <a:latin typeface="Cambria Math" panose="02040503050406030204" pitchFamily="18" charset="0"/>
                </a:rPr>
                <a:t>𝐶</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1/(2</a:t>
              </a:r>
              <a:r>
                <a:rPr lang="en-US" sz="1000" b="0" i="0">
                  <a:solidFill>
                    <a:schemeClr val="tx1"/>
                  </a:solidFill>
                  <a:latin typeface="Cambria Math" panose="02040503050406030204" pitchFamily="18" charset="0"/>
                  <a:ea typeface="Cambria Math" panose="02040503050406030204" pitchFamily="18" charset="0"/>
                </a:rPr>
                <a:t>𝜋𝑓𝑋_𝑐 )</a:t>
              </a:r>
              <a:r>
                <a:rPr lang="en-US" sz="1000">
                  <a:solidFill>
                    <a:schemeClr val="tx1"/>
                  </a:solidFill>
                </a:rPr>
                <a:t> (f)</a:t>
              </a:r>
            </a:p>
          </xdr:txBody>
        </xdr:sp>
      </mc:Fallback>
    </mc:AlternateContent>
    <xdr:clientData/>
  </xdr:twoCellAnchor>
  <xdr:twoCellAnchor>
    <xdr:from>
      <xdr:col>63</xdr:col>
      <xdr:colOff>160666</xdr:colOff>
      <xdr:row>164</xdr:row>
      <xdr:rowOff>31021</xdr:rowOff>
    </xdr:from>
    <xdr:to>
      <xdr:col>71</xdr:col>
      <xdr:colOff>96536</xdr:colOff>
      <xdr:row>165</xdr:row>
      <xdr:rowOff>119037</xdr:rowOff>
    </xdr:to>
    <mc:AlternateContent xmlns:mc="http://schemas.openxmlformats.org/markup-compatibility/2006" xmlns:a14="http://schemas.microsoft.com/office/drawing/2010/main">
      <mc:Choice Requires="a14">
        <xdr:sp macro="" textlink="">
          <xdr:nvSpPr>
            <xdr:cNvPr id="28" name="TextBox 34">
              <a:extLst>
                <a:ext uri="{FF2B5EF4-FFF2-40B4-BE49-F238E27FC236}">
                  <a16:creationId xmlns:a16="http://schemas.microsoft.com/office/drawing/2014/main" id="{7F422A4A-D6BE-48C2-8174-BFD5E011A0A1}"/>
                </a:ext>
              </a:extLst>
            </xdr:cNvPr>
            <xdr:cNvSpPr txBox="1"/>
          </xdr:nvSpPr>
          <xdr:spPr>
            <a:xfrm>
              <a:off x="11562091" y="37292821"/>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sz="1000" b="0" i="1">
                        <a:solidFill>
                          <a:schemeClr val="tx1"/>
                        </a:solidFill>
                        <a:latin typeface="Cambria Math" panose="02040503050406030204" pitchFamily="18" charset="0"/>
                      </a:rPr>
                      <m:t>𝐿</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sSub>
                          <m:sSubPr>
                            <m:ctrlPr>
                              <a:rPr lang="en-US" sz="1000" i="1">
                                <a:solidFill>
                                  <a:schemeClr val="tx1"/>
                                </a:solidFill>
                                <a:latin typeface="Cambria Math" panose="02040503050406030204" pitchFamily="18" charset="0"/>
                              </a:rPr>
                            </m:ctrlPr>
                          </m:sSubPr>
                          <m:e>
                            <m:r>
                              <a:rPr lang="en-US" sz="1000" b="0" i="1">
                                <a:solidFill>
                                  <a:schemeClr val="tx1"/>
                                </a:solidFill>
                                <a:latin typeface="Cambria Math" panose="02040503050406030204" pitchFamily="18" charset="0"/>
                              </a:rPr>
                              <m:t>𝑋</m:t>
                            </m:r>
                          </m:e>
                          <m:sub>
                            <m:r>
                              <a:rPr lang="en-US" sz="1000" b="0" i="1">
                                <a:solidFill>
                                  <a:schemeClr val="tx1"/>
                                </a:solidFill>
                                <a:latin typeface="Cambria Math" panose="02040503050406030204" pitchFamily="18" charset="0"/>
                              </a:rPr>
                              <m:t>𝐿</m:t>
                            </m:r>
                          </m:sub>
                        </m:sSub>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den>
                    </m:f>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𝐻</m:t>
                    </m:r>
                    <m:r>
                      <a:rPr lang="en-US" sz="1000" b="0" i="1">
                        <a:solidFill>
                          <a:schemeClr val="tx1"/>
                        </a:solidFill>
                        <a:latin typeface="Cambria Math" panose="02040503050406030204" pitchFamily="18" charset="0"/>
                        <a:ea typeface="Cambria Math" panose="02040503050406030204" pitchFamily="18" charset="0"/>
                      </a:rPr>
                      <m:t>)</m:t>
                    </m:r>
                  </m:oMath>
                </m:oMathPara>
              </a14:m>
              <a:endParaRPr lang="en-US" sz="1000">
                <a:solidFill>
                  <a:schemeClr val="tx1"/>
                </a:solidFill>
              </a:endParaRPr>
            </a:p>
          </xdr:txBody>
        </xdr:sp>
      </mc:Choice>
      <mc:Fallback xmlns="">
        <xdr:sp macro="" textlink="">
          <xdr:nvSpPr>
            <xdr:cNvPr id="28" name="TextBox 34">
              <a:extLst>
                <a:ext uri="{FF2B5EF4-FFF2-40B4-BE49-F238E27FC236}">
                  <a16:creationId xmlns:a16="http://schemas.microsoft.com/office/drawing/2014/main" id="{7F422A4A-D6BE-48C2-8174-BFD5E011A0A1}"/>
                </a:ext>
              </a:extLst>
            </xdr:cNvPr>
            <xdr:cNvSpPr txBox="1"/>
          </xdr:nvSpPr>
          <xdr:spPr>
            <a:xfrm>
              <a:off x="11562091" y="37292821"/>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r>
                <a:rPr lang="en-US" sz="1000" b="0" i="0">
                  <a:solidFill>
                    <a:schemeClr val="tx1"/>
                  </a:solidFill>
                  <a:latin typeface="Cambria Math" panose="02040503050406030204" pitchFamily="18" charset="0"/>
                </a:rPr>
                <a:t>𝐿</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𝑋_𝐿/2</a:t>
              </a:r>
              <a:r>
                <a:rPr lang="en-US" sz="1000" b="0" i="0">
                  <a:solidFill>
                    <a:schemeClr val="tx1"/>
                  </a:solidFill>
                  <a:latin typeface="Cambria Math" panose="02040503050406030204" pitchFamily="18" charset="0"/>
                  <a:ea typeface="Cambria Math" panose="02040503050406030204" pitchFamily="18" charset="0"/>
                </a:rPr>
                <a:t>𝜋𝑓  (𝐻)</a:t>
              </a:r>
              <a:endParaRPr lang="en-US" sz="1000">
                <a:solidFill>
                  <a:schemeClr val="tx1"/>
                </a:solidFill>
              </a:endParaRPr>
            </a:p>
          </xdr:txBody>
        </xdr:sp>
      </mc:Fallback>
    </mc:AlternateContent>
    <xdr:clientData/>
  </xdr:twoCellAnchor>
  <xdr:twoCellAnchor>
    <xdr:from>
      <xdr:col>48</xdr:col>
      <xdr:colOff>83842</xdr:colOff>
      <xdr:row>159</xdr:row>
      <xdr:rowOff>69444</xdr:rowOff>
    </xdr:from>
    <xdr:to>
      <xdr:col>48</xdr:col>
      <xdr:colOff>83842</xdr:colOff>
      <xdr:row>170</xdr:row>
      <xdr:rowOff>142189</xdr:rowOff>
    </xdr:to>
    <xdr:cxnSp macro="">
      <xdr:nvCxnSpPr>
        <xdr:cNvPr id="29" name="Straight Arrow Connector 28">
          <a:extLst>
            <a:ext uri="{FF2B5EF4-FFF2-40B4-BE49-F238E27FC236}">
              <a16:creationId xmlns:a16="http://schemas.microsoft.com/office/drawing/2014/main" id="{A3C57637-ECDF-4975-A6E5-E107AF00A578}"/>
            </a:ext>
          </a:extLst>
        </xdr:cNvPr>
        <xdr:cNvCxnSpPr/>
      </xdr:nvCxnSpPr>
      <xdr:spPr>
        <a:xfrm flipV="1">
          <a:off x="8770642" y="36188244"/>
          <a:ext cx="0" cy="2587345"/>
        </a:xfrm>
        <a:prstGeom prst="straightConnector1">
          <a:avLst/>
        </a:prstGeom>
        <a:ln w="254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96612</xdr:colOff>
      <xdr:row>164</xdr:row>
      <xdr:rowOff>66110</xdr:rowOff>
    </xdr:from>
    <xdr:to>
      <xdr:col>48</xdr:col>
      <xdr:colOff>83843</xdr:colOff>
      <xdr:row>165</xdr:row>
      <xdr:rowOff>145523</xdr:rowOff>
    </xdr:to>
    <xdr:sp macro="" textlink="">
      <xdr:nvSpPr>
        <xdr:cNvPr id="30" name="TextBox 21">
          <a:extLst>
            <a:ext uri="{FF2B5EF4-FFF2-40B4-BE49-F238E27FC236}">
              <a16:creationId xmlns:a16="http://schemas.microsoft.com/office/drawing/2014/main" id="{E0EE73BE-448B-4AEA-8EF2-0E18C0849461}"/>
            </a:ext>
          </a:extLst>
        </xdr:cNvPr>
        <xdr:cNvSpPr txBox="1"/>
      </xdr:nvSpPr>
      <xdr:spPr>
        <a:xfrm>
          <a:off x="8240487" y="37327910"/>
          <a:ext cx="530156" cy="308013"/>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400" b="1"/>
            <a:t>V</a:t>
          </a:r>
          <a:r>
            <a:rPr lang="en-US" sz="1400" b="1" baseline="-25000"/>
            <a:t>LN</a:t>
          </a:r>
        </a:p>
      </xdr:txBody>
    </xdr:sp>
    <xdr:clientData/>
  </xdr:twoCellAnchor>
  <xdr:twoCellAnchor>
    <xdr:from>
      <xdr:col>51</xdr:col>
      <xdr:colOff>22858</xdr:colOff>
      <xdr:row>161</xdr:row>
      <xdr:rowOff>29166</xdr:rowOff>
    </xdr:from>
    <xdr:to>
      <xdr:col>53</xdr:col>
      <xdr:colOff>125418</xdr:colOff>
      <xdr:row>162</xdr:row>
      <xdr:rowOff>112912</xdr:rowOff>
    </xdr:to>
    <xdr:sp macro="" textlink="">
      <xdr:nvSpPr>
        <xdr:cNvPr id="31" name="TextBox 22">
          <a:extLst>
            <a:ext uri="{FF2B5EF4-FFF2-40B4-BE49-F238E27FC236}">
              <a16:creationId xmlns:a16="http://schemas.microsoft.com/office/drawing/2014/main" id="{5197125B-6E0A-4BD0-88C0-E9718F778AA7}"/>
            </a:ext>
          </a:extLst>
        </xdr:cNvPr>
        <xdr:cNvSpPr txBox="1"/>
      </xdr:nvSpPr>
      <xdr:spPr>
        <a:xfrm>
          <a:off x="9252583" y="36605166"/>
          <a:ext cx="464510" cy="31234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600" b="1"/>
            <a:t>JX</a:t>
          </a:r>
          <a:r>
            <a:rPr lang="en-US" sz="1600" b="1" baseline="-25000"/>
            <a:t>L</a:t>
          </a:r>
        </a:p>
      </xdr:txBody>
    </xdr:sp>
    <xdr:clientData/>
  </xdr:twoCellAnchor>
  <xdr:twoCellAnchor>
    <xdr:from>
      <xdr:col>51</xdr:col>
      <xdr:colOff>6012</xdr:colOff>
      <xdr:row>169</xdr:row>
      <xdr:rowOff>227520</xdr:rowOff>
    </xdr:from>
    <xdr:to>
      <xdr:col>54</xdr:col>
      <xdr:colOff>20412</xdr:colOff>
      <xdr:row>171</xdr:row>
      <xdr:rowOff>82666</xdr:rowOff>
    </xdr:to>
    <xdr:sp macro="" textlink="">
      <xdr:nvSpPr>
        <xdr:cNvPr id="32" name="TextBox 23">
          <a:extLst>
            <a:ext uri="{FF2B5EF4-FFF2-40B4-BE49-F238E27FC236}">
              <a16:creationId xmlns:a16="http://schemas.microsoft.com/office/drawing/2014/main" id="{3DD98176-88AA-470B-A3B8-73D038988CC8}"/>
            </a:ext>
          </a:extLst>
        </xdr:cNvPr>
        <xdr:cNvSpPr txBox="1"/>
      </xdr:nvSpPr>
      <xdr:spPr>
        <a:xfrm>
          <a:off x="9235737" y="38632320"/>
          <a:ext cx="557325" cy="31234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600" b="1"/>
            <a:t>-JX</a:t>
          </a:r>
          <a:r>
            <a:rPr lang="en-US" sz="1600" b="1" baseline="-25000"/>
            <a:t>C</a:t>
          </a:r>
        </a:p>
      </xdr:txBody>
    </xdr:sp>
    <xdr:clientData/>
  </xdr:twoCellAnchor>
  <xdr:twoCellAnchor editAs="oneCell">
    <xdr:from>
      <xdr:col>45</xdr:col>
      <xdr:colOff>0</xdr:colOff>
      <xdr:row>157</xdr:row>
      <xdr:rowOff>190500</xdr:rowOff>
    </xdr:from>
    <xdr:to>
      <xdr:col>55</xdr:col>
      <xdr:colOff>17690</xdr:colOff>
      <xdr:row>173</xdr:row>
      <xdr:rowOff>57150</xdr:rowOff>
    </xdr:to>
    <xdr:pic>
      <xdr:nvPicPr>
        <xdr:cNvPr id="33" name="Graphic 32">
          <a:extLst>
            <a:ext uri="{FF2B5EF4-FFF2-40B4-BE49-F238E27FC236}">
              <a16:creationId xmlns:a16="http://schemas.microsoft.com/office/drawing/2014/main" id="{86DCD385-B39A-4F4C-926C-8325D5FAE47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8143875" y="35852100"/>
          <a:ext cx="1827440" cy="3524250"/>
        </a:xfrm>
        <a:prstGeom prst="rect">
          <a:avLst/>
        </a:prstGeom>
      </xdr:spPr>
    </xdr:pic>
    <xdr:clientData/>
  </xdr:twoCellAnchor>
  <xdr:oneCellAnchor>
    <xdr:from>
      <xdr:col>32</xdr:col>
      <xdr:colOff>19049</xdr:colOff>
      <xdr:row>246</xdr:row>
      <xdr:rowOff>28573</xdr:rowOff>
    </xdr:from>
    <xdr:ext cx="1638301" cy="819151"/>
    <xdr:pic>
      <xdr:nvPicPr>
        <xdr:cNvPr id="35" name="Picture 34">
          <a:extLst>
            <a:ext uri="{FF2B5EF4-FFF2-40B4-BE49-F238E27FC236}">
              <a16:creationId xmlns:a16="http://schemas.microsoft.com/office/drawing/2014/main" id="{89AE956E-5475-43B1-9844-432D058C00E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54378223"/>
          <a:ext cx="1638301" cy="819151"/>
        </a:xfrm>
        <a:prstGeom prst="rect">
          <a:avLst/>
        </a:prstGeom>
      </xdr:spPr>
    </xdr:pic>
    <xdr:clientData/>
  </xdr:oneCellAnchor>
  <xdr:oneCellAnchor>
    <xdr:from>
      <xdr:col>74</xdr:col>
      <xdr:colOff>19049</xdr:colOff>
      <xdr:row>246</xdr:row>
      <xdr:rowOff>38098</xdr:rowOff>
    </xdr:from>
    <xdr:ext cx="1638301" cy="819151"/>
    <xdr:pic>
      <xdr:nvPicPr>
        <xdr:cNvPr id="37" name="Picture 36">
          <a:extLst>
            <a:ext uri="{FF2B5EF4-FFF2-40B4-BE49-F238E27FC236}">
              <a16:creationId xmlns:a16="http://schemas.microsoft.com/office/drawing/2014/main" id="{46CAD933-9338-4A4B-A209-D70A3C70AB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54387748"/>
          <a:ext cx="1638301" cy="819151"/>
        </a:xfrm>
        <a:prstGeom prst="rect">
          <a:avLst/>
        </a:prstGeom>
      </xdr:spPr>
    </xdr:pic>
    <xdr:clientData/>
  </xdr:oneCellAnchor>
  <xdr:twoCellAnchor>
    <xdr:from>
      <xdr:col>2</xdr:col>
      <xdr:colOff>0</xdr:colOff>
      <xdr:row>263</xdr:row>
      <xdr:rowOff>13609</xdr:rowOff>
    </xdr:from>
    <xdr:to>
      <xdr:col>40</xdr:col>
      <xdr:colOff>113740</xdr:colOff>
      <xdr:row>285</xdr:row>
      <xdr:rowOff>41623</xdr:rowOff>
    </xdr:to>
    <xdr:graphicFrame macro="">
      <xdr:nvGraphicFramePr>
        <xdr:cNvPr id="38" name="f-5">
          <a:extLst>
            <a:ext uri="{FF2B5EF4-FFF2-40B4-BE49-F238E27FC236}">
              <a16:creationId xmlns:a16="http://schemas.microsoft.com/office/drawing/2014/main" id="{8C0F8DE8-27DB-4C43-9D18-83F8F9DA34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44</xdr:col>
      <xdr:colOff>0</xdr:colOff>
      <xdr:row>269</xdr:row>
      <xdr:rowOff>117013</xdr:rowOff>
    </xdr:from>
    <xdr:to>
      <xdr:col>82</xdr:col>
      <xdr:colOff>113740</xdr:colOff>
      <xdr:row>291</xdr:row>
      <xdr:rowOff>42974</xdr:rowOff>
    </xdr:to>
    <xdr:graphicFrame macro="">
      <xdr:nvGraphicFramePr>
        <xdr:cNvPr id="17" name="Chart 16">
          <a:extLst>
            <a:ext uri="{FF2B5EF4-FFF2-40B4-BE49-F238E27FC236}">
              <a16:creationId xmlns:a16="http://schemas.microsoft.com/office/drawing/2014/main" id="{C9F8A618-498D-4EB6-9CA8-120E77AAB1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52</xdr:col>
      <xdr:colOff>9524</xdr:colOff>
      <xdr:row>55</xdr:row>
      <xdr:rowOff>138821</xdr:rowOff>
    </xdr:from>
    <xdr:to>
      <xdr:col>77</xdr:col>
      <xdr:colOff>153520</xdr:colOff>
      <xdr:row>70</xdr:row>
      <xdr:rowOff>197783</xdr:rowOff>
    </xdr:to>
    <xdr:pic>
      <xdr:nvPicPr>
        <xdr:cNvPr id="42" name="Graphic 41">
          <a:extLst>
            <a:ext uri="{FF2B5EF4-FFF2-40B4-BE49-F238E27FC236}">
              <a16:creationId xmlns:a16="http://schemas.microsoft.com/office/drawing/2014/main" id="{CE3D470B-36AF-E974-230E-008F9BAC1871}"/>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9420224" y="12711821"/>
          <a:ext cx="4668371" cy="3487962"/>
        </a:xfrm>
        <a:prstGeom prst="rect">
          <a:avLst/>
        </a:prstGeom>
      </xdr:spPr>
    </xdr:pic>
    <xdr:clientData/>
  </xdr:twoCellAnchor>
  <xdr:twoCellAnchor>
    <xdr:from>
      <xdr:col>52</xdr:col>
      <xdr:colOff>38100</xdr:colOff>
      <xdr:row>70</xdr:row>
      <xdr:rowOff>190499</xdr:rowOff>
    </xdr:from>
    <xdr:to>
      <xdr:col>57</xdr:col>
      <xdr:colOff>9524</xdr:colOff>
      <xdr:row>74</xdr:row>
      <xdr:rowOff>19050</xdr:rowOff>
    </xdr:to>
    <xdr:sp macro="" textlink="$NH$54">
      <xdr:nvSpPr>
        <xdr:cNvPr id="43" name="TextBox 42">
          <a:extLst>
            <a:ext uri="{FF2B5EF4-FFF2-40B4-BE49-F238E27FC236}">
              <a16:creationId xmlns:a16="http://schemas.microsoft.com/office/drawing/2014/main" id="{F5CBF3A1-8CC8-A576-4620-BEAC976945E3}"/>
            </a:ext>
          </a:extLst>
        </xdr:cNvPr>
        <xdr:cNvSpPr txBox="1"/>
      </xdr:nvSpPr>
      <xdr:spPr>
        <a:xfrm>
          <a:off x="9448800" y="16192499"/>
          <a:ext cx="876299" cy="742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3E8437AF-7EE7-49A0-B299-0BDA78F301F2}" type="TxLink">
            <a:rPr lang="en-US" sz="1100" b="0" i="0" u="none" strike="noStrike">
              <a:solidFill>
                <a:srgbClr val="000000"/>
              </a:solidFill>
              <a:latin typeface="Calibri"/>
              <a:ea typeface="Calibri"/>
              <a:cs typeface="Calibri"/>
            </a:rPr>
            <a:pPr algn="ctr"/>
            <a:t>5 Tuned 2940 kvar</a:t>
          </a:fld>
          <a:endParaRPr lang="en-US" sz="1100"/>
        </a:p>
      </xdr:txBody>
    </xdr:sp>
    <xdr:clientData/>
  </xdr:twoCellAnchor>
  <xdr:twoCellAnchor>
    <xdr:from>
      <xdr:col>59</xdr:col>
      <xdr:colOff>133350</xdr:colOff>
      <xdr:row>71</xdr:row>
      <xdr:rowOff>0</xdr:rowOff>
    </xdr:from>
    <xdr:to>
      <xdr:col>63</xdr:col>
      <xdr:colOff>171449</xdr:colOff>
      <xdr:row>73</xdr:row>
      <xdr:rowOff>57150</xdr:rowOff>
    </xdr:to>
    <xdr:sp macro="" textlink="$NH$55">
      <xdr:nvSpPr>
        <xdr:cNvPr id="44" name="TextBox 43">
          <a:extLst>
            <a:ext uri="{FF2B5EF4-FFF2-40B4-BE49-F238E27FC236}">
              <a16:creationId xmlns:a16="http://schemas.microsoft.com/office/drawing/2014/main" id="{45B7202E-B83F-4B92-872F-33AA076F8FE1}"/>
            </a:ext>
          </a:extLst>
        </xdr:cNvPr>
        <xdr:cNvSpPr txBox="1"/>
      </xdr:nvSpPr>
      <xdr:spPr>
        <a:xfrm>
          <a:off x="10810875" y="16230600"/>
          <a:ext cx="761999" cy="51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3DBBC216-D970-4E81-BDBB-ABE08108544B}" type="TxLink">
            <a:rPr lang="en-US" sz="1100" b="0" i="0" u="none" strike="noStrike">
              <a:solidFill>
                <a:srgbClr val="000000"/>
              </a:solidFill>
              <a:latin typeface="Calibri"/>
              <a:ea typeface="Calibri"/>
              <a:cs typeface="Calibri"/>
            </a:rPr>
            <a:pPr algn="ctr"/>
            <a:t>7 Tuned 2880 kvar</a:t>
          </a:fld>
          <a:endParaRPr lang="en-US" sz="1100"/>
        </a:p>
      </xdr:txBody>
    </xdr:sp>
    <xdr:clientData/>
  </xdr:twoCellAnchor>
  <xdr:twoCellAnchor>
    <xdr:from>
      <xdr:col>67</xdr:col>
      <xdr:colOff>28576</xdr:colOff>
      <xdr:row>70</xdr:row>
      <xdr:rowOff>219074</xdr:rowOff>
    </xdr:from>
    <xdr:to>
      <xdr:col>71</xdr:col>
      <xdr:colOff>95250</xdr:colOff>
      <xdr:row>73</xdr:row>
      <xdr:rowOff>171449</xdr:rowOff>
    </xdr:to>
    <xdr:sp macro="" textlink="$NH$56">
      <xdr:nvSpPr>
        <xdr:cNvPr id="45" name="TextBox 44">
          <a:extLst>
            <a:ext uri="{FF2B5EF4-FFF2-40B4-BE49-F238E27FC236}">
              <a16:creationId xmlns:a16="http://schemas.microsoft.com/office/drawing/2014/main" id="{0196C2C3-04A5-4808-BF46-7D07D2B0FF0E}"/>
            </a:ext>
          </a:extLst>
        </xdr:cNvPr>
        <xdr:cNvSpPr txBox="1"/>
      </xdr:nvSpPr>
      <xdr:spPr>
        <a:xfrm>
          <a:off x="12153901" y="16221074"/>
          <a:ext cx="790574"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AD2617F5-67BE-4469-A50B-F5AA50D1E018}" type="TxLink">
            <a:rPr lang="en-US" sz="1100" b="0" i="0" u="none" strike="noStrike">
              <a:solidFill>
                <a:srgbClr val="000000"/>
              </a:solidFill>
              <a:latin typeface="Calibri"/>
              <a:ea typeface="Calibri"/>
              <a:cs typeface="Calibri"/>
            </a:rPr>
            <a:pPr algn="ctr"/>
            <a:t>11 Tuned 2847 kvar</a:t>
          </a:fld>
          <a:endParaRPr lang="en-US" sz="1100"/>
        </a:p>
      </xdr:txBody>
    </xdr:sp>
    <xdr:clientData/>
  </xdr:twoCellAnchor>
  <xdr:twoCellAnchor>
    <xdr:from>
      <xdr:col>74</xdr:col>
      <xdr:colOff>95251</xdr:colOff>
      <xdr:row>70</xdr:row>
      <xdr:rowOff>200025</xdr:rowOff>
    </xdr:from>
    <xdr:to>
      <xdr:col>79</xdr:col>
      <xdr:colOff>19050</xdr:colOff>
      <xdr:row>72</xdr:row>
      <xdr:rowOff>180975</xdr:rowOff>
    </xdr:to>
    <xdr:sp macro="" textlink="$NH$57">
      <xdr:nvSpPr>
        <xdr:cNvPr id="46" name="TextBox 45">
          <a:extLst>
            <a:ext uri="{FF2B5EF4-FFF2-40B4-BE49-F238E27FC236}">
              <a16:creationId xmlns:a16="http://schemas.microsoft.com/office/drawing/2014/main" id="{A7010583-45B6-431C-A9D2-977A5A089B23}"/>
            </a:ext>
          </a:extLst>
        </xdr:cNvPr>
        <xdr:cNvSpPr txBox="1"/>
      </xdr:nvSpPr>
      <xdr:spPr>
        <a:xfrm>
          <a:off x="13487401" y="16202025"/>
          <a:ext cx="828674"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3FE01183-94AC-47DC-A635-42109BEA22D1}" type="TxLink">
            <a:rPr lang="en-US" sz="1100" b="0" i="0" u="none" strike="noStrike">
              <a:solidFill>
                <a:srgbClr val="000000"/>
              </a:solidFill>
              <a:latin typeface="Calibri"/>
              <a:ea typeface="Calibri"/>
              <a:cs typeface="Calibri"/>
            </a:rPr>
            <a:pPr algn="ctr"/>
            <a:t>13 Tuned 2840 kvar</a:t>
          </a:fld>
          <a:endParaRPr lang="en-US" sz="1100"/>
        </a:p>
      </xdr:txBody>
    </xdr:sp>
    <xdr:clientData/>
  </xdr:twoCellAnchor>
  <xdr:twoCellAnchor>
    <xdr:from>
      <xdr:col>60</xdr:col>
      <xdr:colOff>171450</xdr:colOff>
      <xdr:row>73</xdr:row>
      <xdr:rowOff>47625</xdr:rowOff>
    </xdr:from>
    <xdr:to>
      <xdr:col>76</xdr:col>
      <xdr:colOff>104775</xdr:colOff>
      <xdr:row>74</xdr:row>
      <xdr:rowOff>152400</xdr:rowOff>
    </xdr:to>
    <xdr:sp macro="" textlink="$NH$59">
      <xdr:nvSpPr>
        <xdr:cNvPr id="47" name="TextBox 46">
          <a:extLst>
            <a:ext uri="{FF2B5EF4-FFF2-40B4-BE49-F238E27FC236}">
              <a16:creationId xmlns:a16="http://schemas.microsoft.com/office/drawing/2014/main" id="{47E8E7DD-F788-81EB-4F3C-84C62FAD1A21}"/>
            </a:ext>
          </a:extLst>
        </xdr:cNvPr>
        <xdr:cNvSpPr txBox="1"/>
      </xdr:nvSpPr>
      <xdr:spPr>
        <a:xfrm>
          <a:off x="11029950" y="16735425"/>
          <a:ext cx="2828925" cy="3333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fld id="{91266A53-6752-4F56-AFC1-25408164C512}" type="TxLink">
            <a:rPr lang="en-US" sz="1100" b="1" i="0" u="none" strike="noStrike">
              <a:solidFill>
                <a:srgbClr val="000000"/>
              </a:solidFill>
              <a:latin typeface="Calibri"/>
              <a:ea typeface="Calibri"/>
              <a:cs typeface="Calibri"/>
            </a:rPr>
            <a:pPr/>
            <a:t>Total Filter kvar output: 11507 kvar</a:t>
          </a:fld>
          <a:endParaRPr lang="en-US" sz="1100" b="1"/>
        </a:p>
      </xdr:txBody>
    </xdr:sp>
    <xdr:clientData/>
  </xdr:twoCellAnchor>
  <xdr:twoCellAnchor>
    <xdr:from>
      <xdr:col>57</xdr:col>
      <xdr:colOff>28575</xdr:colOff>
      <xdr:row>64</xdr:row>
      <xdr:rowOff>57150</xdr:rowOff>
    </xdr:from>
    <xdr:to>
      <xdr:col>61</xdr:col>
      <xdr:colOff>133349</xdr:colOff>
      <xdr:row>66</xdr:row>
      <xdr:rowOff>38100</xdr:rowOff>
    </xdr:to>
    <xdr:sp macro="" textlink="$NH$61">
      <xdr:nvSpPr>
        <xdr:cNvPr id="48" name="TextBox 47">
          <a:extLst>
            <a:ext uri="{FF2B5EF4-FFF2-40B4-BE49-F238E27FC236}">
              <a16:creationId xmlns:a16="http://schemas.microsoft.com/office/drawing/2014/main" id="{81CAFF53-283C-434A-872C-4FC029D2C1C4}"/>
            </a:ext>
          </a:extLst>
        </xdr:cNvPr>
        <xdr:cNvSpPr txBox="1"/>
      </xdr:nvSpPr>
      <xdr:spPr>
        <a:xfrm>
          <a:off x="10344150" y="14687550"/>
          <a:ext cx="828674"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9060DA73-2C0F-4629-BCC2-3A3293103356}" type="TxLink">
            <a:rPr lang="en-US" sz="1100" b="0" i="0" u="none" strike="noStrike">
              <a:solidFill>
                <a:srgbClr val="000000"/>
              </a:solidFill>
              <a:latin typeface="Calibri"/>
              <a:ea typeface="Calibri"/>
              <a:cs typeface="Calibri"/>
            </a:rPr>
            <a:pPr algn="ctr"/>
            <a:t>200 Ohms 9.7 kW</a:t>
          </a:fld>
          <a:endParaRPr lang="en-US" sz="1100"/>
        </a:p>
      </xdr:txBody>
    </xdr:sp>
    <xdr:clientData/>
  </xdr:twoCellAnchor>
  <xdr:twoCellAnchor>
    <xdr:from>
      <xdr:col>64</xdr:col>
      <xdr:colOff>142875</xdr:colOff>
      <xdr:row>64</xdr:row>
      <xdr:rowOff>57150</xdr:rowOff>
    </xdr:from>
    <xdr:to>
      <xdr:col>69</xdr:col>
      <xdr:colOff>66674</xdr:colOff>
      <xdr:row>66</xdr:row>
      <xdr:rowOff>38100</xdr:rowOff>
    </xdr:to>
    <xdr:sp macro="" textlink="$NH$62">
      <xdr:nvSpPr>
        <xdr:cNvPr id="49" name="TextBox 48">
          <a:extLst>
            <a:ext uri="{FF2B5EF4-FFF2-40B4-BE49-F238E27FC236}">
              <a16:creationId xmlns:a16="http://schemas.microsoft.com/office/drawing/2014/main" id="{3A01B2B8-DE43-472A-B1D5-4B52D1821E36}"/>
            </a:ext>
          </a:extLst>
        </xdr:cNvPr>
        <xdr:cNvSpPr txBox="1"/>
      </xdr:nvSpPr>
      <xdr:spPr>
        <a:xfrm>
          <a:off x="11725275" y="14687550"/>
          <a:ext cx="828674"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388A32BB-A0AD-46B2-9E06-A47793D8A6A5}" type="TxLink">
            <a:rPr lang="en-US" sz="1100" b="0" i="0" u="none" strike="noStrike">
              <a:solidFill>
                <a:srgbClr val="000000"/>
              </a:solidFill>
              <a:latin typeface="Calibri"/>
              <a:ea typeface="Calibri"/>
              <a:cs typeface="Calibri"/>
            </a:rPr>
            <a:pPr algn="ctr"/>
            <a:t>100 Ohms 7 kW</a:t>
          </a:fld>
          <a:endParaRPr lang="en-US" sz="1100"/>
        </a:p>
      </xdr:txBody>
    </xdr:sp>
    <xdr:clientData/>
  </xdr:twoCellAnchor>
  <xdr:twoCellAnchor>
    <xdr:from>
      <xdr:col>72</xdr:col>
      <xdr:colOff>0</xdr:colOff>
      <xdr:row>64</xdr:row>
      <xdr:rowOff>66675</xdr:rowOff>
    </xdr:from>
    <xdr:to>
      <xdr:col>76</xdr:col>
      <xdr:colOff>104774</xdr:colOff>
      <xdr:row>66</xdr:row>
      <xdr:rowOff>47625</xdr:rowOff>
    </xdr:to>
    <xdr:sp macro="" textlink="$NH$63">
      <xdr:nvSpPr>
        <xdr:cNvPr id="50" name="TextBox 49">
          <a:extLst>
            <a:ext uri="{FF2B5EF4-FFF2-40B4-BE49-F238E27FC236}">
              <a16:creationId xmlns:a16="http://schemas.microsoft.com/office/drawing/2014/main" id="{A0D78AD3-9A79-4D78-A033-19E14B5720E5}"/>
            </a:ext>
          </a:extLst>
        </xdr:cNvPr>
        <xdr:cNvSpPr txBox="1"/>
      </xdr:nvSpPr>
      <xdr:spPr>
        <a:xfrm>
          <a:off x="13030200" y="14697075"/>
          <a:ext cx="828674" cy="4381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fld id="{CE8E5001-669B-49F8-8FBE-015689BEDBAA}" type="TxLink">
            <a:rPr lang="en-US" sz="1100" b="0" i="0" u="none" strike="noStrike">
              <a:solidFill>
                <a:srgbClr val="000000"/>
              </a:solidFill>
              <a:latin typeface="Calibri"/>
              <a:ea typeface="Calibri"/>
              <a:cs typeface="Calibri"/>
            </a:rPr>
            <a:pPr algn="ctr"/>
            <a:t>80 Ohms 2.8 kW</a:t>
          </a:fld>
          <a:endParaRPr lang="en-US" sz="1100"/>
        </a:p>
      </xdr:txBody>
    </xdr:sp>
    <xdr:clientData/>
  </xdr:twoCellAnchor>
  <xdr:twoCellAnchor>
    <xdr:from>
      <xdr:col>48</xdr:col>
      <xdr:colOff>161925</xdr:colOff>
      <xdr:row>62</xdr:row>
      <xdr:rowOff>47625</xdr:rowOff>
    </xdr:from>
    <xdr:to>
      <xdr:col>53</xdr:col>
      <xdr:colOff>85724</xdr:colOff>
      <xdr:row>64</xdr:row>
      <xdr:rowOff>168089</xdr:rowOff>
    </xdr:to>
    <xdr:sp macro="" textlink="$NH$66">
      <xdr:nvSpPr>
        <xdr:cNvPr id="52" name="TextBox 51">
          <a:extLst>
            <a:ext uri="{FF2B5EF4-FFF2-40B4-BE49-F238E27FC236}">
              <a16:creationId xmlns:a16="http://schemas.microsoft.com/office/drawing/2014/main" id="{4460565F-1B58-419A-9CC0-7B87EE39EC7F}"/>
            </a:ext>
          </a:extLst>
        </xdr:cNvPr>
        <xdr:cNvSpPr txBox="1"/>
      </xdr:nvSpPr>
      <xdr:spPr>
        <a:xfrm>
          <a:off x="8768043" y="13942919"/>
          <a:ext cx="820269" cy="568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20B55832-32AB-4A54-82E8-00DEA8CC7C2F}" type="TxLink">
            <a:rPr lang="en-US" sz="1100" b="0" i="0" u="none" strike="noStrike">
              <a:solidFill>
                <a:srgbClr val="000000"/>
              </a:solidFill>
              <a:latin typeface="Calibri"/>
              <a:ea typeface="Calibri"/>
              <a:cs typeface="Calibri"/>
            </a:rPr>
            <a:pPr algn="r"/>
            <a:t>5.85 mH 2.2 Ohms</a:t>
          </a:fld>
          <a:endParaRPr lang="en-US" sz="1100"/>
        </a:p>
      </xdr:txBody>
    </xdr:sp>
    <xdr:clientData/>
  </xdr:twoCellAnchor>
  <xdr:twoCellAnchor>
    <xdr:from>
      <xdr:col>56</xdr:col>
      <xdr:colOff>57150</xdr:colOff>
      <xdr:row>62</xdr:row>
      <xdr:rowOff>9525</xdr:rowOff>
    </xdr:from>
    <xdr:to>
      <xdr:col>60</xdr:col>
      <xdr:colOff>161924</xdr:colOff>
      <xdr:row>64</xdr:row>
      <xdr:rowOff>56030</xdr:rowOff>
    </xdr:to>
    <xdr:sp macro="" textlink="$NH$67">
      <xdr:nvSpPr>
        <xdr:cNvPr id="53" name="TextBox 52">
          <a:extLst>
            <a:ext uri="{FF2B5EF4-FFF2-40B4-BE49-F238E27FC236}">
              <a16:creationId xmlns:a16="http://schemas.microsoft.com/office/drawing/2014/main" id="{70403F60-EF54-4DE6-86DD-F7656E6E2250}"/>
            </a:ext>
          </a:extLst>
        </xdr:cNvPr>
        <xdr:cNvSpPr txBox="1"/>
      </xdr:nvSpPr>
      <xdr:spPr>
        <a:xfrm>
          <a:off x="10097621" y="13904819"/>
          <a:ext cx="821950" cy="4947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8BF9B162-27A2-403E-BB2E-6E1D590D8A06}" type="TxLink">
            <a:rPr lang="en-US" sz="1100" b="0" i="0" u="none" strike="noStrike">
              <a:solidFill>
                <a:srgbClr val="000000"/>
              </a:solidFill>
              <a:latin typeface="Calibri"/>
              <a:ea typeface="Calibri"/>
              <a:cs typeface="Calibri"/>
            </a:rPr>
            <a:pPr algn="r"/>
            <a:t>2.98 mH 1.1 Ohms</a:t>
          </a:fld>
          <a:endParaRPr lang="en-US" sz="1100"/>
        </a:p>
      </xdr:txBody>
    </xdr:sp>
    <xdr:clientData/>
  </xdr:twoCellAnchor>
  <xdr:twoCellAnchor>
    <xdr:from>
      <xdr:col>64</xdr:col>
      <xdr:colOff>0</xdr:colOff>
      <xdr:row>62</xdr:row>
      <xdr:rowOff>28575</xdr:rowOff>
    </xdr:from>
    <xdr:to>
      <xdr:col>68</xdr:col>
      <xdr:colOff>104774</xdr:colOff>
      <xdr:row>64</xdr:row>
      <xdr:rowOff>78442</xdr:rowOff>
    </xdr:to>
    <xdr:sp macro="" textlink="$NH$68">
      <xdr:nvSpPr>
        <xdr:cNvPr id="54" name="TextBox 53">
          <a:extLst>
            <a:ext uri="{FF2B5EF4-FFF2-40B4-BE49-F238E27FC236}">
              <a16:creationId xmlns:a16="http://schemas.microsoft.com/office/drawing/2014/main" id="{42FCCDD9-E03D-4CF3-A4D9-2F0839D0147E}"/>
            </a:ext>
          </a:extLst>
        </xdr:cNvPr>
        <xdr:cNvSpPr txBox="1"/>
      </xdr:nvSpPr>
      <xdr:spPr>
        <a:xfrm>
          <a:off x="11474824" y="13923869"/>
          <a:ext cx="821950" cy="49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C0F1F612-6934-46B5-9C7B-0E29A6A7D4FB}" type="TxLink">
            <a:rPr lang="en-US" sz="1100" b="0" i="0" u="none" strike="noStrike">
              <a:solidFill>
                <a:srgbClr val="000000"/>
              </a:solidFill>
              <a:latin typeface="Calibri"/>
              <a:ea typeface="Calibri"/>
              <a:cs typeface="Calibri"/>
            </a:rPr>
            <a:pPr algn="r"/>
            <a:t>1.21 mH 0.5 Ohms</a:t>
          </a:fld>
          <a:endParaRPr lang="en-US" sz="1100"/>
        </a:p>
      </xdr:txBody>
    </xdr:sp>
    <xdr:clientData/>
  </xdr:twoCellAnchor>
  <xdr:twoCellAnchor>
    <xdr:from>
      <xdr:col>71</xdr:col>
      <xdr:colOff>66675</xdr:colOff>
      <xdr:row>62</xdr:row>
      <xdr:rowOff>28575</xdr:rowOff>
    </xdr:from>
    <xdr:to>
      <xdr:col>75</xdr:col>
      <xdr:colOff>171449</xdr:colOff>
      <xdr:row>64</xdr:row>
      <xdr:rowOff>123265</xdr:rowOff>
    </xdr:to>
    <xdr:sp macro="" textlink="$NH$69">
      <xdr:nvSpPr>
        <xdr:cNvPr id="55" name="TextBox 54">
          <a:extLst>
            <a:ext uri="{FF2B5EF4-FFF2-40B4-BE49-F238E27FC236}">
              <a16:creationId xmlns:a16="http://schemas.microsoft.com/office/drawing/2014/main" id="{4C3B44EF-E68B-4D7C-AF67-495BD3226B2C}"/>
            </a:ext>
          </a:extLst>
        </xdr:cNvPr>
        <xdr:cNvSpPr txBox="1"/>
      </xdr:nvSpPr>
      <xdr:spPr>
        <a:xfrm>
          <a:off x="12796557" y="13923869"/>
          <a:ext cx="821951" cy="542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80E92393-F68A-4C24-944E-5A2F497A77BB}" type="TxLink">
            <a:rPr lang="en-US" sz="1100" b="0" i="0" u="none" strike="noStrike">
              <a:solidFill>
                <a:srgbClr val="000000"/>
              </a:solidFill>
              <a:latin typeface="Calibri"/>
              <a:ea typeface="Calibri"/>
              <a:cs typeface="Calibri"/>
            </a:rPr>
            <a:pPr algn="r"/>
            <a:t>0.86 mH 0.3 Ohms</a:t>
          </a:fld>
          <a:endParaRPr lang="en-US" sz="1100"/>
        </a:p>
      </xdr:txBody>
    </xdr:sp>
    <xdr:clientData/>
  </xdr:twoCellAnchor>
  <xdr:twoCellAnchor>
    <xdr:from>
      <xdr:col>47</xdr:col>
      <xdr:colOff>66675</xdr:colOff>
      <xdr:row>68</xdr:row>
      <xdr:rowOff>133350</xdr:rowOff>
    </xdr:from>
    <xdr:to>
      <xdr:col>52</xdr:col>
      <xdr:colOff>152400</xdr:colOff>
      <xdr:row>70</xdr:row>
      <xdr:rowOff>114300</xdr:rowOff>
    </xdr:to>
    <xdr:sp macro="" textlink="$NH$71">
      <xdr:nvSpPr>
        <xdr:cNvPr id="56" name="TextBox 55">
          <a:extLst>
            <a:ext uri="{FF2B5EF4-FFF2-40B4-BE49-F238E27FC236}">
              <a16:creationId xmlns:a16="http://schemas.microsoft.com/office/drawing/2014/main" id="{896E6409-FF31-4E1F-90FF-FD2536E59644}"/>
            </a:ext>
          </a:extLst>
        </xdr:cNvPr>
        <xdr:cNvSpPr txBox="1"/>
      </xdr:nvSpPr>
      <xdr:spPr>
        <a:xfrm>
          <a:off x="8572500" y="15678150"/>
          <a:ext cx="990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14531A6F-6608-4DB4-84D0-B88DEE71492C}" type="TxLink">
            <a:rPr lang="en-US" sz="1100" b="0" i="0" u="none" strike="noStrike">
              <a:solidFill>
                <a:srgbClr val="000000"/>
              </a:solidFill>
              <a:latin typeface="Calibri"/>
              <a:ea typeface="Calibri"/>
              <a:cs typeface="Calibri"/>
            </a:rPr>
            <a:pPr algn="r"/>
            <a:t>55.1 Ohms 48.2 uF</a:t>
          </a:fld>
          <a:endParaRPr lang="en-US" sz="1100"/>
        </a:p>
      </xdr:txBody>
    </xdr:sp>
    <xdr:clientData/>
  </xdr:twoCellAnchor>
  <xdr:twoCellAnchor>
    <xdr:from>
      <xdr:col>54</xdr:col>
      <xdr:colOff>142874</xdr:colOff>
      <xdr:row>68</xdr:row>
      <xdr:rowOff>114300</xdr:rowOff>
    </xdr:from>
    <xdr:to>
      <xdr:col>60</xdr:col>
      <xdr:colOff>95249</xdr:colOff>
      <xdr:row>70</xdr:row>
      <xdr:rowOff>95250</xdr:rowOff>
    </xdr:to>
    <xdr:sp macro="" textlink="$NH$72">
      <xdr:nvSpPr>
        <xdr:cNvPr id="57" name="TextBox 56">
          <a:extLst>
            <a:ext uri="{FF2B5EF4-FFF2-40B4-BE49-F238E27FC236}">
              <a16:creationId xmlns:a16="http://schemas.microsoft.com/office/drawing/2014/main" id="{1AA2661A-C865-41EA-A02E-F23209A6392B}"/>
            </a:ext>
          </a:extLst>
        </xdr:cNvPr>
        <xdr:cNvSpPr txBox="1"/>
      </xdr:nvSpPr>
      <xdr:spPr>
        <a:xfrm>
          <a:off x="9915524" y="15659100"/>
          <a:ext cx="10382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6C24A19E-AA0E-415B-8276-EDC88FF123A4}" type="TxLink">
            <a:rPr lang="en-US" sz="1100" b="0" i="0" u="none" strike="noStrike">
              <a:solidFill>
                <a:srgbClr val="000000"/>
              </a:solidFill>
              <a:latin typeface="Calibri"/>
              <a:ea typeface="Calibri"/>
              <a:cs typeface="Calibri"/>
            </a:rPr>
            <a:pPr algn="r"/>
            <a:t>55.12 Ohms 48.1 uF</a:t>
          </a:fld>
          <a:endParaRPr lang="en-US" sz="1100"/>
        </a:p>
      </xdr:txBody>
    </xdr:sp>
    <xdr:clientData/>
  </xdr:twoCellAnchor>
  <xdr:twoCellAnchor>
    <xdr:from>
      <xdr:col>62</xdr:col>
      <xdr:colOff>171450</xdr:colOff>
      <xdr:row>68</xdr:row>
      <xdr:rowOff>123825</xdr:rowOff>
    </xdr:from>
    <xdr:to>
      <xdr:col>68</xdr:col>
      <xdr:colOff>19050</xdr:colOff>
      <xdr:row>70</xdr:row>
      <xdr:rowOff>104775</xdr:rowOff>
    </xdr:to>
    <xdr:sp macro="" textlink="$NH$73">
      <xdr:nvSpPr>
        <xdr:cNvPr id="58" name="TextBox 57">
          <a:extLst>
            <a:ext uri="{FF2B5EF4-FFF2-40B4-BE49-F238E27FC236}">
              <a16:creationId xmlns:a16="http://schemas.microsoft.com/office/drawing/2014/main" id="{1A5638BB-0B5C-44BA-8FA3-9448E5D376F3}"/>
            </a:ext>
          </a:extLst>
        </xdr:cNvPr>
        <xdr:cNvSpPr txBox="1"/>
      </xdr:nvSpPr>
      <xdr:spPr>
        <a:xfrm>
          <a:off x="11391900" y="15668625"/>
          <a:ext cx="93345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2894DCC6-A9BC-463F-BBCE-19FEA3AEC33B}" type="TxLink">
            <a:rPr lang="en-US" sz="1100" b="0" i="0" u="none" strike="noStrike">
              <a:solidFill>
                <a:srgbClr val="000000"/>
              </a:solidFill>
              <a:latin typeface="Calibri"/>
              <a:ea typeface="Calibri"/>
              <a:cs typeface="Calibri"/>
            </a:rPr>
            <a:pPr algn="r"/>
            <a:t>55.07 Ohms 48.2 uF</a:t>
          </a:fld>
          <a:endParaRPr lang="en-US" sz="1100"/>
        </a:p>
      </xdr:txBody>
    </xdr:sp>
    <xdr:clientData/>
  </xdr:twoCellAnchor>
  <xdr:twoCellAnchor>
    <xdr:from>
      <xdr:col>70</xdr:col>
      <xdr:colOff>28574</xdr:colOff>
      <xdr:row>68</xdr:row>
      <xdr:rowOff>85725</xdr:rowOff>
    </xdr:from>
    <xdr:to>
      <xdr:col>75</xdr:col>
      <xdr:colOff>133350</xdr:colOff>
      <xdr:row>70</xdr:row>
      <xdr:rowOff>66675</xdr:rowOff>
    </xdr:to>
    <xdr:sp macro="" textlink="$NH$74">
      <xdr:nvSpPr>
        <xdr:cNvPr id="59" name="TextBox 58">
          <a:extLst>
            <a:ext uri="{FF2B5EF4-FFF2-40B4-BE49-F238E27FC236}">
              <a16:creationId xmlns:a16="http://schemas.microsoft.com/office/drawing/2014/main" id="{087A44A6-CE3B-4164-ADCD-B9AEF857FB10}"/>
            </a:ext>
          </a:extLst>
        </xdr:cNvPr>
        <xdr:cNvSpPr txBox="1"/>
      </xdr:nvSpPr>
      <xdr:spPr>
        <a:xfrm>
          <a:off x="12696824" y="15630525"/>
          <a:ext cx="1009651"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fld id="{0B419E8A-6164-4F98-B048-46BBE9EC644C}" type="TxLink">
            <a:rPr lang="en-US" sz="1100" b="0" i="0" u="none" strike="noStrike">
              <a:solidFill>
                <a:srgbClr val="000000"/>
              </a:solidFill>
              <a:latin typeface="Calibri"/>
              <a:ea typeface="Calibri"/>
              <a:cs typeface="Calibri"/>
            </a:rPr>
            <a:pPr algn="r"/>
            <a:t>55.08 Ohms 48.2 uF</a:t>
          </a:fld>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2" name="Picture 1">
          <a:extLst>
            <a:ext uri="{FF2B5EF4-FFF2-40B4-BE49-F238E27FC236}">
              <a16:creationId xmlns:a16="http://schemas.microsoft.com/office/drawing/2014/main" id="{6037E335-CA81-406B-A92F-CCF81DC1D3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152398</xdr:rowOff>
    </xdr:from>
    <xdr:ext cx="1638301" cy="819151"/>
    <xdr:pic>
      <xdr:nvPicPr>
        <xdr:cNvPr id="3" name="Picture 2">
          <a:extLst>
            <a:ext uri="{FF2B5EF4-FFF2-40B4-BE49-F238E27FC236}">
              <a16:creationId xmlns:a16="http://schemas.microsoft.com/office/drawing/2014/main" id="{2D10FFBA-74EB-44F3-B454-856A7DBEB26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80998"/>
          <a:ext cx="1638301" cy="819151"/>
        </a:xfrm>
        <a:prstGeom prst="rect">
          <a:avLst/>
        </a:prstGeom>
      </xdr:spPr>
    </xdr:pic>
    <xdr:clientData/>
  </xdr:oneCellAnchor>
  <xdr:oneCellAnchor>
    <xdr:from>
      <xdr:col>32</xdr:col>
      <xdr:colOff>19049</xdr:colOff>
      <xdr:row>50</xdr:row>
      <xdr:rowOff>152398</xdr:rowOff>
    </xdr:from>
    <xdr:ext cx="1638301" cy="819151"/>
    <xdr:pic>
      <xdr:nvPicPr>
        <xdr:cNvPr id="4" name="Picture 3">
          <a:extLst>
            <a:ext uri="{FF2B5EF4-FFF2-40B4-BE49-F238E27FC236}">
              <a16:creationId xmlns:a16="http://schemas.microsoft.com/office/drawing/2014/main" id="{27572652-530D-46E1-A884-0DF9EEE40C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82398"/>
          <a:ext cx="1638301" cy="819151"/>
        </a:xfrm>
        <a:prstGeom prst="rect">
          <a:avLst/>
        </a:prstGeom>
      </xdr:spPr>
    </xdr:pic>
    <xdr:clientData/>
  </xdr:oneCellAnchor>
  <xdr:oneCellAnchor>
    <xdr:from>
      <xdr:col>74</xdr:col>
      <xdr:colOff>19049</xdr:colOff>
      <xdr:row>50</xdr:row>
      <xdr:rowOff>152398</xdr:rowOff>
    </xdr:from>
    <xdr:ext cx="1638301" cy="819151"/>
    <xdr:pic>
      <xdr:nvPicPr>
        <xdr:cNvPr id="5" name="Picture 4">
          <a:extLst>
            <a:ext uri="{FF2B5EF4-FFF2-40B4-BE49-F238E27FC236}">
              <a16:creationId xmlns:a16="http://schemas.microsoft.com/office/drawing/2014/main" id="{421A7F70-EE81-422C-BFE3-5E433BB2A5F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82398"/>
          <a:ext cx="1638301" cy="819151"/>
        </a:xfrm>
        <a:prstGeom prst="rect">
          <a:avLst/>
        </a:prstGeom>
      </xdr:spPr>
    </xdr:pic>
    <xdr:clientData/>
  </xdr:oneCellAnchor>
  <xdr:oneCellAnchor>
    <xdr:from>
      <xdr:col>32</xdr:col>
      <xdr:colOff>19049</xdr:colOff>
      <xdr:row>99</xdr:row>
      <xdr:rowOff>152398</xdr:rowOff>
    </xdr:from>
    <xdr:ext cx="1638301" cy="819151"/>
    <xdr:pic>
      <xdr:nvPicPr>
        <xdr:cNvPr id="6" name="Picture 5">
          <a:extLst>
            <a:ext uri="{FF2B5EF4-FFF2-40B4-BE49-F238E27FC236}">
              <a16:creationId xmlns:a16="http://schemas.microsoft.com/office/drawing/2014/main" id="{08467321-03BB-4B67-8965-DE826D56DB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83798"/>
          <a:ext cx="1638301" cy="819151"/>
        </a:xfrm>
        <a:prstGeom prst="rect">
          <a:avLst/>
        </a:prstGeom>
      </xdr:spPr>
    </xdr:pic>
    <xdr:clientData/>
  </xdr:oneCellAnchor>
  <xdr:oneCellAnchor>
    <xdr:from>
      <xdr:col>74</xdr:col>
      <xdr:colOff>19049</xdr:colOff>
      <xdr:row>99</xdr:row>
      <xdr:rowOff>152398</xdr:rowOff>
    </xdr:from>
    <xdr:ext cx="1638301" cy="819151"/>
    <xdr:pic>
      <xdr:nvPicPr>
        <xdr:cNvPr id="7" name="Picture 6">
          <a:extLst>
            <a:ext uri="{FF2B5EF4-FFF2-40B4-BE49-F238E27FC236}">
              <a16:creationId xmlns:a16="http://schemas.microsoft.com/office/drawing/2014/main" id="{5A1C0118-601A-42E3-8B9B-BC9A51FFE2E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83798"/>
          <a:ext cx="1638301" cy="819151"/>
        </a:xfrm>
        <a:prstGeom prst="rect">
          <a:avLst/>
        </a:prstGeom>
      </xdr:spPr>
    </xdr:pic>
    <xdr:clientData/>
  </xdr:oneCellAnchor>
  <xdr:oneCellAnchor>
    <xdr:from>
      <xdr:col>32</xdr:col>
      <xdr:colOff>19049</xdr:colOff>
      <xdr:row>148</xdr:row>
      <xdr:rowOff>152398</xdr:rowOff>
    </xdr:from>
    <xdr:ext cx="1638301" cy="819151"/>
    <xdr:pic>
      <xdr:nvPicPr>
        <xdr:cNvPr id="8" name="Picture 7">
          <a:extLst>
            <a:ext uri="{FF2B5EF4-FFF2-40B4-BE49-F238E27FC236}">
              <a16:creationId xmlns:a16="http://schemas.microsoft.com/office/drawing/2014/main" id="{0C88C971-018B-4EBC-9E16-3EBE3C2E862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85198"/>
          <a:ext cx="1638301" cy="819151"/>
        </a:xfrm>
        <a:prstGeom prst="rect">
          <a:avLst/>
        </a:prstGeom>
      </xdr:spPr>
    </xdr:pic>
    <xdr:clientData/>
  </xdr:oneCellAnchor>
  <xdr:oneCellAnchor>
    <xdr:from>
      <xdr:col>74</xdr:col>
      <xdr:colOff>19049</xdr:colOff>
      <xdr:row>148</xdr:row>
      <xdr:rowOff>152398</xdr:rowOff>
    </xdr:from>
    <xdr:ext cx="1638301" cy="819151"/>
    <xdr:pic>
      <xdr:nvPicPr>
        <xdr:cNvPr id="9" name="Picture 8">
          <a:extLst>
            <a:ext uri="{FF2B5EF4-FFF2-40B4-BE49-F238E27FC236}">
              <a16:creationId xmlns:a16="http://schemas.microsoft.com/office/drawing/2014/main" id="{2F004F29-35FC-4C23-AB63-340F06056B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85198"/>
          <a:ext cx="1638301" cy="819151"/>
        </a:xfrm>
        <a:prstGeom prst="rect">
          <a:avLst/>
        </a:prstGeom>
      </xdr:spPr>
    </xdr:pic>
    <xdr:clientData/>
  </xdr:oneCellAnchor>
  <xdr:twoCellAnchor>
    <xdr:from>
      <xdr:col>44</xdr:col>
      <xdr:colOff>175888</xdr:colOff>
      <xdr:row>123</xdr:row>
      <xdr:rowOff>111933</xdr:rowOff>
    </xdr:from>
    <xdr:to>
      <xdr:col>82</xdr:col>
      <xdr:colOff>40408</xdr:colOff>
      <xdr:row>143</xdr:row>
      <xdr:rowOff>212912</xdr:rowOff>
    </xdr:to>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327E7C4A-1D68-4A67-878D-768BDA23E1D6}"/>
                </a:ext>
              </a:extLst>
            </xdr:cNvPr>
            <xdr:cNvSpPr txBox="1"/>
          </xdr:nvSpPr>
          <xdr:spPr>
            <a:xfrm>
              <a:off x="8138788" y="28229733"/>
              <a:ext cx="6741570" cy="4672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This spreadsheet is used to support the design, tuning, and component selection associated with</a:t>
              </a:r>
              <a:r>
                <a:rPr lang="en-US" sz="1100" b="1">
                  <a:solidFill>
                    <a:schemeClr val="dk1"/>
                  </a:solidFill>
                  <a:effectLst/>
                  <a:latin typeface="+mn-lt"/>
                  <a:ea typeface="+mn-ea"/>
                  <a:cs typeface="+mn-cs"/>
                </a:rPr>
                <a:t> Notch type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 capacitor reactive power and voltage ratings, harmonic currents, voltage stresses, and damping resistance. The summary below describes the calculation process applied throughout the tool using a 13.8kV 1000 kvar filter branch as an example. The tool assumes that harmonic simulations  have been conducted and that the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𝑒𝑓𝑓</m:t>
                      </m:r>
                    </m:sub>
                  </m:sSub>
                  <m:r>
                    <a:rPr lang="en-US" sz="1100" b="0" i="1">
                      <a:solidFill>
                        <a:schemeClr val="dk1"/>
                      </a:solidFill>
                      <a:effectLst/>
                      <a:latin typeface="Cambria Math" panose="02040503050406030204" pitchFamily="18" charset="0"/>
                      <a:ea typeface="+mn-ea"/>
                      <a:cs typeface="+mn-cs"/>
                    </a:rPr>
                    <m:t> </m:t>
                  </m:r>
                </m:oMath>
              </a14:m>
              <a:r>
                <a:rPr lang="en-US" sz="1100">
                  <a:solidFill>
                    <a:schemeClr val="dk1"/>
                  </a:solidFill>
                  <a:effectLst/>
                  <a:latin typeface="+mn-lt"/>
                  <a:ea typeface="+mn-ea"/>
                  <a:cs typeface="+mn-cs"/>
                </a:rPr>
                <a:t>and forms the foundation of all subsequent calculations. Using the system’s nominal line-to-line voltage </a:t>
              </a:r>
              <a14:m>
                <m:oMath xmlns:m="http://schemas.openxmlformats.org/officeDocument/2006/math">
                  <m:r>
                    <a:rPr lang="en-US" sz="1100" i="1">
                      <a:solidFill>
                        <a:schemeClr val="dk1"/>
                      </a:solidFill>
                      <a:effectLst/>
                      <a:latin typeface="Cambria Math" panose="02040503050406030204" pitchFamily="18" charset="0"/>
                      <a:ea typeface="+mn-ea"/>
                      <a:cs typeface="+mn-cs"/>
                    </a:rPr>
                    <m:t>𝑘</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𝐿𝐿𝑆𝑌𝑆</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filter reactance,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For a notch type filter,  the summation of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sum to this</a:t>
              </a:r>
              <a:r>
                <a:rPr lang="en-US" sz="1100" baseline="0">
                  <a:solidFill>
                    <a:schemeClr val="dk1"/>
                  </a:solidFill>
                  <a:effectLst/>
                  <a:latin typeface="+mn-lt"/>
                  <a:ea typeface="+mn-ea"/>
                  <a:cs typeface="+mn-cs"/>
                </a:rPr>
                <a:t> value where </a:t>
              </a:r>
              <a:r>
                <a:rPr lang="en-US" sz="1100">
                  <a:solidFill>
                    <a:schemeClr val="dk1"/>
                  </a:solidFill>
                  <a:effectLst/>
                  <a:latin typeface="+mn-lt"/>
                  <a:ea typeface="+mn-ea"/>
                  <a:cs typeface="+mn-cs"/>
                </a:rPr>
                <a:t>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Xc and determined using</a:t>
              </a:r>
              <a:r>
                <a:rPr lang="en-US" sz="1100" baseline="0">
                  <a:solidFill>
                    <a:schemeClr val="dk1"/>
                  </a:solidFill>
                  <a:effectLst/>
                  <a:latin typeface="+mn-lt"/>
                  <a:ea typeface="+mn-ea"/>
                  <a:cs typeface="+mn-cs"/>
                </a:rPr>
                <a:t> the tuning point and the relationship:</a:t>
              </a:r>
              <a:r>
                <a:rPr lang="en-US" sz="1100">
                  <a:solidFill>
                    <a:schemeClr val="dk1"/>
                  </a:solidFill>
                  <a:effectLst/>
                  <a:latin typeface="+mn-lt"/>
                  <a:ea typeface="+mn-ea"/>
                  <a:cs typeface="+mn-cs"/>
                </a:rPr>
                <a:t>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d>
                    <m:dPr>
                      <m:ctrlPr>
                        <a:rPr lang="en-US" sz="1100" i="1">
                          <a:solidFill>
                            <a:schemeClr val="dk1"/>
                          </a:solidFill>
                          <a:effectLst/>
                          <a:latin typeface="Cambria Math" panose="02040503050406030204" pitchFamily="18" charset="0"/>
                          <a:ea typeface="+mn-ea"/>
                          <a:cs typeface="+mn-cs"/>
                        </a:rPr>
                      </m:ctrlPr>
                    </m:dPr>
                    <m:e>
                      <m:f>
                        <m:fPr>
                          <m:ctrlPr>
                            <a:rPr lang="en-US" sz="1100" i="1">
                              <a:solidFill>
                                <a:schemeClr val="dk1"/>
                              </a:solidFill>
                              <a:effectLst/>
                              <a:latin typeface="Cambria Math" panose="02040503050406030204" pitchFamily="18" charset="0"/>
                              <a:ea typeface="+mn-ea"/>
                              <a:cs typeface="+mn-cs"/>
                            </a:rPr>
                          </m:ctrlPr>
                        </m:fPr>
                        <m:num>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num>
                        <m:den>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r>
                            <a:rPr lang="en-US" sz="1100" i="1">
                              <a:solidFill>
                                <a:schemeClr val="dk1"/>
                              </a:solidFill>
                              <a:effectLst/>
                              <a:latin typeface="Cambria Math" panose="02040503050406030204" pitchFamily="18" charset="0"/>
                              <a:ea typeface="+mn-ea"/>
                              <a:cs typeface="+mn-cs"/>
                            </a:rPr>
                            <m:t>−1</m:t>
                          </m:r>
                        </m:den>
                      </m:f>
                    </m:e>
                  </m:d>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xdr:txBody>
        </xdr:sp>
      </mc:Choice>
      <mc:Fallback xmlns="">
        <xdr:sp macro="" textlink="">
          <xdr:nvSpPr>
            <xdr:cNvPr id="10" name="TextBox 9">
              <a:extLst>
                <a:ext uri="{FF2B5EF4-FFF2-40B4-BE49-F238E27FC236}">
                  <a16:creationId xmlns:a16="http://schemas.microsoft.com/office/drawing/2014/main" id="{327E7C4A-1D68-4A67-878D-768BDA23E1D6}"/>
                </a:ext>
              </a:extLst>
            </xdr:cNvPr>
            <xdr:cNvSpPr txBox="1"/>
          </xdr:nvSpPr>
          <xdr:spPr>
            <a:xfrm>
              <a:off x="8138788" y="28229733"/>
              <a:ext cx="6741570" cy="4672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This spreadsheet is used to support the design, tuning, and component selection associated with</a:t>
              </a:r>
              <a:r>
                <a:rPr lang="en-US" sz="1100" b="1">
                  <a:solidFill>
                    <a:schemeClr val="dk1"/>
                  </a:solidFill>
                  <a:effectLst/>
                  <a:latin typeface="+mn-lt"/>
                  <a:ea typeface="+mn-ea"/>
                  <a:cs typeface="+mn-cs"/>
                </a:rPr>
                <a:t> Notch type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 capacitor reactive power and voltage ratings, harmonic currents, voltage stresses, and damping resistance. The summary below describes the calculation process applied throughout the tool using a 13.8kV 1000 kvar filter branch as an example. The tool assumes that harmonic simulations  have been conducted and that the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r>
                <a:rPr lang="en-US" sz="1100" i="0">
                  <a:solidFill>
                    <a:schemeClr val="dk1"/>
                  </a:solidFill>
                  <a:effectLst/>
                  <a:latin typeface="Cambria Math" panose="02040503050406030204" pitchFamily="18" charset="0"/>
                  <a:ea typeface="+mn-ea"/>
                  <a:cs typeface="+mn-cs"/>
                </a:rPr>
                <a:t>𝑄_𝑒𝑓𝑓</a:t>
              </a:r>
              <a:r>
                <a:rPr lang="en-US" sz="1100" b="0" i="0">
                  <a:solidFill>
                    <a:schemeClr val="dk1"/>
                  </a:solidFill>
                  <a:effectLst/>
                  <a:latin typeface="Cambria Math" panose="02040503050406030204" pitchFamily="18" charset="0"/>
                  <a:ea typeface="+mn-ea"/>
                  <a:cs typeface="+mn-cs"/>
                </a:rPr>
                <a:t>  </a:t>
              </a:r>
              <a:r>
                <a:rPr lang="en-US" sz="1100">
                  <a:solidFill>
                    <a:schemeClr val="dk1"/>
                  </a:solidFill>
                  <a:effectLst/>
                  <a:latin typeface="+mn-lt"/>
                  <a:ea typeface="+mn-ea"/>
                  <a:cs typeface="+mn-cs"/>
                </a:rPr>
                <a:t>and forms the foundation of all subsequent calculations. Using the system’s nominal line-to-line voltage </a:t>
              </a:r>
              <a:r>
                <a:rPr lang="en-US" sz="1100" i="0">
                  <a:solidFill>
                    <a:schemeClr val="dk1"/>
                  </a:solidFill>
                  <a:effectLst/>
                  <a:latin typeface="Cambria Math" panose="02040503050406030204" pitchFamily="18" charset="0"/>
                  <a:ea typeface="+mn-ea"/>
                  <a:cs typeface="+mn-cs"/>
                </a:rPr>
                <a:t>𝑘𝑉_𝐿𝐿𝑆𝑌𝑆</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filter reactance, </a:t>
              </a:r>
              <a:r>
                <a:rPr lang="en-US" sz="1100" i="0">
                  <a:solidFill>
                    <a:schemeClr val="dk1"/>
                  </a:solidFill>
                  <a:effectLst/>
                  <a:latin typeface="Cambria Math" panose="02040503050406030204" pitchFamily="18" charset="0"/>
                  <a:ea typeface="+mn-ea"/>
                  <a:cs typeface="+mn-cs"/>
                </a:rPr>
                <a:t>𝑋_𝑒𝑓𝑓</a:t>
              </a:r>
              <a:r>
                <a:rPr lang="en-US" sz="1100">
                  <a:solidFill>
                    <a:schemeClr val="dk1"/>
                  </a:solidFill>
                  <a:effectLst/>
                  <a:latin typeface="+mn-lt"/>
                  <a:ea typeface="+mn-ea"/>
                  <a:cs typeface="+mn-cs"/>
                </a:rPr>
                <a:t>. For a notch type filter,  the summation of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sum to this</a:t>
              </a:r>
              <a:r>
                <a:rPr lang="en-US" sz="1100" baseline="0">
                  <a:solidFill>
                    <a:schemeClr val="dk1"/>
                  </a:solidFill>
                  <a:effectLst/>
                  <a:latin typeface="+mn-lt"/>
                  <a:ea typeface="+mn-ea"/>
                  <a:cs typeface="+mn-cs"/>
                </a:rPr>
                <a:t> value where </a:t>
              </a:r>
              <a:r>
                <a:rPr lang="en-US" sz="1100">
                  <a:solidFill>
                    <a:schemeClr val="dk1"/>
                  </a:solidFill>
                  <a:effectLst/>
                  <a:latin typeface="+mn-lt"/>
                  <a:ea typeface="+mn-ea"/>
                  <a:cs typeface="+mn-cs"/>
                </a:rPr>
                <a:t>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Xc and determined using</a:t>
              </a:r>
              <a:r>
                <a:rPr lang="en-US" sz="1100" baseline="0">
                  <a:solidFill>
                    <a:schemeClr val="dk1"/>
                  </a:solidFill>
                  <a:effectLst/>
                  <a:latin typeface="+mn-lt"/>
                  <a:ea typeface="+mn-ea"/>
                  <a:cs typeface="+mn-cs"/>
                </a:rPr>
                <a:t> the tuning point and the relationship:</a:t>
              </a:r>
              <a:r>
                <a:rPr lang="en-US" sz="1100">
                  <a:solidFill>
                    <a:schemeClr val="dk1"/>
                  </a:solidFill>
                  <a:effectLst/>
                  <a:latin typeface="+mn-lt"/>
                  <a:ea typeface="+mn-ea"/>
                  <a:cs typeface="+mn-cs"/>
                </a:rPr>
                <a:t> </a:t>
              </a:r>
              <a:r>
                <a:rPr lang="en-US" sz="1100" i="0">
                  <a:solidFill>
                    <a:schemeClr val="dk1"/>
                  </a:solidFill>
                  <a:effectLst/>
                  <a:latin typeface="Cambria Math" panose="02040503050406030204" pitchFamily="18" charset="0"/>
                  <a:ea typeface="+mn-ea"/>
                  <a:cs typeface="+mn-cs"/>
                </a:rPr>
                <a:t>𝑋_𝐶=(ℎ^2/(ℎ^2−1)) 𝑋_𝑒𝑓𝑓</a:t>
              </a:r>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xdr:txBody>
        </xdr:sp>
      </mc:Fallback>
    </mc:AlternateContent>
    <xdr:clientData/>
  </xdr:twoCellAnchor>
  <xdr:twoCellAnchor>
    <xdr:from>
      <xdr:col>44</xdr:col>
      <xdr:colOff>70402</xdr:colOff>
      <xdr:row>25</xdr:row>
      <xdr:rowOff>117638</xdr:rowOff>
    </xdr:from>
    <xdr:to>
      <xdr:col>83</xdr:col>
      <xdr:colOff>81608</xdr:colOff>
      <xdr:row>30</xdr:row>
      <xdr:rowOff>23606</xdr:rowOff>
    </xdr:to>
    <xdr:sp macro="" textlink="">
      <xdr:nvSpPr>
        <xdr:cNvPr id="11" name="TextBox 10">
          <a:extLst>
            <a:ext uri="{FF2B5EF4-FFF2-40B4-BE49-F238E27FC236}">
              <a16:creationId xmlns:a16="http://schemas.microsoft.com/office/drawing/2014/main" id="{947FABC0-D291-4B48-B9E0-B2C198C208E4}"/>
            </a:ext>
          </a:extLst>
        </xdr:cNvPr>
        <xdr:cNvSpPr txBox="1"/>
      </xdr:nvSpPr>
      <xdr:spPr>
        <a:xfrm>
          <a:off x="8033302" y="5832638"/>
          <a:ext cx="7069231" cy="10489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The harmonic</a:t>
          </a:r>
          <a:r>
            <a:rPr lang="en-US" b="0" baseline="0"/>
            <a:t> filter </a:t>
          </a:r>
          <a:r>
            <a:rPr lang="en-US" b="0"/>
            <a:t>design must ensure capacitor operating duties stay within IEEE/IEC-rated limits, including the allowable 10% continuous overvoltage. The spreadsheet checks four key parameters against their rated duty: % Rated</a:t>
          </a:r>
          <a:r>
            <a:rPr lang="en-US" b="0" baseline="0"/>
            <a:t> </a:t>
          </a:r>
          <a:r>
            <a:rPr lang="en-US" b="0"/>
            <a:t>Volts, % Crest Voltage, % Amps, % kVAR. If any value exceeds its limit, the cell turns red. In that case, increase the capacitor voltage rating. The objective is to meet the required duty without significantly exceeding the rating, which would increase cost.</a:t>
          </a:r>
          <a:endParaRPr lang="en-US" sz="1100" b="0"/>
        </a:p>
      </xdr:txBody>
    </xdr:sp>
    <xdr:clientData/>
  </xdr:twoCellAnchor>
  <xdr:twoCellAnchor>
    <xdr:from>
      <xdr:col>2</xdr:col>
      <xdr:colOff>0</xdr:colOff>
      <xdr:row>152</xdr:row>
      <xdr:rowOff>4695</xdr:rowOff>
    </xdr:from>
    <xdr:to>
      <xdr:col>40</xdr:col>
      <xdr:colOff>149679</xdr:colOff>
      <xdr:row>161</xdr:row>
      <xdr:rowOff>95251</xdr:rowOff>
    </xdr:to>
    <xdr:sp macro="" textlink="">
      <xdr:nvSpPr>
        <xdr:cNvPr id="12" name="TextBox 11">
          <a:extLst>
            <a:ext uri="{FF2B5EF4-FFF2-40B4-BE49-F238E27FC236}">
              <a16:creationId xmlns:a16="http://schemas.microsoft.com/office/drawing/2014/main" id="{269B0BCF-5380-4901-9278-5B409E1D47F7}"/>
            </a:ext>
          </a:extLst>
        </xdr:cNvPr>
        <xdr:cNvSpPr txBox="1"/>
      </xdr:nvSpPr>
      <xdr:spPr>
        <a:xfrm>
          <a:off x="361950" y="34751895"/>
          <a:ext cx="7026729" cy="214795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capacitor kvar ratings is then determined using the rated operating voltage.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 of notch</a:t>
          </a:r>
          <a:r>
            <a:rPr lang="en-US" sz="1100" baseline="0">
              <a:solidFill>
                <a:schemeClr val="dk1"/>
              </a:solidFill>
              <a:effectLst/>
              <a:latin typeface="+mn-lt"/>
              <a:ea typeface="+mn-ea"/>
              <a:cs typeface="+mn-cs"/>
            </a:rPr>
            <a:t> type</a:t>
          </a:r>
          <a:r>
            <a:rPr lang="en-US" sz="1100">
              <a:solidFill>
                <a:schemeClr val="dk1"/>
              </a:solidFill>
              <a:effectLst/>
              <a:latin typeface="+mn-lt"/>
              <a:ea typeface="+mn-ea"/>
              <a:cs typeface="+mn-cs"/>
            </a:rPr>
            <a:t> harmonic filters. The spreadsheet determines all critical design parameters, including reactances, inductance, kvar ratings, current loading, and voltage stress, using standardized electrical notation to provide traceability, transparency, and field-proven reliability.</a:t>
          </a:r>
        </a:p>
        <a:p>
          <a:endParaRPr lang="en-US" sz="1100"/>
        </a:p>
      </xdr:txBody>
    </xdr:sp>
    <xdr:clientData/>
  </xdr:twoCellAnchor>
  <xdr:twoCellAnchor>
    <xdr:from>
      <xdr:col>2</xdr:col>
      <xdr:colOff>135547</xdr:colOff>
      <xdr:row>78</xdr:row>
      <xdr:rowOff>219807</xdr:rowOff>
    </xdr:from>
    <xdr:to>
      <xdr:col>41</xdr:col>
      <xdr:colOff>7327</xdr:colOff>
      <xdr:row>95</xdr:row>
      <xdr:rowOff>43961</xdr:rowOff>
    </xdr:to>
    <xdr:graphicFrame macro="">
      <xdr:nvGraphicFramePr>
        <xdr:cNvPr id="13" name="Chart 12">
          <a:extLst>
            <a:ext uri="{FF2B5EF4-FFF2-40B4-BE49-F238E27FC236}">
              <a16:creationId xmlns:a16="http://schemas.microsoft.com/office/drawing/2014/main" id="{427F10EE-3BB4-47A8-9345-6255C4B721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24848</xdr:colOff>
      <xdr:row>103</xdr:row>
      <xdr:rowOff>227071</xdr:rowOff>
    </xdr:from>
    <xdr:to>
      <xdr:col>45</xdr:col>
      <xdr:colOff>108732</xdr:colOff>
      <xdr:row>105</xdr:row>
      <xdr:rowOff>31252</xdr:rowOff>
    </xdr:to>
    <xdr:pic>
      <xdr:nvPicPr>
        <xdr:cNvPr id="14" name="Picture 13">
          <a:extLst>
            <a:ext uri="{FF2B5EF4-FFF2-40B4-BE49-F238E27FC236}">
              <a16:creationId xmlns:a16="http://schemas.microsoft.com/office/drawing/2014/main" id="{B9F8F12B-3E5B-4293-8807-1A066D968472}"/>
            </a:ext>
          </a:extLst>
        </xdr:cNvPr>
        <xdr:cNvPicPr>
          <a:picLocks noChangeAspect="1"/>
        </xdr:cNvPicPr>
      </xdr:nvPicPr>
      <xdr:blipFill>
        <a:blip xmlns:r="http://schemas.openxmlformats.org/officeDocument/2006/relationships" r:embed="rId4"/>
        <a:stretch>
          <a:fillRect/>
        </a:stretch>
      </xdr:blipFill>
      <xdr:spPr>
        <a:xfrm>
          <a:off x="7987748" y="23772871"/>
          <a:ext cx="264859" cy="261381"/>
        </a:xfrm>
        <a:prstGeom prst="rect">
          <a:avLst/>
        </a:prstGeom>
      </xdr:spPr>
    </xdr:pic>
    <xdr:clientData/>
  </xdr:twoCellAnchor>
  <xdr:twoCellAnchor editAs="oneCell">
    <xdr:from>
      <xdr:col>43</xdr:col>
      <xdr:colOff>158903</xdr:colOff>
      <xdr:row>121</xdr:row>
      <xdr:rowOff>180974</xdr:rowOff>
    </xdr:from>
    <xdr:to>
      <xdr:col>45</xdr:col>
      <xdr:colOff>114432</xdr:colOff>
      <xdr:row>123</xdr:row>
      <xdr:rowOff>57286</xdr:rowOff>
    </xdr:to>
    <xdr:pic>
      <xdr:nvPicPr>
        <xdr:cNvPr id="15" name="Picture 14">
          <a:extLst>
            <a:ext uri="{FF2B5EF4-FFF2-40B4-BE49-F238E27FC236}">
              <a16:creationId xmlns:a16="http://schemas.microsoft.com/office/drawing/2014/main" id="{5F4AC92A-7232-4BC1-BF92-95150543B78D}"/>
            </a:ext>
          </a:extLst>
        </xdr:cNvPr>
        <xdr:cNvPicPr>
          <a:picLocks noChangeAspect="1"/>
        </xdr:cNvPicPr>
      </xdr:nvPicPr>
      <xdr:blipFill>
        <a:blip xmlns:r="http://schemas.openxmlformats.org/officeDocument/2006/relationships" r:embed="rId5"/>
        <a:stretch>
          <a:fillRect/>
        </a:stretch>
      </xdr:blipFill>
      <xdr:spPr>
        <a:xfrm>
          <a:off x="7940828" y="27841574"/>
          <a:ext cx="317479" cy="333512"/>
        </a:xfrm>
        <a:prstGeom prst="rect">
          <a:avLst/>
        </a:prstGeom>
      </xdr:spPr>
    </xdr:pic>
    <xdr:clientData/>
  </xdr:twoCellAnchor>
  <xdr:twoCellAnchor>
    <xdr:from>
      <xdr:col>44</xdr:col>
      <xdr:colOff>56029</xdr:colOff>
      <xdr:row>74</xdr:row>
      <xdr:rowOff>79561</xdr:rowOff>
    </xdr:from>
    <xdr:to>
      <xdr:col>82</xdr:col>
      <xdr:colOff>169769</xdr:colOff>
      <xdr:row>92</xdr:row>
      <xdr:rowOff>136150</xdr:rowOff>
    </xdr:to>
    <xdr:graphicFrame macro="">
      <xdr:nvGraphicFramePr>
        <xdr:cNvPr id="16" name="f-5">
          <a:extLst>
            <a:ext uri="{FF2B5EF4-FFF2-40B4-BE49-F238E27FC236}">
              <a16:creationId xmlns:a16="http://schemas.microsoft.com/office/drawing/2014/main" id="{EC13ED08-BA17-4A5F-B2F3-F871194091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183931</xdr:colOff>
      <xdr:row>173</xdr:row>
      <xdr:rowOff>134789</xdr:rowOff>
    </xdr:from>
    <xdr:to>
      <xdr:col>39</xdr:col>
      <xdr:colOff>38100</xdr:colOff>
      <xdr:row>175</xdr:row>
      <xdr:rowOff>51058</xdr:rowOff>
    </xdr:to>
    <mc:AlternateContent xmlns:mc="http://schemas.openxmlformats.org/markup-compatibility/2006" xmlns:a14="http://schemas.microsoft.com/office/drawing/2010/main">
      <mc:Choice Requires="a14">
        <xdr:sp macro="" textlink="">
          <xdr:nvSpPr>
            <xdr:cNvPr id="17" name="TextBox 12">
              <a:extLst>
                <a:ext uri="{FF2B5EF4-FFF2-40B4-BE49-F238E27FC236}">
                  <a16:creationId xmlns:a16="http://schemas.microsoft.com/office/drawing/2014/main" id="{C29B5133-19CE-4B1D-B6AA-03CDF5799432}"/>
                </a:ext>
              </a:extLst>
            </xdr:cNvPr>
            <xdr:cNvSpPr txBox="1"/>
          </xdr:nvSpPr>
          <xdr:spPr>
            <a:xfrm>
              <a:off x="2355631" y="39682589"/>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𝑋</m:t>
                      </m:r>
                    </m:e>
                    <m:sub>
                      <m:r>
                        <a:rPr lang="en-US" sz="1000" b="0" i="1">
                          <a:latin typeface="Cambria Math"/>
                        </a:rPr>
                        <m:t>𝑒𝑓𝑓</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𝑘𝑉</m:t>
                              </m:r>
                            </m:e>
                            <m:sub>
                              <m:r>
                                <a:rPr lang="en-US" sz="1000" b="0" i="1">
                                  <a:solidFill>
                                    <a:schemeClr val="tx1"/>
                                  </a:solidFill>
                                  <a:effectLst/>
                                  <a:latin typeface="Cambria Math"/>
                                </a:rPr>
                                <m:t>𝐿𝐿𝑆𝑌𝑆</m:t>
                              </m:r>
                            </m:sub>
                          </m:sSub>
                        </m:e>
                        <m:sup>
                          <m:r>
                            <a:rPr lang="en-US" sz="1000" b="0" i="1">
                              <a:solidFill>
                                <a:schemeClr val="tx1"/>
                              </a:solidFill>
                              <a:effectLst/>
                              <a:latin typeface="Cambria Math"/>
                            </a:rPr>
                            <m:t>2</m:t>
                          </m:r>
                        </m:sup>
                      </m:sSup>
                    </m:num>
                    <m:den>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den>
                  </m:f>
                </m:oMath>
              </a14:m>
              <a:r>
                <a:rPr lang="en-US" sz="1000" b="0"/>
                <a:t> (ohms) = </a:t>
              </a:r>
              <a14:m>
                <m:oMath xmlns:m="http://schemas.openxmlformats.org/officeDocument/2006/math">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r>
                            <a:rPr lang="en-US" sz="1000" b="0" i="1">
                              <a:latin typeface="Cambria Math"/>
                            </a:rPr>
                            <m:t>13.8</m:t>
                          </m:r>
                        </m:e>
                        <m:sup>
                          <m:r>
                            <a:rPr lang="en-US" sz="1000" i="1">
                              <a:latin typeface="Cambria Math"/>
                            </a:rPr>
                            <m:t>2</m:t>
                          </m:r>
                        </m:sup>
                      </m:sSup>
                    </m:num>
                    <m:den>
                      <m:r>
                        <a:rPr lang="en-US" sz="1000" b="0" i="1">
                          <a:latin typeface="Cambria Math" panose="02040503050406030204" pitchFamily="18" charset="0"/>
                        </a:rPr>
                        <m:t>1.0</m:t>
                      </m:r>
                      <m:r>
                        <a:rPr lang="en-US" sz="1000" i="1">
                          <a:latin typeface="Cambria Math"/>
                        </a:rPr>
                        <m:t> </m:t>
                      </m:r>
                    </m:den>
                  </m:f>
                  <m:r>
                    <a:rPr lang="en-US" sz="1000" b="0" i="1">
                      <a:latin typeface="Cambria Math"/>
                    </a:rPr>
                    <m:t>=</m:t>
                  </m:r>
                  <m:r>
                    <a:rPr lang="en-US" sz="1000" b="0" i="1">
                      <a:latin typeface="Cambria Math" panose="02040503050406030204" pitchFamily="18" charset="0"/>
                    </a:rPr>
                    <m:t>190.4</m:t>
                  </m:r>
                  <m:r>
                    <a:rPr lang="en-US" sz="1000" b="0" i="1">
                      <a:latin typeface="Cambria Math"/>
                    </a:rPr>
                    <m:t> (</m:t>
                  </m:r>
                  <m:r>
                    <a:rPr lang="en-US" sz="1000" b="0" i="1">
                      <a:latin typeface="Cambria Math"/>
                    </a:rPr>
                    <m:t>𝑜h𝑚𝑠</m:t>
                  </m:r>
                  <m:r>
                    <a:rPr lang="en-US" sz="1000" b="0" i="1">
                      <a:latin typeface="Cambria Math"/>
                    </a:rPr>
                    <m:t>)</m:t>
                  </m:r>
                </m:oMath>
              </a14:m>
              <a:r>
                <a:rPr lang="en-US" sz="1000" b="0"/>
                <a:t> </a:t>
              </a:r>
            </a:p>
          </xdr:txBody>
        </xdr:sp>
      </mc:Choice>
      <mc:Fallback xmlns="">
        <xdr:sp macro="" textlink="">
          <xdr:nvSpPr>
            <xdr:cNvPr id="17" name="TextBox 12">
              <a:extLst>
                <a:ext uri="{FF2B5EF4-FFF2-40B4-BE49-F238E27FC236}">
                  <a16:creationId xmlns:a16="http://schemas.microsoft.com/office/drawing/2014/main" id="{C29B5133-19CE-4B1D-B6AA-03CDF5799432}"/>
                </a:ext>
              </a:extLst>
            </xdr:cNvPr>
            <xdr:cNvSpPr txBox="1"/>
          </xdr:nvSpPr>
          <xdr:spPr>
            <a:xfrm>
              <a:off x="2355631" y="39682589"/>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𝑒𝑓𝑓</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𝑘𝑉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𝐿𝐿𝑆𝑌𝑆</a:t>
              </a:r>
              <a:r>
                <a:rPr lang="en-US" sz="1000" b="0" i="0">
                  <a:solidFill>
                    <a:schemeClr val="tx1"/>
                  </a:solidFill>
                  <a:effectLst/>
                  <a:latin typeface="Cambria Math" panose="02040503050406030204" pitchFamily="18" charset="0"/>
                </a:rPr>
                <a:t>〗^</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rPr>
                <a:t> </a:t>
              </a:r>
              <a:r>
                <a:rPr lang="en-US" sz="1000" b="0"/>
                <a:t> (ohms) = </a:t>
              </a:r>
              <a:r>
                <a:rPr lang="en-US" sz="1000" i="0">
                  <a:latin typeface="Cambria Math" panose="02040503050406030204" pitchFamily="18" charset="0"/>
                </a:rPr>
                <a:t>〖</a:t>
              </a:r>
              <a:r>
                <a:rPr lang="en-US" sz="1000" b="0" i="0">
                  <a:latin typeface="Cambria Math"/>
                </a:rPr>
                <a:t>13.8</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1.0</a:t>
              </a:r>
              <a:r>
                <a:rPr lang="en-US" sz="1000" i="0">
                  <a:latin typeface="Cambria Math"/>
                </a:rPr>
                <a:t> </a:t>
              </a:r>
              <a:r>
                <a:rPr lang="en-US" sz="1000" i="0">
                  <a:latin typeface="Cambria Math" panose="02040503050406030204" pitchFamily="18" charset="0"/>
                  <a:ea typeface="Cambria Math"/>
                </a:rPr>
                <a:t>)</a:t>
              </a:r>
              <a:r>
                <a:rPr lang="en-US" sz="1000" b="0" i="0">
                  <a:latin typeface="Cambria Math"/>
                </a:rPr>
                <a:t>=</a:t>
              </a:r>
              <a:r>
                <a:rPr lang="en-US" sz="1000" b="0" i="0">
                  <a:latin typeface="Cambria Math" panose="02040503050406030204" pitchFamily="18" charset="0"/>
                </a:rPr>
                <a:t>190.4</a:t>
              </a:r>
              <a:r>
                <a:rPr lang="en-US" sz="1000" b="0" i="0">
                  <a:latin typeface="Cambria Math"/>
                </a:rPr>
                <a:t> (𝑜ℎ𝑚𝑠)</a:t>
              </a:r>
              <a:r>
                <a:rPr lang="en-US" sz="1000" b="0"/>
                <a:t> </a:t>
              </a:r>
            </a:p>
          </xdr:txBody>
        </xdr:sp>
      </mc:Fallback>
    </mc:AlternateContent>
    <xdr:clientData/>
  </xdr:twoCellAnchor>
  <xdr:twoCellAnchor>
    <xdr:from>
      <xdr:col>12</xdr:col>
      <xdr:colOff>183931</xdr:colOff>
      <xdr:row>174</xdr:row>
      <xdr:rowOff>199601</xdr:rowOff>
    </xdr:from>
    <xdr:to>
      <xdr:col>41</xdr:col>
      <xdr:colOff>152400</xdr:colOff>
      <xdr:row>176</xdr:row>
      <xdr:rowOff>77333</xdr:rowOff>
    </xdr:to>
    <mc:AlternateContent xmlns:mc="http://schemas.openxmlformats.org/markup-compatibility/2006" xmlns:a14="http://schemas.microsoft.com/office/drawing/2010/main">
      <mc:Choice Requires="a14">
        <xdr:sp macro="" textlink="">
          <xdr:nvSpPr>
            <xdr:cNvPr id="18" name="TextBox 15">
              <a:extLst>
                <a:ext uri="{FF2B5EF4-FFF2-40B4-BE49-F238E27FC236}">
                  <a16:creationId xmlns:a16="http://schemas.microsoft.com/office/drawing/2014/main" id="{6B2536A8-632A-43BB-9A0B-904A6660E80A}"/>
                </a:ext>
              </a:extLst>
            </xdr:cNvPr>
            <xdr:cNvSpPr txBox="1"/>
          </xdr:nvSpPr>
          <xdr:spPr>
            <a:xfrm>
              <a:off x="2355631" y="39976001"/>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𝐶</m:t>
                      </m:r>
                    </m:sub>
                  </m:sSub>
                  <m:r>
                    <a:rPr lang="en-US" sz="1000" i="1">
                      <a:latin typeface="Cambria Math"/>
                      <a:ea typeface="Cambria Math"/>
                    </a:rPr>
                    <m:t>=</m:t>
                  </m:r>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r>
                            <a:rPr lang="en-US" sz="1000" b="0" i="1">
                              <a:latin typeface="Cambria Math"/>
                              <a:ea typeface="Cambria Math"/>
                            </a:rPr>
                            <m:t>−1</m:t>
                          </m:r>
                        </m:den>
                      </m:f>
                    </m:e>
                  </m:d>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𝑒𝑓𝑓</m:t>
                      </m:r>
                    </m:sub>
                  </m:sSub>
                </m:oMath>
              </a14:m>
              <a:r>
                <a:rPr lang="en-US" sz="1000"/>
                <a:t> (ohms) = </a:t>
              </a:r>
              <a14:m>
                <m:oMath xmlns:m="http://schemas.openxmlformats.org/officeDocument/2006/math">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r>
                            <a:rPr lang="en-US" sz="1000" i="1">
                              <a:latin typeface="Cambria Math"/>
                              <a:ea typeface="Cambria Math"/>
                            </a:rPr>
                            <m:t>−1</m:t>
                          </m:r>
                        </m:den>
                      </m:f>
                    </m:e>
                  </m:d>
                </m:oMath>
              </a14:m>
              <a:r>
                <a:rPr lang="en-US" sz="1000"/>
                <a:t> 190.4 (ohms)=199.4 (ohms)</a:t>
              </a:r>
            </a:p>
          </xdr:txBody>
        </xdr:sp>
      </mc:Choice>
      <mc:Fallback xmlns="">
        <xdr:sp macro="" textlink="">
          <xdr:nvSpPr>
            <xdr:cNvPr id="18" name="TextBox 15">
              <a:extLst>
                <a:ext uri="{FF2B5EF4-FFF2-40B4-BE49-F238E27FC236}">
                  <a16:creationId xmlns:a16="http://schemas.microsoft.com/office/drawing/2014/main" id="{6B2536A8-632A-43BB-9A0B-904A6660E80A}"/>
                </a:ext>
              </a:extLst>
            </xdr:cNvPr>
            <xdr:cNvSpPr txBox="1"/>
          </xdr:nvSpPr>
          <xdr:spPr>
            <a:xfrm>
              <a:off x="2355631" y="39976001"/>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𝐶</a:t>
              </a:r>
              <a:r>
                <a:rPr lang="en-US" sz="1000" i="0">
                  <a:latin typeface="Cambria Math"/>
                  <a:ea typeface="Cambria Math"/>
                </a:rPr>
                <a:t>=</a:t>
              </a:r>
              <a:r>
                <a:rPr lang="en-US" sz="100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2−1</a:t>
              </a:r>
              <a:r>
                <a:rPr lang="en-US" sz="1000" b="0" i="0">
                  <a:latin typeface="Cambria Math" panose="02040503050406030204" pitchFamily="18" charset="0"/>
                  <a:ea typeface="Cambria Math"/>
                </a:rPr>
                <a:t>)) </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𝑒𝑓𝑓</a:t>
              </a:r>
              <a:r>
                <a:rPr lang="en-US" sz="1000"/>
                <a:t> (ohms) = </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2−1</a:t>
              </a:r>
              <a:r>
                <a:rPr lang="en-US" sz="1000" i="0">
                  <a:latin typeface="Cambria Math" panose="02040503050406030204" pitchFamily="18" charset="0"/>
                  <a:ea typeface="Cambria Math"/>
                </a:rPr>
                <a:t>))</a:t>
              </a:r>
              <a:r>
                <a:rPr lang="en-US" sz="1000"/>
                <a:t> 190.4 (ohms)=199.4 (ohms)</a:t>
              </a:r>
            </a:p>
          </xdr:txBody>
        </xdr:sp>
      </mc:Fallback>
    </mc:AlternateContent>
    <xdr:clientData/>
  </xdr:twoCellAnchor>
  <xdr:twoCellAnchor>
    <xdr:from>
      <xdr:col>12</xdr:col>
      <xdr:colOff>183931</xdr:colOff>
      <xdr:row>176</xdr:row>
      <xdr:rowOff>109703</xdr:rowOff>
    </xdr:from>
    <xdr:to>
      <xdr:col>36</xdr:col>
      <xdr:colOff>133350</xdr:colOff>
      <xdr:row>177</xdr:row>
      <xdr:rowOff>192022</xdr:rowOff>
    </xdr:to>
    <mc:AlternateContent xmlns:mc="http://schemas.openxmlformats.org/markup-compatibility/2006" xmlns:a14="http://schemas.microsoft.com/office/drawing/2010/main">
      <mc:Choice Requires="a14">
        <xdr:sp macro="" textlink="">
          <xdr:nvSpPr>
            <xdr:cNvPr id="19" name="TextBox 17">
              <a:extLst>
                <a:ext uri="{FF2B5EF4-FFF2-40B4-BE49-F238E27FC236}">
                  <a16:creationId xmlns:a16="http://schemas.microsoft.com/office/drawing/2014/main" id="{D569ECD6-531A-46A8-BE36-1B303B8AC6AE}"/>
                </a:ext>
              </a:extLst>
            </xdr:cNvPr>
            <xdr:cNvSpPr txBox="1"/>
          </xdr:nvSpPr>
          <xdr:spPr>
            <a:xfrm>
              <a:off x="2355631" y="40343303"/>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𝐿</m:t>
                      </m:r>
                    </m:sub>
                  </m:sSub>
                  <m:r>
                    <a:rPr lang="en-US" sz="1000" i="1">
                      <a:latin typeface="Cambria Math"/>
                      <a:ea typeface="Cambria Math"/>
                    </a:rPr>
                    <m:t>=</m:t>
                  </m:r>
                  <m:f>
                    <m:fPr>
                      <m:ctrlPr>
                        <a:rPr lang="en-US" sz="1000" i="1">
                          <a:latin typeface="Cambria Math" panose="02040503050406030204" pitchFamily="18" charset="0"/>
                          <a:ea typeface="Cambria Math"/>
                        </a:rPr>
                      </m:ctrlPr>
                    </m:fPr>
                    <m:num>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den>
                  </m:f>
                </m:oMath>
              </a14:m>
              <a:r>
                <a:rPr lang="en-US" sz="1000"/>
                <a:t> =</a:t>
              </a:r>
              <a14:m>
                <m:oMath xmlns:m="http://schemas.openxmlformats.org/officeDocument/2006/math">
                  <m:r>
                    <a:rPr lang="en-US" sz="1000" b="0" i="0">
                      <a:latin typeface="Cambria Math"/>
                      <a:ea typeface="Cambria Math"/>
                    </a:rPr>
                    <m:t> </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199.4</m:t>
                      </m:r>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den>
                  </m:f>
                  <m:r>
                    <a:rPr lang="en-US" sz="1000" b="0" i="1">
                      <a:latin typeface="Cambria Math"/>
                      <a:ea typeface="Cambria Math"/>
                    </a:rPr>
                    <m:t>=</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19" name="TextBox 17">
              <a:extLst>
                <a:ext uri="{FF2B5EF4-FFF2-40B4-BE49-F238E27FC236}">
                  <a16:creationId xmlns:a16="http://schemas.microsoft.com/office/drawing/2014/main" id="{D569ECD6-531A-46A8-BE36-1B303B8AC6AE}"/>
                </a:ext>
              </a:extLst>
            </xdr:cNvPr>
            <xdr:cNvSpPr txBox="1"/>
          </xdr:nvSpPr>
          <xdr:spPr>
            <a:xfrm>
              <a:off x="2355631" y="40343303"/>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𝐿</a:t>
              </a:r>
              <a:r>
                <a:rPr lang="en-US" sz="1000" i="0">
                  <a:latin typeface="Cambria Math"/>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 </a:t>
              </a:r>
              <a:r>
                <a:rPr lang="en-US" sz="1000"/>
                <a:t> =</a:t>
              </a:r>
              <a:r>
                <a:rPr lang="en-US" sz="1000" b="0" i="0">
                  <a:latin typeface="Cambria Math"/>
                  <a:ea typeface="Cambria Math"/>
                </a:rPr>
                <a:t> </a:t>
              </a:r>
              <a:r>
                <a:rPr lang="en-US" sz="1000" b="0" i="0">
                  <a:latin typeface="Cambria Math" panose="02040503050406030204" pitchFamily="18" charset="0"/>
                  <a:ea typeface="Cambria Math"/>
                </a:rPr>
                <a:t> 199.4/〖</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13</xdr:col>
      <xdr:colOff>19782</xdr:colOff>
      <xdr:row>178</xdr:row>
      <xdr:rowOff>66420</xdr:rowOff>
    </xdr:from>
    <xdr:to>
      <xdr:col>44</xdr:col>
      <xdr:colOff>117230</xdr:colOff>
      <xdr:row>179</xdr:row>
      <xdr:rowOff>167515</xdr:rowOff>
    </xdr:to>
    <mc:AlternateContent xmlns:mc="http://schemas.openxmlformats.org/markup-compatibility/2006" xmlns:a14="http://schemas.microsoft.com/office/drawing/2010/main">
      <mc:Choice Requires="a14">
        <xdr:sp macro="" textlink="">
          <xdr:nvSpPr>
            <xdr:cNvPr id="20" name="TextBox 2">
              <a:extLst>
                <a:ext uri="{FF2B5EF4-FFF2-40B4-BE49-F238E27FC236}">
                  <a16:creationId xmlns:a16="http://schemas.microsoft.com/office/drawing/2014/main" id="{D0DA3534-42A2-4CCB-8AEB-1D6E41FD32C1}"/>
                </a:ext>
              </a:extLst>
            </xdr:cNvPr>
            <xdr:cNvSpPr txBox="1"/>
          </xdr:nvSpPr>
          <xdr:spPr>
            <a:xfrm>
              <a:off x="2372457" y="40757220"/>
              <a:ext cx="5707673" cy="32969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r>
                    <a:rPr lang="en-US" sz="1000" b="0" i="1">
                      <a:latin typeface="Cambria Math"/>
                    </a:rPr>
                    <m:t>𝐻</m:t>
                  </m:r>
                  <m:d>
                    <m:dPr>
                      <m:ctrlPr>
                        <a:rPr lang="en-US" sz="1000" b="0" i="1">
                          <a:latin typeface="Cambria Math" panose="02040503050406030204" pitchFamily="18" charset="0"/>
                        </a:rPr>
                      </m:ctrlPr>
                    </m:dPr>
                    <m:e>
                      <m:r>
                        <a:rPr lang="en-US" sz="1000" b="0" i="1">
                          <a:latin typeface="Cambria Math"/>
                        </a:rPr>
                        <m:t>𝑖𝑛𝑑𝑢𝑐𝑡𝑎𝑛𝑐𝑒</m:t>
                      </m:r>
                    </m:e>
                  </m:d>
                  <m:r>
                    <a:rPr lang="en-US" sz="1000" b="0" i="1">
                      <a:latin typeface="Cambria Math"/>
                      <a:ea typeface="Cambria Math"/>
                    </a:rPr>
                    <m:t>=</m:t>
                  </m:r>
                  <m:f>
                    <m:fPr>
                      <m:ctrlPr>
                        <a:rPr lang="en-US" sz="1000" b="0" i="1">
                          <a:latin typeface="Cambria Math" panose="02040503050406030204" pitchFamily="18" charset="0"/>
                          <a:ea typeface="Cambria Math"/>
                        </a:rPr>
                      </m:ctrlPr>
                    </m:fPr>
                    <m:num>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𝐿</m:t>
                          </m:r>
                        </m:sub>
                      </m:sSub>
                    </m:num>
                    <m:den>
                      <m:r>
                        <a:rPr lang="en-US" sz="1000" b="0" i="1">
                          <a:latin typeface="Cambria Math"/>
                          <a:ea typeface="Cambria Math"/>
                        </a:rPr>
                        <m:t>2</m:t>
                      </m:r>
                      <m:r>
                        <a:rPr lang="en-US" sz="1000" b="0" i="1">
                          <a:latin typeface="Cambria Math"/>
                          <a:ea typeface="Cambria Math"/>
                        </a:rPr>
                        <m:t>𝜋</m:t>
                      </m:r>
                      <m:r>
                        <a:rPr lang="en-US" sz="1000" b="0" i="1">
                          <a:latin typeface="Cambria Math"/>
                          <a:ea typeface="Cambria Math"/>
                        </a:rPr>
                        <m:t>𝑓</m:t>
                      </m:r>
                    </m:den>
                  </m:f>
                  <m:r>
                    <a:rPr lang="en-US" sz="1000" b="0" i="1">
                      <a:latin typeface="Cambria Math"/>
                      <a:ea typeface="Cambria Math"/>
                    </a:rPr>
                    <m:t>×1000</m:t>
                  </m:r>
                  <m:d>
                    <m:dPr>
                      <m:ctrlPr>
                        <a:rPr lang="en-US" sz="1000" b="0" i="1">
                          <a:latin typeface="Cambria Math" panose="02040503050406030204" pitchFamily="18" charset="0"/>
                          <a:ea typeface="Cambria Math"/>
                        </a:rPr>
                      </m:ctrlPr>
                    </m:dPr>
                    <m:e>
                      <m:r>
                        <a:rPr lang="en-US" sz="1000" b="0" i="1">
                          <a:latin typeface="Cambria Math"/>
                          <a:ea typeface="Cambria Math"/>
                        </a:rPr>
                        <m:t>𝑚𝐻</m:t>
                      </m:r>
                    </m:e>
                  </m:d>
                  <m:r>
                    <a:rPr lang="en-US" sz="1000" b="0" i="1">
                      <a:latin typeface="Cambria Math"/>
                      <a:ea typeface="Cambria Math"/>
                    </a:rPr>
                    <m:t>=</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9.03</m:t>
                      </m:r>
                    </m:num>
                    <m:den>
                      <m:r>
                        <a:rPr lang="en-US" sz="1000" i="1">
                          <a:latin typeface="Cambria Math"/>
                          <a:ea typeface="Cambria Math"/>
                        </a:rPr>
                        <m:t>2</m:t>
                      </m:r>
                      <m:r>
                        <a:rPr lang="en-US" sz="1000" i="1">
                          <a:latin typeface="Cambria Math"/>
                          <a:ea typeface="Cambria Math"/>
                        </a:rPr>
                        <m:t>𝜋</m:t>
                      </m:r>
                      <m:r>
                        <a:rPr lang="en-US" sz="1000" b="0" i="1">
                          <a:latin typeface="Cambria Math"/>
                          <a:ea typeface="Cambria Math"/>
                        </a:rPr>
                        <m:t> 60</m:t>
                      </m:r>
                    </m:den>
                  </m:f>
                  <m:r>
                    <a:rPr lang="en-US" sz="1000" i="1">
                      <a:latin typeface="Cambria Math"/>
                      <a:ea typeface="Cambria Math"/>
                    </a:rPr>
                    <m:t>×1000</m:t>
                  </m:r>
                  <m:d>
                    <m:dPr>
                      <m:ctrlPr>
                        <a:rPr lang="en-US" sz="1000" i="1">
                          <a:latin typeface="Cambria Math" panose="02040503050406030204" pitchFamily="18" charset="0"/>
                          <a:ea typeface="Cambria Math"/>
                        </a:rPr>
                      </m:ctrlPr>
                    </m:dPr>
                    <m:e>
                      <m:r>
                        <a:rPr lang="en-US" sz="1000" i="1">
                          <a:latin typeface="Cambria Math"/>
                          <a:ea typeface="Cambria Math"/>
                        </a:rPr>
                        <m:t>𝑚𝐻</m:t>
                      </m:r>
                    </m:e>
                  </m:d>
                </m:oMath>
              </a14:m>
              <a:r>
                <a:rPr lang="en-US" sz="1000"/>
                <a:t>= 23.95 mH</a:t>
              </a:r>
            </a:p>
          </xdr:txBody>
        </xdr:sp>
      </mc:Choice>
      <mc:Fallback xmlns="">
        <xdr:sp macro="" textlink="">
          <xdr:nvSpPr>
            <xdr:cNvPr id="20" name="TextBox 2">
              <a:extLst>
                <a:ext uri="{FF2B5EF4-FFF2-40B4-BE49-F238E27FC236}">
                  <a16:creationId xmlns:a16="http://schemas.microsoft.com/office/drawing/2014/main" id="{D0DA3534-42A2-4CCB-8AEB-1D6E41FD32C1}"/>
                </a:ext>
              </a:extLst>
            </xdr:cNvPr>
            <xdr:cNvSpPr txBox="1"/>
          </xdr:nvSpPr>
          <xdr:spPr>
            <a:xfrm>
              <a:off x="2372457" y="40757220"/>
              <a:ext cx="5707673" cy="32969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𝐻</a:t>
              </a:r>
              <a:r>
                <a:rPr lang="en-US" sz="1000" b="0" i="0">
                  <a:latin typeface="Cambria Math" panose="02040503050406030204" pitchFamily="18" charset="0"/>
                </a:rPr>
                <a:t>(</a:t>
              </a:r>
              <a:r>
                <a:rPr lang="en-US" sz="1000" b="0" i="0">
                  <a:latin typeface="Cambria Math"/>
                </a:rPr>
                <a:t>𝑖𝑛𝑑𝑢𝑐𝑡𝑎𝑛𝑐𝑒</a:t>
              </a:r>
              <a:r>
                <a:rPr lang="en-US" sz="1000" b="0" i="0">
                  <a:latin typeface="Cambria Math" panose="02040503050406030204" pitchFamily="18" charset="0"/>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𝐿</a:t>
              </a:r>
              <a:r>
                <a:rPr lang="en-US" sz="1000" b="0" i="0">
                  <a:latin typeface="Cambria Math" panose="02040503050406030204" pitchFamily="18" charset="0"/>
                  <a:ea typeface="Cambria Math"/>
                </a:rPr>
                <a:t>/</a:t>
              </a:r>
              <a:r>
                <a:rPr lang="en-US" sz="1000" b="0" i="0">
                  <a:latin typeface="Cambria Math"/>
                  <a:ea typeface="Cambria Math"/>
                </a:rPr>
                <a:t>2𝜋𝑓×1000</a:t>
              </a:r>
              <a:r>
                <a:rPr lang="en-US" sz="1000" b="0" i="0">
                  <a:latin typeface="Cambria Math" panose="02040503050406030204" pitchFamily="18" charset="0"/>
                  <a:ea typeface="Cambria Math"/>
                </a:rPr>
                <a:t>(</a:t>
              </a:r>
              <a:r>
                <a:rPr lang="en-US" sz="1000" b="0" i="0">
                  <a:latin typeface="Cambria Math"/>
                  <a:ea typeface="Cambria Math"/>
                </a:rPr>
                <a:t>𝑚𝐻</a:t>
              </a:r>
              <a:r>
                <a:rPr lang="en-US" sz="1000" b="0" i="0">
                  <a:latin typeface="Cambria Math" panose="02040503050406030204" pitchFamily="18" charset="0"/>
                  <a:ea typeface="Cambria Math"/>
                </a:rPr>
                <a:t>)</a:t>
              </a:r>
              <a:r>
                <a:rPr lang="en-US" sz="1000" b="0" i="0">
                  <a:latin typeface="Cambria Math"/>
                  <a:ea typeface="Cambria Math"/>
                </a:rPr>
                <a:t>=</a:t>
              </a:r>
              <a:r>
                <a:rPr lang="en-US" sz="1000" b="0" i="0">
                  <a:latin typeface="Cambria Math" panose="02040503050406030204" pitchFamily="18" charset="0"/>
                  <a:ea typeface="Cambria Math"/>
                </a:rPr>
                <a:t>9.03/(</a:t>
              </a:r>
              <a:r>
                <a:rPr lang="en-US" sz="1000" i="0">
                  <a:latin typeface="Cambria Math"/>
                  <a:ea typeface="Cambria Math"/>
                </a:rPr>
                <a:t>2𝜋</a:t>
              </a:r>
              <a:r>
                <a:rPr lang="en-US" sz="1000" b="0" i="0">
                  <a:latin typeface="Cambria Math"/>
                  <a:ea typeface="Cambria Math"/>
                </a:rPr>
                <a:t> 60</a:t>
              </a:r>
              <a:r>
                <a:rPr lang="en-US" sz="1000" b="0" i="0">
                  <a:latin typeface="Cambria Math" panose="02040503050406030204" pitchFamily="18" charset="0"/>
                  <a:ea typeface="Cambria Math"/>
                </a:rPr>
                <a:t>)</a:t>
              </a:r>
              <a:r>
                <a:rPr lang="en-US" sz="1000" i="0">
                  <a:latin typeface="Cambria Math"/>
                  <a:ea typeface="Cambria Math"/>
                </a:rPr>
                <a:t>×1000</a:t>
              </a:r>
              <a:r>
                <a:rPr lang="en-US" sz="1000" i="0">
                  <a:latin typeface="Cambria Math" panose="02040503050406030204" pitchFamily="18" charset="0"/>
                  <a:ea typeface="Cambria Math"/>
                </a:rPr>
                <a:t>(</a:t>
              </a:r>
              <a:r>
                <a:rPr lang="en-US" sz="1000" i="0">
                  <a:latin typeface="Cambria Math"/>
                  <a:ea typeface="Cambria Math"/>
                </a:rPr>
                <a:t>𝑚𝐻</a:t>
              </a:r>
              <a:r>
                <a:rPr lang="en-US" sz="1000" i="0">
                  <a:latin typeface="Cambria Math" panose="02040503050406030204" pitchFamily="18" charset="0"/>
                  <a:ea typeface="Cambria Math"/>
                </a:rPr>
                <a:t>)</a:t>
              </a:r>
              <a:r>
                <a:rPr lang="en-US" sz="1000"/>
                <a:t>= 23.95 mH</a:t>
              </a:r>
            </a:p>
          </xdr:txBody>
        </xdr:sp>
      </mc:Fallback>
    </mc:AlternateContent>
    <xdr:clientData/>
  </xdr:twoCellAnchor>
  <xdr:twoCellAnchor>
    <xdr:from>
      <xdr:col>13</xdr:col>
      <xdr:colOff>15412</xdr:colOff>
      <xdr:row>184</xdr:row>
      <xdr:rowOff>48803</xdr:rowOff>
    </xdr:from>
    <xdr:to>
      <xdr:col>37</xdr:col>
      <xdr:colOff>139237</xdr:colOff>
      <xdr:row>186</xdr:row>
      <xdr:rowOff>52552</xdr:rowOff>
    </xdr:to>
    <mc:AlternateContent xmlns:mc="http://schemas.openxmlformats.org/markup-compatibility/2006" xmlns:a14="http://schemas.microsoft.com/office/drawing/2010/main">
      <mc:Choice Requires="a14">
        <xdr:sp macro="" textlink="">
          <xdr:nvSpPr>
            <xdr:cNvPr id="21" name="TextBox 13">
              <a:extLst>
                <a:ext uri="{FF2B5EF4-FFF2-40B4-BE49-F238E27FC236}">
                  <a16:creationId xmlns:a16="http://schemas.microsoft.com/office/drawing/2014/main" id="{F30C6E32-3F85-4491-A28E-D7E6D37A8B96}"/>
                </a:ext>
              </a:extLst>
            </xdr:cNvPr>
            <xdr:cNvSpPr txBox="1"/>
          </xdr:nvSpPr>
          <xdr:spPr>
            <a:xfrm>
              <a:off x="2368087" y="42111203"/>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800" b="0" i="1">
                            <a:latin typeface="Cambria Math" panose="02040503050406030204" pitchFamily="18" charset="0"/>
                          </a:rPr>
                        </m:ctrlPr>
                      </m:sSubPr>
                      <m:e>
                        <m:r>
                          <a:rPr lang="en-US" sz="800" b="0" i="1">
                            <a:latin typeface="Cambria Math"/>
                          </a:rPr>
                          <m:t>𝐼</m:t>
                        </m:r>
                      </m:e>
                      <m:sub>
                        <m:r>
                          <a:rPr lang="en-US" sz="800" b="0" i="1">
                            <a:latin typeface="Cambria Math"/>
                          </a:rPr>
                          <m:t>𝐹𝐼𝐿𝑇𝐸𝑅</m:t>
                        </m:r>
                        <m:r>
                          <a:rPr lang="en-US" sz="800" b="0" i="1">
                            <a:latin typeface="Cambria Math"/>
                          </a:rPr>
                          <m:t> </m:t>
                        </m:r>
                        <m:r>
                          <a:rPr lang="en-US" sz="800" b="0" i="1">
                            <a:latin typeface="Cambria Math"/>
                          </a:rPr>
                          <m:t>𝑅𝑀𝑆</m:t>
                        </m:r>
                        <m:r>
                          <a:rPr lang="en-US" sz="800" b="0" i="1">
                            <a:latin typeface="Cambria Math"/>
                          </a:rPr>
                          <m:t> </m:t>
                        </m:r>
                        <m:r>
                          <a:rPr lang="en-US" sz="800" b="0" i="1">
                            <a:latin typeface="Cambria Math"/>
                          </a:rPr>
                          <m:t>𝐶𝑈𝑅𝑅𝐸𝑁𝑇</m:t>
                        </m:r>
                      </m:sub>
                    </m:sSub>
                    <m:r>
                      <a:rPr lang="en-US" sz="800" b="0" i="1">
                        <a:latin typeface="Cambria Math"/>
                        <a:ea typeface="Cambria Math"/>
                      </a:rPr>
                      <m:t>=</m:t>
                    </m:r>
                    <m:rad>
                      <m:radPr>
                        <m:degHide m:val="on"/>
                        <m:ctrlPr>
                          <a:rPr lang="en-US" sz="800" b="0" i="1">
                            <a:latin typeface="Cambria Math" panose="02040503050406030204" pitchFamily="18" charset="0"/>
                            <a:ea typeface="Cambria Math"/>
                          </a:rPr>
                        </m:ctrlPr>
                      </m:radPr>
                      <m:deg/>
                      <m:e>
                        <m:nary>
                          <m:naryPr>
                            <m:chr m:val="∑"/>
                            <m:ctrlPr>
                              <a:rPr lang="en-US" sz="800" b="0" i="1">
                                <a:latin typeface="Cambria Math" panose="02040503050406030204" pitchFamily="18" charset="0"/>
                                <a:ea typeface="Cambria Math"/>
                              </a:rPr>
                            </m:ctrlPr>
                          </m:naryPr>
                          <m:sub>
                            <m:r>
                              <m:rPr>
                                <m:brk m:alnAt="23"/>
                              </m:rPr>
                              <a:rPr lang="en-US" sz="800" b="0" i="1">
                                <a:latin typeface="Cambria Math"/>
                                <a:ea typeface="Cambria Math"/>
                              </a:rPr>
                              <m:t>𝑛</m:t>
                            </m:r>
                            <m:r>
                              <a:rPr lang="en-US" sz="800" b="0" i="1">
                                <a:latin typeface="Cambria Math"/>
                                <a:ea typeface="Cambria Math"/>
                              </a:rPr>
                              <m:t>=1</m:t>
                            </m:r>
                          </m:sub>
                          <m:sup>
                            <m:r>
                              <a:rPr lang="en-US" sz="800" b="0" i="1">
                                <a:latin typeface="Cambria Math"/>
                                <a:ea typeface="Cambria Math"/>
                              </a:rPr>
                              <m:t>𝑛</m:t>
                            </m:r>
                          </m:sup>
                          <m:e>
                            <m:sSubSup>
                              <m:sSubSupPr>
                                <m:ctrlPr>
                                  <a:rPr lang="en-US" sz="1000" b="0" i="1" kern="1200">
                                    <a:solidFill>
                                      <a:schemeClr val="tx1"/>
                                    </a:solidFill>
                                    <a:effectLst/>
                                    <a:latin typeface="Cambria Math" panose="02040503050406030204" pitchFamily="18" charset="0"/>
                                    <a:ea typeface="+mn-ea"/>
                                    <a:cs typeface="+mn-cs"/>
                                  </a:rPr>
                                </m:ctrlPr>
                              </m:sSubSupPr>
                              <m:e>
                                <m:r>
                                  <a:rPr lang="en-US" sz="1000" b="0" i="1" kern="1200">
                                    <a:solidFill>
                                      <a:schemeClr val="tx1"/>
                                    </a:solidFill>
                                    <a:effectLst/>
                                    <a:latin typeface="Cambria Math" panose="02040503050406030204" pitchFamily="18" charset="0"/>
                                    <a:ea typeface="+mn-ea"/>
                                    <a:cs typeface="+mn-cs"/>
                                  </a:rPr>
                                  <m:t>𝐼</m:t>
                                </m:r>
                              </m:e>
                              <m:sub>
                                <m:r>
                                  <a:rPr lang="en-US" sz="1000" b="0" i="1" kern="1200">
                                    <a:solidFill>
                                      <a:schemeClr val="tx1"/>
                                    </a:solidFill>
                                    <a:effectLst/>
                                    <a:latin typeface="Cambria Math" panose="02040503050406030204" pitchFamily="18" charset="0"/>
                                    <a:ea typeface="+mn-ea"/>
                                    <a:cs typeface="+mn-cs"/>
                                  </a:rPr>
                                  <m:t>𝑛</m:t>
                                </m:r>
                              </m:sub>
                              <m:sup>
                                <m:r>
                                  <a:rPr lang="en-US" sz="1000" b="0" i="1" kern="1200">
                                    <a:solidFill>
                                      <a:schemeClr val="tx1"/>
                                    </a:solidFill>
                                    <a:effectLst/>
                                    <a:latin typeface="Cambria Math" panose="02040503050406030204" pitchFamily="18" charset="0"/>
                                    <a:ea typeface="+mn-ea"/>
                                    <a:cs typeface="+mn-cs"/>
                                  </a:rPr>
                                  <m:t>2</m:t>
                                </m:r>
                              </m:sup>
                            </m:sSubSup>
                          </m:e>
                        </m:nary>
                      </m:e>
                    </m:rad>
                  </m:oMath>
                </m:oMathPara>
              </a14:m>
              <a:endParaRPr lang="en-US" sz="800" b="0"/>
            </a:p>
          </xdr:txBody>
        </xdr:sp>
      </mc:Choice>
      <mc:Fallback xmlns="">
        <xdr:sp macro="" textlink="">
          <xdr:nvSpPr>
            <xdr:cNvPr id="21" name="TextBox 13">
              <a:extLst>
                <a:ext uri="{FF2B5EF4-FFF2-40B4-BE49-F238E27FC236}">
                  <a16:creationId xmlns:a16="http://schemas.microsoft.com/office/drawing/2014/main" id="{F30C6E32-3F85-4491-A28E-D7E6D37A8B96}"/>
                </a:ext>
              </a:extLst>
            </xdr:cNvPr>
            <xdr:cNvSpPr txBox="1"/>
          </xdr:nvSpPr>
          <xdr:spPr>
            <a:xfrm>
              <a:off x="2368087" y="42111203"/>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800" b="0" i="0">
                  <a:latin typeface="Cambria Math"/>
                </a:rPr>
                <a:t>𝐼</a:t>
              </a:r>
              <a:r>
                <a:rPr lang="en-US" sz="800" b="0" i="0">
                  <a:latin typeface="Cambria Math" panose="02040503050406030204" pitchFamily="18" charset="0"/>
                </a:rPr>
                <a:t>_(</a:t>
              </a:r>
              <a:r>
                <a:rPr lang="en-US" sz="800" b="0" i="0">
                  <a:latin typeface="Cambria Math"/>
                </a:rPr>
                <a:t>𝐹𝐼𝐿𝑇𝐸𝑅 𝑅𝑀𝑆 𝐶𝑈𝑅𝑅𝐸𝑁𝑇</a:t>
              </a:r>
              <a:r>
                <a:rPr lang="en-US" sz="800" b="0" i="0">
                  <a:latin typeface="Cambria Math" panose="02040503050406030204" pitchFamily="18" charset="0"/>
                </a:rPr>
                <a:t>)</a:t>
              </a:r>
              <a:r>
                <a:rPr lang="en-US" sz="800" b="0" i="0">
                  <a:latin typeface="Cambria Math"/>
                  <a:ea typeface="Cambria Math"/>
                </a:rPr>
                <a:t>=</a:t>
              </a:r>
              <a:r>
                <a:rPr lang="en-US" sz="800" b="0" i="0">
                  <a:latin typeface="Cambria Math" panose="02040503050406030204" pitchFamily="18" charset="0"/>
                  <a:ea typeface="Cambria Math"/>
                </a:rPr>
                <a:t>√(∑_(</a:t>
              </a:r>
              <a:r>
                <a:rPr lang="en-US" sz="800" b="0" i="0">
                  <a:latin typeface="Cambria Math"/>
                  <a:ea typeface="Cambria Math"/>
                </a:rPr>
                <a:t>𝑛=1</a:t>
              </a:r>
              <a:r>
                <a:rPr lang="en-US" sz="800" b="0" i="0">
                  <a:latin typeface="Cambria Math" panose="02040503050406030204" pitchFamily="18" charset="0"/>
                  <a:ea typeface="Cambria Math"/>
                </a:rPr>
                <a:t>)^</a:t>
              </a:r>
              <a:r>
                <a:rPr lang="en-US" sz="800" b="0" i="0">
                  <a:latin typeface="Cambria Math"/>
                  <a:ea typeface="Cambria Math"/>
                </a:rPr>
                <a:t>𝑛</a:t>
              </a:r>
              <a:r>
                <a:rPr lang="en-US" sz="1000" b="0" i="0" kern="1200">
                  <a:solidFill>
                    <a:schemeClr val="tx1"/>
                  </a:solidFill>
                  <a:effectLst/>
                  <a:latin typeface="Cambria Math" panose="02040503050406030204" pitchFamily="18" charset="0"/>
                  <a:ea typeface="+mn-ea"/>
                  <a:cs typeface="+mn-cs"/>
                </a:rPr>
                <a:t>▒𝐼_𝑛^2 </a:t>
              </a:r>
              <a:r>
                <a:rPr lang="en-US" sz="800" b="0" i="0" kern="1200">
                  <a:solidFill>
                    <a:schemeClr val="tx1"/>
                  </a:solidFill>
                  <a:effectLst/>
                  <a:latin typeface="Cambria Math" panose="02040503050406030204" pitchFamily="18" charset="0"/>
                  <a:ea typeface="Cambria Math"/>
                  <a:cs typeface="+mn-cs"/>
                </a:rPr>
                <a:t>)</a:t>
              </a:r>
              <a:endParaRPr lang="en-US" sz="800" b="0"/>
            </a:p>
          </xdr:txBody>
        </xdr:sp>
      </mc:Fallback>
    </mc:AlternateContent>
    <xdr:clientData/>
  </xdr:twoCellAnchor>
  <xdr:twoCellAnchor>
    <xdr:from>
      <xdr:col>13</xdr:col>
      <xdr:colOff>21981</xdr:colOff>
      <xdr:row>182</xdr:row>
      <xdr:rowOff>7304</xdr:rowOff>
    </xdr:from>
    <xdr:to>
      <xdr:col>41</xdr:col>
      <xdr:colOff>41031</xdr:colOff>
      <xdr:row>183</xdr:row>
      <xdr:rowOff>58773</xdr:rowOff>
    </xdr:to>
    <mc:AlternateContent xmlns:mc="http://schemas.openxmlformats.org/markup-compatibility/2006" xmlns:a14="http://schemas.microsoft.com/office/drawing/2010/main">
      <mc:Choice Requires="a14">
        <xdr:sp macro="" textlink="">
          <xdr:nvSpPr>
            <xdr:cNvPr id="22" name="TextBox 14">
              <a:extLst>
                <a:ext uri="{FF2B5EF4-FFF2-40B4-BE49-F238E27FC236}">
                  <a16:creationId xmlns:a16="http://schemas.microsoft.com/office/drawing/2014/main" id="{9AD8D234-B49D-47F3-B54D-CF5BD02E7CBD}"/>
                </a:ext>
              </a:extLst>
            </xdr:cNvPr>
            <xdr:cNvSpPr txBox="1"/>
          </xdr:nvSpPr>
          <xdr:spPr>
            <a:xfrm>
              <a:off x="2374656" y="41612504"/>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𝑅𝐴𝑇𝐸𝐷</m:t>
                        </m:r>
                        <m:r>
                          <a:rPr lang="en-US" sz="1000" b="0" i="1">
                            <a:latin typeface="Cambria Math"/>
                          </a:rPr>
                          <m:t> </m:t>
                        </m:r>
                        <m:r>
                          <a:rPr lang="en-US" sz="1000" b="0" i="1">
                            <a:latin typeface="Cambria Math"/>
                          </a:rPr>
                          <m:t>𝐹𝑈𝑁𝐷𝐴𝑀𝐸𝑁𝑇𝐴𝐿</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num>
                      <m:den>
                        <m:r>
                          <a:rPr lang="en-US" sz="1000" b="0" i="1">
                            <a:latin typeface="Cambria Math"/>
                            <a:ea typeface="Cambria Math"/>
                          </a:rPr>
                          <m:t>1.73×</m:t>
                        </m:r>
                        <m:sSub>
                          <m:sSubPr>
                            <m:ctrlPr>
                              <a:rPr lang="en-US" sz="1100" b="0" i="1" kern="1200">
                                <a:solidFill>
                                  <a:schemeClr val="tx1"/>
                                </a:solidFill>
                                <a:effectLst/>
                                <a:latin typeface="Cambria Math" panose="02040503050406030204" pitchFamily="18" charset="0"/>
                                <a:ea typeface="+mn-ea"/>
                                <a:cs typeface="+mn-cs"/>
                              </a:rPr>
                            </m:ctrlPr>
                          </m:sSubPr>
                          <m:e>
                            <m:r>
                              <a:rPr lang="en-US" sz="1100" b="0" i="1" kern="1200">
                                <a:solidFill>
                                  <a:schemeClr val="tx1"/>
                                </a:solidFill>
                                <a:effectLst/>
                                <a:latin typeface="Cambria Math" panose="02040503050406030204" pitchFamily="18" charset="0"/>
                                <a:ea typeface="+mn-ea"/>
                                <a:cs typeface="+mn-cs"/>
                              </a:rPr>
                              <m:t>𝑘𝑉</m:t>
                            </m:r>
                          </m:e>
                          <m:sub>
                            <m:r>
                              <a:rPr lang="en-US" sz="1100" b="0" i="1" kern="1200">
                                <a:solidFill>
                                  <a:schemeClr val="tx1"/>
                                </a:solidFill>
                                <a:effectLst/>
                                <a:latin typeface="Cambria Math" panose="02040503050406030204" pitchFamily="18" charset="0"/>
                                <a:ea typeface="+mn-ea"/>
                                <a:cs typeface="+mn-cs"/>
                              </a:rPr>
                              <m:t>𝐿𝐿𝑆𝑌𝑆</m:t>
                            </m:r>
                          </m:sub>
                        </m:sSub>
                      </m:den>
                    </m:f>
                    <m:r>
                      <a:rPr lang="en-US" sz="1000" b="0" i="1">
                        <a:latin typeface="Cambria Math"/>
                        <a:ea typeface="Cambria Math"/>
                      </a:rPr>
                      <m:t>×1000=</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1.0</m:t>
                        </m:r>
                      </m:num>
                      <m:den>
                        <m:r>
                          <a:rPr lang="en-US" sz="1000" i="1">
                            <a:latin typeface="Cambria Math"/>
                            <a:ea typeface="Cambria Math"/>
                          </a:rPr>
                          <m:t>1.73×</m:t>
                        </m:r>
                        <m:r>
                          <a:rPr lang="en-US" sz="1000" b="0" i="1">
                            <a:latin typeface="Cambria Math"/>
                            <a:ea typeface="Cambria Math"/>
                          </a:rPr>
                          <m:t>13.8</m:t>
                        </m:r>
                      </m:den>
                    </m:f>
                    <m:r>
                      <a:rPr lang="en-US" sz="1000" i="1">
                        <a:latin typeface="Cambria Math"/>
                        <a:ea typeface="Cambria Math"/>
                      </a:rPr>
                      <m:t>×1000</m:t>
                    </m:r>
                    <m:r>
                      <a:rPr lang="en-US" sz="1000" b="0" i="1">
                        <a:latin typeface="Cambria Math"/>
                        <a:ea typeface="Cambria Math"/>
                      </a:rPr>
                      <m:t>=</m:t>
                    </m:r>
                    <m:r>
                      <a:rPr lang="en-US" sz="1000" b="0" i="1">
                        <a:latin typeface="Cambria Math" panose="02040503050406030204" pitchFamily="18" charset="0"/>
                        <a:ea typeface="Cambria Math"/>
                      </a:rPr>
                      <m:t>41.88</m:t>
                    </m:r>
                    <m:r>
                      <a:rPr lang="en-US" sz="1000" b="0" i="1">
                        <a:latin typeface="Cambria Math"/>
                        <a:ea typeface="Cambria Math"/>
                      </a:rPr>
                      <m:t> </m:t>
                    </m:r>
                    <m:r>
                      <a:rPr lang="en-US" sz="1000" b="0" i="1">
                        <a:latin typeface="Cambria Math"/>
                        <a:ea typeface="Cambria Math"/>
                      </a:rPr>
                      <m:t>𝑎𝑚𝑝𝑠</m:t>
                    </m:r>
                  </m:oMath>
                </m:oMathPara>
              </a14:m>
              <a:endParaRPr lang="en-US" sz="1000" b="0"/>
            </a:p>
          </xdr:txBody>
        </xdr:sp>
      </mc:Choice>
      <mc:Fallback xmlns="">
        <xdr:sp macro="" textlink="">
          <xdr:nvSpPr>
            <xdr:cNvPr id="22" name="TextBox 14">
              <a:extLst>
                <a:ext uri="{FF2B5EF4-FFF2-40B4-BE49-F238E27FC236}">
                  <a16:creationId xmlns:a16="http://schemas.microsoft.com/office/drawing/2014/main" id="{9AD8D234-B49D-47F3-B54D-CF5BD02E7CBD}"/>
                </a:ext>
              </a:extLst>
            </xdr:cNvPr>
            <xdr:cNvSpPr txBox="1"/>
          </xdr:nvSpPr>
          <xdr:spPr>
            <a:xfrm>
              <a:off x="2374656" y="41612504"/>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a:rPr>
                <a:t>𝐼</a:t>
              </a:r>
              <a:r>
                <a:rPr lang="en-US" sz="1000" b="0" i="0">
                  <a:latin typeface="Cambria Math" panose="02040503050406030204" pitchFamily="18" charset="0"/>
                </a:rPr>
                <a:t>_(</a:t>
              </a:r>
              <a:r>
                <a:rPr lang="en-US" sz="1000" b="0" i="0">
                  <a:latin typeface="Cambria Math"/>
                </a:rPr>
                <a:t>𝑅𝐴𝑇𝐸𝐷 𝐹𝑈𝑁𝐷𝐴𝑀𝐸𝑁𝑇𝐴𝐿</a:t>
              </a:r>
              <a:r>
                <a:rPr lang="en-US" sz="1000" b="0" i="0">
                  <a:latin typeface="Cambria Math" panose="02040503050406030204" pitchFamily="18" charset="0"/>
                </a:rPr>
                <a:t>)</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1.73×</a:t>
              </a:r>
              <a:r>
                <a:rPr lang="en-US" sz="1100" b="0" i="0" kern="1200">
                  <a:solidFill>
                    <a:schemeClr val="tx1"/>
                  </a:solidFill>
                  <a:effectLst/>
                  <a:latin typeface="Cambria Math" panose="02040503050406030204" pitchFamily="18" charset="0"/>
                  <a:ea typeface="+mn-ea"/>
                  <a:cs typeface="+mn-cs"/>
                </a:rPr>
                <a:t>〖𝑘𝑉〗_𝐿𝐿𝑆𝑌𝑆 </a:t>
              </a:r>
              <a:r>
                <a:rPr lang="en-US" sz="1000" b="0" i="0" kern="1200">
                  <a:solidFill>
                    <a:schemeClr val="tx1"/>
                  </a:solidFill>
                  <a:effectLst/>
                  <a:latin typeface="Cambria Math" panose="02040503050406030204" pitchFamily="18" charset="0"/>
                  <a:ea typeface="Cambria Math"/>
                  <a:cs typeface="+mn-cs"/>
                </a:rPr>
                <a:t>)</a:t>
              </a:r>
              <a:r>
                <a:rPr lang="en-US" sz="1000" b="0" i="0">
                  <a:latin typeface="Cambria Math"/>
                  <a:ea typeface="Cambria Math"/>
                </a:rPr>
                <a:t>×1000=</a:t>
              </a:r>
              <a:r>
                <a:rPr lang="en-US" sz="1000" b="0" i="0">
                  <a:latin typeface="Cambria Math" panose="02040503050406030204" pitchFamily="18" charset="0"/>
                  <a:ea typeface="Cambria Math"/>
                </a:rPr>
                <a:t>1.0/(</a:t>
              </a:r>
              <a:r>
                <a:rPr lang="en-US" sz="1000" i="0">
                  <a:latin typeface="Cambria Math"/>
                  <a:ea typeface="Cambria Math"/>
                </a:rPr>
                <a:t>1.73×</a:t>
              </a:r>
              <a:r>
                <a:rPr lang="en-US" sz="1000" b="0" i="0">
                  <a:latin typeface="Cambria Math"/>
                  <a:ea typeface="Cambria Math"/>
                </a:rPr>
                <a:t>13.8</a:t>
              </a:r>
              <a:r>
                <a:rPr lang="en-US" sz="1000" b="0" i="0">
                  <a:latin typeface="Cambria Math" panose="02040503050406030204" pitchFamily="18" charset="0"/>
                  <a:ea typeface="Cambria Math"/>
                </a:rPr>
                <a:t>)</a:t>
              </a:r>
              <a:r>
                <a:rPr lang="en-US" sz="1000" i="0">
                  <a:latin typeface="Cambria Math"/>
                  <a:ea typeface="Cambria Math"/>
                </a:rPr>
                <a:t>×1000</a:t>
              </a:r>
              <a:r>
                <a:rPr lang="en-US" sz="1000" b="0" i="0">
                  <a:latin typeface="Cambria Math"/>
                  <a:ea typeface="Cambria Math"/>
                </a:rPr>
                <a:t>=</a:t>
              </a:r>
              <a:r>
                <a:rPr lang="en-US" sz="1000" b="0" i="0">
                  <a:latin typeface="Cambria Math" panose="02040503050406030204" pitchFamily="18" charset="0"/>
                  <a:ea typeface="Cambria Math"/>
                </a:rPr>
                <a:t>41.88</a:t>
              </a:r>
              <a:r>
                <a:rPr lang="en-US" sz="1000" b="0" i="0">
                  <a:latin typeface="Cambria Math"/>
                  <a:ea typeface="Cambria Math"/>
                </a:rPr>
                <a:t> 𝑎𝑚𝑝𝑠</a:t>
              </a:r>
              <a:endParaRPr lang="en-US" sz="1000" b="0"/>
            </a:p>
          </xdr:txBody>
        </xdr:sp>
      </mc:Fallback>
    </mc:AlternateContent>
    <xdr:clientData/>
  </xdr:twoCellAnchor>
  <xdr:twoCellAnchor>
    <xdr:from>
      <xdr:col>13</xdr:col>
      <xdr:colOff>19782</xdr:colOff>
      <xdr:row>179</xdr:row>
      <xdr:rowOff>184283</xdr:rowOff>
    </xdr:from>
    <xdr:to>
      <xdr:col>41</xdr:col>
      <xdr:colOff>69605</xdr:colOff>
      <xdr:row>181</xdr:row>
      <xdr:rowOff>154380</xdr:rowOff>
    </xdr:to>
    <mc:AlternateContent xmlns:mc="http://schemas.openxmlformats.org/markup-compatibility/2006" xmlns:a14="http://schemas.microsoft.com/office/drawing/2010/main">
      <mc:Choice Requires="a14">
        <xdr:sp macro="" textlink="">
          <xdr:nvSpPr>
            <xdr:cNvPr id="23" name="TextBox 3">
              <a:extLst>
                <a:ext uri="{FF2B5EF4-FFF2-40B4-BE49-F238E27FC236}">
                  <a16:creationId xmlns:a16="http://schemas.microsoft.com/office/drawing/2014/main" id="{769CE0A4-279D-4BB9-9F10-1E8F4A75A35D}"/>
                </a:ext>
              </a:extLst>
            </xdr:cNvPr>
            <xdr:cNvSpPr txBox="1"/>
          </xdr:nvSpPr>
          <xdr:spPr>
            <a:xfrm>
              <a:off x="2372457" y="41103683"/>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den>
                        </m:f>
                        <m:r>
                          <a:rPr lang="en-US" sz="1000" b="0" i="1">
                            <a:latin typeface="Cambria Math"/>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a:rPr>
                                      <m:t>9.54</m:t>
                                    </m:r>
                                  </m:e>
                                </m:d>
                              </m:e>
                              <m:sup>
                                <m:r>
                                  <a:rPr lang="en-US" sz="1000" i="1">
                                    <a:latin typeface="Cambria Math"/>
                                  </a:rPr>
                                  <m:t>2</m:t>
                                </m:r>
                              </m:sup>
                            </m:sSup>
                          </m:num>
                          <m:den>
                            <m:r>
                              <a:rPr lang="en-US" sz="1000" b="0" i="1">
                                <a:latin typeface="Cambria Math" panose="02040503050406030204" pitchFamily="18" charset="0"/>
                              </a:rPr>
                              <m:t>199.47</m:t>
                            </m:r>
                          </m:den>
                        </m:f>
                        <m:r>
                          <a:rPr lang="en-US" sz="1000" b="0" i="1">
                            <a:latin typeface="Cambria Math"/>
                            <a:ea typeface="Cambria Math"/>
                          </a:rPr>
                          <m:t>=</m:t>
                        </m:r>
                        <m:r>
                          <a:rPr lang="en-US" sz="1000" b="0" i="1">
                            <a:latin typeface="Cambria Math" panose="02040503050406030204" pitchFamily="18" charset="0"/>
                            <a:ea typeface="Cambria Math"/>
                          </a:rPr>
                          <m:t>0.456 </m:t>
                        </m:r>
                        <m:r>
                          <a:rPr lang="en-US" sz="1000" b="0" i="1">
                            <a:latin typeface="Cambria Math" panose="02040503050406030204" pitchFamily="18" charset="0"/>
                            <a:ea typeface="Cambria Math"/>
                          </a:rPr>
                          <m:t>𝑀𝑉𝐴𝑅</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1000" b="0"/>
            </a:p>
          </xdr:txBody>
        </xdr:sp>
      </mc:Choice>
      <mc:Fallback xmlns="">
        <xdr:sp macro="" textlink="">
          <xdr:nvSpPr>
            <xdr:cNvPr id="23" name="TextBox 3">
              <a:extLst>
                <a:ext uri="{FF2B5EF4-FFF2-40B4-BE49-F238E27FC236}">
                  <a16:creationId xmlns:a16="http://schemas.microsoft.com/office/drawing/2014/main" id="{769CE0A4-279D-4BB9-9F10-1E8F4A75A35D}"/>
                </a:ext>
              </a:extLst>
            </xdr:cNvPr>
            <xdr:cNvSpPr txBox="1"/>
          </xdr:nvSpPr>
          <xdr:spPr>
            <a:xfrm>
              <a:off x="2372457" y="41103683"/>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a:t>
              </a:r>
              <a:r>
                <a:rPr lang="en-US" sz="1000" b="0" i="0">
                  <a:latin typeface="Cambria Math"/>
                </a:rPr>
                <a:t>9.54</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199.47</a:t>
              </a:r>
              <a:r>
                <a:rPr lang="en-US" sz="1000" b="0" i="0">
                  <a:latin typeface="Cambria Math"/>
                  <a:ea typeface="Cambria Math"/>
                </a:rPr>
                <a:t>=</a:t>
              </a:r>
              <a:r>
                <a:rPr lang="en-US" sz="1000" b="0" i="0">
                  <a:latin typeface="Cambria Math" panose="02040503050406030204" pitchFamily="18" charset="0"/>
                  <a:ea typeface="Cambria Math"/>
                </a:rPr>
                <a:t>0.456 𝑀𝑉𝐴𝑅/𝑃ℎ𝑎𝑠𝑒〗_</a:t>
              </a:r>
              <a:endParaRPr lang="en-US" sz="1000" b="0"/>
            </a:p>
          </xdr:txBody>
        </xdr:sp>
      </mc:Fallback>
    </mc:AlternateContent>
    <xdr:clientData/>
  </xdr:twoCellAnchor>
  <xdr:twoCellAnchor>
    <xdr:from>
      <xdr:col>13</xdr:col>
      <xdr:colOff>0</xdr:colOff>
      <xdr:row>171</xdr:row>
      <xdr:rowOff>0</xdr:rowOff>
    </xdr:from>
    <xdr:to>
      <xdr:col>41</xdr:col>
      <xdr:colOff>114300</xdr:colOff>
      <xdr:row>172</xdr:row>
      <xdr:rowOff>155864</xdr:rowOff>
    </xdr:to>
    <mc:AlternateContent xmlns:mc="http://schemas.openxmlformats.org/markup-compatibility/2006" xmlns:a14="http://schemas.microsoft.com/office/drawing/2010/main">
      <mc:Choice Requires="a14">
        <xdr:sp macro="" textlink="">
          <xdr:nvSpPr>
            <xdr:cNvPr id="24" name="TextBox 14">
              <a:extLst>
                <a:ext uri="{FF2B5EF4-FFF2-40B4-BE49-F238E27FC236}">
                  <a16:creationId xmlns:a16="http://schemas.microsoft.com/office/drawing/2014/main" id="{380974EC-5672-463F-977C-F67A0B770842}"/>
                </a:ext>
              </a:extLst>
            </xdr:cNvPr>
            <xdr:cNvSpPr txBox="1"/>
          </xdr:nvSpPr>
          <xdr:spPr>
            <a:xfrm>
              <a:off x="2352675" y="39090600"/>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i="1">
                            <a:latin typeface="Cambria Math" panose="02040503050406030204" pitchFamily="18" charset="0"/>
                          </a:rPr>
                        </m:ctrlPr>
                      </m:sSubPr>
                      <m:e>
                        <m:r>
                          <a:rPr lang="en-US" sz="1000" i="1">
                            <a:latin typeface="Cambria Math"/>
                          </a:rPr>
                          <m:t>𝑄</m:t>
                        </m:r>
                      </m:e>
                      <m:sub>
                        <m:r>
                          <a:rPr lang="en-US" sz="1000" i="1">
                            <a:latin typeface="Cambria Math"/>
                          </a:rPr>
                          <m:t>𝑒𝑓𝑓</m:t>
                        </m:r>
                      </m:sub>
                    </m:sSub>
                    <m:r>
                      <a:rPr lang="en-US" sz="1000" b="0" i="1">
                        <a:latin typeface="Cambria Math"/>
                      </a:rPr>
                      <m:t>=</m:t>
                    </m:r>
                    <m:r>
                      <a:rPr lang="en-US" sz="1000" b="0" i="1">
                        <a:latin typeface="Cambria Math"/>
                      </a:rPr>
                      <m:t>𝑂𝑢𝑡𝑝𝑢𝑡</m:t>
                    </m:r>
                    <m:r>
                      <a:rPr lang="en-US" sz="1000" b="0" i="1">
                        <a:latin typeface="Cambria Math"/>
                      </a:rPr>
                      <m:t> </m:t>
                    </m:r>
                    <m:r>
                      <a:rPr lang="en-US" sz="1000" b="0" i="1">
                        <a:latin typeface="Cambria Math"/>
                      </a:rPr>
                      <m:t>𝑀𝑉𝐴𝑅</m:t>
                    </m:r>
                    <m:r>
                      <a:rPr lang="en-US" sz="1000" b="0" i="1">
                        <a:latin typeface="Cambria Math"/>
                      </a:rPr>
                      <m:t> </m:t>
                    </m:r>
                    <m:r>
                      <a:rPr lang="en-US" sz="1000" b="0" i="1">
                        <a:latin typeface="Cambria Math"/>
                      </a:rPr>
                      <m:t>𝑅𝑎𝑡𝑖𝑛𝑔</m:t>
                    </m:r>
                    <m:r>
                      <a:rPr lang="en-US" sz="1000" b="0" i="1">
                        <a:latin typeface="Cambria Math"/>
                      </a:rPr>
                      <m:t> </m:t>
                    </m:r>
                    <m:r>
                      <a:rPr lang="en-US" sz="1000" b="0" i="1">
                        <a:latin typeface="Cambria Math"/>
                      </a:rPr>
                      <m:t>𝑜𝑓</m:t>
                    </m:r>
                    <m:r>
                      <a:rPr lang="en-US" sz="1000" b="0" i="1">
                        <a:latin typeface="Cambria Math"/>
                      </a:rPr>
                      <m:t> </m:t>
                    </m:r>
                    <m:r>
                      <a:rPr lang="en-US" sz="1000" b="0" i="1">
                        <a:latin typeface="Cambria Math"/>
                      </a:rPr>
                      <m:t>𝐹𝑖𝑙𝑡𝑒𝑟</m:t>
                    </m:r>
                    <m:r>
                      <a:rPr lang="en-US" sz="1000" b="0" i="1">
                        <a:latin typeface="Cambria Math"/>
                        <a:ea typeface="Cambria Math"/>
                      </a:rPr>
                      <m:t>=</m:t>
                    </m:r>
                    <m:f>
                      <m:fPr>
                        <m:ctrlPr>
                          <a:rPr lang="en-US" sz="1000" b="0" i="1">
                            <a:latin typeface="Cambria Math" panose="02040503050406030204" pitchFamily="18" charset="0"/>
                            <a:ea typeface="Cambria Math"/>
                          </a:rPr>
                        </m:ctrlPr>
                      </m:fPr>
                      <m:num>
                        <m:r>
                          <a:rPr lang="en-US" sz="1000" i="1">
                            <a:latin typeface="Cambria Math"/>
                            <a:ea typeface="Cambria Math"/>
                          </a:rPr>
                          <m:t>𝐷𝑒𝑠𝑖𝑟𝑒𝑑</m:t>
                        </m:r>
                        <m:r>
                          <a:rPr lang="en-US" sz="1000" i="1">
                            <a:latin typeface="Cambria Math"/>
                            <a:ea typeface="Cambria Math"/>
                          </a:rPr>
                          <m:t> 3 </m:t>
                        </m:r>
                        <m:r>
                          <a:rPr lang="en-US" sz="1000" b="0" i="1">
                            <a:latin typeface="Cambria Math"/>
                            <a:ea typeface="Cambria Math"/>
                          </a:rPr>
                          <m:t>𝑃h𝑎𝑠𝑒</m:t>
                        </m:r>
                        <m:r>
                          <a:rPr lang="en-US" sz="1000" b="0" i="1">
                            <a:latin typeface="Cambria Math"/>
                            <a:ea typeface="Cambria Math"/>
                          </a:rPr>
                          <m:t> </m:t>
                        </m:r>
                        <m:r>
                          <a:rPr lang="en-US" sz="1000" i="1">
                            <a:latin typeface="Cambria Math"/>
                            <a:ea typeface="Cambria Math"/>
                          </a:rPr>
                          <m:t>𝑘𝑣𝑎𝑟</m:t>
                        </m:r>
                      </m:num>
                      <m:den>
                        <m:r>
                          <a:rPr lang="en-US" sz="1000" b="0" i="1">
                            <a:latin typeface="Cambria Math"/>
                            <a:ea typeface="Cambria Math"/>
                          </a:rPr>
                          <m:t>1000</m:t>
                        </m:r>
                      </m:den>
                    </m:f>
                    <m:r>
                      <a:rPr lang="en-US" sz="1000" b="0" i="1">
                        <a:latin typeface="Cambria Math"/>
                        <a:ea typeface="Cambria Math"/>
                      </a:rPr>
                      <m:t> =</m:t>
                    </m:r>
                    <m:r>
                      <a:rPr lang="en-US" sz="1000" b="0" i="1">
                        <a:latin typeface="Cambria Math" panose="02040503050406030204" pitchFamily="18" charset="0"/>
                        <a:ea typeface="Cambria Math"/>
                      </a:rPr>
                      <m:t>1</m:t>
                    </m:r>
                    <m:r>
                      <a:rPr lang="en-US" sz="1000" b="0" i="1">
                        <a:latin typeface="Cambria Math"/>
                        <a:ea typeface="Cambria Math"/>
                      </a:rPr>
                      <m:t>.</m:t>
                    </m:r>
                    <m:r>
                      <a:rPr lang="en-US" sz="1000" b="0" i="1">
                        <a:latin typeface="Cambria Math" panose="02040503050406030204" pitchFamily="18" charset="0"/>
                        <a:ea typeface="Cambria Math"/>
                      </a:rPr>
                      <m:t>0</m:t>
                    </m:r>
                    <m:r>
                      <a:rPr lang="en-US" sz="1000" b="0" i="1">
                        <a:latin typeface="Cambria Math"/>
                        <a:ea typeface="Cambria Math"/>
                      </a:rPr>
                      <m:t> </m:t>
                    </m:r>
                    <m:r>
                      <a:rPr lang="en-US" sz="1000" b="0" i="1">
                        <a:latin typeface="Cambria Math"/>
                        <a:ea typeface="Cambria Math"/>
                      </a:rPr>
                      <m:t>𝑀𝑉𝐴𝑅</m:t>
                    </m:r>
                  </m:oMath>
                </m:oMathPara>
              </a14:m>
              <a:endParaRPr lang="en-US" sz="1000" b="0"/>
            </a:p>
          </xdr:txBody>
        </xdr:sp>
      </mc:Choice>
      <mc:Fallback xmlns="">
        <xdr:sp macro="" textlink="">
          <xdr:nvSpPr>
            <xdr:cNvPr id="24" name="TextBox 14">
              <a:extLst>
                <a:ext uri="{FF2B5EF4-FFF2-40B4-BE49-F238E27FC236}">
                  <a16:creationId xmlns:a16="http://schemas.microsoft.com/office/drawing/2014/main" id="{380974EC-5672-463F-977C-F67A0B770842}"/>
                </a:ext>
              </a:extLst>
            </xdr:cNvPr>
            <xdr:cNvSpPr txBox="1"/>
          </xdr:nvSpPr>
          <xdr:spPr>
            <a:xfrm>
              <a:off x="2352675" y="39090600"/>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i="0">
                  <a:latin typeface="Cambria Math"/>
                </a:rPr>
                <a:t>𝑄</a:t>
              </a:r>
              <a:r>
                <a:rPr lang="en-US" sz="1000" i="0">
                  <a:latin typeface="Cambria Math" panose="02040503050406030204" pitchFamily="18" charset="0"/>
                </a:rPr>
                <a:t>_</a:t>
              </a:r>
              <a:r>
                <a:rPr lang="en-US" sz="1000" i="0">
                  <a:latin typeface="Cambria Math"/>
                </a:rPr>
                <a:t>𝑒𝑓𝑓</a:t>
              </a:r>
              <a:r>
                <a:rPr lang="en-US" sz="1000" b="0" i="0">
                  <a:latin typeface="Cambria Math"/>
                </a:rPr>
                <a:t>=𝑂𝑢𝑡𝑝𝑢𝑡 𝑀𝑉𝐴𝑅 𝑅𝑎𝑡𝑖𝑛𝑔 𝑜𝑓 𝐹𝑖𝑙𝑡𝑒𝑟</a:t>
              </a:r>
              <a:r>
                <a:rPr lang="en-US" sz="1000" b="0" i="0">
                  <a:latin typeface="Cambria Math"/>
                  <a:ea typeface="Cambria Math"/>
                </a:rPr>
                <a:t>=</a:t>
              </a:r>
              <a:r>
                <a:rPr lang="en-US" sz="1000" b="0" i="0">
                  <a:latin typeface="Cambria Math" panose="02040503050406030204" pitchFamily="18" charset="0"/>
                  <a:ea typeface="Cambria Math"/>
                </a:rPr>
                <a:t>(</a:t>
              </a:r>
              <a:r>
                <a:rPr lang="en-US" sz="1000" i="0">
                  <a:latin typeface="Cambria Math"/>
                  <a:ea typeface="Cambria Math"/>
                </a:rPr>
                <a:t>𝐷𝑒𝑠𝑖𝑟𝑒𝑑 3 </a:t>
              </a:r>
              <a:r>
                <a:rPr lang="en-US" sz="1000" b="0" i="0">
                  <a:latin typeface="Cambria Math"/>
                  <a:ea typeface="Cambria Math"/>
                </a:rPr>
                <a:t>𝑃ℎ𝑎𝑠𝑒 </a:t>
              </a:r>
              <a:r>
                <a:rPr lang="en-US" sz="1000" i="0">
                  <a:latin typeface="Cambria Math"/>
                  <a:ea typeface="Cambria Math"/>
                </a:rPr>
                <a:t>𝑘𝑣𝑎𝑟</a:t>
              </a:r>
              <a:r>
                <a:rPr lang="en-US" sz="1000" b="0" i="0">
                  <a:latin typeface="Cambria Math" panose="02040503050406030204" pitchFamily="18" charset="0"/>
                  <a:ea typeface="Cambria Math"/>
                </a:rPr>
                <a:t>)/</a:t>
              </a:r>
              <a:r>
                <a:rPr lang="en-US" sz="1000" b="0" i="0">
                  <a:latin typeface="Cambria Math"/>
                  <a:ea typeface="Cambria Math"/>
                </a:rPr>
                <a:t>1000  =</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0</a:t>
              </a:r>
              <a:r>
                <a:rPr lang="en-US" sz="1000" b="0" i="0">
                  <a:latin typeface="Cambria Math"/>
                  <a:ea typeface="Cambria Math"/>
                </a:rPr>
                <a:t> 𝑀𝑉𝐴𝑅</a:t>
              </a:r>
              <a:endParaRPr lang="en-US" sz="1000" b="0"/>
            </a:p>
          </xdr:txBody>
        </xdr:sp>
      </mc:Fallback>
    </mc:AlternateContent>
    <xdr:clientData/>
  </xdr:twoCellAnchor>
  <xdr:twoCellAnchor>
    <xdr:from>
      <xdr:col>12</xdr:col>
      <xdr:colOff>183931</xdr:colOff>
      <xdr:row>172</xdr:row>
      <xdr:rowOff>135164</xdr:rowOff>
    </xdr:from>
    <xdr:to>
      <xdr:col>40</xdr:col>
      <xdr:colOff>47625</xdr:colOff>
      <xdr:row>173</xdr:row>
      <xdr:rowOff>155415</xdr:rowOff>
    </xdr:to>
    <mc:AlternateContent xmlns:mc="http://schemas.openxmlformats.org/markup-compatibility/2006" xmlns:a14="http://schemas.microsoft.com/office/drawing/2010/main">
      <mc:Choice Requires="a14">
        <xdr:sp macro="" textlink="">
          <xdr:nvSpPr>
            <xdr:cNvPr id="25" name="TextBox 24">
              <a:extLst>
                <a:ext uri="{FF2B5EF4-FFF2-40B4-BE49-F238E27FC236}">
                  <a16:creationId xmlns:a16="http://schemas.microsoft.com/office/drawing/2014/main" id="{9A8452A8-54E9-4914-9FC2-A64A2C3EA808}"/>
                </a:ext>
              </a:extLst>
            </xdr:cNvPr>
            <xdr:cNvSpPr txBox="1"/>
          </xdr:nvSpPr>
          <xdr:spPr>
            <a:xfrm>
              <a:off x="2355631" y="39454364"/>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𝑉</m:t>
                      </m:r>
                    </m:e>
                    <m:sub>
                      <m:r>
                        <a:rPr lang="en-US" sz="1000" b="0" i="1">
                          <a:latin typeface="Cambria Math"/>
                        </a:rPr>
                        <m:t>𝐿𝐿𝑆𝑌𝑆</m:t>
                      </m:r>
                    </m:sub>
                  </m:sSub>
                  <m:r>
                    <a:rPr lang="en-US" sz="1000" b="0" i="1">
                      <a:latin typeface="Cambria Math"/>
                      <a:ea typeface="Cambria Math"/>
                    </a:rPr>
                    <m:t>=</m:t>
                  </m:r>
                  <m:r>
                    <a:rPr lang="en-US" sz="1000" b="0" i="1">
                      <a:latin typeface="Cambria Math"/>
                      <a:ea typeface="Cambria Math"/>
                    </a:rPr>
                    <m:t>𝐹𝑖𝑙𝑡𝑒𝑟</m:t>
                  </m:r>
                  <m:r>
                    <a:rPr lang="en-US" sz="1000" b="0" i="1">
                      <a:latin typeface="Cambria Math"/>
                      <a:ea typeface="Cambria Math"/>
                    </a:rPr>
                    <m:t> </m:t>
                  </m:r>
                  <m:r>
                    <a:rPr lang="en-US" sz="1000" b="0" i="1">
                      <a:latin typeface="Cambria Math"/>
                      <a:ea typeface="Cambria Math"/>
                    </a:rPr>
                    <m:t>𝑁𝑜𝑚𝑖𝑛𝑎𝑙</m:t>
                  </m:r>
                  <m:r>
                    <a:rPr lang="en-US" sz="1000" b="0" i="1">
                      <a:latin typeface="Cambria Math"/>
                      <a:ea typeface="Cambria Math"/>
                    </a:rPr>
                    <m:t> </m:t>
                  </m:r>
                  <m:r>
                    <a:rPr lang="en-US" sz="1000" b="0" i="1">
                      <a:latin typeface="Cambria Math"/>
                      <a:ea typeface="Cambria Math"/>
                    </a:rPr>
                    <m:t>𝐿𝑖𝑛𝑒</m:t>
                  </m:r>
                  <m:r>
                    <a:rPr lang="en-US" sz="1000" b="0" i="1">
                      <a:latin typeface="Cambria Math" panose="02040503050406030204" pitchFamily="18" charset="0"/>
                      <a:ea typeface="Cambria Math"/>
                    </a:rPr>
                    <m:t>−</m:t>
                  </m:r>
                  <m:r>
                    <a:rPr lang="en-US" sz="1000" b="0" i="1">
                      <a:latin typeface="Cambria Math"/>
                      <a:ea typeface="Cambria Math"/>
                    </a:rPr>
                    <m:t>𝑡𝑜</m:t>
                  </m:r>
                  <m:r>
                    <a:rPr lang="en-US" sz="1000" b="0" i="1">
                      <a:latin typeface="Cambria Math" panose="02040503050406030204" pitchFamily="18" charset="0"/>
                      <a:ea typeface="Cambria Math"/>
                    </a:rPr>
                    <m:t>−</m:t>
                  </m:r>
                  <m:r>
                    <a:rPr lang="en-US" sz="1000" b="0" i="1">
                      <a:latin typeface="Cambria Math"/>
                      <a:ea typeface="Cambria Math"/>
                    </a:rPr>
                    <m:t>𝐿𝑖𝑛𝑒</m:t>
                  </m:r>
                  <m:r>
                    <a:rPr lang="en-US" sz="1000" b="0" i="1">
                      <a:latin typeface="Cambria Math"/>
                      <a:ea typeface="Cambria Math"/>
                    </a:rPr>
                    <m:t> </m:t>
                  </m:r>
                  <m:r>
                    <a:rPr lang="en-US" sz="1000" b="0" i="1">
                      <a:latin typeface="Cambria Math"/>
                      <a:ea typeface="Cambria Math"/>
                    </a:rPr>
                    <m:t>𝑉𝑜𝑙𝑡𝑎𝑔𝑒</m:t>
                  </m:r>
                  <m:r>
                    <a:rPr lang="en-US" sz="1000" b="0" i="1">
                      <a:latin typeface="Cambria Math"/>
                      <a:ea typeface="Cambria Math"/>
                    </a:rPr>
                    <m:t> </m:t>
                  </m:r>
                  <m:r>
                    <a:rPr lang="en-US" sz="1000" b="0" i="1">
                      <a:latin typeface="Cambria Math"/>
                      <a:ea typeface="Cambria Math"/>
                    </a:rPr>
                    <m:t>𝑅𝑎𝑡𝑖𝑛𝑔</m:t>
                  </m:r>
                  <m:r>
                    <a:rPr lang="en-US" sz="1000" b="0" i="1">
                      <a:latin typeface="Cambria Math"/>
                      <a:ea typeface="Cambria Math"/>
                    </a:rPr>
                    <m:t> </m:t>
                  </m:r>
                  <m:d>
                    <m:dPr>
                      <m:ctrlPr>
                        <a:rPr lang="en-US" sz="1000" b="0" i="1">
                          <a:latin typeface="Cambria Math" panose="02040503050406030204" pitchFamily="18" charset="0"/>
                          <a:ea typeface="Cambria Math"/>
                        </a:rPr>
                      </m:ctrlPr>
                    </m:dPr>
                    <m:e>
                      <m:r>
                        <a:rPr lang="en-US" sz="1000" b="0" i="1">
                          <a:latin typeface="Cambria Math"/>
                          <a:ea typeface="Cambria Math"/>
                        </a:rPr>
                        <m:t>𝐾𝑉</m:t>
                      </m:r>
                    </m:e>
                  </m:d>
                  <m:r>
                    <a:rPr lang="en-US" sz="1000" b="0" i="1">
                      <a:latin typeface="Cambria Math"/>
                      <a:ea typeface="Cambria Math"/>
                    </a:rPr>
                    <m:t>=13.8 </m:t>
                  </m:r>
                  <m:r>
                    <a:rPr lang="en-US" sz="1000" b="0" i="1">
                      <a:latin typeface="Cambria Math"/>
                      <a:ea typeface="Cambria Math"/>
                    </a:rPr>
                    <m:t>𝑘𝑉</m:t>
                  </m:r>
                </m:oMath>
              </a14:m>
              <a:endParaRPr lang="en-US" sz="1000" b="0"/>
            </a:p>
          </xdr:txBody>
        </xdr:sp>
      </mc:Choice>
      <mc:Fallback xmlns="">
        <xdr:sp macro="" textlink="">
          <xdr:nvSpPr>
            <xdr:cNvPr id="25" name="TextBox 24">
              <a:extLst>
                <a:ext uri="{FF2B5EF4-FFF2-40B4-BE49-F238E27FC236}">
                  <a16:creationId xmlns:a16="http://schemas.microsoft.com/office/drawing/2014/main" id="{9A8452A8-54E9-4914-9FC2-A64A2C3EA808}"/>
                </a:ext>
              </a:extLst>
            </xdr:cNvPr>
            <xdr:cNvSpPr txBox="1"/>
          </xdr:nvSpPr>
          <xdr:spPr>
            <a:xfrm>
              <a:off x="2355631" y="39454364"/>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r>
                <a:rPr lang="en-US" sz="1000" b="0" i="0">
                  <a:latin typeface="Cambria Math"/>
                </a:rPr>
                <a:t>𝑉</a:t>
              </a:r>
              <a:r>
                <a:rPr lang="en-US" sz="1000" b="0" i="0">
                  <a:latin typeface="Cambria Math" panose="02040503050406030204" pitchFamily="18" charset="0"/>
                </a:rPr>
                <a:t>_</a:t>
              </a:r>
              <a:r>
                <a:rPr lang="en-US" sz="1000" b="0" i="0">
                  <a:latin typeface="Cambria Math"/>
                </a:rPr>
                <a:t>𝐿𝐿𝑆𝑌𝑆</a:t>
              </a:r>
              <a:r>
                <a:rPr lang="en-US" sz="1000" b="0" i="0">
                  <a:latin typeface="Cambria Math"/>
                  <a:ea typeface="Cambria Math"/>
                </a:rPr>
                <a:t>=𝐹𝑖𝑙𝑡𝑒𝑟 𝑁𝑜𝑚𝑖𝑛𝑎𝑙 𝐿𝑖𝑛𝑒</a:t>
              </a:r>
              <a:r>
                <a:rPr lang="en-US" sz="1000" b="0" i="0">
                  <a:latin typeface="Cambria Math" panose="02040503050406030204" pitchFamily="18" charset="0"/>
                  <a:ea typeface="Cambria Math"/>
                </a:rPr>
                <a:t>−</a:t>
              </a:r>
              <a:r>
                <a:rPr lang="en-US" sz="1000" b="0" i="0">
                  <a:latin typeface="Cambria Math"/>
                  <a:ea typeface="Cambria Math"/>
                </a:rPr>
                <a:t>𝑡𝑜</a:t>
              </a:r>
              <a:r>
                <a:rPr lang="en-US" sz="1000" b="0" i="0">
                  <a:latin typeface="Cambria Math" panose="02040503050406030204" pitchFamily="18" charset="0"/>
                  <a:ea typeface="Cambria Math"/>
                </a:rPr>
                <a:t>−</a:t>
              </a:r>
              <a:r>
                <a:rPr lang="en-US" sz="1000" b="0" i="0">
                  <a:latin typeface="Cambria Math"/>
                  <a:ea typeface="Cambria Math"/>
                </a:rPr>
                <a:t>𝐿𝑖𝑛𝑒 𝑉𝑜𝑙𝑡𝑎𝑔𝑒 𝑅𝑎𝑡𝑖𝑛𝑔 </a:t>
              </a:r>
              <a:r>
                <a:rPr lang="en-US" sz="1000" b="0" i="0">
                  <a:latin typeface="Cambria Math" panose="02040503050406030204" pitchFamily="18" charset="0"/>
                  <a:ea typeface="Cambria Math"/>
                </a:rPr>
                <a:t>(</a:t>
              </a:r>
              <a:r>
                <a:rPr lang="en-US" sz="1000" b="0" i="0">
                  <a:latin typeface="Cambria Math"/>
                  <a:ea typeface="Cambria Math"/>
                </a:rPr>
                <a:t>𝐾𝑉</a:t>
              </a:r>
              <a:r>
                <a:rPr lang="en-US" sz="1000" b="0" i="0">
                  <a:latin typeface="Cambria Math" panose="02040503050406030204" pitchFamily="18" charset="0"/>
                  <a:ea typeface="Cambria Math"/>
                </a:rPr>
                <a:t>)</a:t>
              </a:r>
              <a:r>
                <a:rPr lang="en-US" sz="1000" b="0" i="0">
                  <a:latin typeface="Cambria Math"/>
                  <a:ea typeface="Cambria Math"/>
                </a:rPr>
                <a:t>=13.8 𝑘𝑉</a:t>
              </a:r>
              <a:endParaRPr lang="en-US" sz="1000" b="0"/>
            </a:p>
          </xdr:txBody>
        </xdr:sp>
      </mc:Fallback>
    </mc:AlternateContent>
    <xdr:clientData/>
  </xdr:twoCellAnchor>
  <xdr:twoCellAnchor>
    <xdr:from>
      <xdr:col>32</xdr:col>
      <xdr:colOff>114450</xdr:colOff>
      <xdr:row>175</xdr:row>
      <xdr:rowOff>39156</xdr:rowOff>
    </xdr:from>
    <xdr:to>
      <xdr:col>38</xdr:col>
      <xdr:colOff>107125</xdr:colOff>
      <xdr:row>176</xdr:row>
      <xdr:rowOff>49264</xdr:rowOff>
    </xdr:to>
    <mc:AlternateContent xmlns:mc="http://schemas.openxmlformats.org/markup-compatibility/2006" xmlns:a14="http://schemas.microsoft.com/office/drawing/2010/main">
      <mc:Choice Requires="a14">
        <xdr:sp macro="" textlink="">
          <xdr:nvSpPr>
            <xdr:cNvPr id="26" name="TextBox 19">
              <a:extLst>
                <a:ext uri="{FF2B5EF4-FFF2-40B4-BE49-F238E27FC236}">
                  <a16:creationId xmlns:a16="http://schemas.microsoft.com/office/drawing/2014/main" id="{8D11B105-C76B-4E79-A9CE-0094380EDEB5}"/>
                </a:ext>
              </a:extLst>
            </xdr:cNvPr>
            <xdr:cNvSpPr txBox="1"/>
          </xdr:nvSpPr>
          <xdr:spPr>
            <a:xfrm>
              <a:off x="5905650" y="40044156"/>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14:m>
                <m:oMath xmlns:m="http://schemas.openxmlformats.org/officeDocument/2006/math">
                  <m:r>
                    <a:rPr lang="en-US" sz="1000" b="0" i="1">
                      <a:solidFill>
                        <a:schemeClr val="tx1"/>
                      </a:solidFill>
                      <a:latin typeface="Cambria Math" panose="02040503050406030204" pitchFamily="18" charset="0"/>
                    </a:rPr>
                    <m:t>𝐶</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r>
                        <a:rPr lang="en-US" sz="1000" b="0" i="1">
                          <a:solidFill>
                            <a:schemeClr val="tx1"/>
                          </a:solidFill>
                          <a:latin typeface="Cambria Math" panose="02040503050406030204" pitchFamily="18" charset="0"/>
                        </a:rPr>
                        <m:t>1</m:t>
                      </m:r>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𝑋</m:t>
                          </m:r>
                        </m:e>
                        <m:sub>
                          <m:r>
                            <a:rPr lang="en-US" sz="1000" b="0" i="1">
                              <a:solidFill>
                                <a:schemeClr val="tx1"/>
                              </a:solidFill>
                              <a:latin typeface="Cambria Math" panose="02040503050406030204" pitchFamily="18" charset="0"/>
                              <a:ea typeface="Cambria Math" panose="02040503050406030204" pitchFamily="18" charset="0"/>
                            </a:rPr>
                            <m:t>𝑐</m:t>
                          </m:r>
                        </m:sub>
                      </m:sSub>
                    </m:den>
                  </m:f>
                </m:oMath>
              </a14:m>
              <a:r>
                <a:rPr lang="en-US" sz="1000">
                  <a:solidFill>
                    <a:schemeClr val="tx1"/>
                  </a:solidFill>
                </a:rPr>
                <a:t> (f)</a:t>
              </a:r>
            </a:p>
          </xdr:txBody>
        </xdr:sp>
      </mc:Choice>
      <mc:Fallback xmlns="">
        <xdr:sp macro="" textlink="">
          <xdr:nvSpPr>
            <xdr:cNvPr id="26" name="TextBox 19">
              <a:extLst>
                <a:ext uri="{FF2B5EF4-FFF2-40B4-BE49-F238E27FC236}">
                  <a16:creationId xmlns:a16="http://schemas.microsoft.com/office/drawing/2014/main" id="{8D11B105-C76B-4E79-A9CE-0094380EDEB5}"/>
                </a:ext>
              </a:extLst>
            </xdr:cNvPr>
            <xdr:cNvSpPr txBox="1"/>
          </xdr:nvSpPr>
          <xdr:spPr>
            <a:xfrm>
              <a:off x="5905650" y="40044156"/>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b="0" i="0">
                  <a:solidFill>
                    <a:schemeClr val="tx1"/>
                  </a:solidFill>
                  <a:latin typeface="Cambria Math" panose="02040503050406030204" pitchFamily="18" charset="0"/>
                </a:rPr>
                <a:t>𝐶</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1/(2</a:t>
              </a:r>
              <a:r>
                <a:rPr lang="en-US" sz="1000" b="0" i="0">
                  <a:solidFill>
                    <a:schemeClr val="tx1"/>
                  </a:solidFill>
                  <a:latin typeface="Cambria Math" panose="02040503050406030204" pitchFamily="18" charset="0"/>
                  <a:ea typeface="Cambria Math" panose="02040503050406030204" pitchFamily="18" charset="0"/>
                </a:rPr>
                <a:t>𝜋𝑓𝑋_𝑐 )</a:t>
              </a:r>
              <a:r>
                <a:rPr lang="en-US" sz="1000">
                  <a:solidFill>
                    <a:schemeClr val="tx1"/>
                  </a:solidFill>
                </a:rPr>
                <a:t> (f)</a:t>
              </a:r>
            </a:p>
          </xdr:txBody>
        </xdr:sp>
      </mc:Fallback>
    </mc:AlternateContent>
    <xdr:clientData/>
  </xdr:twoCellAnchor>
  <xdr:twoCellAnchor>
    <xdr:from>
      <xdr:col>21</xdr:col>
      <xdr:colOff>149780</xdr:colOff>
      <xdr:row>176</xdr:row>
      <xdr:rowOff>123549</xdr:rowOff>
    </xdr:from>
    <xdr:to>
      <xdr:col>29</xdr:col>
      <xdr:colOff>85650</xdr:colOff>
      <xdr:row>177</xdr:row>
      <xdr:rowOff>211565</xdr:rowOff>
    </xdr:to>
    <mc:AlternateContent xmlns:mc="http://schemas.openxmlformats.org/markup-compatibility/2006" xmlns:a14="http://schemas.microsoft.com/office/drawing/2010/main">
      <mc:Choice Requires="a14">
        <xdr:sp macro="" textlink="">
          <xdr:nvSpPr>
            <xdr:cNvPr id="27" name="TextBox 34">
              <a:extLst>
                <a:ext uri="{FF2B5EF4-FFF2-40B4-BE49-F238E27FC236}">
                  <a16:creationId xmlns:a16="http://schemas.microsoft.com/office/drawing/2014/main" id="{95DFEDAE-A54F-4EA2-AD7F-74C074C720D4}"/>
                </a:ext>
              </a:extLst>
            </xdr:cNvPr>
            <xdr:cNvSpPr txBox="1"/>
          </xdr:nvSpPr>
          <xdr:spPr>
            <a:xfrm>
              <a:off x="3950255" y="40357149"/>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sz="1000" b="0" i="1">
                        <a:solidFill>
                          <a:schemeClr val="tx1"/>
                        </a:solidFill>
                        <a:latin typeface="Cambria Math" panose="02040503050406030204" pitchFamily="18" charset="0"/>
                      </a:rPr>
                      <m:t>𝐿</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sSub>
                          <m:sSubPr>
                            <m:ctrlPr>
                              <a:rPr lang="en-US" sz="1000" i="1">
                                <a:solidFill>
                                  <a:schemeClr val="tx1"/>
                                </a:solidFill>
                                <a:latin typeface="Cambria Math" panose="02040503050406030204" pitchFamily="18" charset="0"/>
                              </a:rPr>
                            </m:ctrlPr>
                          </m:sSubPr>
                          <m:e>
                            <m:r>
                              <a:rPr lang="en-US" sz="1000" b="0" i="1">
                                <a:solidFill>
                                  <a:schemeClr val="tx1"/>
                                </a:solidFill>
                                <a:latin typeface="Cambria Math" panose="02040503050406030204" pitchFamily="18" charset="0"/>
                              </a:rPr>
                              <m:t>𝑋</m:t>
                            </m:r>
                          </m:e>
                          <m:sub>
                            <m:r>
                              <a:rPr lang="en-US" sz="1000" b="0" i="1">
                                <a:solidFill>
                                  <a:schemeClr val="tx1"/>
                                </a:solidFill>
                                <a:latin typeface="Cambria Math" panose="02040503050406030204" pitchFamily="18" charset="0"/>
                              </a:rPr>
                              <m:t>𝐿</m:t>
                            </m:r>
                          </m:sub>
                        </m:sSub>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den>
                    </m:f>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𝐻</m:t>
                    </m:r>
                    <m:r>
                      <a:rPr lang="en-US" sz="1000" b="0" i="1">
                        <a:solidFill>
                          <a:schemeClr val="tx1"/>
                        </a:solidFill>
                        <a:latin typeface="Cambria Math" panose="02040503050406030204" pitchFamily="18" charset="0"/>
                        <a:ea typeface="Cambria Math" panose="02040503050406030204" pitchFamily="18" charset="0"/>
                      </a:rPr>
                      <m:t>)</m:t>
                    </m:r>
                  </m:oMath>
                </m:oMathPara>
              </a14:m>
              <a:endParaRPr lang="en-US" sz="1000">
                <a:solidFill>
                  <a:schemeClr val="tx1"/>
                </a:solidFill>
              </a:endParaRPr>
            </a:p>
          </xdr:txBody>
        </xdr:sp>
      </mc:Choice>
      <mc:Fallback xmlns="">
        <xdr:sp macro="" textlink="">
          <xdr:nvSpPr>
            <xdr:cNvPr id="27" name="TextBox 34">
              <a:extLst>
                <a:ext uri="{FF2B5EF4-FFF2-40B4-BE49-F238E27FC236}">
                  <a16:creationId xmlns:a16="http://schemas.microsoft.com/office/drawing/2014/main" id="{95DFEDAE-A54F-4EA2-AD7F-74C074C720D4}"/>
                </a:ext>
              </a:extLst>
            </xdr:cNvPr>
            <xdr:cNvSpPr txBox="1"/>
          </xdr:nvSpPr>
          <xdr:spPr>
            <a:xfrm>
              <a:off x="3950255" y="40357149"/>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r>
                <a:rPr lang="en-US" sz="1000" b="0" i="0">
                  <a:solidFill>
                    <a:schemeClr val="tx1"/>
                  </a:solidFill>
                  <a:latin typeface="Cambria Math" panose="02040503050406030204" pitchFamily="18" charset="0"/>
                </a:rPr>
                <a:t>𝐿</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𝑋_𝐿/2</a:t>
              </a:r>
              <a:r>
                <a:rPr lang="en-US" sz="1000" b="0" i="0">
                  <a:solidFill>
                    <a:schemeClr val="tx1"/>
                  </a:solidFill>
                  <a:latin typeface="Cambria Math" panose="02040503050406030204" pitchFamily="18" charset="0"/>
                  <a:ea typeface="Cambria Math" panose="02040503050406030204" pitchFamily="18" charset="0"/>
                </a:rPr>
                <a:t>𝜋𝑓  (𝐻)</a:t>
              </a:r>
              <a:endParaRPr lang="en-US" sz="1000">
                <a:solidFill>
                  <a:schemeClr val="tx1"/>
                </a:solidFill>
              </a:endParaRPr>
            </a:p>
          </xdr:txBody>
        </xdr:sp>
      </mc:Fallback>
    </mc:AlternateContent>
    <xdr:clientData/>
  </xdr:twoCellAnchor>
  <xdr:twoCellAnchor>
    <xdr:from>
      <xdr:col>6</xdr:col>
      <xdr:colOff>72956</xdr:colOff>
      <xdr:row>171</xdr:row>
      <xdr:rowOff>161972</xdr:rowOff>
    </xdr:from>
    <xdr:to>
      <xdr:col>6</xdr:col>
      <xdr:colOff>72956</xdr:colOff>
      <xdr:row>183</xdr:row>
      <xdr:rowOff>6117</xdr:rowOff>
    </xdr:to>
    <xdr:cxnSp macro="">
      <xdr:nvCxnSpPr>
        <xdr:cNvPr id="28" name="Straight Arrow Connector 27">
          <a:extLst>
            <a:ext uri="{FF2B5EF4-FFF2-40B4-BE49-F238E27FC236}">
              <a16:creationId xmlns:a16="http://schemas.microsoft.com/office/drawing/2014/main" id="{DB3A3B15-5DF3-4CE2-BC9A-2D76EF830D75}"/>
            </a:ext>
          </a:extLst>
        </xdr:cNvPr>
        <xdr:cNvCxnSpPr/>
      </xdr:nvCxnSpPr>
      <xdr:spPr>
        <a:xfrm flipV="1">
          <a:off x="1158806" y="39252572"/>
          <a:ext cx="0" cy="2587345"/>
        </a:xfrm>
        <a:prstGeom prst="straightConnector1">
          <a:avLst/>
        </a:prstGeom>
        <a:ln w="25400">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85726</xdr:colOff>
      <xdr:row>176</xdr:row>
      <xdr:rowOff>158638</xdr:rowOff>
    </xdr:from>
    <xdr:to>
      <xdr:col>6</xdr:col>
      <xdr:colOff>72957</xdr:colOff>
      <xdr:row>178</xdr:row>
      <xdr:rowOff>9451</xdr:rowOff>
    </xdr:to>
    <xdr:sp macro="" textlink="">
      <xdr:nvSpPr>
        <xdr:cNvPr id="29" name="TextBox 21">
          <a:extLst>
            <a:ext uri="{FF2B5EF4-FFF2-40B4-BE49-F238E27FC236}">
              <a16:creationId xmlns:a16="http://schemas.microsoft.com/office/drawing/2014/main" id="{2D15579D-01EC-4224-9462-16BCD47A6278}"/>
            </a:ext>
          </a:extLst>
        </xdr:cNvPr>
        <xdr:cNvSpPr txBox="1"/>
      </xdr:nvSpPr>
      <xdr:spPr>
        <a:xfrm>
          <a:off x="628651" y="40392238"/>
          <a:ext cx="530156" cy="308013"/>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400" b="1"/>
            <a:t>V</a:t>
          </a:r>
          <a:r>
            <a:rPr lang="en-US" sz="1400" b="1" baseline="-25000"/>
            <a:t>LN</a:t>
          </a:r>
        </a:p>
      </xdr:txBody>
    </xdr:sp>
    <xdr:clientData/>
  </xdr:twoCellAnchor>
  <xdr:twoCellAnchor>
    <xdr:from>
      <xdr:col>9</xdr:col>
      <xdr:colOff>11972</xdr:colOff>
      <xdr:row>173</xdr:row>
      <xdr:rowOff>121694</xdr:rowOff>
    </xdr:from>
    <xdr:to>
      <xdr:col>11</xdr:col>
      <xdr:colOff>114532</xdr:colOff>
      <xdr:row>174</xdr:row>
      <xdr:rowOff>205440</xdr:rowOff>
    </xdr:to>
    <xdr:sp macro="" textlink="">
      <xdr:nvSpPr>
        <xdr:cNvPr id="30" name="TextBox 22">
          <a:extLst>
            <a:ext uri="{FF2B5EF4-FFF2-40B4-BE49-F238E27FC236}">
              <a16:creationId xmlns:a16="http://schemas.microsoft.com/office/drawing/2014/main" id="{D56927F4-D019-49CE-A157-5B775EF8B67D}"/>
            </a:ext>
          </a:extLst>
        </xdr:cNvPr>
        <xdr:cNvSpPr txBox="1"/>
      </xdr:nvSpPr>
      <xdr:spPr>
        <a:xfrm>
          <a:off x="1640747" y="39669494"/>
          <a:ext cx="464510" cy="31234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600" b="1"/>
            <a:t>JX</a:t>
          </a:r>
          <a:r>
            <a:rPr lang="en-US" sz="1600" b="1" baseline="-25000"/>
            <a:t>L</a:t>
          </a:r>
        </a:p>
      </xdr:txBody>
    </xdr:sp>
    <xdr:clientData/>
  </xdr:twoCellAnchor>
  <xdr:twoCellAnchor>
    <xdr:from>
      <xdr:col>8</xdr:col>
      <xdr:colOff>176101</xdr:colOff>
      <xdr:row>182</xdr:row>
      <xdr:rowOff>91448</xdr:rowOff>
    </xdr:from>
    <xdr:to>
      <xdr:col>12</xdr:col>
      <xdr:colOff>9526</xdr:colOff>
      <xdr:row>183</xdr:row>
      <xdr:rowOff>175194</xdr:rowOff>
    </xdr:to>
    <xdr:sp macro="" textlink="">
      <xdr:nvSpPr>
        <xdr:cNvPr id="31" name="TextBox 23">
          <a:extLst>
            <a:ext uri="{FF2B5EF4-FFF2-40B4-BE49-F238E27FC236}">
              <a16:creationId xmlns:a16="http://schemas.microsoft.com/office/drawing/2014/main" id="{FCB7A531-B1FA-437C-95BF-98D3BDC925CB}"/>
            </a:ext>
          </a:extLst>
        </xdr:cNvPr>
        <xdr:cNvSpPr txBox="1"/>
      </xdr:nvSpPr>
      <xdr:spPr>
        <a:xfrm>
          <a:off x="1623901" y="41696648"/>
          <a:ext cx="557325" cy="31234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600" b="1"/>
            <a:t>-JX</a:t>
          </a:r>
          <a:r>
            <a:rPr lang="en-US" sz="1600" b="1" baseline="-25000"/>
            <a:t>C</a:t>
          </a:r>
        </a:p>
      </xdr:txBody>
    </xdr:sp>
    <xdr:clientData/>
  </xdr:twoCellAnchor>
  <xdr:twoCellAnchor editAs="oneCell">
    <xdr:from>
      <xdr:col>54</xdr:col>
      <xdr:colOff>131990</xdr:colOff>
      <xdr:row>58</xdr:row>
      <xdr:rowOff>163286</xdr:rowOff>
    </xdr:from>
    <xdr:to>
      <xdr:col>65</xdr:col>
      <xdr:colOff>138793</xdr:colOff>
      <xdr:row>75</xdr:row>
      <xdr:rowOff>136072</xdr:rowOff>
    </xdr:to>
    <xdr:pic>
      <xdr:nvPicPr>
        <xdr:cNvPr id="32" name="Graphic 31">
          <a:extLst>
            <a:ext uri="{FF2B5EF4-FFF2-40B4-BE49-F238E27FC236}">
              <a16:creationId xmlns:a16="http://schemas.microsoft.com/office/drawing/2014/main" id="{00E326EE-2C5C-4500-ABC6-E15C925601D3}"/>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9904640" y="13422086"/>
          <a:ext cx="1997528" cy="3858986"/>
        </a:xfrm>
        <a:prstGeom prst="rect">
          <a:avLst/>
        </a:prstGeom>
      </xdr:spPr>
    </xdr:pic>
    <xdr:clientData/>
  </xdr:twoCellAnchor>
  <xdr:twoCellAnchor editAs="oneCell">
    <xdr:from>
      <xdr:col>2</xdr:col>
      <xdr:colOff>170089</xdr:colOff>
      <xdr:row>170</xdr:row>
      <xdr:rowOff>54428</xdr:rowOff>
    </xdr:from>
    <xdr:to>
      <xdr:col>13</xdr:col>
      <xdr:colOff>6804</xdr:colOff>
      <xdr:row>185</xdr:row>
      <xdr:rowOff>149678</xdr:rowOff>
    </xdr:to>
    <xdr:pic>
      <xdr:nvPicPr>
        <xdr:cNvPr id="33" name="Graphic 32">
          <a:extLst>
            <a:ext uri="{FF2B5EF4-FFF2-40B4-BE49-F238E27FC236}">
              <a16:creationId xmlns:a16="http://schemas.microsoft.com/office/drawing/2014/main" id="{C79B1173-6707-4226-B977-BDF1E614464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32039" y="38916428"/>
          <a:ext cx="1827440" cy="3524250"/>
        </a:xfrm>
        <a:prstGeom prst="rect">
          <a:avLst/>
        </a:prstGeom>
      </xdr:spPr>
    </xdr:pic>
    <xdr:clientData/>
  </xdr:twoCellAnchor>
  <xdr:twoCellAnchor>
    <xdr:from>
      <xdr:col>44</xdr:col>
      <xdr:colOff>11206</xdr:colOff>
      <xdr:row>202</xdr:row>
      <xdr:rowOff>14007</xdr:rowOff>
    </xdr:from>
    <xdr:to>
      <xdr:col>82</xdr:col>
      <xdr:colOff>124946</xdr:colOff>
      <xdr:row>223</xdr:row>
      <xdr:rowOff>136711</xdr:rowOff>
    </xdr:to>
    <xdr:graphicFrame macro="">
      <xdr:nvGraphicFramePr>
        <xdr:cNvPr id="34" name="f-5">
          <a:extLst>
            <a:ext uri="{FF2B5EF4-FFF2-40B4-BE49-F238E27FC236}">
              <a16:creationId xmlns:a16="http://schemas.microsoft.com/office/drawing/2014/main" id="{61D58FB2-7C9F-4BD1-92D5-7240DE5D1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32</xdr:col>
      <xdr:colOff>19049</xdr:colOff>
      <xdr:row>197</xdr:row>
      <xdr:rowOff>66673</xdr:rowOff>
    </xdr:from>
    <xdr:ext cx="1638301" cy="819151"/>
    <xdr:pic>
      <xdr:nvPicPr>
        <xdr:cNvPr id="35" name="Picture 34">
          <a:extLst>
            <a:ext uri="{FF2B5EF4-FFF2-40B4-BE49-F238E27FC236}">
              <a16:creationId xmlns:a16="http://schemas.microsoft.com/office/drawing/2014/main" id="{57442039-392D-43EA-AB00-DECD62F67AA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45100873"/>
          <a:ext cx="1638301" cy="819151"/>
        </a:xfrm>
        <a:prstGeom prst="rect">
          <a:avLst/>
        </a:prstGeom>
      </xdr:spPr>
    </xdr:pic>
    <xdr:clientData/>
  </xdr:oneCellAnchor>
  <xdr:oneCellAnchor>
    <xdr:from>
      <xdr:col>74</xdr:col>
      <xdr:colOff>19049</xdr:colOff>
      <xdr:row>197</xdr:row>
      <xdr:rowOff>66673</xdr:rowOff>
    </xdr:from>
    <xdr:ext cx="1638301" cy="819151"/>
    <xdr:pic>
      <xdr:nvPicPr>
        <xdr:cNvPr id="36" name="Picture 35">
          <a:extLst>
            <a:ext uri="{FF2B5EF4-FFF2-40B4-BE49-F238E27FC236}">
              <a16:creationId xmlns:a16="http://schemas.microsoft.com/office/drawing/2014/main" id="{8843B6D8-5B9B-476B-A3E9-E057B0B0022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45100873"/>
          <a:ext cx="1638301" cy="819151"/>
        </a:xfrm>
        <a:prstGeom prst="rect">
          <a:avLst/>
        </a:prstGeom>
      </xdr:spPr>
    </xdr:pic>
    <xdr:clientData/>
  </xdr:oneCellAnchor>
  <xdr:oneCellAnchor>
    <xdr:from>
      <xdr:col>32</xdr:col>
      <xdr:colOff>19049</xdr:colOff>
      <xdr:row>246</xdr:row>
      <xdr:rowOff>38098</xdr:rowOff>
    </xdr:from>
    <xdr:ext cx="1638301" cy="819151"/>
    <xdr:pic>
      <xdr:nvPicPr>
        <xdr:cNvPr id="37" name="Picture 36">
          <a:extLst>
            <a:ext uri="{FF2B5EF4-FFF2-40B4-BE49-F238E27FC236}">
              <a16:creationId xmlns:a16="http://schemas.microsoft.com/office/drawing/2014/main" id="{1D264926-1191-4499-B2A1-2A2D403C68C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54511573"/>
          <a:ext cx="1638301" cy="819151"/>
        </a:xfrm>
        <a:prstGeom prst="rect">
          <a:avLst/>
        </a:prstGeom>
      </xdr:spPr>
    </xdr:pic>
    <xdr:clientData/>
  </xdr:oneCellAnchor>
  <xdr:oneCellAnchor>
    <xdr:from>
      <xdr:col>74</xdr:col>
      <xdr:colOff>19049</xdr:colOff>
      <xdr:row>246</xdr:row>
      <xdr:rowOff>38098</xdr:rowOff>
    </xdr:from>
    <xdr:ext cx="1638301" cy="819151"/>
    <xdr:pic>
      <xdr:nvPicPr>
        <xdr:cNvPr id="38" name="Picture 37">
          <a:extLst>
            <a:ext uri="{FF2B5EF4-FFF2-40B4-BE49-F238E27FC236}">
              <a16:creationId xmlns:a16="http://schemas.microsoft.com/office/drawing/2014/main" id="{00B02275-D95E-46F4-9D1F-9CE4A55B932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54511573"/>
          <a:ext cx="1638301" cy="819151"/>
        </a:xfrm>
        <a:prstGeom prst="rect">
          <a:avLst/>
        </a:prstGeom>
      </xdr:spPr>
    </xdr:pic>
    <xdr:clientData/>
  </xdr:oneCellAnchor>
  <xdr:twoCellAnchor>
    <xdr:from>
      <xdr:col>1</xdr:col>
      <xdr:colOff>171450</xdr:colOff>
      <xdr:row>252</xdr:row>
      <xdr:rowOff>28575</xdr:rowOff>
    </xdr:from>
    <xdr:to>
      <xdr:col>40</xdr:col>
      <xdr:colOff>104215</xdr:colOff>
      <xdr:row>274</xdr:row>
      <xdr:rowOff>103654</xdr:rowOff>
    </xdr:to>
    <xdr:graphicFrame macro="">
      <xdr:nvGraphicFramePr>
        <xdr:cNvPr id="39" name="f-5">
          <a:extLst>
            <a:ext uri="{FF2B5EF4-FFF2-40B4-BE49-F238E27FC236}">
              <a16:creationId xmlns:a16="http://schemas.microsoft.com/office/drawing/2014/main" id="{3DDD24CC-7FEC-4E80-AFA4-72F24BD2FBD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44</xdr:col>
      <xdr:colOff>9525</xdr:colOff>
      <xdr:row>251</xdr:row>
      <xdr:rowOff>9525</xdr:rowOff>
    </xdr:from>
    <xdr:to>
      <xdr:col>82</xdr:col>
      <xdr:colOff>123265</xdr:colOff>
      <xdr:row>272</xdr:row>
      <xdr:rowOff>133350</xdr:rowOff>
    </xdr:to>
    <xdr:graphicFrame macro="">
      <xdr:nvGraphicFramePr>
        <xdr:cNvPr id="41" name="f-5">
          <a:extLst>
            <a:ext uri="{FF2B5EF4-FFF2-40B4-BE49-F238E27FC236}">
              <a16:creationId xmlns:a16="http://schemas.microsoft.com/office/drawing/2014/main" id="{8A44E67F-9B1C-46AD-AE69-5ECF0B4430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123826</xdr:colOff>
      <xdr:row>2</xdr:row>
      <xdr:rowOff>38100</xdr:rowOff>
    </xdr:from>
    <xdr:to>
      <xdr:col>12</xdr:col>
      <xdr:colOff>76201</xdr:colOff>
      <xdr:row>6</xdr:row>
      <xdr:rowOff>95250</xdr:rowOff>
    </xdr:to>
    <xdr:pic>
      <xdr:nvPicPr>
        <xdr:cNvPr id="2" name="Picture 1">
          <a:extLst>
            <a:ext uri="{FF2B5EF4-FFF2-40B4-BE49-F238E27FC236}">
              <a16:creationId xmlns:a16="http://schemas.microsoft.com/office/drawing/2014/main" id="{FE1208D5-70F6-4A7B-AA2E-DB8ACC3FBF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152398</xdr:rowOff>
    </xdr:from>
    <xdr:ext cx="1638301" cy="819151"/>
    <xdr:pic>
      <xdr:nvPicPr>
        <xdr:cNvPr id="3" name="Picture 2">
          <a:extLst>
            <a:ext uri="{FF2B5EF4-FFF2-40B4-BE49-F238E27FC236}">
              <a16:creationId xmlns:a16="http://schemas.microsoft.com/office/drawing/2014/main" id="{3B4D05A9-E457-402E-B04C-44ECD3AA073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80998"/>
          <a:ext cx="1638301" cy="819151"/>
        </a:xfrm>
        <a:prstGeom prst="rect">
          <a:avLst/>
        </a:prstGeom>
      </xdr:spPr>
    </xdr:pic>
    <xdr:clientData/>
  </xdr:oneCellAnchor>
  <xdr:oneCellAnchor>
    <xdr:from>
      <xdr:col>32</xdr:col>
      <xdr:colOff>19049</xdr:colOff>
      <xdr:row>50</xdr:row>
      <xdr:rowOff>152398</xdr:rowOff>
    </xdr:from>
    <xdr:ext cx="1638301" cy="819151"/>
    <xdr:pic>
      <xdr:nvPicPr>
        <xdr:cNvPr id="4" name="Picture 3">
          <a:extLst>
            <a:ext uri="{FF2B5EF4-FFF2-40B4-BE49-F238E27FC236}">
              <a16:creationId xmlns:a16="http://schemas.microsoft.com/office/drawing/2014/main" id="{6EBF1DBD-D70D-445A-AAE3-A51A9434F99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11582398"/>
          <a:ext cx="1638301" cy="819151"/>
        </a:xfrm>
        <a:prstGeom prst="rect">
          <a:avLst/>
        </a:prstGeom>
      </xdr:spPr>
    </xdr:pic>
    <xdr:clientData/>
  </xdr:oneCellAnchor>
  <xdr:oneCellAnchor>
    <xdr:from>
      <xdr:col>74</xdr:col>
      <xdr:colOff>19049</xdr:colOff>
      <xdr:row>50</xdr:row>
      <xdr:rowOff>152398</xdr:rowOff>
    </xdr:from>
    <xdr:ext cx="1638301" cy="819151"/>
    <xdr:pic>
      <xdr:nvPicPr>
        <xdr:cNvPr id="5" name="Picture 4">
          <a:extLst>
            <a:ext uri="{FF2B5EF4-FFF2-40B4-BE49-F238E27FC236}">
              <a16:creationId xmlns:a16="http://schemas.microsoft.com/office/drawing/2014/main" id="{EDBC3451-5A60-4817-961F-1A9E3235000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11582398"/>
          <a:ext cx="1638301" cy="819151"/>
        </a:xfrm>
        <a:prstGeom prst="rect">
          <a:avLst/>
        </a:prstGeom>
      </xdr:spPr>
    </xdr:pic>
    <xdr:clientData/>
  </xdr:oneCellAnchor>
  <xdr:oneCellAnchor>
    <xdr:from>
      <xdr:col>32</xdr:col>
      <xdr:colOff>19049</xdr:colOff>
      <xdr:row>99</xdr:row>
      <xdr:rowOff>152398</xdr:rowOff>
    </xdr:from>
    <xdr:ext cx="1638301" cy="819151"/>
    <xdr:pic>
      <xdr:nvPicPr>
        <xdr:cNvPr id="6" name="Picture 5">
          <a:extLst>
            <a:ext uri="{FF2B5EF4-FFF2-40B4-BE49-F238E27FC236}">
              <a16:creationId xmlns:a16="http://schemas.microsoft.com/office/drawing/2014/main" id="{B7655B56-3A51-4B65-B5D6-05244A021ED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22783798"/>
          <a:ext cx="1638301" cy="819151"/>
        </a:xfrm>
        <a:prstGeom prst="rect">
          <a:avLst/>
        </a:prstGeom>
      </xdr:spPr>
    </xdr:pic>
    <xdr:clientData/>
  </xdr:oneCellAnchor>
  <xdr:oneCellAnchor>
    <xdr:from>
      <xdr:col>74</xdr:col>
      <xdr:colOff>19049</xdr:colOff>
      <xdr:row>99</xdr:row>
      <xdr:rowOff>152398</xdr:rowOff>
    </xdr:from>
    <xdr:ext cx="1638301" cy="819151"/>
    <xdr:pic>
      <xdr:nvPicPr>
        <xdr:cNvPr id="7" name="Picture 6">
          <a:extLst>
            <a:ext uri="{FF2B5EF4-FFF2-40B4-BE49-F238E27FC236}">
              <a16:creationId xmlns:a16="http://schemas.microsoft.com/office/drawing/2014/main" id="{EE61FB0F-6813-4C97-9E9A-E602F2BB828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22783798"/>
          <a:ext cx="1638301" cy="819151"/>
        </a:xfrm>
        <a:prstGeom prst="rect">
          <a:avLst/>
        </a:prstGeom>
      </xdr:spPr>
    </xdr:pic>
    <xdr:clientData/>
  </xdr:oneCellAnchor>
  <xdr:oneCellAnchor>
    <xdr:from>
      <xdr:col>32</xdr:col>
      <xdr:colOff>19049</xdr:colOff>
      <xdr:row>148</xdr:row>
      <xdr:rowOff>152398</xdr:rowOff>
    </xdr:from>
    <xdr:ext cx="1638301" cy="819151"/>
    <xdr:pic>
      <xdr:nvPicPr>
        <xdr:cNvPr id="8" name="Picture 7">
          <a:extLst>
            <a:ext uri="{FF2B5EF4-FFF2-40B4-BE49-F238E27FC236}">
              <a16:creationId xmlns:a16="http://schemas.microsoft.com/office/drawing/2014/main" id="{F37A2ECB-51E0-41B3-A472-9BA078E2F68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33985198"/>
          <a:ext cx="1638301" cy="819151"/>
        </a:xfrm>
        <a:prstGeom prst="rect">
          <a:avLst/>
        </a:prstGeom>
      </xdr:spPr>
    </xdr:pic>
    <xdr:clientData/>
  </xdr:oneCellAnchor>
  <xdr:oneCellAnchor>
    <xdr:from>
      <xdr:col>74</xdr:col>
      <xdr:colOff>19049</xdr:colOff>
      <xdr:row>148</xdr:row>
      <xdr:rowOff>152398</xdr:rowOff>
    </xdr:from>
    <xdr:ext cx="1638301" cy="819151"/>
    <xdr:pic>
      <xdr:nvPicPr>
        <xdr:cNvPr id="9" name="Picture 8">
          <a:extLst>
            <a:ext uri="{FF2B5EF4-FFF2-40B4-BE49-F238E27FC236}">
              <a16:creationId xmlns:a16="http://schemas.microsoft.com/office/drawing/2014/main" id="{7E0F8C6E-C636-4C17-9A8D-C406A500CA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33985198"/>
          <a:ext cx="1638301" cy="819151"/>
        </a:xfrm>
        <a:prstGeom prst="rect">
          <a:avLst/>
        </a:prstGeom>
      </xdr:spPr>
    </xdr:pic>
    <xdr:clientData/>
  </xdr:oneCellAnchor>
  <xdr:twoCellAnchor>
    <xdr:from>
      <xdr:col>44</xdr:col>
      <xdr:colOff>175888</xdr:colOff>
      <xdr:row>123</xdr:row>
      <xdr:rowOff>111933</xdr:rowOff>
    </xdr:from>
    <xdr:to>
      <xdr:col>82</xdr:col>
      <xdr:colOff>40408</xdr:colOff>
      <xdr:row>143</xdr:row>
      <xdr:rowOff>212912</xdr:rowOff>
    </xdr:to>
    <mc:AlternateContent xmlns:mc="http://schemas.openxmlformats.org/markup-compatibility/2006" xmlns:a14="http://schemas.microsoft.com/office/drawing/2010/main">
      <mc:Choice Requires="a14">
        <xdr:sp macro="" textlink="">
          <xdr:nvSpPr>
            <xdr:cNvPr id="10" name="TextBox 9">
              <a:extLst>
                <a:ext uri="{FF2B5EF4-FFF2-40B4-BE49-F238E27FC236}">
                  <a16:creationId xmlns:a16="http://schemas.microsoft.com/office/drawing/2014/main" id="{83DF85EC-A26D-4661-AE78-9308BAEE3DAB}"/>
                </a:ext>
              </a:extLst>
            </xdr:cNvPr>
            <xdr:cNvSpPr txBox="1"/>
          </xdr:nvSpPr>
          <xdr:spPr>
            <a:xfrm>
              <a:off x="8138788" y="28229733"/>
              <a:ext cx="6741570" cy="4672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This spreadsheet is used to support the design, tuning, and component selection associated with </a:t>
              </a:r>
              <a:r>
                <a:rPr lang="en-US" sz="1100" b="1">
                  <a:solidFill>
                    <a:schemeClr val="dk1"/>
                  </a:solidFill>
                  <a:effectLst/>
                  <a:latin typeface="+mn-lt"/>
                  <a:ea typeface="+mn-ea"/>
                  <a:cs typeface="+mn-cs"/>
                </a:rPr>
                <a:t>HP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 capacitor reactive power and voltage ratings, harmonic currents, voltage stresses, and damping resistance. The summary below describes the calculation process applied throughout the tool using a 13.8kV 1000 kvar filter branch as an example. The tool assumes that harmonic simulations  have been conducted and that the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and forms the foundation of all subsequent calculations. Using the system’s nominal line-to-line voltage </a:t>
              </a:r>
              <a14:m>
                <m:oMath xmlns:m="http://schemas.openxmlformats.org/officeDocument/2006/math">
                  <m:r>
                    <a:rPr lang="en-US" sz="1100" i="1">
                      <a:solidFill>
                        <a:schemeClr val="dk1"/>
                      </a:solidFill>
                      <a:effectLst/>
                      <a:latin typeface="Cambria Math" panose="02040503050406030204" pitchFamily="18" charset="0"/>
                      <a:ea typeface="+mn-ea"/>
                      <a:cs typeface="+mn-cs"/>
                    </a:rPr>
                    <m:t>𝑘</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𝐿𝐿𝑆𝑌𝑆</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capacitor section,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For a HP filter, this value directly represents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be summed together as one subtracts from the other.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individually are calculated using the relationship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m:t>
                      </m:r>
                    </m:sub>
                  </m:sSub>
                  <m:r>
                    <a:rPr lang="en-US" sz="1100" i="1">
                      <a:solidFill>
                        <a:schemeClr val="dk1"/>
                      </a:solidFill>
                      <a:effectLst/>
                      <a:latin typeface="Cambria Math" panose="02040503050406030204" pitchFamily="18" charset="0"/>
                      <a:ea typeface="+mn-ea"/>
                      <a:cs typeface="+mn-cs"/>
                    </a:rPr>
                    <m:t>=</m:t>
                  </m:r>
                  <m:d>
                    <m:dPr>
                      <m:ctrlPr>
                        <a:rPr lang="en-US" sz="1100" i="1">
                          <a:solidFill>
                            <a:schemeClr val="dk1"/>
                          </a:solidFill>
                          <a:effectLst/>
                          <a:latin typeface="Cambria Math" panose="02040503050406030204" pitchFamily="18" charset="0"/>
                          <a:ea typeface="+mn-ea"/>
                          <a:cs typeface="+mn-cs"/>
                        </a:rPr>
                      </m:ctrlPr>
                    </m:dPr>
                    <m:e>
                      <m:f>
                        <m:fPr>
                          <m:ctrlPr>
                            <a:rPr lang="en-US" sz="1100" i="1">
                              <a:solidFill>
                                <a:schemeClr val="dk1"/>
                              </a:solidFill>
                              <a:effectLst/>
                              <a:latin typeface="Cambria Math" panose="02040503050406030204" pitchFamily="18" charset="0"/>
                              <a:ea typeface="+mn-ea"/>
                              <a:cs typeface="+mn-cs"/>
                            </a:rPr>
                          </m:ctrlPr>
                        </m:fPr>
                        <m:num>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num>
                        <m:den>
                          <m:sSup>
                            <m:sSupPr>
                              <m:ctrlPr>
                                <a:rPr lang="en-US" sz="1100" i="1">
                                  <a:solidFill>
                                    <a:schemeClr val="dk1"/>
                                  </a:solidFill>
                                  <a:effectLst/>
                                  <a:latin typeface="Cambria Math" panose="02040503050406030204" pitchFamily="18" charset="0"/>
                                  <a:ea typeface="+mn-ea"/>
                                  <a:cs typeface="+mn-cs"/>
                                </a:rPr>
                              </m:ctrlPr>
                            </m:sSupPr>
                            <m:e>
                              <m:r>
                                <a:rPr lang="en-US" sz="1100" i="1">
                                  <a:solidFill>
                                    <a:schemeClr val="dk1"/>
                                  </a:solidFill>
                                  <a:effectLst/>
                                  <a:latin typeface="Cambria Math" panose="02040503050406030204" pitchFamily="18" charset="0"/>
                                  <a:ea typeface="+mn-ea"/>
                                  <a:cs typeface="+mn-cs"/>
                                </a:rPr>
                                <m:t>h</m:t>
                              </m:r>
                            </m:e>
                            <m:sup>
                              <m:r>
                                <a:rPr lang="en-US" sz="1100" i="1">
                                  <a:solidFill>
                                    <a:schemeClr val="dk1"/>
                                  </a:solidFill>
                                  <a:effectLst/>
                                  <a:latin typeface="Cambria Math" panose="02040503050406030204" pitchFamily="18" charset="0"/>
                                  <a:ea typeface="+mn-ea"/>
                                  <a:cs typeface="+mn-cs"/>
                                </a:rPr>
                                <m:t>2</m:t>
                              </m:r>
                            </m:sup>
                          </m:sSup>
                          <m:r>
                            <a:rPr lang="en-US" sz="1100" i="1">
                              <a:solidFill>
                                <a:schemeClr val="dk1"/>
                              </a:solidFill>
                              <a:effectLst/>
                              <a:latin typeface="Cambria Math" panose="02040503050406030204" pitchFamily="18" charset="0"/>
                              <a:ea typeface="+mn-ea"/>
                              <a:cs typeface="+mn-cs"/>
                            </a:rPr>
                            <m:t>−1</m:t>
                          </m:r>
                        </m:den>
                      </m:f>
                    </m:e>
                  </m:d>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xdr:txBody>
        </xdr:sp>
      </mc:Choice>
      <mc:Fallback xmlns="">
        <xdr:sp macro="" textlink="">
          <xdr:nvSpPr>
            <xdr:cNvPr id="10" name="TextBox 9">
              <a:extLst>
                <a:ext uri="{FF2B5EF4-FFF2-40B4-BE49-F238E27FC236}">
                  <a16:creationId xmlns:a16="http://schemas.microsoft.com/office/drawing/2014/main" id="{83DF85EC-A26D-4661-AE78-9308BAEE3DAB}"/>
                </a:ext>
              </a:extLst>
            </xdr:cNvPr>
            <xdr:cNvSpPr txBox="1"/>
          </xdr:nvSpPr>
          <xdr:spPr>
            <a:xfrm>
              <a:off x="8138788" y="28229733"/>
              <a:ext cx="6741570" cy="467297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This spreadsheet is used to support the design, tuning, and component selection associated with </a:t>
              </a:r>
              <a:r>
                <a:rPr lang="en-US" sz="1100" b="1">
                  <a:solidFill>
                    <a:schemeClr val="dk1"/>
                  </a:solidFill>
                  <a:effectLst/>
                  <a:latin typeface="+mn-lt"/>
                  <a:ea typeface="+mn-ea"/>
                  <a:cs typeface="+mn-cs"/>
                </a:rPr>
                <a:t>HP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 capacitor reactive power and voltage ratings, harmonic currents, voltage stresses, and damping resistance. The summary below describes the calculation process applied throughout the tool using a 13.8kV 1000 kvar filter branch as an example. The tool assumes that harmonic simulations  have been conducted and that the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This requirement is defined as </a:t>
              </a:r>
              <a:r>
                <a:rPr lang="en-US" sz="1100" i="0">
                  <a:solidFill>
                    <a:schemeClr val="dk1"/>
                  </a:solidFill>
                  <a:effectLst/>
                  <a:latin typeface="Cambria Math" panose="02040503050406030204" pitchFamily="18" charset="0"/>
                  <a:ea typeface="+mn-ea"/>
                  <a:cs typeface="+mn-cs"/>
                </a:rPr>
                <a:t>𝑄_𝑒𝑓𝑓</a:t>
              </a:r>
              <a:r>
                <a:rPr lang="en-US" sz="1100">
                  <a:solidFill>
                    <a:schemeClr val="dk1"/>
                  </a:solidFill>
                  <a:effectLst/>
                  <a:latin typeface="+mn-lt"/>
                  <a:ea typeface="+mn-ea"/>
                  <a:cs typeface="+mn-cs"/>
                </a:rPr>
                <a:t>and forms the foundation of all subsequent calculations. Using the system’s nominal line-to-line voltage </a:t>
              </a:r>
              <a:r>
                <a:rPr lang="en-US" sz="1100" i="0">
                  <a:solidFill>
                    <a:schemeClr val="dk1"/>
                  </a:solidFill>
                  <a:effectLst/>
                  <a:latin typeface="Cambria Math" panose="02040503050406030204" pitchFamily="18" charset="0"/>
                  <a:ea typeface="+mn-ea"/>
                  <a:cs typeface="+mn-cs"/>
                </a:rPr>
                <a:t>𝑘𝑉_𝐿𝐿𝑆𝑌𝑆</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capacitor section, </a:t>
              </a:r>
              <a:r>
                <a:rPr lang="en-US" sz="1100" i="0">
                  <a:solidFill>
                    <a:schemeClr val="dk1"/>
                  </a:solidFill>
                  <a:effectLst/>
                  <a:latin typeface="Cambria Math" panose="02040503050406030204" pitchFamily="18" charset="0"/>
                  <a:ea typeface="+mn-ea"/>
                  <a:cs typeface="+mn-cs"/>
                </a:rPr>
                <a:t>𝑋_𝑒𝑓𝑓</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For a HP filter, this value directly represents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must be summed together as one subtracts from the other.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and individually are calculated using the relationship </a:t>
              </a:r>
              <a:r>
                <a:rPr lang="en-US" sz="1100" i="0">
                  <a:solidFill>
                    <a:schemeClr val="dk1"/>
                  </a:solidFill>
                  <a:effectLst/>
                  <a:latin typeface="Cambria Math" panose="02040503050406030204" pitchFamily="18" charset="0"/>
                  <a:ea typeface="+mn-ea"/>
                  <a:cs typeface="+mn-cs"/>
                </a:rPr>
                <a:t>𝑋_𝐶=(ℎ^2/(ℎ^2−1)) 𝑋_𝑒𝑓𝑓</a:t>
              </a:r>
              <a:r>
                <a:rPr lang="en-US" sz="1100">
                  <a:solidFill>
                    <a:schemeClr val="dk1"/>
                  </a:solidFill>
                  <a:effectLst/>
                  <a:latin typeface="+mn-lt"/>
                  <a:ea typeface="+mn-ea"/>
                  <a:cs typeface="+mn-cs"/>
                </a:rPr>
                <a:t> . </a:t>
              </a:r>
              <a:r>
                <a:rPr lang="en-US" sz="1100" baseline="-25000">
                  <a:solidFill>
                    <a:schemeClr val="dk1"/>
                  </a:solidFill>
                  <a:effectLst/>
                  <a:latin typeface="+mn-lt"/>
                  <a:ea typeface="+mn-ea"/>
                  <a:cs typeface="+mn-cs"/>
                </a:rPr>
                <a:t> </a:t>
              </a:r>
              <a:endParaRPr lang="en-US" sz="1100">
                <a:solidFill>
                  <a:schemeClr val="dk1"/>
                </a:solidFill>
                <a:effectLst/>
                <a:latin typeface="+mn-lt"/>
                <a:ea typeface="+mn-ea"/>
                <a:cs typeface="+mn-cs"/>
              </a:endParaRPr>
            </a:p>
            <a:p>
              <a:endParaRPr lang="en-US" sz="1100"/>
            </a:p>
          </xdr:txBody>
        </xdr:sp>
      </mc:Fallback>
    </mc:AlternateContent>
    <xdr:clientData/>
  </xdr:twoCellAnchor>
  <xdr:twoCellAnchor>
    <xdr:from>
      <xdr:col>44</xdr:col>
      <xdr:colOff>70402</xdr:colOff>
      <xdr:row>25</xdr:row>
      <xdr:rowOff>117638</xdr:rowOff>
    </xdr:from>
    <xdr:to>
      <xdr:col>83</xdr:col>
      <xdr:colOff>81608</xdr:colOff>
      <xdr:row>30</xdr:row>
      <xdr:rowOff>23606</xdr:rowOff>
    </xdr:to>
    <xdr:sp macro="" textlink="">
      <xdr:nvSpPr>
        <xdr:cNvPr id="11" name="TextBox 10">
          <a:extLst>
            <a:ext uri="{FF2B5EF4-FFF2-40B4-BE49-F238E27FC236}">
              <a16:creationId xmlns:a16="http://schemas.microsoft.com/office/drawing/2014/main" id="{8C3553A9-EB7B-4BB0-B520-BDD59533A9D5}"/>
            </a:ext>
          </a:extLst>
        </xdr:cNvPr>
        <xdr:cNvSpPr txBox="1"/>
      </xdr:nvSpPr>
      <xdr:spPr>
        <a:xfrm>
          <a:off x="8033302" y="5832638"/>
          <a:ext cx="7069231" cy="10489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The harmonic</a:t>
          </a:r>
          <a:r>
            <a:rPr lang="en-US" b="0" baseline="0"/>
            <a:t> filter </a:t>
          </a:r>
          <a:r>
            <a:rPr lang="en-US" b="0"/>
            <a:t>design must ensure capacitor operating duties stay within IEEE/IEC-rated limits, including the allowable 10% continuous overvoltage. The spreadsheet checks four key parameters against their rated duty: % Rated</a:t>
          </a:r>
          <a:r>
            <a:rPr lang="en-US" b="0" baseline="0"/>
            <a:t> </a:t>
          </a:r>
          <a:r>
            <a:rPr lang="en-US" b="0"/>
            <a:t>Volts, % Crest Voltage, % Amps, % kVAR. If any value exceeds its limit, the cell turns red. In that case, increase the capacitor voltage rating. The objective is to meet the required duty without significantly exceeding the rating, which would increase cost.</a:t>
          </a:r>
          <a:endParaRPr lang="en-US" sz="1100" b="0"/>
        </a:p>
      </xdr:txBody>
    </xdr:sp>
    <xdr:clientData/>
  </xdr:twoCellAnchor>
  <xdr:twoCellAnchor>
    <xdr:from>
      <xdr:col>2</xdr:col>
      <xdr:colOff>0</xdr:colOff>
      <xdr:row>152</xdr:row>
      <xdr:rowOff>4694</xdr:rowOff>
    </xdr:from>
    <xdr:to>
      <xdr:col>40</xdr:col>
      <xdr:colOff>149679</xdr:colOff>
      <xdr:row>166</xdr:row>
      <xdr:rowOff>134471</xdr:rowOff>
    </xdr:to>
    <xdr:sp macro="" textlink="">
      <xdr:nvSpPr>
        <xdr:cNvPr id="12" name="TextBox 11">
          <a:extLst>
            <a:ext uri="{FF2B5EF4-FFF2-40B4-BE49-F238E27FC236}">
              <a16:creationId xmlns:a16="http://schemas.microsoft.com/office/drawing/2014/main" id="{62CCF806-4B27-48C1-B8C3-E547D5839459}"/>
            </a:ext>
          </a:extLst>
        </xdr:cNvPr>
        <xdr:cNvSpPr txBox="1"/>
      </xdr:nvSpPr>
      <xdr:spPr>
        <a:xfrm>
          <a:off x="361950" y="34751894"/>
          <a:ext cx="7026729" cy="333017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With 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known, 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 is computed using the relationship: X</a:t>
          </a:r>
          <a:r>
            <a:rPr lang="en-US" sz="1100" baseline="-25000">
              <a:solidFill>
                <a:schemeClr val="dk1"/>
              </a:solidFill>
              <a:effectLst/>
              <a:latin typeface="+mn-lt"/>
              <a:ea typeface="+mn-ea"/>
              <a:cs typeface="+mn-cs"/>
            </a:rPr>
            <a:t>eff</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L</a:t>
          </a:r>
          <a:r>
            <a:rPr lang="en-US" sz="1100">
              <a:solidFill>
                <a:schemeClr val="dk1"/>
              </a:solidFill>
              <a:effectLst/>
              <a:latin typeface="+mn-lt"/>
              <a:ea typeface="+mn-ea"/>
              <a:cs typeface="+mn-cs"/>
            </a:rPr>
            <a:t>-X</a:t>
          </a:r>
          <a:r>
            <a:rPr lang="en-US" sz="1100" baseline="-25000">
              <a:solidFill>
                <a:schemeClr val="dk1"/>
              </a:solidFill>
              <a:effectLst/>
              <a:latin typeface="+mn-lt"/>
              <a:ea typeface="+mn-ea"/>
              <a:cs typeface="+mn-cs"/>
            </a:rPr>
            <a:t>C</a:t>
          </a:r>
          <a:r>
            <a:rPr lang="en-US" sz="1100">
              <a:solidFill>
                <a:schemeClr val="dk1"/>
              </a:solidFill>
              <a:effectLst/>
              <a:latin typeface="+mn-lt"/>
              <a:ea typeface="+mn-ea"/>
              <a:cs typeface="+mn-cs"/>
            </a:rPr>
            <a:t>. From there L and C are calculated. </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capacitor kvar ratings is then determined using the rated operating voltage. The spreadsheet next evaluates the high-pass damping resistor. Its ohmic value is derived from the specified damping factor (DF) of the HP filter (determined from harmonic simulations), linking the resistor to the tuning reactance at the harmonic frequency. With kvar and reactances established, the spreadsheet computes the fundamental filter current and applies injected harmonic current data to evaluate the resulting capacitor voltage stresses, current duty, and reactive power duty.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spreadsheet then resolves the fundamental and harmonic currents flowing in the reactor, capacitor and high-pass resistors. This is performed using complex current-divider calculations to ensure accurate representation of harmonic behavior. The watt loss in the damping resistor is subsequently computed and verified against its thermal rating.</a:t>
          </a:r>
        </a:p>
        <a:p>
          <a:br>
            <a:rPr lang="en-US" sz="1100">
              <a:solidFill>
                <a:schemeClr val="dk1"/>
              </a:solidFill>
              <a:effectLst/>
              <a:latin typeface="+mn-lt"/>
              <a:ea typeface="+mn-ea"/>
              <a:cs typeface="+mn-cs"/>
            </a:rPr>
          </a:br>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 of HP harmonic filters. The spreadsheet determines all critical design parameters, including reactances, inductance, kvar ratings, current loading, voltage stress, and damping characteristics, using standardized electrical notation to provide traceability, transparency, and field-proven reliability.</a:t>
          </a:r>
        </a:p>
        <a:p>
          <a:endParaRPr lang="en-US" sz="1100"/>
        </a:p>
      </xdr:txBody>
    </xdr:sp>
    <xdr:clientData/>
  </xdr:twoCellAnchor>
  <xdr:twoCellAnchor>
    <xdr:from>
      <xdr:col>2</xdr:col>
      <xdr:colOff>135547</xdr:colOff>
      <xdr:row>78</xdr:row>
      <xdr:rowOff>219807</xdr:rowOff>
    </xdr:from>
    <xdr:to>
      <xdr:col>41</xdr:col>
      <xdr:colOff>7327</xdr:colOff>
      <xdr:row>95</xdr:row>
      <xdr:rowOff>43961</xdr:rowOff>
    </xdr:to>
    <xdr:graphicFrame macro="">
      <xdr:nvGraphicFramePr>
        <xdr:cNvPr id="13" name="Chart 12">
          <a:extLst>
            <a:ext uri="{FF2B5EF4-FFF2-40B4-BE49-F238E27FC236}">
              <a16:creationId xmlns:a16="http://schemas.microsoft.com/office/drawing/2014/main" id="{C722EF62-F941-47D0-8FDD-C6FA6A629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44</xdr:col>
      <xdr:colOff>24848</xdr:colOff>
      <xdr:row>103</xdr:row>
      <xdr:rowOff>227071</xdr:rowOff>
    </xdr:from>
    <xdr:to>
      <xdr:col>45</xdr:col>
      <xdr:colOff>108732</xdr:colOff>
      <xdr:row>105</xdr:row>
      <xdr:rowOff>31253</xdr:rowOff>
    </xdr:to>
    <xdr:pic>
      <xdr:nvPicPr>
        <xdr:cNvPr id="14" name="Picture 13">
          <a:extLst>
            <a:ext uri="{FF2B5EF4-FFF2-40B4-BE49-F238E27FC236}">
              <a16:creationId xmlns:a16="http://schemas.microsoft.com/office/drawing/2014/main" id="{6A99C8CE-5F82-4631-93EE-743055D06759}"/>
            </a:ext>
          </a:extLst>
        </xdr:cNvPr>
        <xdr:cNvPicPr>
          <a:picLocks noChangeAspect="1"/>
        </xdr:cNvPicPr>
      </xdr:nvPicPr>
      <xdr:blipFill>
        <a:blip xmlns:r="http://schemas.openxmlformats.org/officeDocument/2006/relationships" r:embed="rId4"/>
        <a:stretch>
          <a:fillRect/>
        </a:stretch>
      </xdr:blipFill>
      <xdr:spPr>
        <a:xfrm>
          <a:off x="7987748" y="23772871"/>
          <a:ext cx="264859" cy="261382"/>
        </a:xfrm>
        <a:prstGeom prst="rect">
          <a:avLst/>
        </a:prstGeom>
      </xdr:spPr>
    </xdr:pic>
    <xdr:clientData/>
  </xdr:twoCellAnchor>
  <xdr:twoCellAnchor editAs="oneCell">
    <xdr:from>
      <xdr:col>43</xdr:col>
      <xdr:colOff>158903</xdr:colOff>
      <xdr:row>121</xdr:row>
      <xdr:rowOff>180974</xdr:rowOff>
    </xdr:from>
    <xdr:to>
      <xdr:col>45</xdr:col>
      <xdr:colOff>114432</xdr:colOff>
      <xdr:row>123</xdr:row>
      <xdr:rowOff>57285</xdr:rowOff>
    </xdr:to>
    <xdr:pic>
      <xdr:nvPicPr>
        <xdr:cNvPr id="15" name="Picture 14">
          <a:extLst>
            <a:ext uri="{FF2B5EF4-FFF2-40B4-BE49-F238E27FC236}">
              <a16:creationId xmlns:a16="http://schemas.microsoft.com/office/drawing/2014/main" id="{D4242A32-A77B-4BA9-A009-15F27EB36239}"/>
            </a:ext>
          </a:extLst>
        </xdr:cNvPr>
        <xdr:cNvPicPr>
          <a:picLocks noChangeAspect="1"/>
        </xdr:cNvPicPr>
      </xdr:nvPicPr>
      <xdr:blipFill>
        <a:blip xmlns:r="http://schemas.openxmlformats.org/officeDocument/2006/relationships" r:embed="rId5"/>
        <a:stretch>
          <a:fillRect/>
        </a:stretch>
      </xdr:blipFill>
      <xdr:spPr>
        <a:xfrm>
          <a:off x="7940828" y="27841574"/>
          <a:ext cx="317479" cy="333511"/>
        </a:xfrm>
        <a:prstGeom prst="rect">
          <a:avLst/>
        </a:prstGeom>
      </xdr:spPr>
    </xdr:pic>
    <xdr:clientData/>
  </xdr:twoCellAnchor>
  <xdr:twoCellAnchor>
    <xdr:from>
      <xdr:col>44</xdr:col>
      <xdr:colOff>56029</xdr:colOff>
      <xdr:row>74</xdr:row>
      <xdr:rowOff>108136</xdr:rowOff>
    </xdr:from>
    <xdr:to>
      <xdr:col>82</xdr:col>
      <xdr:colOff>169769</xdr:colOff>
      <xdr:row>92</xdr:row>
      <xdr:rowOff>164725</xdr:rowOff>
    </xdr:to>
    <xdr:graphicFrame macro="">
      <xdr:nvGraphicFramePr>
        <xdr:cNvPr id="16" name="Chart 15">
          <a:extLst>
            <a:ext uri="{FF2B5EF4-FFF2-40B4-BE49-F238E27FC236}">
              <a16:creationId xmlns:a16="http://schemas.microsoft.com/office/drawing/2014/main" id="{02F208FA-3EF3-4B19-9D9E-0C52E04C2A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12</xdr:col>
      <xdr:colOff>183931</xdr:colOff>
      <xdr:row>173</xdr:row>
      <xdr:rowOff>134789</xdr:rowOff>
    </xdr:from>
    <xdr:to>
      <xdr:col>39</xdr:col>
      <xdr:colOff>38100</xdr:colOff>
      <xdr:row>175</xdr:row>
      <xdr:rowOff>51058</xdr:rowOff>
    </xdr:to>
    <mc:AlternateContent xmlns:mc="http://schemas.openxmlformats.org/markup-compatibility/2006" xmlns:a14="http://schemas.microsoft.com/office/drawing/2010/main">
      <mc:Choice Requires="a14">
        <xdr:sp macro="" textlink="">
          <xdr:nvSpPr>
            <xdr:cNvPr id="17" name="TextBox 12">
              <a:extLst>
                <a:ext uri="{FF2B5EF4-FFF2-40B4-BE49-F238E27FC236}">
                  <a16:creationId xmlns:a16="http://schemas.microsoft.com/office/drawing/2014/main" id="{9505C22B-3401-4F51-B45D-D5593442ECE5}"/>
                </a:ext>
              </a:extLst>
            </xdr:cNvPr>
            <xdr:cNvSpPr txBox="1"/>
          </xdr:nvSpPr>
          <xdr:spPr>
            <a:xfrm>
              <a:off x="2355631" y="39682589"/>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𝑋</m:t>
                      </m:r>
                    </m:e>
                    <m:sub>
                      <m:r>
                        <a:rPr lang="en-US" sz="1000" b="0" i="1">
                          <a:latin typeface="Cambria Math"/>
                        </a:rPr>
                        <m:t>𝑒𝑓𝑓</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𝑘𝑉</m:t>
                              </m:r>
                            </m:e>
                            <m:sub>
                              <m:r>
                                <a:rPr lang="en-US" sz="1000" b="0" i="1">
                                  <a:solidFill>
                                    <a:schemeClr val="tx1"/>
                                  </a:solidFill>
                                  <a:effectLst/>
                                  <a:latin typeface="Cambria Math"/>
                                </a:rPr>
                                <m:t>𝐿𝐿𝑆𝑌𝑆</m:t>
                              </m:r>
                            </m:sub>
                          </m:sSub>
                        </m:e>
                        <m:sup>
                          <m:r>
                            <a:rPr lang="en-US" sz="1000" b="0" i="1">
                              <a:solidFill>
                                <a:schemeClr val="tx1"/>
                              </a:solidFill>
                              <a:effectLst/>
                              <a:latin typeface="Cambria Math"/>
                            </a:rPr>
                            <m:t>2</m:t>
                          </m:r>
                        </m:sup>
                      </m:sSup>
                    </m:num>
                    <m:den>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den>
                  </m:f>
                </m:oMath>
              </a14:m>
              <a:r>
                <a:rPr lang="en-US" sz="1000" b="0"/>
                <a:t> (ohms) = </a:t>
              </a:r>
              <a14:m>
                <m:oMath xmlns:m="http://schemas.openxmlformats.org/officeDocument/2006/math">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r>
                            <a:rPr lang="en-US" sz="1000" b="0" i="1">
                              <a:latin typeface="Cambria Math"/>
                            </a:rPr>
                            <m:t>13.8</m:t>
                          </m:r>
                        </m:e>
                        <m:sup>
                          <m:r>
                            <a:rPr lang="en-US" sz="1000" i="1">
                              <a:latin typeface="Cambria Math"/>
                            </a:rPr>
                            <m:t>2</m:t>
                          </m:r>
                        </m:sup>
                      </m:sSup>
                    </m:num>
                    <m:den>
                      <m:r>
                        <a:rPr lang="en-US" sz="1000" b="0" i="1">
                          <a:latin typeface="Cambria Math" panose="02040503050406030204" pitchFamily="18" charset="0"/>
                        </a:rPr>
                        <m:t>1.0</m:t>
                      </m:r>
                      <m:r>
                        <a:rPr lang="en-US" sz="1000" i="1">
                          <a:latin typeface="Cambria Math"/>
                        </a:rPr>
                        <m:t> </m:t>
                      </m:r>
                    </m:den>
                  </m:f>
                  <m:r>
                    <a:rPr lang="en-US" sz="1000" b="0" i="1">
                      <a:latin typeface="Cambria Math"/>
                    </a:rPr>
                    <m:t>=</m:t>
                  </m:r>
                  <m:r>
                    <a:rPr lang="en-US" sz="1000" b="0" i="1">
                      <a:latin typeface="Cambria Math" panose="02040503050406030204" pitchFamily="18" charset="0"/>
                    </a:rPr>
                    <m:t>190.4</m:t>
                  </m:r>
                  <m:r>
                    <a:rPr lang="en-US" sz="1000" b="0" i="1">
                      <a:latin typeface="Cambria Math"/>
                    </a:rPr>
                    <m:t> (</m:t>
                  </m:r>
                  <m:r>
                    <a:rPr lang="en-US" sz="1000" b="0" i="1">
                      <a:latin typeface="Cambria Math"/>
                    </a:rPr>
                    <m:t>𝑜h𝑚𝑠</m:t>
                  </m:r>
                  <m:r>
                    <a:rPr lang="en-US" sz="1000" b="0" i="1">
                      <a:latin typeface="Cambria Math"/>
                    </a:rPr>
                    <m:t>)</m:t>
                  </m:r>
                </m:oMath>
              </a14:m>
              <a:r>
                <a:rPr lang="en-US" sz="1000" b="0"/>
                <a:t> </a:t>
              </a:r>
            </a:p>
          </xdr:txBody>
        </xdr:sp>
      </mc:Choice>
      <mc:Fallback xmlns="">
        <xdr:sp macro="" textlink="">
          <xdr:nvSpPr>
            <xdr:cNvPr id="17" name="TextBox 12">
              <a:extLst>
                <a:ext uri="{FF2B5EF4-FFF2-40B4-BE49-F238E27FC236}">
                  <a16:creationId xmlns:a16="http://schemas.microsoft.com/office/drawing/2014/main" id="{9505C22B-3401-4F51-B45D-D5593442ECE5}"/>
                </a:ext>
              </a:extLst>
            </xdr:cNvPr>
            <xdr:cNvSpPr txBox="1"/>
          </xdr:nvSpPr>
          <xdr:spPr>
            <a:xfrm>
              <a:off x="2355631" y="39682589"/>
              <a:ext cx="4740494" cy="3734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𝑒𝑓𝑓</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𝑘𝑉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𝐿𝐿𝑆𝑌𝑆</a:t>
              </a:r>
              <a:r>
                <a:rPr lang="en-US" sz="1000" b="0" i="0">
                  <a:solidFill>
                    <a:schemeClr val="tx1"/>
                  </a:solidFill>
                  <a:effectLst/>
                  <a:latin typeface="Cambria Math" panose="02040503050406030204" pitchFamily="18" charset="0"/>
                </a:rPr>
                <a:t>〗^</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rPr>
                <a:t> </a:t>
              </a:r>
              <a:r>
                <a:rPr lang="en-US" sz="1000" b="0"/>
                <a:t> (ohms) = </a:t>
              </a:r>
              <a:r>
                <a:rPr lang="en-US" sz="1000" i="0">
                  <a:latin typeface="Cambria Math" panose="02040503050406030204" pitchFamily="18" charset="0"/>
                </a:rPr>
                <a:t>〖</a:t>
              </a:r>
              <a:r>
                <a:rPr lang="en-US" sz="1000" b="0" i="0">
                  <a:latin typeface="Cambria Math"/>
                </a:rPr>
                <a:t>13.8</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1.0</a:t>
              </a:r>
              <a:r>
                <a:rPr lang="en-US" sz="1000" i="0">
                  <a:latin typeface="Cambria Math"/>
                </a:rPr>
                <a:t> </a:t>
              </a:r>
              <a:r>
                <a:rPr lang="en-US" sz="1000" i="0">
                  <a:latin typeface="Cambria Math" panose="02040503050406030204" pitchFamily="18" charset="0"/>
                  <a:ea typeface="Cambria Math"/>
                </a:rPr>
                <a:t>)</a:t>
              </a:r>
              <a:r>
                <a:rPr lang="en-US" sz="1000" b="0" i="0">
                  <a:latin typeface="Cambria Math"/>
                </a:rPr>
                <a:t>=</a:t>
              </a:r>
              <a:r>
                <a:rPr lang="en-US" sz="1000" b="0" i="0">
                  <a:latin typeface="Cambria Math" panose="02040503050406030204" pitchFamily="18" charset="0"/>
                </a:rPr>
                <a:t>190.4</a:t>
              </a:r>
              <a:r>
                <a:rPr lang="en-US" sz="1000" b="0" i="0">
                  <a:latin typeface="Cambria Math"/>
                </a:rPr>
                <a:t> (𝑜ℎ𝑚𝑠)</a:t>
              </a:r>
              <a:r>
                <a:rPr lang="en-US" sz="1000" b="0"/>
                <a:t> </a:t>
              </a:r>
            </a:p>
          </xdr:txBody>
        </xdr:sp>
      </mc:Fallback>
    </mc:AlternateContent>
    <xdr:clientData/>
  </xdr:twoCellAnchor>
  <xdr:twoCellAnchor>
    <xdr:from>
      <xdr:col>12</xdr:col>
      <xdr:colOff>183931</xdr:colOff>
      <xdr:row>174</xdr:row>
      <xdr:rowOff>199601</xdr:rowOff>
    </xdr:from>
    <xdr:to>
      <xdr:col>41</xdr:col>
      <xdr:colOff>152400</xdr:colOff>
      <xdr:row>176</xdr:row>
      <xdr:rowOff>77333</xdr:rowOff>
    </xdr:to>
    <mc:AlternateContent xmlns:mc="http://schemas.openxmlformats.org/markup-compatibility/2006" xmlns:a14="http://schemas.microsoft.com/office/drawing/2010/main">
      <mc:Choice Requires="a14">
        <xdr:sp macro="" textlink="">
          <xdr:nvSpPr>
            <xdr:cNvPr id="18" name="TextBox 15">
              <a:extLst>
                <a:ext uri="{FF2B5EF4-FFF2-40B4-BE49-F238E27FC236}">
                  <a16:creationId xmlns:a16="http://schemas.microsoft.com/office/drawing/2014/main" id="{0BB7EF65-E436-41ED-B773-F1F05E851D14}"/>
                </a:ext>
              </a:extLst>
            </xdr:cNvPr>
            <xdr:cNvSpPr txBox="1"/>
          </xdr:nvSpPr>
          <xdr:spPr>
            <a:xfrm>
              <a:off x="2355631" y="39976001"/>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𝐶</m:t>
                      </m:r>
                    </m:sub>
                  </m:sSub>
                  <m:r>
                    <a:rPr lang="en-US" sz="1000" i="1">
                      <a:latin typeface="Cambria Math"/>
                      <a:ea typeface="Cambria Math"/>
                    </a:rPr>
                    <m:t>=</m:t>
                  </m:r>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r>
                            <a:rPr lang="en-US" sz="1000" b="0" i="1">
                              <a:latin typeface="Cambria Math"/>
                              <a:ea typeface="Cambria Math"/>
                            </a:rPr>
                            <m:t>−1</m:t>
                          </m:r>
                        </m:den>
                      </m:f>
                    </m:e>
                  </m:d>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𝑒𝑓𝑓</m:t>
                      </m:r>
                    </m:sub>
                  </m:sSub>
                </m:oMath>
              </a14:m>
              <a:r>
                <a:rPr lang="en-US" sz="1000"/>
                <a:t> (ohms) = </a:t>
              </a:r>
              <a14:m>
                <m:oMath xmlns:m="http://schemas.openxmlformats.org/officeDocument/2006/math">
                  <m:d>
                    <m:dPr>
                      <m:ctrlPr>
                        <a:rPr lang="en-US" sz="1000" i="1">
                          <a:latin typeface="Cambria Math" panose="02040503050406030204" pitchFamily="18" charset="0"/>
                          <a:ea typeface="Cambria Math"/>
                        </a:rPr>
                      </m:ctrlPr>
                    </m:dPr>
                    <m:e>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r>
                            <a:rPr lang="en-US" sz="1000" i="1">
                              <a:latin typeface="Cambria Math"/>
                              <a:ea typeface="Cambria Math"/>
                            </a:rPr>
                            <m:t>−1</m:t>
                          </m:r>
                        </m:den>
                      </m:f>
                    </m:e>
                  </m:d>
                </m:oMath>
              </a14:m>
              <a:r>
                <a:rPr lang="en-US" sz="1000"/>
                <a:t> 190.4 (ohms)=199.4 (ohms)</a:t>
              </a:r>
            </a:p>
          </xdr:txBody>
        </xdr:sp>
      </mc:Choice>
      <mc:Fallback xmlns="">
        <xdr:sp macro="" textlink="">
          <xdr:nvSpPr>
            <xdr:cNvPr id="18" name="TextBox 15">
              <a:extLst>
                <a:ext uri="{FF2B5EF4-FFF2-40B4-BE49-F238E27FC236}">
                  <a16:creationId xmlns:a16="http://schemas.microsoft.com/office/drawing/2014/main" id="{0BB7EF65-E436-41ED-B773-F1F05E851D14}"/>
                </a:ext>
              </a:extLst>
            </xdr:cNvPr>
            <xdr:cNvSpPr txBox="1"/>
          </xdr:nvSpPr>
          <xdr:spPr>
            <a:xfrm>
              <a:off x="2355631" y="39976001"/>
              <a:ext cx="5216744" cy="33493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𝐶</a:t>
              </a:r>
              <a:r>
                <a:rPr lang="en-US" sz="1000" i="0">
                  <a:latin typeface="Cambria Math"/>
                  <a:ea typeface="Cambria Math"/>
                </a:rPr>
                <a:t>=</a:t>
              </a:r>
              <a:r>
                <a:rPr lang="en-US" sz="100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2−1</a:t>
              </a:r>
              <a:r>
                <a:rPr lang="en-US" sz="1000" b="0" i="0">
                  <a:latin typeface="Cambria Math" panose="02040503050406030204" pitchFamily="18" charset="0"/>
                  <a:ea typeface="Cambria Math"/>
                </a:rPr>
                <a:t>)) </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𝑒𝑓𝑓</a:t>
              </a:r>
              <a:r>
                <a:rPr lang="en-US" sz="1000"/>
                <a:t> (ohms) = </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2−1</a:t>
              </a:r>
              <a:r>
                <a:rPr lang="en-US" sz="1000" i="0">
                  <a:latin typeface="Cambria Math" panose="02040503050406030204" pitchFamily="18" charset="0"/>
                  <a:ea typeface="Cambria Math"/>
                </a:rPr>
                <a:t>))</a:t>
              </a:r>
              <a:r>
                <a:rPr lang="en-US" sz="1000"/>
                <a:t> 190.4 (ohms)=199.4 (ohms)</a:t>
              </a:r>
            </a:p>
          </xdr:txBody>
        </xdr:sp>
      </mc:Fallback>
    </mc:AlternateContent>
    <xdr:clientData/>
  </xdr:twoCellAnchor>
  <xdr:twoCellAnchor>
    <xdr:from>
      <xdr:col>12</xdr:col>
      <xdr:colOff>183931</xdr:colOff>
      <xdr:row>176</xdr:row>
      <xdr:rowOff>109703</xdr:rowOff>
    </xdr:from>
    <xdr:to>
      <xdr:col>36</xdr:col>
      <xdr:colOff>133350</xdr:colOff>
      <xdr:row>177</xdr:row>
      <xdr:rowOff>192022</xdr:rowOff>
    </xdr:to>
    <mc:AlternateContent xmlns:mc="http://schemas.openxmlformats.org/markup-compatibility/2006" xmlns:a14="http://schemas.microsoft.com/office/drawing/2010/main">
      <mc:Choice Requires="a14">
        <xdr:sp macro="" textlink="">
          <xdr:nvSpPr>
            <xdr:cNvPr id="19" name="TextBox 17">
              <a:extLst>
                <a:ext uri="{FF2B5EF4-FFF2-40B4-BE49-F238E27FC236}">
                  <a16:creationId xmlns:a16="http://schemas.microsoft.com/office/drawing/2014/main" id="{B4E56097-1017-4E02-9B92-C7A4C09527C0}"/>
                </a:ext>
              </a:extLst>
            </xdr:cNvPr>
            <xdr:cNvSpPr txBox="1"/>
          </xdr:nvSpPr>
          <xdr:spPr>
            <a:xfrm>
              <a:off x="2355631" y="40343303"/>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𝐿</m:t>
                      </m:r>
                    </m:sub>
                  </m:sSub>
                  <m:r>
                    <a:rPr lang="en-US" sz="1000" i="1">
                      <a:latin typeface="Cambria Math"/>
                      <a:ea typeface="Cambria Math"/>
                    </a:rPr>
                    <m:t>=</m:t>
                  </m:r>
                  <m:f>
                    <m:fPr>
                      <m:ctrlPr>
                        <a:rPr lang="en-US" sz="1000" i="1">
                          <a:latin typeface="Cambria Math" panose="02040503050406030204" pitchFamily="18" charset="0"/>
                          <a:ea typeface="Cambria Math"/>
                        </a:rPr>
                      </m:ctrlPr>
                    </m:fPr>
                    <m:num>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num>
                    <m:den>
                      <m:sSup>
                        <m:sSupPr>
                          <m:ctrlPr>
                            <a:rPr lang="en-US" sz="1000" i="1">
                              <a:latin typeface="Cambria Math" panose="02040503050406030204" pitchFamily="18" charset="0"/>
                              <a:ea typeface="Cambria Math"/>
                            </a:rPr>
                          </m:ctrlPr>
                        </m:sSupPr>
                        <m:e>
                          <m:r>
                            <a:rPr lang="en-US" sz="1000" b="0" i="1">
                              <a:latin typeface="Cambria Math"/>
                              <a:ea typeface="Cambria Math"/>
                            </a:rPr>
                            <m:t>h</m:t>
                          </m:r>
                        </m:e>
                        <m:sup>
                          <m:r>
                            <a:rPr lang="en-US" sz="1000" b="0" i="1">
                              <a:latin typeface="Cambria Math"/>
                              <a:ea typeface="Cambria Math"/>
                            </a:rPr>
                            <m:t>2</m:t>
                          </m:r>
                        </m:sup>
                      </m:sSup>
                    </m:den>
                  </m:f>
                </m:oMath>
              </a14:m>
              <a:r>
                <a:rPr lang="en-US" sz="1000"/>
                <a:t> =</a:t>
              </a:r>
              <a14:m>
                <m:oMath xmlns:m="http://schemas.openxmlformats.org/officeDocument/2006/math">
                  <m:r>
                    <a:rPr lang="en-US" sz="1000" b="0" i="0">
                      <a:latin typeface="Cambria Math"/>
                      <a:ea typeface="Cambria Math"/>
                    </a:rPr>
                    <m:t> </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199.4</m:t>
                      </m:r>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den>
                  </m:f>
                  <m:r>
                    <a:rPr lang="en-US" sz="1000" b="0" i="1">
                      <a:latin typeface="Cambria Math"/>
                      <a:ea typeface="Cambria Math"/>
                    </a:rPr>
                    <m:t>=</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19" name="TextBox 17">
              <a:extLst>
                <a:ext uri="{FF2B5EF4-FFF2-40B4-BE49-F238E27FC236}">
                  <a16:creationId xmlns:a16="http://schemas.microsoft.com/office/drawing/2014/main" id="{B4E56097-1017-4E02-9B92-C7A4C09527C0}"/>
                </a:ext>
              </a:extLst>
            </xdr:cNvPr>
            <xdr:cNvSpPr txBox="1"/>
          </xdr:nvSpPr>
          <xdr:spPr>
            <a:xfrm>
              <a:off x="2355631" y="40343303"/>
              <a:ext cx="4292819" cy="31091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𝐿</a:t>
              </a:r>
              <a:r>
                <a:rPr lang="en-US" sz="1000" i="0">
                  <a:latin typeface="Cambria Math"/>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a:t>
              </a:r>
              <a:r>
                <a:rPr lang="en-US" sz="1000" b="0" i="0">
                  <a:latin typeface="Cambria Math"/>
                  <a:ea typeface="Cambria Math"/>
                </a:rPr>
                <a:t>ℎ</a:t>
              </a:r>
              <a:r>
                <a:rPr lang="en-US" sz="1000" b="0" i="0">
                  <a:latin typeface="Cambria Math" panose="02040503050406030204" pitchFamily="18" charset="0"/>
                  <a:ea typeface="Cambria Math"/>
                </a:rPr>
                <a:t>^</a:t>
              </a:r>
              <a:r>
                <a:rPr lang="en-US" sz="1000" b="0" i="0">
                  <a:latin typeface="Cambria Math"/>
                  <a:ea typeface="Cambria Math"/>
                </a:rPr>
                <a:t>2</a:t>
              </a:r>
              <a:r>
                <a:rPr lang="en-US" sz="1000" b="0" i="0">
                  <a:latin typeface="Cambria Math" panose="02040503050406030204" pitchFamily="18" charset="0"/>
                  <a:ea typeface="Cambria Math"/>
                </a:rPr>
                <a:t> </a:t>
              </a:r>
              <a:r>
                <a:rPr lang="en-US" sz="1000"/>
                <a:t> =</a:t>
              </a:r>
              <a:r>
                <a:rPr lang="en-US" sz="1000" b="0" i="0">
                  <a:latin typeface="Cambria Math"/>
                  <a:ea typeface="Cambria Math"/>
                </a:rPr>
                <a:t> </a:t>
              </a:r>
              <a:r>
                <a:rPr lang="en-US" sz="1000" b="0" i="0">
                  <a:latin typeface="Cambria Math" panose="02040503050406030204" pitchFamily="18" charset="0"/>
                  <a:ea typeface="Cambria Math"/>
                </a:rPr>
                <a:t> 199.4/〖</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13</xdr:col>
      <xdr:colOff>19782</xdr:colOff>
      <xdr:row>178</xdr:row>
      <xdr:rowOff>228345</xdr:rowOff>
    </xdr:from>
    <xdr:to>
      <xdr:col>44</xdr:col>
      <xdr:colOff>117230</xdr:colOff>
      <xdr:row>180</xdr:row>
      <xdr:rowOff>100840</xdr:rowOff>
    </xdr:to>
    <mc:AlternateContent xmlns:mc="http://schemas.openxmlformats.org/markup-compatibility/2006" xmlns:a14="http://schemas.microsoft.com/office/drawing/2010/main">
      <mc:Choice Requires="a14">
        <xdr:sp macro="" textlink="">
          <xdr:nvSpPr>
            <xdr:cNvPr id="20" name="TextBox 2">
              <a:extLst>
                <a:ext uri="{FF2B5EF4-FFF2-40B4-BE49-F238E27FC236}">
                  <a16:creationId xmlns:a16="http://schemas.microsoft.com/office/drawing/2014/main" id="{8858EF73-5C7D-4FCA-A25B-6F9EE23FFB3A}"/>
                </a:ext>
              </a:extLst>
            </xdr:cNvPr>
            <xdr:cNvSpPr txBox="1"/>
          </xdr:nvSpPr>
          <xdr:spPr>
            <a:xfrm>
              <a:off x="2372457" y="40919145"/>
              <a:ext cx="5707673" cy="32969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r>
                    <a:rPr lang="en-US" sz="1000" b="0" i="1">
                      <a:latin typeface="Cambria Math"/>
                    </a:rPr>
                    <m:t>𝐻</m:t>
                  </m:r>
                  <m:d>
                    <m:dPr>
                      <m:ctrlPr>
                        <a:rPr lang="en-US" sz="1000" b="0" i="1">
                          <a:latin typeface="Cambria Math" panose="02040503050406030204" pitchFamily="18" charset="0"/>
                        </a:rPr>
                      </m:ctrlPr>
                    </m:dPr>
                    <m:e>
                      <m:r>
                        <a:rPr lang="en-US" sz="1000" b="0" i="1">
                          <a:latin typeface="Cambria Math"/>
                        </a:rPr>
                        <m:t>𝑖𝑛𝑑𝑢𝑐𝑡𝑎𝑛𝑐𝑒</m:t>
                      </m:r>
                    </m:e>
                  </m:d>
                  <m:r>
                    <a:rPr lang="en-US" sz="1000" b="0" i="1">
                      <a:latin typeface="Cambria Math"/>
                      <a:ea typeface="Cambria Math"/>
                    </a:rPr>
                    <m:t>=</m:t>
                  </m:r>
                  <m:f>
                    <m:fPr>
                      <m:ctrlPr>
                        <a:rPr lang="en-US" sz="1000" b="0" i="1">
                          <a:latin typeface="Cambria Math" panose="02040503050406030204" pitchFamily="18" charset="0"/>
                          <a:ea typeface="Cambria Math"/>
                        </a:rPr>
                      </m:ctrlPr>
                    </m:fPr>
                    <m:num>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𝐿</m:t>
                          </m:r>
                        </m:sub>
                      </m:sSub>
                    </m:num>
                    <m:den>
                      <m:r>
                        <a:rPr lang="en-US" sz="1000" b="0" i="1">
                          <a:latin typeface="Cambria Math"/>
                          <a:ea typeface="Cambria Math"/>
                        </a:rPr>
                        <m:t>2</m:t>
                      </m:r>
                      <m:r>
                        <a:rPr lang="en-US" sz="1000" b="0" i="1">
                          <a:latin typeface="Cambria Math"/>
                          <a:ea typeface="Cambria Math"/>
                        </a:rPr>
                        <m:t>𝜋</m:t>
                      </m:r>
                      <m:r>
                        <a:rPr lang="en-US" sz="1000" b="0" i="1">
                          <a:latin typeface="Cambria Math"/>
                          <a:ea typeface="Cambria Math"/>
                        </a:rPr>
                        <m:t>𝑓</m:t>
                      </m:r>
                    </m:den>
                  </m:f>
                  <m:r>
                    <a:rPr lang="en-US" sz="1000" b="0" i="1">
                      <a:latin typeface="Cambria Math"/>
                      <a:ea typeface="Cambria Math"/>
                    </a:rPr>
                    <m:t>×1000</m:t>
                  </m:r>
                  <m:d>
                    <m:dPr>
                      <m:ctrlPr>
                        <a:rPr lang="en-US" sz="1000" b="0" i="1">
                          <a:latin typeface="Cambria Math" panose="02040503050406030204" pitchFamily="18" charset="0"/>
                          <a:ea typeface="Cambria Math"/>
                        </a:rPr>
                      </m:ctrlPr>
                    </m:dPr>
                    <m:e>
                      <m:r>
                        <a:rPr lang="en-US" sz="1000" b="0" i="1">
                          <a:latin typeface="Cambria Math"/>
                          <a:ea typeface="Cambria Math"/>
                        </a:rPr>
                        <m:t>𝑚𝐻</m:t>
                      </m:r>
                    </m:e>
                  </m:d>
                  <m:r>
                    <a:rPr lang="en-US" sz="1000" b="0" i="1">
                      <a:latin typeface="Cambria Math"/>
                      <a:ea typeface="Cambria Math"/>
                    </a:rPr>
                    <m:t>=</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9.03</m:t>
                      </m:r>
                    </m:num>
                    <m:den>
                      <m:r>
                        <a:rPr lang="en-US" sz="1000" i="1">
                          <a:latin typeface="Cambria Math"/>
                          <a:ea typeface="Cambria Math"/>
                        </a:rPr>
                        <m:t>2</m:t>
                      </m:r>
                      <m:r>
                        <a:rPr lang="en-US" sz="1000" i="1">
                          <a:latin typeface="Cambria Math"/>
                          <a:ea typeface="Cambria Math"/>
                        </a:rPr>
                        <m:t>𝜋</m:t>
                      </m:r>
                      <m:r>
                        <a:rPr lang="en-US" sz="1000" b="0" i="1">
                          <a:latin typeface="Cambria Math"/>
                          <a:ea typeface="Cambria Math"/>
                        </a:rPr>
                        <m:t> 60</m:t>
                      </m:r>
                    </m:den>
                  </m:f>
                  <m:r>
                    <a:rPr lang="en-US" sz="1000" i="1">
                      <a:latin typeface="Cambria Math"/>
                      <a:ea typeface="Cambria Math"/>
                    </a:rPr>
                    <m:t>×1000</m:t>
                  </m:r>
                  <m:d>
                    <m:dPr>
                      <m:ctrlPr>
                        <a:rPr lang="en-US" sz="1000" i="1">
                          <a:latin typeface="Cambria Math" panose="02040503050406030204" pitchFamily="18" charset="0"/>
                          <a:ea typeface="Cambria Math"/>
                        </a:rPr>
                      </m:ctrlPr>
                    </m:dPr>
                    <m:e>
                      <m:r>
                        <a:rPr lang="en-US" sz="1000" i="1">
                          <a:latin typeface="Cambria Math"/>
                          <a:ea typeface="Cambria Math"/>
                        </a:rPr>
                        <m:t>𝑚𝐻</m:t>
                      </m:r>
                    </m:e>
                  </m:d>
                </m:oMath>
              </a14:m>
              <a:r>
                <a:rPr lang="en-US" sz="1000"/>
                <a:t>= 23.95 mH</a:t>
              </a:r>
            </a:p>
          </xdr:txBody>
        </xdr:sp>
      </mc:Choice>
      <mc:Fallback xmlns="">
        <xdr:sp macro="" textlink="">
          <xdr:nvSpPr>
            <xdr:cNvPr id="20" name="TextBox 2">
              <a:extLst>
                <a:ext uri="{FF2B5EF4-FFF2-40B4-BE49-F238E27FC236}">
                  <a16:creationId xmlns:a16="http://schemas.microsoft.com/office/drawing/2014/main" id="{8858EF73-5C7D-4FCA-A25B-6F9EE23FFB3A}"/>
                </a:ext>
              </a:extLst>
            </xdr:cNvPr>
            <xdr:cNvSpPr txBox="1"/>
          </xdr:nvSpPr>
          <xdr:spPr>
            <a:xfrm>
              <a:off x="2372457" y="40919145"/>
              <a:ext cx="5707673" cy="329695"/>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𝐻</a:t>
              </a:r>
              <a:r>
                <a:rPr lang="en-US" sz="1000" b="0" i="0">
                  <a:latin typeface="Cambria Math" panose="02040503050406030204" pitchFamily="18" charset="0"/>
                </a:rPr>
                <a:t>(</a:t>
              </a:r>
              <a:r>
                <a:rPr lang="en-US" sz="1000" b="0" i="0">
                  <a:latin typeface="Cambria Math"/>
                </a:rPr>
                <a:t>𝑖𝑛𝑑𝑢𝑐𝑡𝑎𝑛𝑐𝑒</a:t>
              </a:r>
              <a:r>
                <a:rPr lang="en-US" sz="1000" b="0" i="0">
                  <a:latin typeface="Cambria Math" panose="02040503050406030204" pitchFamily="18" charset="0"/>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𝐿</a:t>
              </a:r>
              <a:r>
                <a:rPr lang="en-US" sz="1000" b="0" i="0">
                  <a:latin typeface="Cambria Math" panose="02040503050406030204" pitchFamily="18" charset="0"/>
                  <a:ea typeface="Cambria Math"/>
                </a:rPr>
                <a:t>/</a:t>
              </a:r>
              <a:r>
                <a:rPr lang="en-US" sz="1000" b="0" i="0">
                  <a:latin typeface="Cambria Math"/>
                  <a:ea typeface="Cambria Math"/>
                </a:rPr>
                <a:t>2𝜋𝑓×1000</a:t>
              </a:r>
              <a:r>
                <a:rPr lang="en-US" sz="1000" b="0" i="0">
                  <a:latin typeface="Cambria Math" panose="02040503050406030204" pitchFamily="18" charset="0"/>
                  <a:ea typeface="Cambria Math"/>
                </a:rPr>
                <a:t>(</a:t>
              </a:r>
              <a:r>
                <a:rPr lang="en-US" sz="1000" b="0" i="0">
                  <a:latin typeface="Cambria Math"/>
                  <a:ea typeface="Cambria Math"/>
                </a:rPr>
                <a:t>𝑚𝐻</a:t>
              </a:r>
              <a:r>
                <a:rPr lang="en-US" sz="1000" b="0" i="0">
                  <a:latin typeface="Cambria Math" panose="02040503050406030204" pitchFamily="18" charset="0"/>
                  <a:ea typeface="Cambria Math"/>
                </a:rPr>
                <a:t>)</a:t>
              </a:r>
              <a:r>
                <a:rPr lang="en-US" sz="1000" b="0" i="0">
                  <a:latin typeface="Cambria Math"/>
                  <a:ea typeface="Cambria Math"/>
                </a:rPr>
                <a:t>=</a:t>
              </a:r>
              <a:r>
                <a:rPr lang="en-US" sz="1000" b="0" i="0">
                  <a:latin typeface="Cambria Math" panose="02040503050406030204" pitchFamily="18" charset="0"/>
                  <a:ea typeface="Cambria Math"/>
                </a:rPr>
                <a:t>9.03/(</a:t>
              </a:r>
              <a:r>
                <a:rPr lang="en-US" sz="1000" i="0">
                  <a:latin typeface="Cambria Math"/>
                  <a:ea typeface="Cambria Math"/>
                </a:rPr>
                <a:t>2𝜋</a:t>
              </a:r>
              <a:r>
                <a:rPr lang="en-US" sz="1000" b="0" i="0">
                  <a:latin typeface="Cambria Math"/>
                  <a:ea typeface="Cambria Math"/>
                </a:rPr>
                <a:t> 60</a:t>
              </a:r>
              <a:r>
                <a:rPr lang="en-US" sz="1000" b="0" i="0">
                  <a:latin typeface="Cambria Math" panose="02040503050406030204" pitchFamily="18" charset="0"/>
                  <a:ea typeface="Cambria Math"/>
                </a:rPr>
                <a:t>)</a:t>
              </a:r>
              <a:r>
                <a:rPr lang="en-US" sz="1000" i="0">
                  <a:latin typeface="Cambria Math"/>
                  <a:ea typeface="Cambria Math"/>
                </a:rPr>
                <a:t>×1000</a:t>
              </a:r>
              <a:r>
                <a:rPr lang="en-US" sz="1000" i="0">
                  <a:latin typeface="Cambria Math" panose="02040503050406030204" pitchFamily="18" charset="0"/>
                  <a:ea typeface="Cambria Math"/>
                </a:rPr>
                <a:t>(</a:t>
              </a:r>
              <a:r>
                <a:rPr lang="en-US" sz="1000" i="0">
                  <a:latin typeface="Cambria Math"/>
                  <a:ea typeface="Cambria Math"/>
                </a:rPr>
                <a:t>𝑚𝐻</a:t>
              </a:r>
              <a:r>
                <a:rPr lang="en-US" sz="1000" i="0">
                  <a:latin typeface="Cambria Math" panose="02040503050406030204" pitchFamily="18" charset="0"/>
                  <a:ea typeface="Cambria Math"/>
                </a:rPr>
                <a:t>)</a:t>
              </a:r>
              <a:r>
                <a:rPr lang="en-US" sz="1000"/>
                <a:t>= 23.95 mH</a:t>
              </a:r>
            </a:p>
          </xdr:txBody>
        </xdr:sp>
      </mc:Fallback>
    </mc:AlternateContent>
    <xdr:clientData/>
  </xdr:twoCellAnchor>
  <xdr:twoCellAnchor>
    <xdr:from>
      <xdr:col>13</xdr:col>
      <xdr:colOff>15412</xdr:colOff>
      <xdr:row>184</xdr:row>
      <xdr:rowOff>48803</xdr:rowOff>
    </xdr:from>
    <xdr:to>
      <xdr:col>37</xdr:col>
      <xdr:colOff>139237</xdr:colOff>
      <xdr:row>186</xdr:row>
      <xdr:rowOff>52552</xdr:rowOff>
    </xdr:to>
    <mc:AlternateContent xmlns:mc="http://schemas.openxmlformats.org/markup-compatibility/2006" xmlns:a14="http://schemas.microsoft.com/office/drawing/2010/main">
      <mc:Choice Requires="a14">
        <xdr:sp macro="" textlink="">
          <xdr:nvSpPr>
            <xdr:cNvPr id="21" name="TextBox 13">
              <a:extLst>
                <a:ext uri="{FF2B5EF4-FFF2-40B4-BE49-F238E27FC236}">
                  <a16:creationId xmlns:a16="http://schemas.microsoft.com/office/drawing/2014/main" id="{564A458A-7FA4-45F0-9448-9E4880632894}"/>
                </a:ext>
              </a:extLst>
            </xdr:cNvPr>
            <xdr:cNvSpPr txBox="1"/>
          </xdr:nvSpPr>
          <xdr:spPr>
            <a:xfrm>
              <a:off x="2368087" y="42111203"/>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800" b="0" i="1">
                            <a:latin typeface="Cambria Math" panose="02040503050406030204" pitchFamily="18" charset="0"/>
                          </a:rPr>
                        </m:ctrlPr>
                      </m:sSubPr>
                      <m:e>
                        <m:r>
                          <a:rPr lang="en-US" sz="800" b="0" i="1">
                            <a:latin typeface="Cambria Math"/>
                          </a:rPr>
                          <m:t>𝐼</m:t>
                        </m:r>
                      </m:e>
                      <m:sub>
                        <m:r>
                          <a:rPr lang="en-US" sz="800" b="0" i="1">
                            <a:latin typeface="Cambria Math"/>
                          </a:rPr>
                          <m:t>𝐹𝐼𝐿𝑇𝐸𝑅</m:t>
                        </m:r>
                        <m:r>
                          <a:rPr lang="en-US" sz="800" b="0" i="1">
                            <a:latin typeface="Cambria Math"/>
                          </a:rPr>
                          <m:t> </m:t>
                        </m:r>
                        <m:r>
                          <a:rPr lang="en-US" sz="800" b="0" i="1">
                            <a:latin typeface="Cambria Math"/>
                          </a:rPr>
                          <m:t>𝑅𝑀𝑆</m:t>
                        </m:r>
                        <m:r>
                          <a:rPr lang="en-US" sz="800" b="0" i="1">
                            <a:latin typeface="Cambria Math"/>
                          </a:rPr>
                          <m:t> </m:t>
                        </m:r>
                        <m:r>
                          <a:rPr lang="en-US" sz="800" b="0" i="1">
                            <a:latin typeface="Cambria Math"/>
                          </a:rPr>
                          <m:t>𝐶𝑈𝑅𝑅𝐸𝑁𝑇</m:t>
                        </m:r>
                      </m:sub>
                    </m:sSub>
                    <m:r>
                      <a:rPr lang="en-US" sz="800" b="0" i="1">
                        <a:latin typeface="Cambria Math"/>
                        <a:ea typeface="Cambria Math"/>
                      </a:rPr>
                      <m:t>=</m:t>
                    </m:r>
                    <m:rad>
                      <m:radPr>
                        <m:degHide m:val="on"/>
                        <m:ctrlPr>
                          <a:rPr lang="en-US" sz="800" b="0" i="1">
                            <a:latin typeface="Cambria Math" panose="02040503050406030204" pitchFamily="18" charset="0"/>
                            <a:ea typeface="Cambria Math"/>
                          </a:rPr>
                        </m:ctrlPr>
                      </m:radPr>
                      <m:deg/>
                      <m:e>
                        <m:nary>
                          <m:naryPr>
                            <m:chr m:val="∑"/>
                            <m:ctrlPr>
                              <a:rPr lang="en-US" sz="800" b="0" i="1">
                                <a:latin typeface="Cambria Math" panose="02040503050406030204" pitchFamily="18" charset="0"/>
                                <a:ea typeface="Cambria Math"/>
                              </a:rPr>
                            </m:ctrlPr>
                          </m:naryPr>
                          <m:sub>
                            <m:r>
                              <m:rPr>
                                <m:brk m:alnAt="23"/>
                              </m:rPr>
                              <a:rPr lang="en-US" sz="800" b="0" i="1">
                                <a:latin typeface="Cambria Math"/>
                                <a:ea typeface="Cambria Math"/>
                              </a:rPr>
                              <m:t>𝑛</m:t>
                            </m:r>
                            <m:r>
                              <a:rPr lang="en-US" sz="800" b="0" i="1">
                                <a:latin typeface="Cambria Math"/>
                                <a:ea typeface="Cambria Math"/>
                              </a:rPr>
                              <m:t>=1</m:t>
                            </m:r>
                          </m:sub>
                          <m:sup>
                            <m:r>
                              <a:rPr lang="en-US" sz="800" b="0" i="1">
                                <a:latin typeface="Cambria Math"/>
                                <a:ea typeface="Cambria Math"/>
                              </a:rPr>
                              <m:t>𝑛</m:t>
                            </m:r>
                          </m:sup>
                          <m:e>
                            <m:sSubSup>
                              <m:sSubSupPr>
                                <m:ctrlPr>
                                  <a:rPr lang="en-US" sz="1000" b="0" i="1" kern="1200">
                                    <a:solidFill>
                                      <a:schemeClr val="tx1"/>
                                    </a:solidFill>
                                    <a:effectLst/>
                                    <a:latin typeface="Cambria Math" panose="02040503050406030204" pitchFamily="18" charset="0"/>
                                    <a:ea typeface="+mn-ea"/>
                                    <a:cs typeface="+mn-cs"/>
                                  </a:rPr>
                                </m:ctrlPr>
                              </m:sSubSupPr>
                              <m:e>
                                <m:r>
                                  <a:rPr lang="en-US" sz="1000" b="0" i="1" kern="1200">
                                    <a:solidFill>
                                      <a:schemeClr val="tx1"/>
                                    </a:solidFill>
                                    <a:effectLst/>
                                    <a:latin typeface="Cambria Math" panose="02040503050406030204" pitchFamily="18" charset="0"/>
                                    <a:ea typeface="+mn-ea"/>
                                    <a:cs typeface="+mn-cs"/>
                                  </a:rPr>
                                  <m:t>𝐼</m:t>
                                </m:r>
                              </m:e>
                              <m:sub>
                                <m:r>
                                  <a:rPr lang="en-US" sz="1000" b="0" i="1" kern="1200">
                                    <a:solidFill>
                                      <a:schemeClr val="tx1"/>
                                    </a:solidFill>
                                    <a:effectLst/>
                                    <a:latin typeface="Cambria Math" panose="02040503050406030204" pitchFamily="18" charset="0"/>
                                    <a:ea typeface="+mn-ea"/>
                                    <a:cs typeface="+mn-cs"/>
                                  </a:rPr>
                                  <m:t>𝑛</m:t>
                                </m:r>
                              </m:sub>
                              <m:sup>
                                <m:r>
                                  <a:rPr lang="en-US" sz="1000" b="0" i="1" kern="1200">
                                    <a:solidFill>
                                      <a:schemeClr val="tx1"/>
                                    </a:solidFill>
                                    <a:effectLst/>
                                    <a:latin typeface="Cambria Math" panose="02040503050406030204" pitchFamily="18" charset="0"/>
                                    <a:ea typeface="+mn-ea"/>
                                    <a:cs typeface="+mn-cs"/>
                                  </a:rPr>
                                  <m:t>2</m:t>
                                </m:r>
                              </m:sup>
                            </m:sSubSup>
                          </m:e>
                        </m:nary>
                      </m:e>
                    </m:rad>
                  </m:oMath>
                </m:oMathPara>
              </a14:m>
              <a:endParaRPr lang="en-US" sz="800" b="0"/>
            </a:p>
          </xdr:txBody>
        </xdr:sp>
      </mc:Choice>
      <mc:Fallback xmlns="">
        <xdr:sp macro="" textlink="">
          <xdr:nvSpPr>
            <xdr:cNvPr id="21" name="TextBox 13">
              <a:extLst>
                <a:ext uri="{FF2B5EF4-FFF2-40B4-BE49-F238E27FC236}">
                  <a16:creationId xmlns:a16="http://schemas.microsoft.com/office/drawing/2014/main" id="{564A458A-7FA4-45F0-9448-9E4880632894}"/>
                </a:ext>
              </a:extLst>
            </xdr:cNvPr>
            <xdr:cNvSpPr txBox="1"/>
          </xdr:nvSpPr>
          <xdr:spPr>
            <a:xfrm>
              <a:off x="2368087" y="42111203"/>
              <a:ext cx="4467225" cy="46094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800" b="0" i="0">
                  <a:latin typeface="Cambria Math"/>
                </a:rPr>
                <a:t>𝐼</a:t>
              </a:r>
              <a:r>
                <a:rPr lang="en-US" sz="800" b="0" i="0">
                  <a:latin typeface="Cambria Math" panose="02040503050406030204" pitchFamily="18" charset="0"/>
                </a:rPr>
                <a:t>_(</a:t>
              </a:r>
              <a:r>
                <a:rPr lang="en-US" sz="800" b="0" i="0">
                  <a:latin typeface="Cambria Math"/>
                </a:rPr>
                <a:t>𝐹𝐼𝐿𝑇𝐸𝑅 𝑅𝑀𝑆 𝐶𝑈𝑅𝑅𝐸𝑁𝑇</a:t>
              </a:r>
              <a:r>
                <a:rPr lang="en-US" sz="800" b="0" i="0">
                  <a:latin typeface="Cambria Math" panose="02040503050406030204" pitchFamily="18" charset="0"/>
                </a:rPr>
                <a:t>)</a:t>
              </a:r>
              <a:r>
                <a:rPr lang="en-US" sz="800" b="0" i="0">
                  <a:latin typeface="Cambria Math"/>
                  <a:ea typeface="Cambria Math"/>
                </a:rPr>
                <a:t>=</a:t>
              </a:r>
              <a:r>
                <a:rPr lang="en-US" sz="800" b="0" i="0">
                  <a:latin typeface="Cambria Math" panose="02040503050406030204" pitchFamily="18" charset="0"/>
                  <a:ea typeface="Cambria Math"/>
                </a:rPr>
                <a:t>√(∑_(</a:t>
              </a:r>
              <a:r>
                <a:rPr lang="en-US" sz="800" b="0" i="0">
                  <a:latin typeface="Cambria Math"/>
                  <a:ea typeface="Cambria Math"/>
                </a:rPr>
                <a:t>𝑛=1</a:t>
              </a:r>
              <a:r>
                <a:rPr lang="en-US" sz="800" b="0" i="0">
                  <a:latin typeface="Cambria Math" panose="02040503050406030204" pitchFamily="18" charset="0"/>
                  <a:ea typeface="Cambria Math"/>
                </a:rPr>
                <a:t>)^</a:t>
              </a:r>
              <a:r>
                <a:rPr lang="en-US" sz="800" b="0" i="0">
                  <a:latin typeface="Cambria Math"/>
                  <a:ea typeface="Cambria Math"/>
                </a:rPr>
                <a:t>𝑛</a:t>
              </a:r>
              <a:r>
                <a:rPr lang="en-US" sz="1000" b="0" i="0" kern="1200">
                  <a:solidFill>
                    <a:schemeClr val="tx1"/>
                  </a:solidFill>
                  <a:effectLst/>
                  <a:latin typeface="Cambria Math" panose="02040503050406030204" pitchFamily="18" charset="0"/>
                  <a:ea typeface="+mn-ea"/>
                  <a:cs typeface="+mn-cs"/>
                </a:rPr>
                <a:t>▒𝐼_𝑛^2 </a:t>
              </a:r>
              <a:r>
                <a:rPr lang="en-US" sz="800" b="0" i="0" kern="1200">
                  <a:solidFill>
                    <a:schemeClr val="tx1"/>
                  </a:solidFill>
                  <a:effectLst/>
                  <a:latin typeface="Cambria Math" panose="02040503050406030204" pitchFamily="18" charset="0"/>
                  <a:ea typeface="Cambria Math"/>
                  <a:cs typeface="+mn-cs"/>
                </a:rPr>
                <a:t>)</a:t>
              </a:r>
              <a:endParaRPr lang="en-US" sz="800" b="0"/>
            </a:p>
          </xdr:txBody>
        </xdr:sp>
      </mc:Fallback>
    </mc:AlternateContent>
    <xdr:clientData/>
  </xdr:twoCellAnchor>
  <xdr:twoCellAnchor>
    <xdr:from>
      <xdr:col>13</xdr:col>
      <xdr:colOff>21981</xdr:colOff>
      <xdr:row>182</xdr:row>
      <xdr:rowOff>7304</xdr:rowOff>
    </xdr:from>
    <xdr:to>
      <xdr:col>41</xdr:col>
      <xdr:colOff>41031</xdr:colOff>
      <xdr:row>183</xdr:row>
      <xdr:rowOff>58773</xdr:rowOff>
    </xdr:to>
    <mc:AlternateContent xmlns:mc="http://schemas.openxmlformats.org/markup-compatibility/2006" xmlns:a14="http://schemas.microsoft.com/office/drawing/2010/main">
      <mc:Choice Requires="a14">
        <xdr:sp macro="" textlink="">
          <xdr:nvSpPr>
            <xdr:cNvPr id="22" name="TextBox 14">
              <a:extLst>
                <a:ext uri="{FF2B5EF4-FFF2-40B4-BE49-F238E27FC236}">
                  <a16:creationId xmlns:a16="http://schemas.microsoft.com/office/drawing/2014/main" id="{13CDD732-7CCA-40DC-AB4A-9EC73919E4FC}"/>
                </a:ext>
              </a:extLst>
            </xdr:cNvPr>
            <xdr:cNvSpPr txBox="1"/>
          </xdr:nvSpPr>
          <xdr:spPr>
            <a:xfrm>
              <a:off x="2374656" y="41612504"/>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𝑅𝐴𝑇𝐸𝐷</m:t>
                        </m:r>
                        <m:r>
                          <a:rPr lang="en-US" sz="1000" b="0" i="1">
                            <a:latin typeface="Cambria Math"/>
                          </a:rPr>
                          <m:t> </m:t>
                        </m:r>
                        <m:r>
                          <a:rPr lang="en-US" sz="1000" b="0" i="1">
                            <a:latin typeface="Cambria Math"/>
                          </a:rPr>
                          <m:t>𝐹𝑈𝑁𝐷𝐴𝑀𝐸𝑁𝑇𝐴𝐿</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num>
                      <m:den>
                        <m:r>
                          <a:rPr lang="en-US" sz="1000" b="0" i="1">
                            <a:latin typeface="Cambria Math"/>
                            <a:ea typeface="Cambria Math"/>
                          </a:rPr>
                          <m:t>1.73×</m:t>
                        </m:r>
                        <m:sSub>
                          <m:sSubPr>
                            <m:ctrlPr>
                              <a:rPr lang="en-US" sz="1100" b="0" i="1" kern="1200">
                                <a:solidFill>
                                  <a:schemeClr val="tx1"/>
                                </a:solidFill>
                                <a:effectLst/>
                                <a:latin typeface="Cambria Math" panose="02040503050406030204" pitchFamily="18" charset="0"/>
                                <a:ea typeface="+mn-ea"/>
                                <a:cs typeface="+mn-cs"/>
                              </a:rPr>
                            </m:ctrlPr>
                          </m:sSubPr>
                          <m:e>
                            <m:r>
                              <a:rPr lang="en-US" sz="1100" b="0" i="1" kern="1200">
                                <a:solidFill>
                                  <a:schemeClr val="tx1"/>
                                </a:solidFill>
                                <a:effectLst/>
                                <a:latin typeface="Cambria Math" panose="02040503050406030204" pitchFamily="18" charset="0"/>
                                <a:ea typeface="+mn-ea"/>
                                <a:cs typeface="+mn-cs"/>
                              </a:rPr>
                              <m:t>𝑘𝑉</m:t>
                            </m:r>
                          </m:e>
                          <m:sub>
                            <m:r>
                              <a:rPr lang="en-US" sz="1100" b="0" i="1" kern="1200">
                                <a:solidFill>
                                  <a:schemeClr val="tx1"/>
                                </a:solidFill>
                                <a:effectLst/>
                                <a:latin typeface="Cambria Math" panose="02040503050406030204" pitchFamily="18" charset="0"/>
                                <a:ea typeface="+mn-ea"/>
                                <a:cs typeface="+mn-cs"/>
                              </a:rPr>
                              <m:t>𝐿𝐿𝑆𝑌𝑆</m:t>
                            </m:r>
                          </m:sub>
                        </m:sSub>
                      </m:den>
                    </m:f>
                    <m:r>
                      <a:rPr lang="en-US" sz="1000" b="0" i="1">
                        <a:latin typeface="Cambria Math"/>
                        <a:ea typeface="Cambria Math"/>
                      </a:rPr>
                      <m:t>×1000=</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1.0</m:t>
                        </m:r>
                      </m:num>
                      <m:den>
                        <m:r>
                          <a:rPr lang="en-US" sz="1000" i="1">
                            <a:latin typeface="Cambria Math"/>
                            <a:ea typeface="Cambria Math"/>
                          </a:rPr>
                          <m:t>1.73×</m:t>
                        </m:r>
                        <m:r>
                          <a:rPr lang="en-US" sz="1000" b="0" i="1">
                            <a:latin typeface="Cambria Math"/>
                            <a:ea typeface="Cambria Math"/>
                          </a:rPr>
                          <m:t>13.8</m:t>
                        </m:r>
                      </m:den>
                    </m:f>
                    <m:r>
                      <a:rPr lang="en-US" sz="1000" i="1">
                        <a:latin typeface="Cambria Math"/>
                        <a:ea typeface="Cambria Math"/>
                      </a:rPr>
                      <m:t>×1000</m:t>
                    </m:r>
                    <m:r>
                      <a:rPr lang="en-US" sz="1000" b="0" i="1">
                        <a:latin typeface="Cambria Math"/>
                        <a:ea typeface="Cambria Math"/>
                      </a:rPr>
                      <m:t>=</m:t>
                    </m:r>
                    <m:r>
                      <a:rPr lang="en-US" sz="1000" b="0" i="1">
                        <a:latin typeface="Cambria Math" panose="02040503050406030204" pitchFamily="18" charset="0"/>
                        <a:ea typeface="Cambria Math"/>
                      </a:rPr>
                      <m:t>41.88</m:t>
                    </m:r>
                    <m:r>
                      <a:rPr lang="en-US" sz="1000" b="0" i="1">
                        <a:latin typeface="Cambria Math"/>
                        <a:ea typeface="Cambria Math"/>
                      </a:rPr>
                      <m:t> </m:t>
                    </m:r>
                    <m:r>
                      <a:rPr lang="en-US" sz="1000" b="0" i="1">
                        <a:latin typeface="Cambria Math"/>
                        <a:ea typeface="Cambria Math"/>
                      </a:rPr>
                      <m:t>𝑎𝑚𝑝𝑠</m:t>
                    </m:r>
                  </m:oMath>
                </m:oMathPara>
              </a14:m>
              <a:endParaRPr lang="en-US" sz="1000" b="0"/>
            </a:p>
          </xdr:txBody>
        </xdr:sp>
      </mc:Choice>
      <mc:Fallback xmlns="">
        <xdr:sp macro="" textlink="">
          <xdr:nvSpPr>
            <xdr:cNvPr id="22" name="TextBox 14">
              <a:extLst>
                <a:ext uri="{FF2B5EF4-FFF2-40B4-BE49-F238E27FC236}">
                  <a16:creationId xmlns:a16="http://schemas.microsoft.com/office/drawing/2014/main" id="{13CDD732-7CCA-40DC-AB4A-9EC73919E4FC}"/>
                </a:ext>
              </a:extLst>
            </xdr:cNvPr>
            <xdr:cNvSpPr txBox="1"/>
          </xdr:nvSpPr>
          <xdr:spPr>
            <a:xfrm>
              <a:off x="2374656" y="41612504"/>
              <a:ext cx="5086350" cy="28006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a:rPr>
                <a:t>𝐼</a:t>
              </a:r>
              <a:r>
                <a:rPr lang="en-US" sz="1000" b="0" i="0">
                  <a:latin typeface="Cambria Math" panose="02040503050406030204" pitchFamily="18" charset="0"/>
                </a:rPr>
                <a:t>_(</a:t>
              </a:r>
              <a:r>
                <a:rPr lang="en-US" sz="1000" b="0" i="0">
                  <a:latin typeface="Cambria Math"/>
                </a:rPr>
                <a:t>𝑅𝐴𝑇𝐸𝐷 𝐹𝑈𝑁𝐷𝐴𝑀𝐸𝑁𝑇𝐴𝐿</a:t>
              </a:r>
              <a:r>
                <a:rPr lang="en-US" sz="1000" b="0" i="0">
                  <a:latin typeface="Cambria Math" panose="02040503050406030204" pitchFamily="18" charset="0"/>
                </a:rPr>
                <a:t>)</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1.73×</a:t>
              </a:r>
              <a:r>
                <a:rPr lang="en-US" sz="1100" b="0" i="0" kern="1200">
                  <a:solidFill>
                    <a:schemeClr val="tx1"/>
                  </a:solidFill>
                  <a:effectLst/>
                  <a:latin typeface="Cambria Math" panose="02040503050406030204" pitchFamily="18" charset="0"/>
                  <a:ea typeface="+mn-ea"/>
                  <a:cs typeface="+mn-cs"/>
                </a:rPr>
                <a:t>〖𝑘𝑉〗_𝐿𝐿𝑆𝑌𝑆 </a:t>
              </a:r>
              <a:r>
                <a:rPr lang="en-US" sz="1000" b="0" i="0" kern="1200">
                  <a:solidFill>
                    <a:schemeClr val="tx1"/>
                  </a:solidFill>
                  <a:effectLst/>
                  <a:latin typeface="Cambria Math" panose="02040503050406030204" pitchFamily="18" charset="0"/>
                  <a:ea typeface="Cambria Math"/>
                  <a:cs typeface="+mn-cs"/>
                </a:rPr>
                <a:t>)</a:t>
              </a:r>
              <a:r>
                <a:rPr lang="en-US" sz="1000" b="0" i="0">
                  <a:latin typeface="Cambria Math"/>
                  <a:ea typeface="Cambria Math"/>
                </a:rPr>
                <a:t>×1000=</a:t>
              </a:r>
              <a:r>
                <a:rPr lang="en-US" sz="1000" b="0" i="0">
                  <a:latin typeface="Cambria Math" panose="02040503050406030204" pitchFamily="18" charset="0"/>
                  <a:ea typeface="Cambria Math"/>
                </a:rPr>
                <a:t>1.0/(</a:t>
              </a:r>
              <a:r>
                <a:rPr lang="en-US" sz="1000" i="0">
                  <a:latin typeface="Cambria Math"/>
                  <a:ea typeface="Cambria Math"/>
                </a:rPr>
                <a:t>1.73×</a:t>
              </a:r>
              <a:r>
                <a:rPr lang="en-US" sz="1000" b="0" i="0">
                  <a:latin typeface="Cambria Math"/>
                  <a:ea typeface="Cambria Math"/>
                </a:rPr>
                <a:t>13.8</a:t>
              </a:r>
              <a:r>
                <a:rPr lang="en-US" sz="1000" b="0" i="0">
                  <a:latin typeface="Cambria Math" panose="02040503050406030204" pitchFamily="18" charset="0"/>
                  <a:ea typeface="Cambria Math"/>
                </a:rPr>
                <a:t>)</a:t>
              </a:r>
              <a:r>
                <a:rPr lang="en-US" sz="1000" i="0">
                  <a:latin typeface="Cambria Math"/>
                  <a:ea typeface="Cambria Math"/>
                </a:rPr>
                <a:t>×1000</a:t>
              </a:r>
              <a:r>
                <a:rPr lang="en-US" sz="1000" b="0" i="0">
                  <a:latin typeface="Cambria Math"/>
                  <a:ea typeface="Cambria Math"/>
                </a:rPr>
                <a:t>=</a:t>
              </a:r>
              <a:r>
                <a:rPr lang="en-US" sz="1000" b="0" i="0">
                  <a:latin typeface="Cambria Math" panose="02040503050406030204" pitchFamily="18" charset="0"/>
                  <a:ea typeface="Cambria Math"/>
                </a:rPr>
                <a:t>41.88</a:t>
              </a:r>
              <a:r>
                <a:rPr lang="en-US" sz="1000" b="0" i="0">
                  <a:latin typeface="Cambria Math"/>
                  <a:ea typeface="Cambria Math"/>
                </a:rPr>
                <a:t> 𝑎𝑚𝑝𝑠</a:t>
              </a:r>
              <a:endParaRPr lang="en-US" sz="1000" b="0"/>
            </a:p>
          </xdr:txBody>
        </xdr:sp>
      </mc:Fallback>
    </mc:AlternateContent>
    <xdr:clientData/>
  </xdr:twoCellAnchor>
  <xdr:twoCellAnchor>
    <xdr:from>
      <xdr:col>13</xdr:col>
      <xdr:colOff>19782</xdr:colOff>
      <xdr:row>180</xdr:row>
      <xdr:rowOff>50933</xdr:rowOff>
    </xdr:from>
    <xdr:to>
      <xdr:col>41</xdr:col>
      <xdr:colOff>69605</xdr:colOff>
      <xdr:row>182</xdr:row>
      <xdr:rowOff>21030</xdr:rowOff>
    </xdr:to>
    <mc:AlternateContent xmlns:mc="http://schemas.openxmlformats.org/markup-compatibility/2006" xmlns:a14="http://schemas.microsoft.com/office/drawing/2010/main">
      <mc:Choice Requires="a14">
        <xdr:sp macro="" textlink="">
          <xdr:nvSpPr>
            <xdr:cNvPr id="23" name="TextBox 3">
              <a:extLst>
                <a:ext uri="{FF2B5EF4-FFF2-40B4-BE49-F238E27FC236}">
                  <a16:creationId xmlns:a16="http://schemas.microsoft.com/office/drawing/2014/main" id="{1921F58E-B971-481C-98EB-5C44B5A33686}"/>
                </a:ext>
              </a:extLst>
            </xdr:cNvPr>
            <xdr:cNvSpPr txBox="1"/>
          </xdr:nvSpPr>
          <xdr:spPr>
            <a:xfrm>
              <a:off x="2372457" y="41198933"/>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sub>
                            </m:sSub>
                          </m:den>
                        </m:f>
                        <m:r>
                          <a:rPr lang="en-US" sz="1000" b="0" i="1">
                            <a:latin typeface="Cambria Math"/>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a:rPr>
                                      <m:t>9.54</m:t>
                                    </m:r>
                                  </m:e>
                                </m:d>
                              </m:e>
                              <m:sup>
                                <m:r>
                                  <a:rPr lang="en-US" sz="1000" i="1">
                                    <a:latin typeface="Cambria Math"/>
                                  </a:rPr>
                                  <m:t>2</m:t>
                                </m:r>
                              </m:sup>
                            </m:sSup>
                          </m:num>
                          <m:den>
                            <m:r>
                              <a:rPr lang="en-US" sz="1000" b="0" i="1">
                                <a:latin typeface="Cambria Math" panose="02040503050406030204" pitchFamily="18" charset="0"/>
                              </a:rPr>
                              <m:t>199.47</m:t>
                            </m:r>
                          </m:den>
                        </m:f>
                        <m:r>
                          <a:rPr lang="en-US" sz="1000" b="0" i="1">
                            <a:latin typeface="Cambria Math"/>
                            <a:ea typeface="Cambria Math"/>
                          </a:rPr>
                          <m:t>=</m:t>
                        </m:r>
                        <m:r>
                          <a:rPr lang="en-US" sz="1000" b="0" i="1">
                            <a:latin typeface="Cambria Math" panose="02040503050406030204" pitchFamily="18" charset="0"/>
                            <a:ea typeface="Cambria Math"/>
                          </a:rPr>
                          <m:t>0.456 </m:t>
                        </m:r>
                        <m:r>
                          <a:rPr lang="en-US" sz="1000" b="0" i="1">
                            <a:latin typeface="Cambria Math" panose="02040503050406030204" pitchFamily="18" charset="0"/>
                            <a:ea typeface="Cambria Math"/>
                          </a:rPr>
                          <m:t>𝑀𝑉𝐴𝑅</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1000" b="0"/>
            </a:p>
          </xdr:txBody>
        </xdr:sp>
      </mc:Choice>
      <mc:Fallback xmlns="">
        <xdr:sp macro="" textlink="">
          <xdr:nvSpPr>
            <xdr:cNvPr id="23" name="TextBox 3">
              <a:extLst>
                <a:ext uri="{FF2B5EF4-FFF2-40B4-BE49-F238E27FC236}">
                  <a16:creationId xmlns:a16="http://schemas.microsoft.com/office/drawing/2014/main" id="{1921F58E-B971-481C-98EB-5C44B5A33686}"/>
                </a:ext>
              </a:extLst>
            </xdr:cNvPr>
            <xdr:cNvSpPr txBox="1"/>
          </xdr:nvSpPr>
          <xdr:spPr>
            <a:xfrm>
              <a:off x="2372457" y="41198933"/>
              <a:ext cx="5117123" cy="42729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 </a:t>
              </a:r>
              <a:r>
                <a:rPr lang="en-US" sz="1000" b="0" i="0">
                  <a:latin typeface="Cambria Math"/>
                  <a:ea typeface="Cambria Math"/>
                </a:rPr>
                <a:t>=</a:t>
              </a:r>
              <a:r>
                <a:rPr lang="en-US" sz="1000" b="0" i="0">
                  <a:latin typeface="Cambria Math" panose="02040503050406030204" pitchFamily="18" charset="0"/>
                  <a:ea typeface="Cambria Math"/>
                </a:rPr>
                <a:t>(</a:t>
              </a:r>
              <a:r>
                <a:rPr lang="en-US" sz="1000" b="0" i="0">
                  <a:latin typeface="Cambria Math"/>
                </a:rPr>
                <a:t>9.54</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199.47</a:t>
              </a:r>
              <a:r>
                <a:rPr lang="en-US" sz="1000" b="0" i="0">
                  <a:latin typeface="Cambria Math"/>
                  <a:ea typeface="Cambria Math"/>
                </a:rPr>
                <a:t>=</a:t>
              </a:r>
              <a:r>
                <a:rPr lang="en-US" sz="1000" b="0" i="0">
                  <a:latin typeface="Cambria Math" panose="02040503050406030204" pitchFamily="18" charset="0"/>
                  <a:ea typeface="Cambria Math"/>
                </a:rPr>
                <a:t>0.456 𝑀𝑉𝐴𝑅/𝑃ℎ𝑎𝑠𝑒〗_</a:t>
              </a:r>
              <a:endParaRPr lang="en-US" sz="1000" b="0"/>
            </a:p>
          </xdr:txBody>
        </xdr:sp>
      </mc:Fallback>
    </mc:AlternateContent>
    <xdr:clientData/>
  </xdr:twoCellAnchor>
  <xdr:twoCellAnchor>
    <xdr:from>
      <xdr:col>13</xdr:col>
      <xdr:colOff>0</xdr:colOff>
      <xdr:row>171</xdr:row>
      <xdr:rowOff>0</xdr:rowOff>
    </xdr:from>
    <xdr:to>
      <xdr:col>41</xdr:col>
      <xdr:colOff>114300</xdr:colOff>
      <xdr:row>172</xdr:row>
      <xdr:rowOff>155864</xdr:rowOff>
    </xdr:to>
    <mc:AlternateContent xmlns:mc="http://schemas.openxmlformats.org/markup-compatibility/2006" xmlns:a14="http://schemas.microsoft.com/office/drawing/2010/main">
      <mc:Choice Requires="a14">
        <xdr:sp macro="" textlink="">
          <xdr:nvSpPr>
            <xdr:cNvPr id="24" name="TextBox 14">
              <a:extLst>
                <a:ext uri="{FF2B5EF4-FFF2-40B4-BE49-F238E27FC236}">
                  <a16:creationId xmlns:a16="http://schemas.microsoft.com/office/drawing/2014/main" id="{A6374EC3-173E-4343-9AFB-ACAD39F63F12}"/>
                </a:ext>
              </a:extLst>
            </xdr:cNvPr>
            <xdr:cNvSpPr txBox="1"/>
          </xdr:nvSpPr>
          <xdr:spPr>
            <a:xfrm>
              <a:off x="2352675" y="39090600"/>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i="1">
                            <a:latin typeface="Cambria Math" panose="02040503050406030204" pitchFamily="18" charset="0"/>
                          </a:rPr>
                        </m:ctrlPr>
                      </m:sSubPr>
                      <m:e>
                        <m:r>
                          <a:rPr lang="en-US" sz="1000" i="1">
                            <a:latin typeface="Cambria Math"/>
                          </a:rPr>
                          <m:t>𝑄</m:t>
                        </m:r>
                      </m:e>
                      <m:sub>
                        <m:r>
                          <a:rPr lang="en-US" sz="1000" i="1">
                            <a:latin typeface="Cambria Math"/>
                          </a:rPr>
                          <m:t>𝑒𝑓𝑓</m:t>
                        </m:r>
                      </m:sub>
                    </m:sSub>
                    <m:r>
                      <a:rPr lang="en-US" sz="1000" b="0" i="1">
                        <a:latin typeface="Cambria Math"/>
                      </a:rPr>
                      <m:t>=</m:t>
                    </m:r>
                    <m:r>
                      <a:rPr lang="en-US" sz="1000" b="0" i="1">
                        <a:latin typeface="Cambria Math"/>
                      </a:rPr>
                      <m:t>𝑂𝑢𝑡𝑝𝑢𝑡</m:t>
                    </m:r>
                    <m:r>
                      <a:rPr lang="en-US" sz="1000" b="0" i="1">
                        <a:latin typeface="Cambria Math"/>
                      </a:rPr>
                      <m:t> </m:t>
                    </m:r>
                    <m:r>
                      <a:rPr lang="en-US" sz="1000" b="0" i="1">
                        <a:latin typeface="Cambria Math"/>
                      </a:rPr>
                      <m:t>𝑀𝑉𝐴𝑅</m:t>
                    </m:r>
                    <m:r>
                      <a:rPr lang="en-US" sz="1000" b="0" i="1">
                        <a:latin typeface="Cambria Math"/>
                      </a:rPr>
                      <m:t> </m:t>
                    </m:r>
                    <m:r>
                      <a:rPr lang="en-US" sz="1000" b="0" i="1">
                        <a:latin typeface="Cambria Math"/>
                      </a:rPr>
                      <m:t>𝑅𝑎𝑡𝑖𝑛𝑔</m:t>
                    </m:r>
                    <m:r>
                      <a:rPr lang="en-US" sz="1000" b="0" i="1">
                        <a:latin typeface="Cambria Math"/>
                      </a:rPr>
                      <m:t> </m:t>
                    </m:r>
                    <m:r>
                      <a:rPr lang="en-US" sz="1000" b="0" i="1">
                        <a:latin typeface="Cambria Math"/>
                      </a:rPr>
                      <m:t>𝑜𝑓</m:t>
                    </m:r>
                    <m:r>
                      <a:rPr lang="en-US" sz="1000" b="0" i="1">
                        <a:latin typeface="Cambria Math"/>
                      </a:rPr>
                      <m:t> </m:t>
                    </m:r>
                    <m:r>
                      <a:rPr lang="en-US" sz="1000" b="0" i="1">
                        <a:latin typeface="Cambria Math"/>
                      </a:rPr>
                      <m:t>𝐹𝑖𝑙𝑡𝑒𝑟</m:t>
                    </m:r>
                    <m:r>
                      <a:rPr lang="en-US" sz="1000" b="0" i="1">
                        <a:latin typeface="Cambria Math"/>
                        <a:ea typeface="Cambria Math"/>
                      </a:rPr>
                      <m:t>=</m:t>
                    </m:r>
                    <m:f>
                      <m:fPr>
                        <m:ctrlPr>
                          <a:rPr lang="en-US" sz="1000" b="0" i="1">
                            <a:latin typeface="Cambria Math" panose="02040503050406030204" pitchFamily="18" charset="0"/>
                            <a:ea typeface="Cambria Math"/>
                          </a:rPr>
                        </m:ctrlPr>
                      </m:fPr>
                      <m:num>
                        <m:r>
                          <a:rPr lang="en-US" sz="1000" i="1">
                            <a:latin typeface="Cambria Math"/>
                            <a:ea typeface="Cambria Math"/>
                          </a:rPr>
                          <m:t>𝐷𝑒𝑠𝑖𝑟𝑒𝑑</m:t>
                        </m:r>
                        <m:r>
                          <a:rPr lang="en-US" sz="1000" i="1">
                            <a:latin typeface="Cambria Math"/>
                            <a:ea typeface="Cambria Math"/>
                          </a:rPr>
                          <m:t> 3 </m:t>
                        </m:r>
                        <m:r>
                          <a:rPr lang="en-US" sz="1000" b="0" i="1">
                            <a:latin typeface="Cambria Math"/>
                            <a:ea typeface="Cambria Math"/>
                          </a:rPr>
                          <m:t>𝑃h𝑎𝑠𝑒</m:t>
                        </m:r>
                        <m:r>
                          <a:rPr lang="en-US" sz="1000" b="0" i="1">
                            <a:latin typeface="Cambria Math"/>
                            <a:ea typeface="Cambria Math"/>
                          </a:rPr>
                          <m:t> </m:t>
                        </m:r>
                        <m:r>
                          <a:rPr lang="en-US" sz="1000" i="1">
                            <a:latin typeface="Cambria Math"/>
                            <a:ea typeface="Cambria Math"/>
                          </a:rPr>
                          <m:t>𝑘𝑣𝑎𝑟</m:t>
                        </m:r>
                      </m:num>
                      <m:den>
                        <m:r>
                          <a:rPr lang="en-US" sz="1000" b="0" i="1">
                            <a:latin typeface="Cambria Math"/>
                            <a:ea typeface="Cambria Math"/>
                          </a:rPr>
                          <m:t>1000</m:t>
                        </m:r>
                      </m:den>
                    </m:f>
                    <m:r>
                      <a:rPr lang="en-US" sz="1000" b="0" i="1">
                        <a:latin typeface="Cambria Math"/>
                        <a:ea typeface="Cambria Math"/>
                      </a:rPr>
                      <m:t> =</m:t>
                    </m:r>
                    <m:r>
                      <a:rPr lang="en-US" sz="1000" b="0" i="1">
                        <a:latin typeface="Cambria Math" panose="02040503050406030204" pitchFamily="18" charset="0"/>
                        <a:ea typeface="Cambria Math"/>
                      </a:rPr>
                      <m:t>1</m:t>
                    </m:r>
                    <m:r>
                      <a:rPr lang="en-US" sz="1000" b="0" i="1">
                        <a:latin typeface="Cambria Math"/>
                        <a:ea typeface="Cambria Math"/>
                      </a:rPr>
                      <m:t>.</m:t>
                    </m:r>
                    <m:r>
                      <a:rPr lang="en-US" sz="1000" b="0" i="1">
                        <a:latin typeface="Cambria Math" panose="02040503050406030204" pitchFamily="18" charset="0"/>
                        <a:ea typeface="Cambria Math"/>
                      </a:rPr>
                      <m:t>0</m:t>
                    </m:r>
                    <m:r>
                      <a:rPr lang="en-US" sz="1000" b="0" i="1">
                        <a:latin typeface="Cambria Math"/>
                        <a:ea typeface="Cambria Math"/>
                      </a:rPr>
                      <m:t> </m:t>
                    </m:r>
                    <m:r>
                      <a:rPr lang="en-US" sz="1000" b="0" i="1">
                        <a:latin typeface="Cambria Math"/>
                        <a:ea typeface="Cambria Math"/>
                      </a:rPr>
                      <m:t>𝑀𝑉𝐴𝑅</m:t>
                    </m:r>
                  </m:oMath>
                </m:oMathPara>
              </a14:m>
              <a:endParaRPr lang="en-US" sz="1000" b="0"/>
            </a:p>
          </xdr:txBody>
        </xdr:sp>
      </mc:Choice>
      <mc:Fallback xmlns="">
        <xdr:sp macro="" textlink="">
          <xdr:nvSpPr>
            <xdr:cNvPr id="24" name="TextBox 14">
              <a:extLst>
                <a:ext uri="{FF2B5EF4-FFF2-40B4-BE49-F238E27FC236}">
                  <a16:creationId xmlns:a16="http://schemas.microsoft.com/office/drawing/2014/main" id="{A6374EC3-173E-4343-9AFB-ACAD39F63F12}"/>
                </a:ext>
              </a:extLst>
            </xdr:cNvPr>
            <xdr:cNvSpPr txBox="1"/>
          </xdr:nvSpPr>
          <xdr:spPr>
            <a:xfrm>
              <a:off x="2352675" y="39090600"/>
              <a:ext cx="5181600" cy="38446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i="0">
                  <a:latin typeface="Cambria Math"/>
                </a:rPr>
                <a:t>𝑄</a:t>
              </a:r>
              <a:r>
                <a:rPr lang="en-US" sz="1000" i="0">
                  <a:latin typeface="Cambria Math" panose="02040503050406030204" pitchFamily="18" charset="0"/>
                </a:rPr>
                <a:t>_</a:t>
              </a:r>
              <a:r>
                <a:rPr lang="en-US" sz="1000" i="0">
                  <a:latin typeface="Cambria Math"/>
                </a:rPr>
                <a:t>𝑒𝑓𝑓</a:t>
              </a:r>
              <a:r>
                <a:rPr lang="en-US" sz="1000" b="0" i="0">
                  <a:latin typeface="Cambria Math"/>
                </a:rPr>
                <a:t>=𝑂𝑢𝑡𝑝𝑢𝑡 𝑀𝑉𝐴𝑅 𝑅𝑎𝑡𝑖𝑛𝑔 𝑜𝑓 𝐹𝑖𝑙𝑡𝑒𝑟</a:t>
              </a:r>
              <a:r>
                <a:rPr lang="en-US" sz="1000" b="0" i="0">
                  <a:latin typeface="Cambria Math"/>
                  <a:ea typeface="Cambria Math"/>
                </a:rPr>
                <a:t>=</a:t>
              </a:r>
              <a:r>
                <a:rPr lang="en-US" sz="1000" b="0" i="0">
                  <a:latin typeface="Cambria Math" panose="02040503050406030204" pitchFamily="18" charset="0"/>
                  <a:ea typeface="Cambria Math"/>
                </a:rPr>
                <a:t>(</a:t>
              </a:r>
              <a:r>
                <a:rPr lang="en-US" sz="1000" i="0">
                  <a:latin typeface="Cambria Math"/>
                  <a:ea typeface="Cambria Math"/>
                </a:rPr>
                <a:t>𝐷𝑒𝑠𝑖𝑟𝑒𝑑 3 </a:t>
              </a:r>
              <a:r>
                <a:rPr lang="en-US" sz="1000" b="0" i="0">
                  <a:latin typeface="Cambria Math"/>
                  <a:ea typeface="Cambria Math"/>
                </a:rPr>
                <a:t>𝑃ℎ𝑎𝑠𝑒 </a:t>
              </a:r>
              <a:r>
                <a:rPr lang="en-US" sz="1000" i="0">
                  <a:latin typeface="Cambria Math"/>
                  <a:ea typeface="Cambria Math"/>
                </a:rPr>
                <a:t>𝑘𝑣𝑎𝑟</a:t>
              </a:r>
              <a:r>
                <a:rPr lang="en-US" sz="1000" b="0" i="0">
                  <a:latin typeface="Cambria Math" panose="02040503050406030204" pitchFamily="18" charset="0"/>
                  <a:ea typeface="Cambria Math"/>
                </a:rPr>
                <a:t>)/</a:t>
              </a:r>
              <a:r>
                <a:rPr lang="en-US" sz="1000" b="0" i="0">
                  <a:latin typeface="Cambria Math"/>
                  <a:ea typeface="Cambria Math"/>
                </a:rPr>
                <a:t>1000  =</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0</a:t>
              </a:r>
              <a:r>
                <a:rPr lang="en-US" sz="1000" b="0" i="0">
                  <a:latin typeface="Cambria Math"/>
                  <a:ea typeface="Cambria Math"/>
                </a:rPr>
                <a:t> 𝑀𝑉𝐴𝑅</a:t>
              </a:r>
              <a:endParaRPr lang="en-US" sz="1000" b="0"/>
            </a:p>
          </xdr:txBody>
        </xdr:sp>
      </mc:Fallback>
    </mc:AlternateContent>
    <xdr:clientData/>
  </xdr:twoCellAnchor>
  <xdr:twoCellAnchor>
    <xdr:from>
      <xdr:col>12</xdr:col>
      <xdr:colOff>183931</xdr:colOff>
      <xdr:row>172</xdr:row>
      <xdr:rowOff>135164</xdr:rowOff>
    </xdr:from>
    <xdr:to>
      <xdr:col>40</xdr:col>
      <xdr:colOff>47625</xdr:colOff>
      <xdr:row>173</xdr:row>
      <xdr:rowOff>155415</xdr:rowOff>
    </xdr:to>
    <mc:AlternateContent xmlns:mc="http://schemas.openxmlformats.org/markup-compatibility/2006" xmlns:a14="http://schemas.microsoft.com/office/drawing/2010/main">
      <mc:Choice Requires="a14">
        <xdr:sp macro="" textlink="">
          <xdr:nvSpPr>
            <xdr:cNvPr id="25" name="TextBox 25">
              <a:extLst>
                <a:ext uri="{FF2B5EF4-FFF2-40B4-BE49-F238E27FC236}">
                  <a16:creationId xmlns:a16="http://schemas.microsoft.com/office/drawing/2014/main" id="{9B52D881-CCFF-4FFE-ADB9-55D2E7976F6E}"/>
                </a:ext>
              </a:extLst>
            </xdr:cNvPr>
            <xdr:cNvSpPr txBox="1"/>
          </xdr:nvSpPr>
          <xdr:spPr>
            <a:xfrm>
              <a:off x="2355631" y="39454364"/>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𝑉</m:t>
                      </m:r>
                    </m:e>
                    <m:sub>
                      <m:r>
                        <a:rPr lang="en-US" sz="1000" b="0" i="1">
                          <a:latin typeface="Cambria Math"/>
                        </a:rPr>
                        <m:t>𝐿𝐿𝑆𝑌𝑆</m:t>
                      </m:r>
                    </m:sub>
                  </m:sSub>
                  <m:r>
                    <a:rPr lang="en-US" sz="1000" b="0" i="1">
                      <a:latin typeface="Cambria Math"/>
                      <a:ea typeface="Cambria Math"/>
                    </a:rPr>
                    <m:t>=</m:t>
                  </m:r>
                  <m:r>
                    <a:rPr lang="en-US" sz="1000" b="0" i="1">
                      <a:latin typeface="Cambria Math"/>
                      <a:ea typeface="Cambria Math"/>
                    </a:rPr>
                    <m:t>𝐹𝑖𝑙𝑡𝑒𝑟</m:t>
                  </m:r>
                  <m:r>
                    <a:rPr lang="en-US" sz="1000" b="0" i="1">
                      <a:latin typeface="Cambria Math"/>
                      <a:ea typeface="Cambria Math"/>
                    </a:rPr>
                    <m:t> </m:t>
                  </m:r>
                  <m:r>
                    <a:rPr lang="en-US" sz="1000" b="0" i="1">
                      <a:latin typeface="Cambria Math"/>
                      <a:ea typeface="Cambria Math"/>
                    </a:rPr>
                    <m:t>𝑁𝑜𝑚𝑖𝑛𝑎𝑙</m:t>
                  </m:r>
                  <m:r>
                    <a:rPr lang="en-US" sz="1000" b="0" i="1">
                      <a:latin typeface="Cambria Math"/>
                      <a:ea typeface="Cambria Math"/>
                    </a:rPr>
                    <m:t> </m:t>
                  </m:r>
                  <m:r>
                    <a:rPr lang="en-US" sz="1000" b="0" i="1">
                      <a:latin typeface="Cambria Math"/>
                      <a:ea typeface="Cambria Math"/>
                    </a:rPr>
                    <m:t>𝐿𝑖𝑛𝑒</m:t>
                  </m:r>
                  <m:r>
                    <a:rPr lang="en-US" sz="1000" b="0" i="1">
                      <a:latin typeface="Cambria Math" panose="02040503050406030204" pitchFamily="18" charset="0"/>
                      <a:ea typeface="Cambria Math"/>
                    </a:rPr>
                    <m:t>−</m:t>
                  </m:r>
                  <m:r>
                    <a:rPr lang="en-US" sz="1000" b="0" i="1">
                      <a:latin typeface="Cambria Math"/>
                      <a:ea typeface="Cambria Math"/>
                    </a:rPr>
                    <m:t>𝑡𝑜</m:t>
                  </m:r>
                  <m:r>
                    <a:rPr lang="en-US" sz="1000" b="0" i="1">
                      <a:latin typeface="Cambria Math" panose="02040503050406030204" pitchFamily="18" charset="0"/>
                      <a:ea typeface="Cambria Math"/>
                    </a:rPr>
                    <m:t>−</m:t>
                  </m:r>
                  <m:r>
                    <a:rPr lang="en-US" sz="1000" b="0" i="1">
                      <a:latin typeface="Cambria Math"/>
                      <a:ea typeface="Cambria Math"/>
                    </a:rPr>
                    <m:t>𝐿𝑖𝑛𝑒</m:t>
                  </m:r>
                  <m:r>
                    <a:rPr lang="en-US" sz="1000" b="0" i="1">
                      <a:latin typeface="Cambria Math"/>
                      <a:ea typeface="Cambria Math"/>
                    </a:rPr>
                    <m:t> </m:t>
                  </m:r>
                  <m:r>
                    <a:rPr lang="en-US" sz="1000" b="0" i="1">
                      <a:latin typeface="Cambria Math"/>
                      <a:ea typeface="Cambria Math"/>
                    </a:rPr>
                    <m:t>𝑉𝑜𝑙𝑡𝑎𝑔𝑒</m:t>
                  </m:r>
                  <m:r>
                    <a:rPr lang="en-US" sz="1000" b="0" i="1">
                      <a:latin typeface="Cambria Math"/>
                      <a:ea typeface="Cambria Math"/>
                    </a:rPr>
                    <m:t> </m:t>
                  </m:r>
                  <m:r>
                    <a:rPr lang="en-US" sz="1000" b="0" i="1">
                      <a:latin typeface="Cambria Math"/>
                      <a:ea typeface="Cambria Math"/>
                    </a:rPr>
                    <m:t>𝑅𝑎𝑡𝑖𝑛𝑔</m:t>
                  </m:r>
                  <m:r>
                    <a:rPr lang="en-US" sz="1000" b="0" i="1">
                      <a:latin typeface="Cambria Math"/>
                      <a:ea typeface="Cambria Math"/>
                    </a:rPr>
                    <m:t> </m:t>
                  </m:r>
                  <m:d>
                    <m:dPr>
                      <m:ctrlPr>
                        <a:rPr lang="en-US" sz="1000" b="0" i="1">
                          <a:latin typeface="Cambria Math" panose="02040503050406030204" pitchFamily="18" charset="0"/>
                          <a:ea typeface="Cambria Math"/>
                        </a:rPr>
                      </m:ctrlPr>
                    </m:dPr>
                    <m:e>
                      <m:r>
                        <a:rPr lang="en-US" sz="1000" b="0" i="1">
                          <a:latin typeface="Cambria Math"/>
                          <a:ea typeface="Cambria Math"/>
                        </a:rPr>
                        <m:t>𝐾𝑉</m:t>
                      </m:r>
                    </m:e>
                  </m:d>
                  <m:r>
                    <a:rPr lang="en-US" sz="1000" b="0" i="1">
                      <a:latin typeface="Cambria Math"/>
                      <a:ea typeface="Cambria Math"/>
                    </a:rPr>
                    <m:t>=13.8 </m:t>
                  </m:r>
                  <m:r>
                    <a:rPr lang="en-US" sz="1000" b="0" i="1">
                      <a:latin typeface="Cambria Math"/>
                      <a:ea typeface="Cambria Math"/>
                    </a:rPr>
                    <m:t>𝑘𝑉</m:t>
                  </m:r>
                </m:oMath>
              </a14:m>
              <a:endParaRPr lang="en-US" sz="1000" b="0"/>
            </a:p>
          </xdr:txBody>
        </xdr:sp>
      </mc:Choice>
      <mc:Fallback xmlns="">
        <xdr:sp macro="" textlink="">
          <xdr:nvSpPr>
            <xdr:cNvPr id="25" name="TextBox 25">
              <a:extLst>
                <a:ext uri="{FF2B5EF4-FFF2-40B4-BE49-F238E27FC236}">
                  <a16:creationId xmlns:a16="http://schemas.microsoft.com/office/drawing/2014/main" id="{9B52D881-CCFF-4FFE-ADB9-55D2E7976F6E}"/>
                </a:ext>
              </a:extLst>
            </xdr:cNvPr>
            <xdr:cNvSpPr txBox="1"/>
          </xdr:nvSpPr>
          <xdr:spPr>
            <a:xfrm>
              <a:off x="2355631" y="39454364"/>
              <a:ext cx="4930994" cy="248851"/>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r>
                <a:rPr lang="en-US" sz="1000" b="0" i="0">
                  <a:latin typeface="Cambria Math"/>
                </a:rPr>
                <a:t>𝑉</a:t>
              </a:r>
              <a:r>
                <a:rPr lang="en-US" sz="1000" b="0" i="0">
                  <a:latin typeface="Cambria Math" panose="02040503050406030204" pitchFamily="18" charset="0"/>
                </a:rPr>
                <a:t>_</a:t>
              </a:r>
              <a:r>
                <a:rPr lang="en-US" sz="1000" b="0" i="0">
                  <a:latin typeface="Cambria Math"/>
                </a:rPr>
                <a:t>𝐿𝐿𝑆𝑌𝑆</a:t>
              </a:r>
              <a:r>
                <a:rPr lang="en-US" sz="1000" b="0" i="0">
                  <a:latin typeface="Cambria Math"/>
                  <a:ea typeface="Cambria Math"/>
                </a:rPr>
                <a:t>=𝐹𝑖𝑙𝑡𝑒𝑟 𝑁𝑜𝑚𝑖𝑛𝑎𝑙 𝐿𝑖𝑛𝑒</a:t>
              </a:r>
              <a:r>
                <a:rPr lang="en-US" sz="1000" b="0" i="0">
                  <a:latin typeface="Cambria Math" panose="02040503050406030204" pitchFamily="18" charset="0"/>
                  <a:ea typeface="Cambria Math"/>
                </a:rPr>
                <a:t>−</a:t>
              </a:r>
              <a:r>
                <a:rPr lang="en-US" sz="1000" b="0" i="0">
                  <a:latin typeface="Cambria Math"/>
                  <a:ea typeface="Cambria Math"/>
                </a:rPr>
                <a:t>𝑡𝑜</a:t>
              </a:r>
              <a:r>
                <a:rPr lang="en-US" sz="1000" b="0" i="0">
                  <a:latin typeface="Cambria Math" panose="02040503050406030204" pitchFamily="18" charset="0"/>
                  <a:ea typeface="Cambria Math"/>
                </a:rPr>
                <a:t>−</a:t>
              </a:r>
              <a:r>
                <a:rPr lang="en-US" sz="1000" b="0" i="0">
                  <a:latin typeface="Cambria Math"/>
                  <a:ea typeface="Cambria Math"/>
                </a:rPr>
                <a:t>𝐿𝑖𝑛𝑒 𝑉𝑜𝑙𝑡𝑎𝑔𝑒 𝑅𝑎𝑡𝑖𝑛𝑔 </a:t>
              </a:r>
              <a:r>
                <a:rPr lang="en-US" sz="1000" b="0" i="0">
                  <a:latin typeface="Cambria Math" panose="02040503050406030204" pitchFamily="18" charset="0"/>
                  <a:ea typeface="Cambria Math"/>
                </a:rPr>
                <a:t>(</a:t>
              </a:r>
              <a:r>
                <a:rPr lang="en-US" sz="1000" b="0" i="0">
                  <a:latin typeface="Cambria Math"/>
                  <a:ea typeface="Cambria Math"/>
                </a:rPr>
                <a:t>𝐾𝑉</a:t>
              </a:r>
              <a:r>
                <a:rPr lang="en-US" sz="1000" b="0" i="0">
                  <a:latin typeface="Cambria Math" panose="02040503050406030204" pitchFamily="18" charset="0"/>
                  <a:ea typeface="Cambria Math"/>
                </a:rPr>
                <a:t>)</a:t>
              </a:r>
              <a:r>
                <a:rPr lang="en-US" sz="1000" b="0" i="0">
                  <a:latin typeface="Cambria Math"/>
                  <a:ea typeface="Cambria Math"/>
                </a:rPr>
                <a:t>=13.8 𝑘𝑉</a:t>
              </a:r>
              <a:endParaRPr lang="en-US" sz="1000" b="0"/>
            </a:p>
          </xdr:txBody>
        </xdr:sp>
      </mc:Fallback>
    </mc:AlternateContent>
    <xdr:clientData/>
  </xdr:twoCellAnchor>
  <xdr:twoCellAnchor>
    <xdr:from>
      <xdr:col>32</xdr:col>
      <xdr:colOff>114450</xdr:colOff>
      <xdr:row>175</xdr:row>
      <xdr:rowOff>39156</xdr:rowOff>
    </xdr:from>
    <xdr:to>
      <xdr:col>38</xdr:col>
      <xdr:colOff>107125</xdr:colOff>
      <xdr:row>176</xdr:row>
      <xdr:rowOff>49264</xdr:rowOff>
    </xdr:to>
    <mc:AlternateContent xmlns:mc="http://schemas.openxmlformats.org/markup-compatibility/2006" xmlns:a14="http://schemas.microsoft.com/office/drawing/2010/main">
      <mc:Choice Requires="a14">
        <xdr:sp macro="" textlink="">
          <xdr:nvSpPr>
            <xdr:cNvPr id="26" name="TextBox 19">
              <a:extLst>
                <a:ext uri="{FF2B5EF4-FFF2-40B4-BE49-F238E27FC236}">
                  <a16:creationId xmlns:a16="http://schemas.microsoft.com/office/drawing/2014/main" id="{ACF29F5D-7917-49EE-BF54-BED6A1829ABD}"/>
                </a:ext>
              </a:extLst>
            </xdr:cNvPr>
            <xdr:cNvSpPr txBox="1"/>
          </xdr:nvSpPr>
          <xdr:spPr>
            <a:xfrm>
              <a:off x="5905650" y="40044156"/>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14:m>
                <m:oMath xmlns:m="http://schemas.openxmlformats.org/officeDocument/2006/math">
                  <m:r>
                    <a:rPr lang="en-US" sz="1000" b="0" i="1">
                      <a:solidFill>
                        <a:schemeClr val="tx1"/>
                      </a:solidFill>
                      <a:latin typeface="Cambria Math" panose="02040503050406030204" pitchFamily="18" charset="0"/>
                    </a:rPr>
                    <m:t>𝐶</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r>
                        <a:rPr lang="en-US" sz="1000" b="0" i="1">
                          <a:solidFill>
                            <a:schemeClr val="tx1"/>
                          </a:solidFill>
                          <a:latin typeface="Cambria Math" panose="02040503050406030204" pitchFamily="18" charset="0"/>
                        </a:rPr>
                        <m:t>1</m:t>
                      </m:r>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𝑋</m:t>
                          </m:r>
                        </m:e>
                        <m:sub>
                          <m:r>
                            <a:rPr lang="en-US" sz="1000" b="0" i="1">
                              <a:solidFill>
                                <a:schemeClr val="tx1"/>
                              </a:solidFill>
                              <a:latin typeface="Cambria Math" panose="02040503050406030204" pitchFamily="18" charset="0"/>
                              <a:ea typeface="Cambria Math" panose="02040503050406030204" pitchFamily="18" charset="0"/>
                            </a:rPr>
                            <m:t>𝑐</m:t>
                          </m:r>
                        </m:sub>
                      </m:sSub>
                    </m:den>
                  </m:f>
                </m:oMath>
              </a14:m>
              <a:r>
                <a:rPr lang="en-US" sz="1000">
                  <a:solidFill>
                    <a:schemeClr val="tx1"/>
                  </a:solidFill>
                </a:rPr>
                <a:t> (f)</a:t>
              </a:r>
            </a:p>
          </xdr:txBody>
        </xdr:sp>
      </mc:Choice>
      <mc:Fallback xmlns="">
        <xdr:sp macro="" textlink="">
          <xdr:nvSpPr>
            <xdr:cNvPr id="26" name="TextBox 19">
              <a:extLst>
                <a:ext uri="{FF2B5EF4-FFF2-40B4-BE49-F238E27FC236}">
                  <a16:creationId xmlns:a16="http://schemas.microsoft.com/office/drawing/2014/main" id="{ACF29F5D-7917-49EE-BF54-BED6A1829ABD}"/>
                </a:ext>
              </a:extLst>
            </xdr:cNvPr>
            <xdr:cNvSpPr txBox="1"/>
          </xdr:nvSpPr>
          <xdr:spPr>
            <a:xfrm>
              <a:off x="5905650" y="40044156"/>
              <a:ext cx="1078525" cy="23870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b="0" i="0">
                  <a:solidFill>
                    <a:schemeClr val="tx1"/>
                  </a:solidFill>
                  <a:latin typeface="Cambria Math" panose="02040503050406030204" pitchFamily="18" charset="0"/>
                </a:rPr>
                <a:t>𝐶</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1/(2</a:t>
              </a:r>
              <a:r>
                <a:rPr lang="en-US" sz="1000" b="0" i="0">
                  <a:solidFill>
                    <a:schemeClr val="tx1"/>
                  </a:solidFill>
                  <a:latin typeface="Cambria Math" panose="02040503050406030204" pitchFamily="18" charset="0"/>
                  <a:ea typeface="Cambria Math" panose="02040503050406030204" pitchFamily="18" charset="0"/>
                </a:rPr>
                <a:t>𝜋𝑓𝑋_𝑐 )</a:t>
              </a:r>
              <a:r>
                <a:rPr lang="en-US" sz="1000">
                  <a:solidFill>
                    <a:schemeClr val="tx1"/>
                  </a:solidFill>
                </a:rPr>
                <a:t> (f)</a:t>
              </a:r>
            </a:p>
          </xdr:txBody>
        </xdr:sp>
      </mc:Fallback>
    </mc:AlternateContent>
    <xdr:clientData/>
  </xdr:twoCellAnchor>
  <xdr:twoCellAnchor>
    <xdr:from>
      <xdr:col>21</xdr:col>
      <xdr:colOff>149780</xdr:colOff>
      <xdr:row>176</xdr:row>
      <xdr:rowOff>123549</xdr:rowOff>
    </xdr:from>
    <xdr:to>
      <xdr:col>29</xdr:col>
      <xdr:colOff>85650</xdr:colOff>
      <xdr:row>177</xdr:row>
      <xdr:rowOff>211565</xdr:rowOff>
    </xdr:to>
    <mc:AlternateContent xmlns:mc="http://schemas.openxmlformats.org/markup-compatibility/2006" xmlns:a14="http://schemas.microsoft.com/office/drawing/2010/main">
      <mc:Choice Requires="a14">
        <xdr:sp macro="" textlink="">
          <xdr:nvSpPr>
            <xdr:cNvPr id="27" name="TextBox 34">
              <a:extLst>
                <a:ext uri="{FF2B5EF4-FFF2-40B4-BE49-F238E27FC236}">
                  <a16:creationId xmlns:a16="http://schemas.microsoft.com/office/drawing/2014/main" id="{FB6271D4-A373-4260-BDF1-70B3C2E0C6BF}"/>
                </a:ext>
              </a:extLst>
            </xdr:cNvPr>
            <xdr:cNvSpPr txBox="1"/>
          </xdr:nvSpPr>
          <xdr:spPr>
            <a:xfrm>
              <a:off x="3950255" y="40357149"/>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sz="1000" b="0" i="1">
                        <a:solidFill>
                          <a:schemeClr val="tx1"/>
                        </a:solidFill>
                        <a:latin typeface="Cambria Math" panose="02040503050406030204" pitchFamily="18" charset="0"/>
                      </a:rPr>
                      <m:t>𝐿</m:t>
                    </m:r>
                    <m:r>
                      <a:rPr lang="en-US" sz="1000" i="1">
                        <a:solidFill>
                          <a:schemeClr val="tx1"/>
                        </a:solidFill>
                        <a:latin typeface="Cambria Math" panose="02040503050406030204" pitchFamily="18" charset="0"/>
                      </a:rPr>
                      <m:t>=</m:t>
                    </m:r>
                    <m:f>
                      <m:fPr>
                        <m:ctrlPr>
                          <a:rPr lang="en-US" sz="1000" i="1">
                            <a:solidFill>
                              <a:schemeClr val="tx1"/>
                            </a:solidFill>
                            <a:latin typeface="Cambria Math" panose="02040503050406030204" pitchFamily="18" charset="0"/>
                          </a:rPr>
                        </m:ctrlPr>
                      </m:fPr>
                      <m:num>
                        <m:sSub>
                          <m:sSubPr>
                            <m:ctrlPr>
                              <a:rPr lang="en-US" sz="1000" i="1">
                                <a:solidFill>
                                  <a:schemeClr val="tx1"/>
                                </a:solidFill>
                                <a:latin typeface="Cambria Math" panose="02040503050406030204" pitchFamily="18" charset="0"/>
                              </a:rPr>
                            </m:ctrlPr>
                          </m:sSubPr>
                          <m:e>
                            <m:r>
                              <a:rPr lang="en-US" sz="1000" b="0" i="1">
                                <a:solidFill>
                                  <a:schemeClr val="tx1"/>
                                </a:solidFill>
                                <a:latin typeface="Cambria Math" panose="02040503050406030204" pitchFamily="18" charset="0"/>
                              </a:rPr>
                              <m:t>𝑋</m:t>
                            </m:r>
                          </m:e>
                          <m:sub>
                            <m:r>
                              <a:rPr lang="en-US" sz="1000" b="0" i="1">
                                <a:solidFill>
                                  <a:schemeClr val="tx1"/>
                                </a:solidFill>
                                <a:latin typeface="Cambria Math" panose="02040503050406030204" pitchFamily="18" charset="0"/>
                              </a:rPr>
                              <m:t>𝐿</m:t>
                            </m:r>
                          </m:sub>
                        </m:sSub>
                      </m:num>
                      <m:den>
                        <m:r>
                          <a:rPr lang="en-US" sz="1000" b="0" i="1">
                            <a:solidFill>
                              <a:schemeClr val="tx1"/>
                            </a:solidFill>
                            <a:latin typeface="Cambria Math" panose="02040503050406030204" pitchFamily="18" charset="0"/>
                          </a:rPr>
                          <m:t>2</m:t>
                        </m:r>
                        <m:r>
                          <a:rPr lang="en-US" sz="1000" b="0" i="1">
                            <a:solidFill>
                              <a:schemeClr val="tx1"/>
                            </a:solidFill>
                            <a:latin typeface="Cambria Math" panose="02040503050406030204" pitchFamily="18" charset="0"/>
                            <a:ea typeface="Cambria Math" panose="02040503050406030204" pitchFamily="18" charset="0"/>
                          </a:rPr>
                          <m:t>𝜋</m:t>
                        </m:r>
                        <m:r>
                          <a:rPr lang="en-US" sz="1000" b="0" i="1">
                            <a:solidFill>
                              <a:schemeClr val="tx1"/>
                            </a:solidFill>
                            <a:latin typeface="Cambria Math" panose="02040503050406030204" pitchFamily="18" charset="0"/>
                            <a:ea typeface="Cambria Math" panose="02040503050406030204" pitchFamily="18" charset="0"/>
                          </a:rPr>
                          <m:t>𝑓</m:t>
                        </m:r>
                      </m:den>
                    </m:f>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𝐻</m:t>
                    </m:r>
                    <m:r>
                      <a:rPr lang="en-US" sz="1000" b="0" i="1">
                        <a:solidFill>
                          <a:schemeClr val="tx1"/>
                        </a:solidFill>
                        <a:latin typeface="Cambria Math" panose="02040503050406030204" pitchFamily="18" charset="0"/>
                        <a:ea typeface="Cambria Math" panose="02040503050406030204" pitchFamily="18" charset="0"/>
                      </a:rPr>
                      <m:t>)</m:t>
                    </m:r>
                  </m:oMath>
                </m:oMathPara>
              </a14:m>
              <a:endParaRPr lang="en-US" sz="1000">
                <a:solidFill>
                  <a:schemeClr val="tx1"/>
                </a:solidFill>
              </a:endParaRPr>
            </a:p>
          </xdr:txBody>
        </xdr:sp>
      </mc:Choice>
      <mc:Fallback xmlns="">
        <xdr:sp macro="" textlink="">
          <xdr:nvSpPr>
            <xdr:cNvPr id="27" name="TextBox 34">
              <a:extLst>
                <a:ext uri="{FF2B5EF4-FFF2-40B4-BE49-F238E27FC236}">
                  <a16:creationId xmlns:a16="http://schemas.microsoft.com/office/drawing/2014/main" id="{FB6271D4-A373-4260-BDF1-70B3C2E0C6BF}"/>
                </a:ext>
              </a:extLst>
            </xdr:cNvPr>
            <xdr:cNvSpPr txBox="1"/>
          </xdr:nvSpPr>
          <xdr:spPr>
            <a:xfrm>
              <a:off x="3950255" y="40357149"/>
              <a:ext cx="1383670" cy="31661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r>
                <a:rPr lang="en-US" sz="1000" b="0" i="0">
                  <a:solidFill>
                    <a:schemeClr val="tx1"/>
                  </a:solidFill>
                  <a:latin typeface="Cambria Math" panose="02040503050406030204" pitchFamily="18" charset="0"/>
                </a:rPr>
                <a:t>𝐿</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𝑋_𝐿/2</a:t>
              </a:r>
              <a:r>
                <a:rPr lang="en-US" sz="1000" b="0" i="0">
                  <a:solidFill>
                    <a:schemeClr val="tx1"/>
                  </a:solidFill>
                  <a:latin typeface="Cambria Math" panose="02040503050406030204" pitchFamily="18" charset="0"/>
                  <a:ea typeface="Cambria Math" panose="02040503050406030204" pitchFamily="18" charset="0"/>
                </a:rPr>
                <a:t>𝜋𝑓  (𝐻)</a:t>
              </a:r>
              <a:endParaRPr lang="en-US" sz="1000">
                <a:solidFill>
                  <a:schemeClr val="tx1"/>
                </a:solidFill>
              </a:endParaRPr>
            </a:p>
          </xdr:txBody>
        </xdr:sp>
      </mc:Fallback>
    </mc:AlternateContent>
    <xdr:clientData/>
  </xdr:twoCellAnchor>
  <xdr:twoCellAnchor>
    <xdr:from>
      <xdr:col>13</xdr:col>
      <xdr:colOff>99942</xdr:colOff>
      <xdr:row>178</xdr:row>
      <xdr:rowOff>38081</xdr:rowOff>
    </xdr:from>
    <xdr:to>
      <xdr:col>22</xdr:col>
      <xdr:colOff>36634</xdr:colOff>
      <xdr:row>178</xdr:row>
      <xdr:rowOff>197379</xdr:rowOff>
    </xdr:to>
    <mc:AlternateContent xmlns:mc="http://schemas.openxmlformats.org/markup-compatibility/2006" xmlns:a14="http://schemas.microsoft.com/office/drawing/2010/main">
      <mc:Choice Requires="a14">
        <xdr:sp macro="" textlink="">
          <xdr:nvSpPr>
            <xdr:cNvPr id="28" name="TextBox 39">
              <a:extLst>
                <a:ext uri="{FF2B5EF4-FFF2-40B4-BE49-F238E27FC236}">
                  <a16:creationId xmlns:a16="http://schemas.microsoft.com/office/drawing/2014/main" id="{BF67FBD3-466D-405A-9790-4752470690B4}"/>
                </a:ext>
              </a:extLst>
            </xdr:cNvPr>
            <xdr:cNvSpPr txBox="1"/>
          </xdr:nvSpPr>
          <xdr:spPr>
            <a:xfrm>
              <a:off x="2452617" y="40728881"/>
              <a:ext cx="1565467" cy="15929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chemeClr val="tx1"/>
                  </a:solidFill>
                </a:rPr>
                <a:t>R</a:t>
              </a:r>
              <a14:m>
                <m:oMath xmlns:m="http://schemas.openxmlformats.org/officeDocument/2006/math">
                  <m:r>
                    <a:rPr lang="en-US" sz="1000" i="1">
                      <a:solidFill>
                        <a:schemeClr val="tx1"/>
                      </a:solidFill>
                      <a:latin typeface="Cambria Math" panose="02040503050406030204" pitchFamily="18" charset="0"/>
                    </a:rPr>
                    <m:t>=</m:t>
                  </m:r>
                  <m:r>
                    <a:rPr lang="en-US" sz="1000" b="0" i="1">
                      <a:solidFill>
                        <a:schemeClr val="tx1"/>
                      </a:solidFill>
                      <a:latin typeface="Cambria Math" panose="02040503050406030204" pitchFamily="18" charset="0"/>
                    </a:rPr>
                    <m:t>𝐷𝐹</m:t>
                  </m:r>
                  <m:r>
                    <a:rPr lang="en-US" sz="1000" b="0" i="1">
                      <a:solidFill>
                        <a:schemeClr val="tx1"/>
                      </a:solidFill>
                      <a:latin typeface="Cambria Math" panose="02040503050406030204" pitchFamily="18" charset="0"/>
                      <a:ea typeface="Cambria Math" panose="02040503050406030204" pitchFamily="18" charset="0"/>
                    </a:rPr>
                    <m:t>×</m:t>
                  </m:r>
                  <m:sSub>
                    <m:sSubPr>
                      <m:ctrlPr>
                        <a:rPr lang="en-US" sz="1000" b="0" i="1">
                          <a:solidFill>
                            <a:schemeClr val="tx1"/>
                          </a:solidFill>
                          <a:latin typeface="Cambria Math" panose="02040503050406030204" pitchFamily="18" charset="0"/>
                          <a:ea typeface="Cambria Math" panose="02040503050406030204" pitchFamily="18" charset="0"/>
                        </a:rPr>
                      </m:ctrlPr>
                    </m:sSubPr>
                    <m:e>
                      <m:r>
                        <a:rPr lang="en-US" sz="1000" b="0" i="1">
                          <a:solidFill>
                            <a:schemeClr val="tx1"/>
                          </a:solidFill>
                          <a:latin typeface="Cambria Math" panose="02040503050406030204" pitchFamily="18" charset="0"/>
                          <a:ea typeface="Cambria Math" panose="02040503050406030204" pitchFamily="18" charset="0"/>
                        </a:rPr>
                        <m:t>𝑥</m:t>
                      </m:r>
                    </m:e>
                    <m:sub>
                      <m:r>
                        <a:rPr lang="en-US" sz="1000" b="0" i="1">
                          <a:solidFill>
                            <a:schemeClr val="tx1"/>
                          </a:solidFill>
                          <a:latin typeface="Cambria Math" panose="02040503050406030204" pitchFamily="18" charset="0"/>
                          <a:ea typeface="Cambria Math" panose="02040503050406030204" pitchFamily="18" charset="0"/>
                        </a:rPr>
                        <m:t>𝐿</m:t>
                      </m:r>
                    </m:sub>
                  </m:sSub>
                  <m:r>
                    <a:rPr lang="en-US" sz="1000" b="0" i="1">
                      <a:solidFill>
                        <a:schemeClr val="tx1"/>
                      </a:solidFill>
                      <a:latin typeface="Cambria Math" panose="02040503050406030204" pitchFamily="18" charset="0"/>
                      <a:ea typeface="Cambria Math" panose="02040503050406030204" pitchFamily="18" charset="0"/>
                    </a:rPr>
                    <m:t>×</m:t>
                  </m:r>
                  <m:r>
                    <a:rPr lang="en-US" sz="1000" b="0" i="1">
                      <a:solidFill>
                        <a:schemeClr val="tx1"/>
                      </a:solidFill>
                      <a:latin typeface="Cambria Math" panose="02040503050406030204" pitchFamily="18" charset="0"/>
                      <a:ea typeface="Cambria Math" panose="02040503050406030204" pitchFamily="18" charset="0"/>
                    </a:rPr>
                    <m:t>h</m:t>
                  </m:r>
                  <m:r>
                    <a:rPr lang="en-US" sz="1000" b="0" i="1">
                      <a:solidFill>
                        <a:schemeClr val="tx1"/>
                      </a:solidFill>
                      <a:latin typeface="Cambria Math" panose="02040503050406030204" pitchFamily="18" charset="0"/>
                      <a:ea typeface="Cambria Math" panose="02040503050406030204" pitchFamily="18" charset="0"/>
                    </a:rPr>
                    <m:t> (</m:t>
                  </m:r>
                  <m:r>
                    <a:rPr lang="en-US" sz="1000" b="0" i="1">
                      <a:solidFill>
                        <a:schemeClr val="tx1"/>
                      </a:solidFill>
                      <a:latin typeface="Cambria Math" panose="02040503050406030204" pitchFamily="18" charset="0"/>
                      <a:ea typeface="Cambria Math" panose="02040503050406030204" pitchFamily="18" charset="0"/>
                    </a:rPr>
                    <m:t>𝑜h𝑚𝑠</m:t>
                  </m:r>
                  <m:r>
                    <a:rPr lang="en-US" sz="1000" b="0" i="1">
                      <a:solidFill>
                        <a:schemeClr val="tx1"/>
                      </a:solidFill>
                      <a:latin typeface="Cambria Math" panose="02040503050406030204" pitchFamily="18" charset="0"/>
                      <a:ea typeface="Cambria Math" panose="02040503050406030204" pitchFamily="18" charset="0"/>
                    </a:rPr>
                    <m:t>)</m:t>
                  </m:r>
                </m:oMath>
              </a14:m>
              <a:endParaRPr lang="en-US" sz="1000">
                <a:solidFill>
                  <a:schemeClr val="tx1"/>
                </a:solidFill>
              </a:endParaRPr>
            </a:p>
          </xdr:txBody>
        </xdr:sp>
      </mc:Choice>
      <mc:Fallback xmlns="">
        <xdr:sp macro="" textlink="">
          <xdr:nvSpPr>
            <xdr:cNvPr id="28" name="TextBox 39">
              <a:extLst>
                <a:ext uri="{FF2B5EF4-FFF2-40B4-BE49-F238E27FC236}">
                  <a16:creationId xmlns:a16="http://schemas.microsoft.com/office/drawing/2014/main" id="{BF67FBD3-466D-405A-9790-4752470690B4}"/>
                </a:ext>
              </a:extLst>
            </xdr:cNvPr>
            <xdr:cNvSpPr txBox="1"/>
          </xdr:nvSpPr>
          <xdr:spPr>
            <a:xfrm>
              <a:off x="2452617" y="40728881"/>
              <a:ext cx="1565467" cy="159298"/>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chemeClr val="tx1"/>
                  </a:solidFill>
                </a:rPr>
                <a:t>R</a:t>
              </a:r>
              <a:r>
                <a:rPr lang="en-US" sz="1000" i="0">
                  <a:solidFill>
                    <a:schemeClr val="tx1"/>
                  </a:solidFill>
                  <a:latin typeface="Cambria Math" panose="02040503050406030204" pitchFamily="18" charset="0"/>
                </a:rPr>
                <a:t>=</a:t>
              </a:r>
              <a:r>
                <a:rPr lang="en-US" sz="1000" b="0" i="0">
                  <a:solidFill>
                    <a:schemeClr val="tx1"/>
                  </a:solidFill>
                  <a:latin typeface="Cambria Math" panose="02040503050406030204" pitchFamily="18" charset="0"/>
                </a:rPr>
                <a:t>𝐷𝐹</a:t>
              </a:r>
              <a:r>
                <a:rPr lang="en-US" sz="1000" b="0" i="0">
                  <a:solidFill>
                    <a:schemeClr val="tx1"/>
                  </a:solidFill>
                  <a:latin typeface="Cambria Math" panose="02040503050406030204" pitchFamily="18" charset="0"/>
                  <a:ea typeface="Cambria Math" panose="02040503050406030204" pitchFamily="18" charset="0"/>
                </a:rPr>
                <a:t>×𝑥_𝐿×ℎ (𝑜ℎ𝑚𝑠)</a:t>
              </a:r>
              <a:endParaRPr lang="en-US" sz="1000">
                <a:solidFill>
                  <a:schemeClr val="tx1"/>
                </a:solidFill>
              </a:endParaRPr>
            </a:p>
          </xdr:txBody>
        </xdr:sp>
      </mc:Fallback>
    </mc:AlternateContent>
    <xdr:clientData/>
  </xdr:twoCellAnchor>
  <xdr:twoCellAnchor>
    <xdr:from>
      <xdr:col>5</xdr:col>
      <xdr:colOff>53931</xdr:colOff>
      <xdr:row>172</xdr:row>
      <xdr:rowOff>47141</xdr:rowOff>
    </xdr:from>
    <xdr:to>
      <xdr:col>5</xdr:col>
      <xdr:colOff>53931</xdr:colOff>
      <xdr:row>183</xdr:row>
      <xdr:rowOff>114783</xdr:rowOff>
    </xdr:to>
    <xdr:cxnSp macro="">
      <xdr:nvCxnSpPr>
        <xdr:cNvPr id="29" name="Straight Arrow Connector 28">
          <a:extLst>
            <a:ext uri="{FF2B5EF4-FFF2-40B4-BE49-F238E27FC236}">
              <a16:creationId xmlns:a16="http://schemas.microsoft.com/office/drawing/2014/main" id="{09454C28-40A1-467F-AE0F-5AD8768F245D}"/>
            </a:ext>
          </a:extLst>
        </xdr:cNvPr>
        <xdr:cNvCxnSpPr/>
      </xdr:nvCxnSpPr>
      <xdr:spPr>
        <a:xfrm flipV="1">
          <a:off x="958806" y="39366341"/>
          <a:ext cx="0" cy="2582242"/>
        </a:xfrm>
        <a:prstGeom prst="straightConnector1">
          <a:avLst/>
        </a:prstGeom>
        <a:ln w="19050">
          <a:solidFill>
            <a:srgbClr val="0E9ED9"/>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68036</xdr:colOff>
      <xdr:row>177</xdr:row>
      <xdr:rowOff>41501</xdr:rowOff>
    </xdr:from>
    <xdr:to>
      <xdr:col>5</xdr:col>
      <xdr:colOff>53931</xdr:colOff>
      <xdr:row>178</xdr:row>
      <xdr:rowOff>128879</xdr:rowOff>
    </xdr:to>
    <xdr:sp macro="" textlink="">
      <xdr:nvSpPr>
        <xdr:cNvPr id="30" name="TextBox 47">
          <a:extLst>
            <a:ext uri="{FF2B5EF4-FFF2-40B4-BE49-F238E27FC236}">
              <a16:creationId xmlns:a16="http://schemas.microsoft.com/office/drawing/2014/main" id="{9105BAB4-81CC-4FC3-8949-58D2B1ABC1AA}"/>
            </a:ext>
          </a:extLst>
        </xdr:cNvPr>
        <xdr:cNvSpPr txBox="1"/>
      </xdr:nvSpPr>
      <xdr:spPr>
        <a:xfrm>
          <a:off x="429986" y="40503701"/>
          <a:ext cx="528820" cy="315978"/>
        </a:xfrm>
        <a:prstGeom prst="rect">
          <a:avLst/>
        </a:prstGeom>
        <a:noFill/>
        <a:ln w="19050">
          <a:noFill/>
        </a:ln>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400" b="1"/>
            <a:t>V</a:t>
          </a:r>
          <a:r>
            <a:rPr lang="en-US" sz="1400" b="1" baseline="-25000"/>
            <a:t>LN</a:t>
          </a:r>
        </a:p>
      </xdr:txBody>
    </xdr:sp>
    <xdr:clientData/>
  </xdr:twoCellAnchor>
  <xdr:twoCellAnchor>
    <xdr:from>
      <xdr:col>8</xdr:col>
      <xdr:colOff>113430</xdr:colOff>
      <xdr:row>174</xdr:row>
      <xdr:rowOff>89174</xdr:rowOff>
    </xdr:from>
    <xdr:to>
      <xdr:col>11</xdr:col>
      <xdr:colOff>37065</xdr:colOff>
      <xdr:row>175</xdr:row>
      <xdr:rowOff>134423</xdr:rowOff>
    </xdr:to>
    <xdr:sp macro="" textlink="">
      <xdr:nvSpPr>
        <xdr:cNvPr id="31" name="TextBox 42">
          <a:extLst>
            <a:ext uri="{FF2B5EF4-FFF2-40B4-BE49-F238E27FC236}">
              <a16:creationId xmlns:a16="http://schemas.microsoft.com/office/drawing/2014/main" id="{635EA082-C0A9-442F-8028-16B3C083792D}"/>
            </a:ext>
          </a:extLst>
        </xdr:cNvPr>
        <xdr:cNvSpPr txBox="1"/>
      </xdr:nvSpPr>
      <xdr:spPr>
        <a:xfrm>
          <a:off x="1561230" y="39865574"/>
          <a:ext cx="466560" cy="273849"/>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50" b="1"/>
            <a:t>JX</a:t>
          </a:r>
          <a:r>
            <a:rPr lang="en-US" sz="1050" b="1" baseline="-25000"/>
            <a:t>L</a:t>
          </a:r>
        </a:p>
      </xdr:txBody>
    </xdr:sp>
    <xdr:clientData/>
  </xdr:twoCellAnchor>
  <xdr:twoCellAnchor>
    <xdr:from>
      <xdr:col>8</xdr:col>
      <xdr:colOff>138033</xdr:colOff>
      <xdr:row>182</xdr:row>
      <xdr:rowOff>78968</xdr:rowOff>
    </xdr:from>
    <xdr:to>
      <xdr:col>11</xdr:col>
      <xdr:colOff>147278</xdr:colOff>
      <xdr:row>183</xdr:row>
      <xdr:rowOff>141052</xdr:rowOff>
    </xdr:to>
    <xdr:sp macro="" textlink="">
      <xdr:nvSpPr>
        <xdr:cNvPr id="32" name="TextBox 43">
          <a:extLst>
            <a:ext uri="{FF2B5EF4-FFF2-40B4-BE49-F238E27FC236}">
              <a16:creationId xmlns:a16="http://schemas.microsoft.com/office/drawing/2014/main" id="{3E8BB597-BEAF-4F03-825D-DAB6B4FE6358}"/>
            </a:ext>
          </a:extLst>
        </xdr:cNvPr>
        <xdr:cNvSpPr txBox="1"/>
      </xdr:nvSpPr>
      <xdr:spPr>
        <a:xfrm>
          <a:off x="1585833" y="41684168"/>
          <a:ext cx="552170" cy="290684"/>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-JX</a:t>
          </a:r>
          <a:r>
            <a:rPr lang="en-US" sz="1100" b="1" baseline="-25000"/>
            <a:t>C</a:t>
          </a:r>
        </a:p>
      </xdr:txBody>
    </xdr:sp>
    <xdr:clientData/>
  </xdr:twoCellAnchor>
  <xdr:twoCellAnchor>
    <xdr:from>
      <xdr:col>5</xdr:col>
      <xdr:colOff>53931</xdr:colOff>
      <xdr:row>174</xdr:row>
      <xdr:rowOff>17323</xdr:rowOff>
    </xdr:from>
    <xdr:to>
      <xdr:col>7</xdr:col>
      <xdr:colOff>28444</xdr:colOff>
      <xdr:row>175</xdr:row>
      <xdr:rowOff>70990</xdr:rowOff>
    </xdr:to>
    <xdr:sp macro="" textlink="">
      <xdr:nvSpPr>
        <xdr:cNvPr id="33" name="TextBox 45">
          <a:extLst>
            <a:ext uri="{FF2B5EF4-FFF2-40B4-BE49-F238E27FC236}">
              <a16:creationId xmlns:a16="http://schemas.microsoft.com/office/drawing/2014/main" id="{B5100C8C-A0E8-474D-8482-61171A11A008}"/>
            </a:ext>
          </a:extLst>
        </xdr:cNvPr>
        <xdr:cNvSpPr txBox="1"/>
      </xdr:nvSpPr>
      <xdr:spPr>
        <a:xfrm>
          <a:off x="958806" y="39793723"/>
          <a:ext cx="336463" cy="282267"/>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R</a:t>
          </a:r>
          <a:endParaRPr lang="en-US" sz="1100" b="1" baseline="-25000"/>
        </a:p>
      </xdr:txBody>
    </xdr:sp>
    <xdr:clientData/>
  </xdr:twoCellAnchor>
  <xdr:twoCellAnchor editAs="oneCell">
    <xdr:from>
      <xdr:col>54</xdr:col>
      <xdr:colOff>57150</xdr:colOff>
      <xdr:row>58</xdr:row>
      <xdr:rowOff>11206</xdr:rowOff>
    </xdr:from>
    <xdr:to>
      <xdr:col>65</xdr:col>
      <xdr:colOff>51547</xdr:colOff>
      <xdr:row>75</xdr:row>
      <xdr:rowOff>134471</xdr:rowOff>
    </xdr:to>
    <xdr:pic>
      <xdr:nvPicPr>
        <xdr:cNvPr id="34" name="Graphic 33">
          <a:extLst>
            <a:ext uri="{FF2B5EF4-FFF2-40B4-BE49-F238E27FC236}">
              <a16:creationId xmlns:a16="http://schemas.microsoft.com/office/drawing/2014/main" id="{EDA74742-700F-4BC7-9BB2-A1ED7714DE9F}"/>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9829800" y="13270006"/>
          <a:ext cx="1985122" cy="4009465"/>
        </a:xfrm>
        <a:prstGeom prst="rect">
          <a:avLst/>
        </a:prstGeom>
      </xdr:spPr>
    </xdr:pic>
    <xdr:clientData/>
  </xdr:twoCellAnchor>
  <xdr:twoCellAnchor editAs="oneCell">
    <xdr:from>
      <xdr:col>3</xdr:col>
      <xdr:colOff>74097</xdr:colOff>
      <xdr:row>170</xdr:row>
      <xdr:rowOff>134470</xdr:rowOff>
    </xdr:from>
    <xdr:to>
      <xdr:col>12</xdr:col>
      <xdr:colOff>100853</xdr:colOff>
      <xdr:row>185</xdr:row>
      <xdr:rowOff>53511</xdr:rowOff>
    </xdr:to>
    <xdr:pic>
      <xdr:nvPicPr>
        <xdr:cNvPr id="35" name="Graphic 34">
          <a:extLst>
            <a:ext uri="{FF2B5EF4-FFF2-40B4-BE49-F238E27FC236}">
              <a16:creationId xmlns:a16="http://schemas.microsoft.com/office/drawing/2014/main" id="{2B4A04DC-FB7B-4D93-8998-A84F815A68F4}"/>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17022" y="38996470"/>
          <a:ext cx="1655531" cy="3348041"/>
        </a:xfrm>
        <a:prstGeom prst="rect">
          <a:avLst/>
        </a:prstGeom>
      </xdr:spPr>
    </xdr:pic>
    <xdr:clientData/>
  </xdr:twoCellAnchor>
  <xdr:twoCellAnchor>
    <xdr:from>
      <xdr:col>44</xdr:col>
      <xdr:colOff>17319</xdr:colOff>
      <xdr:row>201</xdr:row>
      <xdr:rowOff>186171</xdr:rowOff>
    </xdr:from>
    <xdr:to>
      <xdr:col>82</xdr:col>
      <xdr:colOff>131059</xdr:colOff>
      <xdr:row>223</xdr:row>
      <xdr:rowOff>118935</xdr:rowOff>
    </xdr:to>
    <xdr:graphicFrame macro="">
      <xdr:nvGraphicFramePr>
        <xdr:cNvPr id="36" name="f-5">
          <a:extLst>
            <a:ext uri="{FF2B5EF4-FFF2-40B4-BE49-F238E27FC236}">
              <a16:creationId xmlns:a16="http://schemas.microsoft.com/office/drawing/2014/main" id="{62806719-AD59-4631-87CF-E304E27DD1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32</xdr:col>
      <xdr:colOff>19049</xdr:colOff>
      <xdr:row>197</xdr:row>
      <xdr:rowOff>95248</xdr:rowOff>
    </xdr:from>
    <xdr:ext cx="1638301" cy="819151"/>
    <xdr:pic>
      <xdr:nvPicPr>
        <xdr:cNvPr id="37" name="Picture 36">
          <a:extLst>
            <a:ext uri="{FF2B5EF4-FFF2-40B4-BE49-F238E27FC236}">
              <a16:creationId xmlns:a16="http://schemas.microsoft.com/office/drawing/2014/main" id="{1A65CCC7-2280-4505-93EB-C171DBA87C3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45129448"/>
          <a:ext cx="1638301" cy="819151"/>
        </a:xfrm>
        <a:prstGeom prst="rect">
          <a:avLst/>
        </a:prstGeom>
      </xdr:spPr>
    </xdr:pic>
    <xdr:clientData/>
  </xdr:oneCellAnchor>
  <xdr:oneCellAnchor>
    <xdr:from>
      <xdr:col>74</xdr:col>
      <xdr:colOff>19049</xdr:colOff>
      <xdr:row>197</xdr:row>
      <xdr:rowOff>95248</xdr:rowOff>
    </xdr:from>
    <xdr:ext cx="1638301" cy="819151"/>
    <xdr:pic>
      <xdr:nvPicPr>
        <xdr:cNvPr id="38" name="Picture 37">
          <a:extLst>
            <a:ext uri="{FF2B5EF4-FFF2-40B4-BE49-F238E27FC236}">
              <a16:creationId xmlns:a16="http://schemas.microsoft.com/office/drawing/2014/main" id="{D4236610-05E0-4D34-AA38-C58F25F79A4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45129448"/>
          <a:ext cx="1638301" cy="819151"/>
        </a:xfrm>
        <a:prstGeom prst="rect">
          <a:avLst/>
        </a:prstGeom>
      </xdr:spPr>
    </xdr:pic>
    <xdr:clientData/>
  </xdr:oneCellAnchor>
  <xdr:oneCellAnchor>
    <xdr:from>
      <xdr:col>32</xdr:col>
      <xdr:colOff>19049</xdr:colOff>
      <xdr:row>246</xdr:row>
      <xdr:rowOff>38098</xdr:rowOff>
    </xdr:from>
    <xdr:ext cx="1638301" cy="819151"/>
    <xdr:pic>
      <xdr:nvPicPr>
        <xdr:cNvPr id="39" name="Picture 38">
          <a:extLst>
            <a:ext uri="{FF2B5EF4-FFF2-40B4-BE49-F238E27FC236}">
              <a16:creationId xmlns:a16="http://schemas.microsoft.com/office/drawing/2014/main" id="{1F607AD5-E270-46EA-A7BC-053DA886C7E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810249" y="54511573"/>
          <a:ext cx="1638301" cy="819151"/>
        </a:xfrm>
        <a:prstGeom prst="rect">
          <a:avLst/>
        </a:prstGeom>
      </xdr:spPr>
    </xdr:pic>
    <xdr:clientData/>
  </xdr:oneCellAnchor>
  <xdr:oneCellAnchor>
    <xdr:from>
      <xdr:col>74</xdr:col>
      <xdr:colOff>19049</xdr:colOff>
      <xdr:row>246</xdr:row>
      <xdr:rowOff>38098</xdr:rowOff>
    </xdr:from>
    <xdr:ext cx="1638301" cy="819151"/>
    <xdr:pic>
      <xdr:nvPicPr>
        <xdr:cNvPr id="40" name="Picture 39">
          <a:extLst>
            <a:ext uri="{FF2B5EF4-FFF2-40B4-BE49-F238E27FC236}">
              <a16:creationId xmlns:a16="http://schemas.microsoft.com/office/drawing/2014/main" id="{E154E201-BF0F-49B9-9A71-4EC734529A4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11199" y="54511573"/>
          <a:ext cx="1638301" cy="819151"/>
        </a:xfrm>
        <a:prstGeom prst="rect">
          <a:avLst/>
        </a:prstGeom>
      </xdr:spPr>
    </xdr:pic>
    <xdr:clientData/>
  </xdr:oneCellAnchor>
  <xdr:twoCellAnchor>
    <xdr:from>
      <xdr:col>2</xdr:col>
      <xdr:colOff>17318</xdr:colOff>
      <xdr:row>251</xdr:row>
      <xdr:rowOff>103909</xdr:rowOff>
    </xdr:from>
    <xdr:to>
      <xdr:col>40</xdr:col>
      <xdr:colOff>131058</xdr:colOff>
      <xdr:row>273</xdr:row>
      <xdr:rowOff>36673</xdr:rowOff>
    </xdr:to>
    <xdr:graphicFrame macro="">
      <xdr:nvGraphicFramePr>
        <xdr:cNvPr id="41" name="f-5">
          <a:extLst>
            <a:ext uri="{FF2B5EF4-FFF2-40B4-BE49-F238E27FC236}">
              <a16:creationId xmlns:a16="http://schemas.microsoft.com/office/drawing/2014/main" id="{E8DCC7BA-B19F-41EB-A7A2-C32118B9BB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44</xdr:col>
      <xdr:colOff>28575</xdr:colOff>
      <xdr:row>251</xdr:row>
      <xdr:rowOff>19050</xdr:rowOff>
    </xdr:from>
    <xdr:to>
      <xdr:col>82</xdr:col>
      <xdr:colOff>142315</xdr:colOff>
      <xdr:row>272</xdr:row>
      <xdr:rowOff>85725</xdr:rowOff>
    </xdr:to>
    <xdr:graphicFrame macro="">
      <xdr:nvGraphicFramePr>
        <xdr:cNvPr id="43" name="Chart 42">
          <a:extLst>
            <a:ext uri="{FF2B5EF4-FFF2-40B4-BE49-F238E27FC236}">
              <a16:creationId xmlns:a16="http://schemas.microsoft.com/office/drawing/2014/main" id="{E2AE46CF-2345-441E-BEBD-D3812CD9F4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44</xdr:col>
      <xdr:colOff>54908</xdr:colOff>
      <xdr:row>75</xdr:row>
      <xdr:rowOff>190501</xdr:rowOff>
    </xdr:from>
    <xdr:to>
      <xdr:col>82</xdr:col>
      <xdr:colOff>104775</xdr:colOff>
      <xdr:row>93</xdr:row>
      <xdr:rowOff>123825</xdr:rowOff>
    </xdr:to>
    <xdr:graphicFrame macro="">
      <xdr:nvGraphicFramePr>
        <xdr:cNvPr id="2" name="Chart 1">
          <a:extLst>
            <a:ext uri="{FF2B5EF4-FFF2-40B4-BE49-F238E27FC236}">
              <a16:creationId xmlns:a16="http://schemas.microsoft.com/office/drawing/2014/main" id="{305694F2-F569-4007-8853-C5F9151B49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123826</xdr:colOff>
      <xdr:row>2</xdr:row>
      <xdr:rowOff>38100</xdr:rowOff>
    </xdr:from>
    <xdr:to>
      <xdr:col>12</xdr:col>
      <xdr:colOff>76201</xdr:colOff>
      <xdr:row>6</xdr:row>
      <xdr:rowOff>95250</xdr:rowOff>
    </xdr:to>
    <xdr:pic>
      <xdr:nvPicPr>
        <xdr:cNvPr id="3" name="Picture 2">
          <a:extLst>
            <a:ext uri="{FF2B5EF4-FFF2-40B4-BE49-F238E27FC236}">
              <a16:creationId xmlns:a16="http://schemas.microsoft.com/office/drawing/2014/main" id="{44F2807D-2F03-4A59-A20A-FAAC7BF88BD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4801" y="495300"/>
          <a:ext cx="1943100" cy="971550"/>
        </a:xfrm>
        <a:prstGeom prst="rect">
          <a:avLst/>
        </a:prstGeom>
      </xdr:spPr>
    </xdr:pic>
    <xdr:clientData/>
  </xdr:twoCellAnchor>
  <xdr:oneCellAnchor>
    <xdr:from>
      <xdr:col>74</xdr:col>
      <xdr:colOff>19049</xdr:colOff>
      <xdr:row>1</xdr:row>
      <xdr:rowOff>152398</xdr:rowOff>
    </xdr:from>
    <xdr:ext cx="1638301" cy="819151"/>
    <xdr:pic>
      <xdr:nvPicPr>
        <xdr:cNvPr id="4" name="Picture 3">
          <a:extLst>
            <a:ext uri="{FF2B5EF4-FFF2-40B4-BE49-F238E27FC236}">
              <a16:creationId xmlns:a16="http://schemas.microsoft.com/office/drawing/2014/main" id="{F47BBAEE-67EE-41E9-A59D-89A0282907F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11199" y="380998"/>
          <a:ext cx="1638301" cy="819151"/>
        </a:xfrm>
        <a:prstGeom prst="rect">
          <a:avLst/>
        </a:prstGeom>
      </xdr:spPr>
    </xdr:pic>
    <xdr:clientData/>
  </xdr:oneCellAnchor>
  <xdr:oneCellAnchor>
    <xdr:from>
      <xdr:col>32</xdr:col>
      <xdr:colOff>19049</xdr:colOff>
      <xdr:row>50</xdr:row>
      <xdr:rowOff>152398</xdr:rowOff>
    </xdr:from>
    <xdr:ext cx="1638301" cy="819151"/>
    <xdr:pic>
      <xdr:nvPicPr>
        <xdr:cNvPr id="5" name="Picture 4">
          <a:extLst>
            <a:ext uri="{FF2B5EF4-FFF2-40B4-BE49-F238E27FC236}">
              <a16:creationId xmlns:a16="http://schemas.microsoft.com/office/drawing/2014/main" id="{AE8CFF6B-A5B8-44BF-B104-9DA7EE33F78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0249" y="11582398"/>
          <a:ext cx="1638301" cy="819151"/>
        </a:xfrm>
        <a:prstGeom prst="rect">
          <a:avLst/>
        </a:prstGeom>
      </xdr:spPr>
    </xdr:pic>
    <xdr:clientData/>
  </xdr:oneCellAnchor>
  <xdr:oneCellAnchor>
    <xdr:from>
      <xdr:col>74</xdr:col>
      <xdr:colOff>19049</xdr:colOff>
      <xdr:row>50</xdr:row>
      <xdr:rowOff>152398</xdr:rowOff>
    </xdr:from>
    <xdr:ext cx="1638301" cy="819151"/>
    <xdr:pic>
      <xdr:nvPicPr>
        <xdr:cNvPr id="6" name="Picture 5">
          <a:extLst>
            <a:ext uri="{FF2B5EF4-FFF2-40B4-BE49-F238E27FC236}">
              <a16:creationId xmlns:a16="http://schemas.microsoft.com/office/drawing/2014/main" id="{9026AB58-74BE-4252-B4C2-39A1264C699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11199" y="11582398"/>
          <a:ext cx="1638301" cy="819151"/>
        </a:xfrm>
        <a:prstGeom prst="rect">
          <a:avLst/>
        </a:prstGeom>
      </xdr:spPr>
    </xdr:pic>
    <xdr:clientData/>
  </xdr:oneCellAnchor>
  <xdr:oneCellAnchor>
    <xdr:from>
      <xdr:col>32</xdr:col>
      <xdr:colOff>19049</xdr:colOff>
      <xdr:row>99</xdr:row>
      <xdr:rowOff>152398</xdr:rowOff>
    </xdr:from>
    <xdr:ext cx="1638301" cy="819151"/>
    <xdr:pic>
      <xdr:nvPicPr>
        <xdr:cNvPr id="7" name="Picture 6">
          <a:extLst>
            <a:ext uri="{FF2B5EF4-FFF2-40B4-BE49-F238E27FC236}">
              <a16:creationId xmlns:a16="http://schemas.microsoft.com/office/drawing/2014/main" id="{DA2EFCFA-4E27-4E88-9629-B3823833AF8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0249" y="22783798"/>
          <a:ext cx="1638301" cy="819151"/>
        </a:xfrm>
        <a:prstGeom prst="rect">
          <a:avLst/>
        </a:prstGeom>
      </xdr:spPr>
    </xdr:pic>
    <xdr:clientData/>
  </xdr:oneCellAnchor>
  <xdr:oneCellAnchor>
    <xdr:from>
      <xdr:col>74</xdr:col>
      <xdr:colOff>19049</xdr:colOff>
      <xdr:row>99</xdr:row>
      <xdr:rowOff>152398</xdr:rowOff>
    </xdr:from>
    <xdr:ext cx="1638301" cy="819151"/>
    <xdr:pic>
      <xdr:nvPicPr>
        <xdr:cNvPr id="8" name="Picture 7">
          <a:extLst>
            <a:ext uri="{FF2B5EF4-FFF2-40B4-BE49-F238E27FC236}">
              <a16:creationId xmlns:a16="http://schemas.microsoft.com/office/drawing/2014/main" id="{E34BA6C0-2AEF-4496-AB6A-A7BD397B516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11199" y="22783798"/>
          <a:ext cx="1638301" cy="819151"/>
        </a:xfrm>
        <a:prstGeom prst="rect">
          <a:avLst/>
        </a:prstGeom>
      </xdr:spPr>
    </xdr:pic>
    <xdr:clientData/>
  </xdr:oneCellAnchor>
  <xdr:oneCellAnchor>
    <xdr:from>
      <xdr:col>32</xdr:col>
      <xdr:colOff>19049</xdr:colOff>
      <xdr:row>148</xdr:row>
      <xdr:rowOff>152398</xdr:rowOff>
    </xdr:from>
    <xdr:ext cx="1638301" cy="819151"/>
    <xdr:pic>
      <xdr:nvPicPr>
        <xdr:cNvPr id="9" name="Picture 8">
          <a:extLst>
            <a:ext uri="{FF2B5EF4-FFF2-40B4-BE49-F238E27FC236}">
              <a16:creationId xmlns:a16="http://schemas.microsoft.com/office/drawing/2014/main" id="{E0FD0C65-250A-40FA-B7AE-EEF9F98362E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810249" y="33985198"/>
          <a:ext cx="1638301" cy="819151"/>
        </a:xfrm>
        <a:prstGeom prst="rect">
          <a:avLst/>
        </a:prstGeom>
      </xdr:spPr>
    </xdr:pic>
    <xdr:clientData/>
  </xdr:oneCellAnchor>
  <xdr:oneCellAnchor>
    <xdr:from>
      <xdr:col>74</xdr:col>
      <xdr:colOff>19049</xdr:colOff>
      <xdr:row>148</xdr:row>
      <xdr:rowOff>152398</xdr:rowOff>
    </xdr:from>
    <xdr:ext cx="1638301" cy="819151"/>
    <xdr:pic>
      <xdr:nvPicPr>
        <xdr:cNvPr id="10" name="Picture 9">
          <a:extLst>
            <a:ext uri="{FF2B5EF4-FFF2-40B4-BE49-F238E27FC236}">
              <a16:creationId xmlns:a16="http://schemas.microsoft.com/office/drawing/2014/main" id="{49CB17EC-CCDE-4B1E-B1F2-610058211BD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411199" y="33985198"/>
          <a:ext cx="1638301" cy="819151"/>
        </a:xfrm>
        <a:prstGeom prst="rect">
          <a:avLst/>
        </a:prstGeom>
      </xdr:spPr>
    </xdr:pic>
    <xdr:clientData/>
  </xdr:oneCellAnchor>
  <xdr:twoCellAnchor>
    <xdr:from>
      <xdr:col>4</xdr:col>
      <xdr:colOff>121431</xdr:colOff>
      <xdr:row>173</xdr:row>
      <xdr:rowOff>102149</xdr:rowOff>
    </xdr:from>
    <xdr:to>
      <xdr:col>4</xdr:col>
      <xdr:colOff>121431</xdr:colOff>
      <xdr:row>183</xdr:row>
      <xdr:rowOff>176791</xdr:rowOff>
    </xdr:to>
    <xdr:cxnSp macro="">
      <xdr:nvCxnSpPr>
        <xdr:cNvPr id="11" name="Straight Arrow Connector 10">
          <a:extLst>
            <a:ext uri="{FF2B5EF4-FFF2-40B4-BE49-F238E27FC236}">
              <a16:creationId xmlns:a16="http://schemas.microsoft.com/office/drawing/2014/main" id="{C855994F-6BCF-412E-AF06-D1B54C8BEBF3}"/>
            </a:ext>
          </a:extLst>
        </xdr:cNvPr>
        <xdr:cNvCxnSpPr/>
      </xdr:nvCxnSpPr>
      <xdr:spPr>
        <a:xfrm flipV="1">
          <a:off x="845331" y="39649949"/>
          <a:ext cx="0" cy="2360642"/>
        </a:xfrm>
        <a:prstGeom prst="straightConnector1">
          <a:avLst/>
        </a:prstGeom>
        <a:ln w="19050">
          <a:solidFill>
            <a:srgbClr val="0E9ED9"/>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47642</xdr:colOff>
      <xdr:row>178</xdr:row>
      <xdr:rowOff>938</xdr:rowOff>
    </xdr:from>
    <xdr:to>
      <xdr:col>4</xdr:col>
      <xdr:colOff>121431</xdr:colOff>
      <xdr:row>179</xdr:row>
      <xdr:rowOff>53883</xdr:rowOff>
    </xdr:to>
    <xdr:sp macro="" textlink="">
      <xdr:nvSpPr>
        <xdr:cNvPr id="12" name="TextBox 21">
          <a:extLst>
            <a:ext uri="{FF2B5EF4-FFF2-40B4-BE49-F238E27FC236}">
              <a16:creationId xmlns:a16="http://schemas.microsoft.com/office/drawing/2014/main" id="{D4D6E94C-3F34-408C-A3D1-A9F05234A53A}"/>
            </a:ext>
          </a:extLst>
        </xdr:cNvPr>
        <xdr:cNvSpPr txBox="1"/>
      </xdr:nvSpPr>
      <xdr:spPr>
        <a:xfrm>
          <a:off x="409592" y="40691738"/>
          <a:ext cx="435739" cy="281545"/>
        </a:xfrm>
        <a:prstGeom prst="rect">
          <a:avLst/>
        </a:prstGeom>
        <a:noFill/>
        <a:ln w="19050">
          <a:noFill/>
        </a:ln>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400" b="1"/>
            <a:t>V</a:t>
          </a:r>
          <a:r>
            <a:rPr lang="en-US" sz="1400" b="1" baseline="-25000"/>
            <a:t>LN</a:t>
          </a:r>
        </a:p>
      </xdr:txBody>
    </xdr:sp>
    <xdr:clientData/>
  </xdr:twoCellAnchor>
  <xdr:twoCellAnchor>
    <xdr:from>
      <xdr:col>7</xdr:col>
      <xdr:colOff>112051</xdr:colOff>
      <xdr:row>175</xdr:row>
      <xdr:rowOff>11284</xdr:rowOff>
    </xdr:from>
    <xdr:to>
      <xdr:col>9</xdr:col>
      <xdr:colOff>134443</xdr:colOff>
      <xdr:row>176</xdr:row>
      <xdr:rowOff>33444</xdr:rowOff>
    </xdr:to>
    <xdr:sp macro="" textlink="">
      <xdr:nvSpPr>
        <xdr:cNvPr id="13" name="TextBox 22">
          <a:extLst>
            <a:ext uri="{FF2B5EF4-FFF2-40B4-BE49-F238E27FC236}">
              <a16:creationId xmlns:a16="http://schemas.microsoft.com/office/drawing/2014/main" id="{B31289DA-9DA7-472D-B730-047ADFA56F51}"/>
            </a:ext>
          </a:extLst>
        </xdr:cNvPr>
        <xdr:cNvSpPr txBox="1"/>
      </xdr:nvSpPr>
      <xdr:spPr>
        <a:xfrm>
          <a:off x="1378876" y="40016284"/>
          <a:ext cx="384342" cy="250760"/>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50" b="1"/>
            <a:t>JX</a:t>
          </a:r>
          <a:r>
            <a:rPr lang="en-US" sz="1050" b="1" baseline="-25000"/>
            <a:t>L</a:t>
          </a:r>
        </a:p>
      </xdr:txBody>
    </xdr:sp>
    <xdr:clientData/>
  </xdr:twoCellAnchor>
  <xdr:twoCellAnchor>
    <xdr:from>
      <xdr:col>7</xdr:col>
      <xdr:colOff>113759</xdr:colOff>
      <xdr:row>177</xdr:row>
      <xdr:rowOff>176562</xdr:rowOff>
    </xdr:from>
    <xdr:to>
      <xdr:col>10</xdr:col>
      <xdr:colOff>80532</xdr:colOff>
      <xdr:row>178</xdr:row>
      <xdr:rowOff>206418</xdr:rowOff>
    </xdr:to>
    <xdr:sp macro="" textlink="">
      <xdr:nvSpPr>
        <xdr:cNvPr id="14" name="TextBox 23">
          <a:extLst>
            <a:ext uri="{FF2B5EF4-FFF2-40B4-BE49-F238E27FC236}">
              <a16:creationId xmlns:a16="http://schemas.microsoft.com/office/drawing/2014/main" id="{637E7A9C-BBCA-4A54-86D9-2C3B68CCA0E0}"/>
            </a:ext>
          </a:extLst>
        </xdr:cNvPr>
        <xdr:cNvSpPr txBox="1"/>
      </xdr:nvSpPr>
      <xdr:spPr>
        <a:xfrm>
          <a:off x="1380584" y="40638762"/>
          <a:ext cx="509698" cy="25845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-JX</a:t>
          </a:r>
          <a:r>
            <a:rPr lang="en-US" sz="1100" b="1" baseline="-25000"/>
            <a:t>CA</a:t>
          </a:r>
        </a:p>
      </xdr:txBody>
    </xdr:sp>
    <xdr:clientData/>
  </xdr:twoCellAnchor>
  <xdr:twoCellAnchor>
    <xdr:from>
      <xdr:col>4</xdr:col>
      <xdr:colOff>69926</xdr:colOff>
      <xdr:row>175</xdr:row>
      <xdr:rowOff>138247</xdr:rowOff>
    </xdr:from>
    <xdr:to>
      <xdr:col>5</xdr:col>
      <xdr:colOff>165605</xdr:colOff>
      <xdr:row>176</xdr:row>
      <xdr:rowOff>168104</xdr:rowOff>
    </xdr:to>
    <xdr:sp macro="" textlink="">
      <xdr:nvSpPr>
        <xdr:cNvPr id="15" name="TextBox 35">
          <a:extLst>
            <a:ext uri="{FF2B5EF4-FFF2-40B4-BE49-F238E27FC236}">
              <a16:creationId xmlns:a16="http://schemas.microsoft.com/office/drawing/2014/main" id="{4CA250C8-11DD-4B1D-B76E-5BAC1F05E229}"/>
            </a:ext>
          </a:extLst>
        </xdr:cNvPr>
        <xdr:cNvSpPr txBox="1"/>
      </xdr:nvSpPr>
      <xdr:spPr>
        <a:xfrm>
          <a:off x="793826" y="40143247"/>
          <a:ext cx="276654" cy="258457"/>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R</a:t>
          </a:r>
          <a:endParaRPr lang="en-US" sz="1100" b="1" baseline="-25000"/>
        </a:p>
      </xdr:txBody>
    </xdr:sp>
    <xdr:clientData/>
  </xdr:twoCellAnchor>
  <xdr:twoCellAnchor>
    <xdr:from>
      <xdr:col>7</xdr:col>
      <xdr:colOff>151847</xdr:colOff>
      <xdr:row>182</xdr:row>
      <xdr:rowOff>117588</xdr:rowOff>
    </xdr:from>
    <xdr:to>
      <xdr:col>10</xdr:col>
      <xdr:colOff>134682</xdr:colOff>
      <xdr:row>183</xdr:row>
      <xdr:rowOff>147444</xdr:rowOff>
    </xdr:to>
    <xdr:sp macro="" textlink="">
      <xdr:nvSpPr>
        <xdr:cNvPr id="16" name="TextBox 49">
          <a:extLst>
            <a:ext uri="{FF2B5EF4-FFF2-40B4-BE49-F238E27FC236}">
              <a16:creationId xmlns:a16="http://schemas.microsoft.com/office/drawing/2014/main" id="{2BDC3EFF-C9AD-4868-A6AB-31BD2F0583A6}"/>
            </a:ext>
          </a:extLst>
        </xdr:cNvPr>
        <xdr:cNvSpPr txBox="1"/>
      </xdr:nvSpPr>
      <xdr:spPr>
        <a:xfrm>
          <a:off x="1418672" y="41722788"/>
          <a:ext cx="525760" cy="258456"/>
        </a:xfrm>
        <a:prstGeom prst="rect">
          <a:avLst/>
        </a:prstGeom>
        <a:noFill/>
      </xdr:spPr>
      <xdr:txBody>
        <a:bodyPr wrap="square" rtlCol="0">
          <a:no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100" b="1"/>
            <a:t>-JX</a:t>
          </a:r>
          <a:r>
            <a:rPr lang="en-US" sz="1100" b="1" baseline="-25000"/>
            <a:t>CM</a:t>
          </a:r>
        </a:p>
      </xdr:txBody>
    </xdr:sp>
    <xdr:clientData/>
  </xdr:twoCellAnchor>
  <xdr:twoCellAnchor>
    <xdr:from>
      <xdr:col>12</xdr:col>
      <xdr:colOff>152357</xdr:colOff>
      <xdr:row>171</xdr:row>
      <xdr:rowOff>165757</xdr:rowOff>
    </xdr:from>
    <xdr:to>
      <xdr:col>40</xdr:col>
      <xdr:colOff>0</xdr:colOff>
      <xdr:row>173</xdr:row>
      <xdr:rowOff>86987</xdr:rowOff>
    </xdr:to>
    <mc:AlternateContent xmlns:mc="http://schemas.openxmlformats.org/markup-compatibility/2006" xmlns:a14="http://schemas.microsoft.com/office/drawing/2010/main">
      <mc:Choice Requires="a14">
        <xdr:sp macro="" textlink="">
          <xdr:nvSpPr>
            <xdr:cNvPr id="17" name="TextBox 16">
              <a:extLst>
                <a:ext uri="{FF2B5EF4-FFF2-40B4-BE49-F238E27FC236}">
                  <a16:creationId xmlns:a16="http://schemas.microsoft.com/office/drawing/2014/main" id="{EFE2C2A1-B88A-4010-9E45-B6513A5CA10D}"/>
                </a:ext>
              </a:extLst>
            </xdr:cNvPr>
            <xdr:cNvSpPr txBox="1"/>
          </xdr:nvSpPr>
          <xdr:spPr>
            <a:xfrm>
              <a:off x="2324057" y="39256357"/>
              <a:ext cx="4914943" cy="3784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i="1">
                            <a:latin typeface="Cambria Math" panose="02040503050406030204" pitchFamily="18" charset="0"/>
                          </a:rPr>
                        </m:ctrlPr>
                      </m:sSubPr>
                      <m:e>
                        <m:r>
                          <a:rPr lang="en-US" sz="1000" i="1">
                            <a:latin typeface="Cambria Math"/>
                          </a:rPr>
                          <m:t>𝑄</m:t>
                        </m:r>
                      </m:e>
                      <m:sub>
                        <m:r>
                          <a:rPr lang="en-US" sz="1000" i="1">
                            <a:latin typeface="Cambria Math"/>
                          </a:rPr>
                          <m:t>𝑒𝑓𝑓</m:t>
                        </m:r>
                      </m:sub>
                    </m:sSub>
                    <m:r>
                      <a:rPr lang="en-US" sz="1000" b="0" i="1">
                        <a:latin typeface="Cambria Math"/>
                      </a:rPr>
                      <m:t>=</m:t>
                    </m:r>
                    <m:r>
                      <a:rPr lang="en-US" sz="1000" b="0" i="1">
                        <a:latin typeface="Cambria Math"/>
                      </a:rPr>
                      <m:t>𝑂𝑢𝑡𝑝𝑢𝑡</m:t>
                    </m:r>
                    <m:r>
                      <a:rPr lang="en-US" sz="1000" b="0" i="1">
                        <a:latin typeface="Cambria Math"/>
                      </a:rPr>
                      <m:t> </m:t>
                    </m:r>
                    <m:r>
                      <a:rPr lang="en-US" sz="1000" b="0" i="1">
                        <a:latin typeface="Cambria Math"/>
                      </a:rPr>
                      <m:t>𝑀𝑉𝐴𝑅</m:t>
                    </m:r>
                    <m:r>
                      <a:rPr lang="en-US" sz="1000" b="0" i="1">
                        <a:latin typeface="Cambria Math"/>
                      </a:rPr>
                      <m:t> </m:t>
                    </m:r>
                    <m:r>
                      <a:rPr lang="en-US" sz="1000" b="0" i="1">
                        <a:latin typeface="Cambria Math"/>
                      </a:rPr>
                      <m:t>𝑅𝑎𝑡𝑖𝑛𝑔</m:t>
                    </m:r>
                    <m:r>
                      <a:rPr lang="en-US" sz="1000" b="0" i="1">
                        <a:latin typeface="Cambria Math"/>
                      </a:rPr>
                      <m:t> </m:t>
                    </m:r>
                    <m:r>
                      <a:rPr lang="en-US" sz="1000" b="0" i="1">
                        <a:latin typeface="Cambria Math"/>
                      </a:rPr>
                      <m:t>𝑜𝑓</m:t>
                    </m:r>
                    <m:r>
                      <a:rPr lang="en-US" sz="1000" b="0" i="1">
                        <a:latin typeface="Cambria Math"/>
                      </a:rPr>
                      <m:t> </m:t>
                    </m:r>
                    <m:r>
                      <a:rPr lang="en-US" sz="1000" b="0" i="1">
                        <a:latin typeface="Cambria Math"/>
                      </a:rPr>
                      <m:t>𝐹𝑖𝑙𝑡𝑒𝑟</m:t>
                    </m:r>
                    <m:r>
                      <a:rPr lang="en-US" sz="1000" b="0" i="1">
                        <a:latin typeface="Cambria Math"/>
                        <a:ea typeface="Cambria Math"/>
                      </a:rPr>
                      <m:t>=</m:t>
                    </m:r>
                    <m:f>
                      <m:fPr>
                        <m:ctrlPr>
                          <a:rPr lang="en-US" sz="1000" b="0" i="1">
                            <a:latin typeface="Cambria Math" panose="02040503050406030204" pitchFamily="18" charset="0"/>
                            <a:ea typeface="Cambria Math"/>
                          </a:rPr>
                        </m:ctrlPr>
                      </m:fPr>
                      <m:num>
                        <m:r>
                          <a:rPr lang="en-US" sz="1000" i="1">
                            <a:latin typeface="Cambria Math"/>
                            <a:ea typeface="Cambria Math"/>
                          </a:rPr>
                          <m:t>𝐷𝑒𝑠𝑖𝑟𝑒𝑑</m:t>
                        </m:r>
                        <m:r>
                          <a:rPr lang="en-US" sz="1000" i="1">
                            <a:latin typeface="Cambria Math"/>
                            <a:ea typeface="Cambria Math"/>
                          </a:rPr>
                          <m:t> 3 </m:t>
                        </m:r>
                        <m:r>
                          <a:rPr lang="en-US" sz="1000" b="0" i="1">
                            <a:latin typeface="Cambria Math"/>
                            <a:ea typeface="Cambria Math"/>
                          </a:rPr>
                          <m:t>𝑃h𝑎𝑠𝑒</m:t>
                        </m:r>
                        <m:r>
                          <a:rPr lang="en-US" sz="1000" b="0" i="1">
                            <a:latin typeface="Cambria Math"/>
                            <a:ea typeface="Cambria Math"/>
                          </a:rPr>
                          <m:t> </m:t>
                        </m:r>
                        <m:r>
                          <a:rPr lang="en-US" sz="1000" i="1">
                            <a:latin typeface="Cambria Math"/>
                            <a:ea typeface="Cambria Math"/>
                          </a:rPr>
                          <m:t>𝑘𝑣𝑎𝑟</m:t>
                        </m:r>
                      </m:num>
                      <m:den>
                        <m:r>
                          <a:rPr lang="en-US" sz="1000" b="0" i="1">
                            <a:latin typeface="Cambria Math"/>
                            <a:ea typeface="Cambria Math"/>
                          </a:rPr>
                          <m:t>1000</m:t>
                        </m:r>
                      </m:den>
                    </m:f>
                    <m:r>
                      <a:rPr lang="en-US" sz="1000" b="0" i="1">
                        <a:latin typeface="Cambria Math"/>
                        <a:ea typeface="Cambria Math"/>
                      </a:rPr>
                      <m:t> =</m:t>
                    </m:r>
                    <m:r>
                      <a:rPr lang="en-US" sz="1000" b="0" i="1">
                        <a:latin typeface="Cambria Math" panose="02040503050406030204" pitchFamily="18" charset="0"/>
                        <a:ea typeface="Cambria Math"/>
                      </a:rPr>
                      <m:t>1</m:t>
                    </m:r>
                    <m:r>
                      <a:rPr lang="en-US" sz="1000" b="0" i="1">
                        <a:latin typeface="Cambria Math"/>
                        <a:ea typeface="Cambria Math"/>
                      </a:rPr>
                      <m:t>.</m:t>
                    </m:r>
                    <m:r>
                      <a:rPr lang="en-US" sz="1000" b="0" i="1">
                        <a:latin typeface="Cambria Math" panose="02040503050406030204" pitchFamily="18" charset="0"/>
                        <a:ea typeface="Cambria Math"/>
                      </a:rPr>
                      <m:t>0</m:t>
                    </m:r>
                    <m:r>
                      <a:rPr lang="en-US" sz="1000" b="0" i="1">
                        <a:latin typeface="Cambria Math"/>
                        <a:ea typeface="Cambria Math"/>
                      </a:rPr>
                      <m:t> </m:t>
                    </m:r>
                    <m:r>
                      <a:rPr lang="en-US" sz="1000" b="0" i="1">
                        <a:latin typeface="Cambria Math"/>
                        <a:ea typeface="Cambria Math"/>
                      </a:rPr>
                      <m:t>𝑀𝑉𝐴𝑅</m:t>
                    </m:r>
                  </m:oMath>
                </m:oMathPara>
              </a14:m>
              <a:endParaRPr lang="en-US" sz="1000" b="0"/>
            </a:p>
          </xdr:txBody>
        </xdr:sp>
      </mc:Choice>
      <mc:Fallback xmlns="">
        <xdr:sp macro="" textlink="">
          <xdr:nvSpPr>
            <xdr:cNvPr id="17" name="TextBox 16">
              <a:extLst>
                <a:ext uri="{FF2B5EF4-FFF2-40B4-BE49-F238E27FC236}">
                  <a16:creationId xmlns:a16="http://schemas.microsoft.com/office/drawing/2014/main" id="{EFE2C2A1-B88A-4010-9E45-B6513A5CA10D}"/>
                </a:ext>
              </a:extLst>
            </xdr:cNvPr>
            <xdr:cNvSpPr txBox="1"/>
          </xdr:nvSpPr>
          <xdr:spPr>
            <a:xfrm>
              <a:off x="2324057" y="39256357"/>
              <a:ext cx="4914943" cy="37843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i="0">
                  <a:latin typeface="Cambria Math"/>
                </a:rPr>
                <a:t>𝑄</a:t>
              </a:r>
              <a:r>
                <a:rPr lang="en-US" sz="1000" i="0">
                  <a:latin typeface="Cambria Math" panose="02040503050406030204" pitchFamily="18" charset="0"/>
                </a:rPr>
                <a:t>_</a:t>
              </a:r>
              <a:r>
                <a:rPr lang="en-US" sz="1000" i="0">
                  <a:latin typeface="Cambria Math"/>
                </a:rPr>
                <a:t>𝑒𝑓𝑓</a:t>
              </a:r>
              <a:r>
                <a:rPr lang="en-US" sz="1000" b="0" i="0">
                  <a:latin typeface="Cambria Math"/>
                </a:rPr>
                <a:t>=𝑂𝑢𝑡𝑝𝑢𝑡 𝑀𝑉𝐴𝑅 𝑅𝑎𝑡𝑖𝑛𝑔 𝑜𝑓 𝐹𝑖𝑙𝑡𝑒𝑟</a:t>
              </a:r>
              <a:r>
                <a:rPr lang="en-US" sz="1000" b="0" i="0">
                  <a:latin typeface="Cambria Math"/>
                  <a:ea typeface="Cambria Math"/>
                </a:rPr>
                <a:t>=</a:t>
              </a:r>
              <a:r>
                <a:rPr lang="en-US" sz="1000" b="0" i="0">
                  <a:latin typeface="Cambria Math" panose="02040503050406030204" pitchFamily="18" charset="0"/>
                  <a:ea typeface="Cambria Math"/>
                </a:rPr>
                <a:t>(</a:t>
              </a:r>
              <a:r>
                <a:rPr lang="en-US" sz="1000" i="0">
                  <a:latin typeface="Cambria Math"/>
                  <a:ea typeface="Cambria Math"/>
                </a:rPr>
                <a:t>𝐷𝑒𝑠𝑖𝑟𝑒𝑑 3 </a:t>
              </a:r>
              <a:r>
                <a:rPr lang="en-US" sz="1000" b="0" i="0">
                  <a:latin typeface="Cambria Math"/>
                  <a:ea typeface="Cambria Math"/>
                </a:rPr>
                <a:t>𝑃ℎ𝑎𝑠𝑒 </a:t>
              </a:r>
              <a:r>
                <a:rPr lang="en-US" sz="1000" i="0">
                  <a:latin typeface="Cambria Math"/>
                  <a:ea typeface="Cambria Math"/>
                </a:rPr>
                <a:t>𝑘𝑣𝑎𝑟</a:t>
              </a:r>
              <a:r>
                <a:rPr lang="en-US" sz="1000" b="0" i="0">
                  <a:latin typeface="Cambria Math" panose="02040503050406030204" pitchFamily="18" charset="0"/>
                  <a:ea typeface="Cambria Math"/>
                </a:rPr>
                <a:t>)/</a:t>
              </a:r>
              <a:r>
                <a:rPr lang="en-US" sz="1000" b="0" i="0">
                  <a:latin typeface="Cambria Math"/>
                  <a:ea typeface="Cambria Math"/>
                </a:rPr>
                <a:t>1000  =</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0</a:t>
              </a:r>
              <a:r>
                <a:rPr lang="en-US" sz="1000" b="0" i="0">
                  <a:latin typeface="Cambria Math"/>
                  <a:ea typeface="Cambria Math"/>
                </a:rPr>
                <a:t> 𝑀𝑉𝐴𝑅</a:t>
              </a:r>
              <a:endParaRPr lang="en-US" sz="1000" b="0"/>
            </a:p>
          </xdr:txBody>
        </xdr:sp>
      </mc:Fallback>
    </mc:AlternateContent>
    <xdr:clientData/>
  </xdr:twoCellAnchor>
  <xdr:twoCellAnchor>
    <xdr:from>
      <xdr:col>13</xdr:col>
      <xdr:colOff>117</xdr:colOff>
      <xdr:row>173</xdr:row>
      <xdr:rowOff>108856</xdr:rowOff>
    </xdr:from>
    <xdr:to>
      <xdr:col>42</xdr:col>
      <xdr:colOff>70994</xdr:colOff>
      <xdr:row>174</xdr:row>
      <xdr:rowOff>125793</xdr:rowOff>
    </xdr:to>
    <mc:AlternateContent xmlns:mc="http://schemas.openxmlformats.org/markup-compatibility/2006" xmlns:a14="http://schemas.microsoft.com/office/drawing/2010/main">
      <mc:Choice Requires="a14">
        <xdr:sp macro="" textlink="">
          <xdr:nvSpPr>
            <xdr:cNvPr id="18" name="TextBox 25">
              <a:extLst>
                <a:ext uri="{FF2B5EF4-FFF2-40B4-BE49-F238E27FC236}">
                  <a16:creationId xmlns:a16="http://schemas.microsoft.com/office/drawing/2014/main" id="{E3774695-49B6-405D-B764-EFB1CCE4D1B0}"/>
                </a:ext>
              </a:extLst>
            </xdr:cNvPr>
            <xdr:cNvSpPr txBox="1"/>
          </xdr:nvSpPr>
          <xdr:spPr>
            <a:xfrm>
              <a:off x="2352792" y="39656656"/>
              <a:ext cx="5319152" cy="24553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𝑉</m:t>
                      </m:r>
                    </m:e>
                    <m:sub>
                      <m:r>
                        <a:rPr lang="en-US" sz="1000" b="0" i="1">
                          <a:latin typeface="Cambria Math"/>
                        </a:rPr>
                        <m:t>𝐿𝐿𝑆𝑌𝑆</m:t>
                      </m:r>
                    </m:sub>
                  </m:sSub>
                  <m:r>
                    <a:rPr lang="en-US" sz="1000" b="0" i="1">
                      <a:latin typeface="Cambria Math"/>
                      <a:ea typeface="Cambria Math"/>
                    </a:rPr>
                    <m:t>=</m:t>
                  </m:r>
                  <m:r>
                    <a:rPr lang="en-US" sz="1000" b="0" i="1">
                      <a:latin typeface="Cambria Math"/>
                      <a:ea typeface="Cambria Math"/>
                    </a:rPr>
                    <m:t>𝐹𝑖𝑙𝑡𝑒𝑟</m:t>
                  </m:r>
                  <m:r>
                    <a:rPr lang="en-US" sz="1000" b="0" i="1">
                      <a:latin typeface="Cambria Math"/>
                      <a:ea typeface="Cambria Math"/>
                    </a:rPr>
                    <m:t> </m:t>
                  </m:r>
                  <m:r>
                    <a:rPr lang="en-US" sz="1000" b="0" i="1">
                      <a:latin typeface="Cambria Math"/>
                      <a:ea typeface="Cambria Math"/>
                    </a:rPr>
                    <m:t>𝑁𝑜𝑚𝑖𝑛𝑎𝑙</m:t>
                  </m:r>
                  <m:r>
                    <a:rPr lang="en-US" sz="1000" b="0" i="1">
                      <a:latin typeface="Cambria Math"/>
                      <a:ea typeface="Cambria Math"/>
                    </a:rPr>
                    <m:t> </m:t>
                  </m:r>
                  <m:r>
                    <a:rPr lang="en-US" sz="1000" b="0" i="1">
                      <a:latin typeface="Cambria Math"/>
                      <a:ea typeface="Cambria Math"/>
                    </a:rPr>
                    <m:t>𝐿𝑖𝑛𝑒</m:t>
                  </m:r>
                  <m:r>
                    <a:rPr lang="en-US" sz="1000" b="0" i="1">
                      <a:latin typeface="Cambria Math" panose="02040503050406030204" pitchFamily="18" charset="0"/>
                      <a:ea typeface="Cambria Math"/>
                    </a:rPr>
                    <m:t>−</m:t>
                  </m:r>
                  <m:r>
                    <a:rPr lang="en-US" sz="1000" b="0" i="1">
                      <a:latin typeface="Cambria Math"/>
                      <a:ea typeface="Cambria Math"/>
                    </a:rPr>
                    <m:t>𝑡𝑜</m:t>
                  </m:r>
                  <m:r>
                    <a:rPr lang="en-US" sz="1000" b="0" i="1">
                      <a:latin typeface="Cambria Math" panose="02040503050406030204" pitchFamily="18" charset="0"/>
                      <a:ea typeface="Cambria Math"/>
                    </a:rPr>
                    <m:t>−</m:t>
                  </m:r>
                  <m:r>
                    <a:rPr lang="en-US" sz="1000" b="0" i="1">
                      <a:latin typeface="Cambria Math"/>
                      <a:ea typeface="Cambria Math"/>
                    </a:rPr>
                    <m:t>𝐿𝑖𝑛𝑒</m:t>
                  </m:r>
                  <m:r>
                    <a:rPr lang="en-US" sz="1000" b="0" i="1">
                      <a:latin typeface="Cambria Math"/>
                      <a:ea typeface="Cambria Math"/>
                    </a:rPr>
                    <m:t> </m:t>
                  </m:r>
                  <m:r>
                    <a:rPr lang="en-US" sz="1000" b="0" i="1">
                      <a:latin typeface="Cambria Math"/>
                      <a:ea typeface="Cambria Math"/>
                    </a:rPr>
                    <m:t>𝑉𝑜𝑙𝑡𝑎𝑔𝑒</m:t>
                  </m:r>
                  <m:r>
                    <a:rPr lang="en-US" sz="1000" b="0" i="1">
                      <a:latin typeface="Cambria Math"/>
                      <a:ea typeface="Cambria Math"/>
                    </a:rPr>
                    <m:t> </m:t>
                  </m:r>
                  <m:r>
                    <a:rPr lang="en-US" sz="1000" b="0" i="1">
                      <a:latin typeface="Cambria Math"/>
                      <a:ea typeface="Cambria Math"/>
                    </a:rPr>
                    <m:t>𝑅𝑎𝑡𝑖𝑛𝑔</m:t>
                  </m:r>
                  <m:r>
                    <a:rPr lang="en-US" sz="1000" b="0" i="1">
                      <a:latin typeface="Cambria Math"/>
                      <a:ea typeface="Cambria Math"/>
                    </a:rPr>
                    <m:t> </m:t>
                  </m:r>
                  <m:d>
                    <m:dPr>
                      <m:ctrlPr>
                        <a:rPr lang="en-US" sz="1000" b="0" i="1">
                          <a:latin typeface="Cambria Math" panose="02040503050406030204" pitchFamily="18" charset="0"/>
                          <a:ea typeface="Cambria Math"/>
                        </a:rPr>
                      </m:ctrlPr>
                    </m:dPr>
                    <m:e>
                      <m:r>
                        <a:rPr lang="en-US" sz="1000" b="0" i="1">
                          <a:latin typeface="Cambria Math"/>
                          <a:ea typeface="Cambria Math"/>
                        </a:rPr>
                        <m:t>𝐾𝑉</m:t>
                      </m:r>
                    </m:e>
                  </m:d>
                  <m:r>
                    <a:rPr lang="en-US" sz="1000" b="0" i="1">
                      <a:latin typeface="Cambria Math"/>
                      <a:ea typeface="Cambria Math"/>
                    </a:rPr>
                    <m:t>=13.8 </m:t>
                  </m:r>
                  <m:r>
                    <a:rPr lang="en-US" sz="1000" b="0" i="1">
                      <a:latin typeface="Cambria Math"/>
                      <a:ea typeface="Cambria Math"/>
                    </a:rPr>
                    <m:t>𝑘𝑉</m:t>
                  </m:r>
                </m:oMath>
              </a14:m>
              <a:endParaRPr lang="en-US" sz="1000" b="0"/>
            </a:p>
          </xdr:txBody>
        </xdr:sp>
      </mc:Choice>
      <mc:Fallback xmlns="">
        <xdr:sp macro="" textlink="">
          <xdr:nvSpPr>
            <xdr:cNvPr id="18" name="TextBox 25">
              <a:extLst>
                <a:ext uri="{FF2B5EF4-FFF2-40B4-BE49-F238E27FC236}">
                  <a16:creationId xmlns:a16="http://schemas.microsoft.com/office/drawing/2014/main" id="{E3774695-49B6-405D-B764-EFB1CCE4D1B0}"/>
                </a:ext>
              </a:extLst>
            </xdr:cNvPr>
            <xdr:cNvSpPr txBox="1"/>
          </xdr:nvSpPr>
          <xdr:spPr>
            <a:xfrm>
              <a:off x="2352792" y="39656656"/>
              <a:ext cx="5319152" cy="24553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a:t>k</a:t>
              </a:r>
              <a:r>
                <a:rPr lang="en-US" sz="1000" b="0" i="0">
                  <a:latin typeface="Cambria Math"/>
                </a:rPr>
                <a:t>𝑉</a:t>
              </a:r>
              <a:r>
                <a:rPr lang="en-US" sz="1000" b="0" i="0">
                  <a:latin typeface="Cambria Math" panose="02040503050406030204" pitchFamily="18" charset="0"/>
                </a:rPr>
                <a:t>_</a:t>
              </a:r>
              <a:r>
                <a:rPr lang="en-US" sz="1000" b="0" i="0">
                  <a:latin typeface="Cambria Math"/>
                </a:rPr>
                <a:t>𝐿𝐿𝑆𝑌𝑆</a:t>
              </a:r>
              <a:r>
                <a:rPr lang="en-US" sz="1000" b="0" i="0">
                  <a:latin typeface="Cambria Math"/>
                  <a:ea typeface="Cambria Math"/>
                </a:rPr>
                <a:t>=𝐹𝑖𝑙𝑡𝑒𝑟 𝑁𝑜𝑚𝑖𝑛𝑎𝑙 𝐿𝑖𝑛𝑒</a:t>
              </a:r>
              <a:r>
                <a:rPr lang="en-US" sz="1000" b="0" i="0">
                  <a:latin typeface="Cambria Math" panose="02040503050406030204" pitchFamily="18" charset="0"/>
                  <a:ea typeface="Cambria Math"/>
                </a:rPr>
                <a:t>−</a:t>
              </a:r>
              <a:r>
                <a:rPr lang="en-US" sz="1000" b="0" i="0">
                  <a:latin typeface="Cambria Math"/>
                  <a:ea typeface="Cambria Math"/>
                </a:rPr>
                <a:t>𝑡𝑜</a:t>
              </a:r>
              <a:r>
                <a:rPr lang="en-US" sz="1000" b="0" i="0">
                  <a:latin typeface="Cambria Math" panose="02040503050406030204" pitchFamily="18" charset="0"/>
                  <a:ea typeface="Cambria Math"/>
                </a:rPr>
                <a:t>−</a:t>
              </a:r>
              <a:r>
                <a:rPr lang="en-US" sz="1000" b="0" i="0">
                  <a:latin typeface="Cambria Math"/>
                  <a:ea typeface="Cambria Math"/>
                </a:rPr>
                <a:t>𝐿𝑖𝑛𝑒 𝑉𝑜𝑙𝑡𝑎𝑔𝑒 𝑅𝑎𝑡𝑖𝑛𝑔 </a:t>
              </a:r>
              <a:r>
                <a:rPr lang="en-US" sz="1000" b="0" i="0">
                  <a:latin typeface="Cambria Math" panose="02040503050406030204" pitchFamily="18" charset="0"/>
                  <a:ea typeface="Cambria Math"/>
                </a:rPr>
                <a:t>(</a:t>
              </a:r>
              <a:r>
                <a:rPr lang="en-US" sz="1000" b="0" i="0">
                  <a:latin typeface="Cambria Math"/>
                  <a:ea typeface="Cambria Math"/>
                </a:rPr>
                <a:t>𝐾𝑉</a:t>
              </a:r>
              <a:r>
                <a:rPr lang="en-US" sz="1000" b="0" i="0">
                  <a:latin typeface="Cambria Math" panose="02040503050406030204" pitchFamily="18" charset="0"/>
                  <a:ea typeface="Cambria Math"/>
                </a:rPr>
                <a:t>)</a:t>
              </a:r>
              <a:r>
                <a:rPr lang="en-US" sz="1000" b="0" i="0">
                  <a:latin typeface="Cambria Math"/>
                  <a:ea typeface="Cambria Math"/>
                </a:rPr>
                <a:t>=13.8 𝑘𝑉</a:t>
              </a:r>
              <a:endParaRPr lang="en-US" sz="1000" b="0"/>
            </a:p>
          </xdr:txBody>
        </xdr:sp>
      </mc:Fallback>
    </mc:AlternateContent>
    <xdr:clientData/>
  </xdr:twoCellAnchor>
  <xdr:twoCellAnchor>
    <xdr:from>
      <xdr:col>13</xdr:col>
      <xdr:colOff>9642</xdr:colOff>
      <xdr:row>174</xdr:row>
      <xdr:rowOff>84008</xdr:rowOff>
    </xdr:from>
    <xdr:to>
      <xdr:col>40</xdr:col>
      <xdr:colOff>162103</xdr:colOff>
      <xdr:row>175</xdr:row>
      <xdr:rowOff>226287</xdr:rowOff>
    </xdr:to>
    <mc:AlternateContent xmlns:mc="http://schemas.openxmlformats.org/markup-compatibility/2006" xmlns:a14="http://schemas.microsoft.com/office/drawing/2010/main">
      <mc:Choice Requires="a14">
        <xdr:sp macro="" textlink="">
          <xdr:nvSpPr>
            <xdr:cNvPr id="19" name="TextBox 12">
              <a:extLst>
                <a:ext uri="{FF2B5EF4-FFF2-40B4-BE49-F238E27FC236}">
                  <a16:creationId xmlns:a16="http://schemas.microsoft.com/office/drawing/2014/main" id="{98ED9BAD-0CBC-4354-8A90-B7714182EF36}"/>
                </a:ext>
              </a:extLst>
            </xdr:cNvPr>
            <xdr:cNvSpPr txBox="1"/>
          </xdr:nvSpPr>
          <xdr:spPr>
            <a:xfrm>
              <a:off x="2362317" y="39860408"/>
              <a:ext cx="5038786" cy="37087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𝑋</m:t>
                      </m:r>
                    </m:e>
                    <m:sub>
                      <m:r>
                        <a:rPr lang="en-US" sz="1000" b="0" i="1">
                          <a:latin typeface="Cambria Math"/>
                        </a:rPr>
                        <m:t>𝑒𝑓𝑓</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𝑘𝑉</m:t>
                              </m:r>
                            </m:e>
                            <m:sub>
                              <m:r>
                                <a:rPr lang="en-US" sz="1000" b="0" i="1">
                                  <a:solidFill>
                                    <a:schemeClr val="tx1"/>
                                  </a:solidFill>
                                  <a:effectLst/>
                                  <a:latin typeface="Cambria Math"/>
                                </a:rPr>
                                <m:t>𝐿𝐿𝑆𝑌𝑆</m:t>
                              </m:r>
                            </m:sub>
                          </m:sSub>
                        </m:e>
                        <m:sup>
                          <m:r>
                            <a:rPr lang="en-US" sz="1000" b="0" i="1">
                              <a:solidFill>
                                <a:schemeClr val="tx1"/>
                              </a:solidFill>
                              <a:effectLst/>
                              <a:latin typeface="Cambria Math"/>
                            </a:rPr>
                            <m:t>2</m:t>
                          </m:r>
                        </m:sup>
                      </m:sSup>
                    </m:num>
                    <m:den>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den>
                  </m:f>
                </m:oMath>
              </a14:m>
              <a:r>
                <a:rPr lang="en-US" sz="1000" b="0"/>
                <a:t> (ohms) = </a:t>
              </a:r>
              <a14:m>
                <m:oMath xmlns:m="http://schemas.openxmlformats.org/officeDocument/2006/math">
                  <m:sSub>
                    <m:sSubPr>
                      <m:ctrlPr>
                        <a:rPr lang="en-US" sz="1000" i="1">
                          <a:latin typeface="Cambria Math" panose="02040503050406030204" pitchFamily="18" charset="0"/>
                          <a:ea typeface="Cambria Math"/>
                        </a:rPr>
                      </m:ctrlPr>
                    </m:sSubPr>
                    <m:e>
                      <m:r>
                        <a:rPr lang="en-US" sz="1000" b="0" i="1">
                          <a:latin typeface="Cambria Math" panose="02040503050406030204" pitchFamily="18" charset="0"/>
                          <a:ea typeface="Cambria Math"/>
                        </a:rPr>
                        <m:t>𝑋</m:t>
                      </m:r>
                    </m:e>
                    <m:sub>
                      <m:r>
                        <a:rPr lang="en-US" sz="1000" b="0" i="1">
                          <a:latin typeface="Cambria Math" panose="02040503050406030204" pitchFamily="18" charset="0"/>
                          <a:ea typeface="Cambria Math"/>
                        </a:rPr>
                        <m:t>𝐶𝑀</m:t>
                      </m:r>
                    </m:sub>
                  </m:sSub>
                  <m:r>
                    <a:rPr lang="en-US" sz="1000" i="1">
                      <a:latin typeface="Cambria Math" panose="02040503050406030204" pitchFamily="18" charset="0"/>
                      <a:ea typeface="Cambria Math" panose="02040503050406030204" pitchFamily="18" charset="0"/>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r>
                            <a:rPr lang="en-US" sz="1000" b="0" i="1">
                              <a:latin typeface="Cambria Math"/>
                            </a:rPr>
                            <m:t>13.8</m:t>
                          </m:r>
                        </m:e>
                        <m:sup>
                          <m:r>
                            <a:rPr lang="en-US" sz="1000" i="1">
                              <a:latin typeface="Cambria Math"/>
                            </a:rPr>
                            <m:t>2</m:t>
                          </m:r>
                        </m:sup>
                      </m:sSup>
                    </m:num>
                    <m:den>
                      <m:r>
                        <a:rPr lang="en-US" sz="1000" b="0" i="1">
                          <a:latin typeface="Cambria Math" panose="02040503050406030204" pitchFamily="18" charset="0"/>
                        </a:rPr>
                        <m:t>1.0</m:t>
                      </m:r>
                      <m:r>
                        <a:rPr lang="en-US" sz="1000" i="1">
                          <a:latin typeface="Cambria Math"/>
                        </a:rPr>
                        <m:t> </m:t>
                      </m:r>
                    </m:den>
                  </m:f>
                  <m:r>
                    <a:rPr lang="en-US" sz="1000" b="0" i="1">
                      <a:latin typeface="Cambria Math"/>
                    </a:rPr>
                    <m:t>=</m:t>
                  </m:r>
                  <m:r>
                    <a:rPr lang="en-US" sz="1000" b="0" i="1">
                      <a:latin typeface="Cambria Math" panose="02040503050406030204" pitchFamily="18" charset="0"/>
                    </a:rPr>
                    <m:t>190.4</m:t>
                  </m:r>
                  <m:r>
                    <a:rPr lang="en-US" sz="1000" b="0" i="1">
                      <a:latin typeface="Cambria Math"/>
                    </a:rPr>
                    <m:t> (</m:t>
                  </m:r>
                  <m:r>
                    <a:rPr lang="en-US" sz="1000" b="0" i="1">
                      <a:latin typeface="Cambria Math"/>
                    </a:rPr>
                    <m:t>𝑜h𝑚𝑠</m:t>
                  </m:r>
                  <m:r>
                    <a:rPr lang="en-US" sz="1000" b="0" i="1">
                      <a:latin typeface="Cambria Math"/>
                    </a:rPr>
                    <m:t>)</m:t>
                  </m:r>
                </m:oMath>
              </a14:m>
              <a:r>
                <a:rPr lang="en-US" sz="1000" b="0"/>
                <a:t> </a:t>
              </a:r>
            </a:p>
          </xdr:txBody>
        </xdr:sp>
      </mc:Choice>
      <mc:Fallback xmlns="">
        <xdr:sp macro="" textlink="">
          <xdr:nvSpPr>
            <xdr:cNvPr id="19" name="TextBox 12">
              <a:extLst>
                <a:ext uri="{FF2B5EF4-FFF2-40B4-BE49-F238E27FC236}">
                  <a16:creationId xmlns:a16="http://schemas.microsoft.com/office/drawing/2014/main" id="{98ED9BAD-0CBC-4354-8A90-B7714182EF36}"/>
                </a:ext>
              </a:extLst>
            </xdr:cNvPr>
            <xdr:cNvSpPr txBox="1"/>
          </xdr:nvSpPr>
          <xdr:spPr>
            <a:xfrm>
              <a:off x="2362317" y="39860408"/>
              <a:ext cx="5038786" cy="370879"/>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𝑒𝑓𝑓</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𝑘𝑉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𝐿𝐿𝑆𝑌𝑆</a:t>
              </a:r>
              <a:r>
                <a:rPr lang="en-US" sz="1000" b="0" i="0">
                  <a:solidFill>
                    <a:schemeClr val="tx1"/>
                  </a:solidFill>
                  <a:effectLst/>
                  <a:latin typeface="Cambria Math" panose="02040503050406030204" pitchFamily="18" charset="0"/>
                </a:rPr>
                <a:t>〗^</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rPr>
                <a:t> </a:t>
              </a:r>
              <a:r>
                <a:rPr lang="en-US" sz="1000" b="0"/>
                <a:t> (ohms) = </a:t>
              </a:r>
              <a:r>
                <a:rPr lang="en-US" sz="1000" b="0" i="0">
                  <a:latin typeface="Cambria Math" panose="02040503050406030204" pitchFamily="18" charset="0"/>
                  <a:ea typeface="Cambria Math"/>
                </a:rPr>
                <a:t>𝑋_𝐶𝑀</a:t>
              </a:r>
              <a:r>
                <a:rPr lang="en-US" sz="1000" i="0">
                  <a:latin typeface="Cambria Math" panose="02040503050406030204" pitchFamily="18" charset="0"/>
                  <a:ea typeface="Cambria Math" panose="02040503050406030204" pitchFamily="18" charset="0"/>
                </a:rPr>
                <a:t>=</a:t>
              </a:r>
              <a:r>
                <a:rPr lang="en-US" sz="1000" i="0">
                  <a:latin typeface="Cambria Math" panose="02040503050406030204" pitchFamily="18" charset="0"/>
                </a:rPr>
                <a:t>〖</a:t>
              </a:r>
              <a:r>
                <a:rPr lang="en-US" sz="1000" b="0" i="0">
                  <a:latin typeface="Cambria Math"/>
                </a:rPr>
                <a:t>13.8</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1.0</a:t>
              </a:r>
              <a:r>
                <a:rPr lang="en-US" sz="1000" i="0">
                  <a:latin typeface="Cambria Math"/>
                </a:rPr>
                <a:t> </a:t>
              </a:r>
              <a:r>
                <a:rPr lang="en-US" sz="1000" i="0">
                  <a:latin typeface="Cambria Math" panose="02040503050406030204" pitchFamily="18" charset="0"/>
                  <a:ea typeface="Cambria Math"/>
                </a:rPr>
                <a:t>)</a:t>
              </a:r>
              <a:r>
                <a:rPr lang="en-US" sz="1000" b="0" i="0">
                  <a:latin typeface="Cambria Math"/>
                </a:rPr>
                <a:t>=</a:t>
              </a:r>
              <a:r>
                <a:rPr lang="en-US" sz="1000" b="0" i="0">
                  <a:latin typeface="Cambria Math" panose="02040503050406030204" pitchFamily="18" charset="0"/>
                </a:rPr>
                <a:t>190.4</a:t>
              </a:r>
              <a:r>
                <a:rPr lang="en-US" sz="1000" b="0" i="0">
                  <a:latin typeface="Cambria Math"/>
                </a:rPr>
                <a:t> (𝑜ℎ𝑚𝑠)</a:t>
              </a:r>
              <a:r>
                <a:rPr lang="en-US" sz="1000" b="0"/>
                <a:t> </a:t>
              </a:r>
            </a:p>
          </xdr:txBody>
        </xdr:sp>
      </mc:Fallback>
    </mc:AlternateContent>
    <xdr:clientData/>
  </xdr:twoCellAnchor>
  <xdr:twoCellAnchor>
    <xdr:from>
      <xdr:col>12</xdr:col>
      <xdr:colOff>172455</xdr:colOff>
      <xdr:row>176</xdr:row>
      <xdr:rowOff>9469</xdr:rowOff>
    </xdr:from>
    <xdr:to>
      <xdr:col>36</xdr:col>
      <xdr:colOff>120033</xdr:colOff>
      <xdr:row>177</xdr:row>
      <xdr:rowOff>130196</xdr:rowOff>
    </xdr:to>
    <mc:AlternateContent xmlns:mc="http://schemas.openxmlformats.org/markup-compatibility/2006" xmlns:a14="http://schemas.microsoft.com/office/drawing/2010/main">
      <mc:Choice Requires="a14">
        <xdr:sp macro="" textlink="">
          <xdr:nvSpPr>
            <xdr:cNvPr id="20" name="TextBox 17">
              <a:extLst>
                <a:ext uri="{FF2B5EF4-FFF2-40B4-BE49-F238E27FC236}">
                  <a16:creationId xmlns:a16="http://schemas.microsoft.com/office/drawing/2014/main" id="{FD9B1955-F9E5-48B3-9E6B-54F48001D262}"/>
                </a:ext>
              </a:extLst>
            </xdr:cNvPr>
            <xdr:cNvSpPr txBox="1"/>
          </xdr:nvSpPr>
          <xdr:spPr>
            <a:xfrm>
              <a:off x="2344155" y="40243069"/>
              <a:ext cx="4290978" cy="34932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a:rPr>
                        <m:t>𝐿</m:t>
                      </m:r>
                    </m:sub>
                  </m:sSub>
                  <m:r>
                    <a:rPr lang="en-US" sz="1000" i="1">
                      <a:latin typeface="Cambria Math"/>
                      <a:ea typeface="Cambria Math"/>
                    </a:rPr>
                    <m:t>=</m:t>
                  </m:r>
                  <m:f>
                    <m:fPr>
                      <m:ctrlPr>
                        <a:rPr lang="en-US" sz="1000" i="1">
                          <a:latin typeface="Cambria Math" panose="02040503050406030204" pitchFamily="18" charset="0"/>
                          <a:ea typeface="Cambria Math"/>
                        </a:rPr>
                      </m:ctrlPr>
                    </m:fPr>
                    <m:num>
                      <m:sSub>
                        <m:sSubPr>
                          <m:ctrlPr>
                            <a:rPr lang="en-US" sz="100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panose="02040503050406030204" pitchFamily="18" charset="0"/>
                              <a:ea typeface="Cambria Math"/>
                            </a:rPr>
                            <m:t>𝑒𝑓𝑓</m:t>
                          </m:r>
                        </m:sub>
                      </m:sSub>
                    </m:num>
                    <m:den>
                      <m:sSubSup>
                        <m:sSubSupPr>
                          <m:ctrlPr>
                            <a:rPr lang="en-US" sz="1000" b="0" i="1">
                              <a:latin typeface="Cambria Math" panose="02040503050406030204" pitchFamily="18" charset="0"/>
                              <a:ea typeface="Cambria Math"/>
                            </a:rPr>
                          </m:ctrlPr>
                        </m:sSubSupPr>
                        <m:e>
                          <m:r>
                            <a:rPr lang="en-US" sz="1000" b="0" i="1">
                              <a:latin typeface="Cambria Math" panose="02040503050406030204" pitchFamily="18" charset="0"/>
                              <a:ea typeface="Cambria Math"/>
                            </a:rPr>
                            <m:t>h</m:t>
                          </m:r>
                        </m:e>
                        <m:sub>
                          <m:r>
                            <a:rPr lang="en-US" sz="1000" b="0" i="1">
                              <a:latin typeface="Cambria Math" panose="02040503050406030204" pitchFamily="18" charset="0"/>
                              <a:ea typeface="Cambria Math"/>
                            </a:rPr>
                            <m:t>𝑛</m:t>
                          </m:r>
                        </m:sub>
                        <m:sup>
                          <m:r>
                            <a:rPr lang="en-US" sz="1000" b="0" i="1">
                              <a:latin typeface="Cambria Math" panose="02040503050406030204" pitchFamily="18" charset="0"/>
                              <a:ea typeface="Cambria Math"/>
                            </a:rPr>
                            <m:t>2</m:t>
                          </m:r>
                        </m:sup>
                      </m:sSubSup>
                      <m:r>
                        <a:rPr lang="en-US" sz="1000" b="0" i="1">
                          <a:latin typeface="Cambria Math" panose="02040503050406030204" pitchFamily="18" charset="0"/>
                          <a:ea typeface="Cambria Math"/>
                        </a:rPr>
                        <m:t>−1</m:t>
                      </m:r>
                    </m:den>
                  </m:f>
                </m:oMath>
              </a14:m>
              <a:r>
                <a:rPr lang="en-US" sz="1000"/>
                <a:t> =</a:t>
              </a:r>
              <a14:m>
                <m:oMath xmlns:m="http://schemas.openxmlformats.org/officeDocument/2006/math">
                  <m:r>
                    <a:rPr lang="en-US" sz="1000" b="0" i="0">
                      <a:latin typeface="Cambria Math"/>
                      <a:ea typeface="Cambria Math"/>
                    </a:rPr>
                    <m:t> </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190.4</m:t>
                      </m:r>
                    </m:num>
                    <m:den>
                      <m:sSup>
                        <m:sSupPr>
                          <m:ctrlPr>
                            <a:rPr lang="en-US" sz="1000" i="1">
                              <a:latin typeface="Cambria Math" panose="02040503050406030204" pitchFamily="18" charset="0"/>
                              <a:ea typeface="Cambria Math"/>
                            </a:rPr>
                          </m:ctrlPr>
                        </m:sSupPr>
                        <m:e>
                          <m:r>
                            <a:rPr lang="en-US" sz="1000" b="0" i="1">
                              <a:latin typeface="Cambria Math"/>
                              <a:ea typeface="Cambria Math"/>
                            </a:rPr>
                            <m:t>4.7</m:t>
                          </m:r>
                        </m:e>
                        <m:sup>
                          <m:r>
                            <a:rPr lang="en-US" sz="1000" i="1">
                              <a:latin typeface="Cambria Math"/>
                              <a:ea typeface="Cambria Math"/>
                            </a:rPr>
                            <m:t>2</m:t>
                          </m:r>
                        </m:sup>
                      </m:sSup>
                      <m:r>
                        <a:rPr lang="en-US" sz="1000" b="0" i="1">
                          <a:latin typeface="Cambria Math" panose="02040503050406030204" pitchFamily="18" charset="0"/>
                          <a:ea typeface="Cambria Math"/>
                        </a:rPr>
                        <m:t>−1</m:t>
                      </m:r>
                    </m:den>
                  </m:f>
                  <m:r>
                    <a:rPr lang="en-US" sz="1000" b="0" i="1">
                      <a:latin typeface="Cambria Math"/>
                      <a:ea typeface="Cambria Math"/>
                    </a:rPr>
                    <m:t>=</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20" name="TextBox 17">
              <a:extLst>
                <a:ext uri="{FF2B5EF4-FFF2-40B4-BE49-F238E27FC236}">
                  <a16:creationId xmlns:a16="http://schemas.microsoft.com/office/drawing/2014/main" id="{FD9B1955-F9E5-48B3-9E6B-54F48001D262}"/>
                </a:ext>
              </a:extLst>
            </xdr:cNvPr>
            <xdr:cNvSpPr txBox="1"/>
          </xdr:nvSpPr>
          <xdr:spPr>
            <a:xfrm>
              <a:off x="2344155" y="40243069"/>
              <a:ext cx="4290978" cy="34932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a:t>
              </a:r>
              <a:r>
                <a:rPr lang="en-US" sz="1000" b="0" i="0">
                  <a:latin typeface="Cambria Math"/>
                </a:rPr>
                <a:t>𝐿</a:t>
              </a:r>
              <a:r>
                <a:rPr lang="en-US" sz="1000" i="0">
                  <a:latin typeface="Cambria Math"/>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_𝑒𝑓𝑓/(ℎ_𝑛^2−1)</a:t>
              </a:r>
              <a:r>
                <a:rPr lang="en-US" sz="1000"/>
                <a:t> =</a:t>
              </a:r>
              <a:r>
                <a:rPr lang="en-US" sz="1000" b="0" i="0">
                  <a:latin typeface="Cambria Math"/>
                  <a:ea typeface="Cambria Math"/>
                </a:rPr>
                <a:t> </a:t>
              </a:r>
              <a:r>
                <a:rPr lang="en-US" sz="1000" b="0" i="0">
                  <a:latin typeface="Cambria Math" panose="02040503050406030204" pitchFamily="18" charset="0"/>
                  <a:ea typeface="Cambria Math"/>
                </a:rPr>
                <a:t> 190.4/(〖</a:t>
              </a:r>
              <a:r>
                <a:rPr lang="en-US" sz="1000" b="0" i="0">
                  <a:latin typeface="Cambria Math"/>
                  <a:ea typeface="Cambria Math"/>
                </a:rPr>
                <a:t>4.7</a:t>
              </a:r>
              <a:r>
                <a:rPr lang="en-US" sz="1000" b="0" i="0">
                  <a:latin typeface="Cambria Math" panose="02040503050406030204" pitchFamily="18" charset="0"/>
                  <a:ea typeface="Cambria Math"/>
                </a:rPr>
                <a:t>〗^</a:t>
              </a:r>
              <a:r>
                <a:rPr lang="en-US" sz="1000" i="0">
                  <a:latin typeface="Cambria Math"/>
                  <a:ea typeface="Cambria Math"/>
                </a:rPr>
                <a:t>2</a:t>
              </a:r>
              <a:r>
                <a:rPr lang="en-US" sz="1000" b="0" i="0">
                  <a:latin typeface="Cambria Math" panose="02040503050406030204" pitchFamily="18" charset="0"/>
                  <a:ea typeface="Cambria Math"/>
                </a:rPr>
                <a:t>−1)</a:t>
              </a:r>
              <a:r>
                <a:rPr lang="en-US" sz="1000" b="0" i="0">
                  <a:latin typeface="Cambria Math"/>
                  <a:ea typeface="Cambria Math"/>
                </a:rPr>
                <a:t>=</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12</xdr:col>
      <xdr:colOff>145122</xdr:colOff>
      <xdr:row>177</xdr:row>
      <xdr:rowOff>224223</xdr:rowOff>
    </xdr:from>
    <xdr:to>
      <xdr:col>22</xdr:col>
      <xdr:colOff>131676</xdr:colOff>
      <xdr:row>179</xdr:row>
      <xdr:rowOff>9840</xdr:rowOff>
    </xdr:to>
    <mc:AlternateContent xmlns:mc="http://schemas.openxmlformats.org/markup-compatibility/2006" xmlns:a14="http://schemas.microsoft.com/office/drawing/2010/main">
      <mc:Choice Requires="a14">
        <xdr:sp macro="" textlink="">
          <xdr:nvSpPr>
            <xdr:cNvPr id="21" name="TextBox 17">
              <a:extLst>
                <a:ext uri="{FF2B5EF4-FFF2-40B4-BE49-F238E27FC236}">
                  <a16:creationId xmlns:a16="http://schemas.microsoft.com/office/drawing/2014/main" id="{1ACDD89F-3309-49D2-9FD6-E654677A116E}"/>
                </a:ext>
              </a:extLst>
            </xdr:cNvPr>
            <xdr:cNvSpPr txBox="1"/>
          </xdr:nvSpPr>
          <xdr:spPr>
            <a:xfrm>
              <a:off x="2316822" y="40686423"/>
              <a:ext cx="1796304" cy="24281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i="1">
                          <a:latin typeface="Cambria Math" panose="02040503050406030204" pitchFamily="18" charset="0"/>
                        </a:rPr>
                      </m:ctrlPr>
                    </m:sSubPr>
                    <m:e>
                      <m:r>
                        <a:rPr lang="en-US" sz="1000" b="0" i="1">
                          <a:latin typeface="Cambria Math"/>
                        </a:rPr>
                        <m:t>𝑋</m:t>
                      </m:r>
                    </m:e>
                    <m:sub>
                      <m:r>
                        <a:rPr lang="en-US" sz="1000" b="0" i="1">
                          <a:latin typeface="Cambria Math" panose="02040503050406030204" pitchFamily="18" charset="0"/>
                        </a:rPr>
                        <m:t>𝐶𝐴</m:t>
                      </m:r>
                    </m:sub>
                  </m:sSub>
                  <m:r>
                    <a:rPr lang="en-US" sz="1000" i="1">
                      <a:latin typeface="Cambria Math"/>
                      <a:ea typeface="Cambria Math"/>
                    </a:rPr>
                    <m:t>=</m:t>
                  </m:r>
                  <m:sSub>
                    <m:sSubPr>
                      <m:ctrlPr>
                        <a:rPr lang="en-US" sz="1000" i="1">
                          <a:latin typeface="Cambria Math" panose="02040503050406030204" pitchFamily="18" charset="0"/>
                          <a:ea typeface="Cambria Math"/>
                        </a:rPr>
                      </m:ctrlPr>
                    </m:sSubPr>
                    <m:e>
                      <m:r>
                        <a:rPr lang="en-US" sz="1000" b="0" i="1">
                          <a:latin typeface="Cambria Math" panose="02040503050406030204" pitchFamily="18" charset="0"/>
                          <a:ea typeface="Cambria Math"/>
                        </a:rPr>
                        <m:t>𝑋</m:t>
                      </m:r>
                    </m:e>
                    <m:sub>
                      <m:r>
                        <a:rPr lang="en-US" sz="1000" b="0" i="1">
                          <a:latin typeface="Cambria Math" panose="02040503050406030204" pitchFamily="18" charset="0"/>
                          <a:ea typeface="Cambria Math"/>
                        </a:rPr>
                        <m:t>𝐿</m:t>
                      </m:r>
                    </m:sub>
                  </m:sSub>
                </m:oMath>
              </a14:m>
              <a:r>
                <a:rPr lang="en-US" sz="1000"/>
                <a:t> =</a:t>
              </a:r>
              <a14:m>
                <m:oMath xmlns:m="http://schemas.openxmlformats.org/officeDocument/2006/math">
                  <m:r>
                    <a:rPr lang="en-US" sz="1000" b="0" i="0">
                      <a:latin typeface="Cambria Math"/>
                      <a:ea typeface="Cambria Math"/>
                    </a:rPr>
                    <m:t> </m:t>
                  </m:r>
                  <m:r>
                    <a:rPr lang="en-US" sz="1000" b="0" i="1">
                      <a:latin typeface="Cambria Math" panose="02040503050406030204" pitchFamily="18" charset="0"/>
                      <a:ea typeface="Cambria Math"/>
                    </a:rPr>
                    <m:t>9.03</m:t>
                  </m:r>
                  <m:r>
                    <a:rPr lang="en-US" sz="1000" b="0" i="1">
                      <a:latin typeface="Cambria Math"/>
                      <a:ea typeface="Cambria Math"/>
                    </a:rPr>
                    <m:t> </m:t>
                  </m:r>
                  <m:r>
                    <a:rPr lang="en-US" sz="1000" b="0" i="1">
                      <a:latin typeface="Cambria Math"/>
                      <a:ea typeface="Cambria Math"/>
                    </a:rPr>
                    <m:t>𝑜h𝑚𝑠</m:t>
                  </m:r>
                </m:oMath>
              </a14:m>
              <a:endParaRPr lang="en-US" sz="1000"/>
            </a:p>
          </xdr:txBody>
        </xdr:sp>
      </mc:Choice>
      <mc:Fallback xmlns="">
        <xdr:sp macro="" textlink="">
          <xdr:nvSpPr>
            <xdr:cNvPr id="21" name="TextBox 17">
              <a:extLst>
                <a:ext uri="{FF2B5EF4-FFF2-40B4-BE49-F238E27FC236}">
                  <a16:creationId xmlns:a16="http://schemas.microsoft.com/office/drawing/2014/main" id="{1ACDD89F-3309-49D2-9FD6-E654677A116E}"/>
                </a:ext>
              </a:extLst>
            </xdr:cNvPr>
            <xdr:cNvSpPr txBox="1"/>
          </xdr:nvSpPr>
          <xdr:spPr>
            <a:xfrm>
              <a:off x="2316822" y="40686423"/>
              <a:ext cx="1796304" cy="24281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𝑋</a:t>
              </a:r>
              <a:r>
                <a:rPr lang="en-US" sz="1000" b="0" i="0">
                  <a:latin typeface="Cambria Math" panose="02040503050406030204" pitchFamily="18" charset="0"/>
                </a:rPr>
                <a:t>_𝐶𝐴</a:t>
              </a:r>
              <a:r>
                <a:rPr lang="en-US" sz="1000" i="0">
                  <a:latin typeface="Cambria Math"/>
                  <a:ea typeface="Cambria Math"/>
                </a:rPr>
                <a:t>=</a:t>
              </a:r>
              <a:r>
                <a:rPr lang="en-US" sz="1000" b="0" i="0">
                  <a:latin typeface="Cambria Math" panose="02040503050406030204" pitchFamily="18" charset="0"/>
                  <a:ea typeface="Cambria Math"/>
                </a:rPr>
                <a:t>𝑋_𝐿</a:t>
              </a:r>
              <a:r>
                <a:rPr lang="en-US" sz="1000"/>
                <a:t> =</a:t>
              </a:r>
              <a:r>
                <a:rPr lang="en-US" sz="1000" b="0" i="0">
                  <a:latin typeface="Cambria Math"/>
                  <a:ea typeface="Cambria Math"/>
                </a:rPr>
                <a:t> </a:t>
              </a:r>
              <a:r>
                <a:rPr lang="en-US" sz="1000" b="0" i="0">
                  <a:latin typeface="Cambria Math" panose="02040503050406030204" pitchFamily="18" charset="0"/>
                  <a:ea typeface="Cambria Math"/>
                </a:rPr>
                <a:t>9.03</a:t>
              </a:r>
              <a:r>
                <a:rPr lang="en-US" sz="1000" b="0" i="0">
                  <a:latin typeface="Cambria Math"/>
                  <a:ea typeface="Cambria Math"/>
                </a:rPr>
                <a:t> 𝑜ℎ𝑚𝑠</a:t>
              </a:r>
              <a:endParaRPr lang="en-US" sz="1000"/>
            </a:p>
          </xdr:txBody>
        </xdr:sp>
      </mc:Fallback>
    </mc:AlternateContent>
    <xdr:clientData/>
  </xdr:twoCellAnchor>
  <xdr:twoCellAnchor>
    <xdr:from>
      <xdr:col>12</xdr:col>
      <xdr:colOff>168726</xdr:colOff>
      <xdr:row>179</xdr:row>
      <xdr:rowOff>125422</xdr:rowOff>
    </xdr:from>
    <xdr:to>
      <xdr:col>36</xdr:col>
      <xdr:colOff>62710</xdr:colOff>
      <xdr:row>180</xdr:row>
      <xdr:rowOff>221148</xdr:rowOff>
    </xdr:to>
    <mc:AlternateContent xmlns:mc="http://schemas.openxmlformats.org/markup-compatibility/2006" xmlns:a14="http://schemas.microsoft.com/office/drawing/2010/main">
      <mc:Choice Requires="a14">
        <xdr:sp macro="" textlink="">
          <xdr:nvSpPr>
            <xdr:cNvPr id="22" name="TextBox 2">
              <a:extLst>
                <a:ext uri="{FF2B5EF4-FFF2-40B4-BE49-F238E27FC236}">
                  <a16:creationId xmlns:a16="http://schemas.microsoft.com/office/drawing/2014/main" id="{FED3CA65-F0F3-4413-8720-AA85B2B7362F}"/>
                </a:ext>
              </a:extLst>
            </xdr:cNvPr>
            <xdr:cNvSpPr txBox="1"/>
          </xdr:nvSpPr>
          <xdr:spPr>
            <a:xfrm>
              <a:off x="2340426" y="41044822"/>
              <a:ext cx="4237384" cy="32432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r>
                    <a:rPr lang="en-US" sz="1000" b="0" i="1">
                      <a:latin typeface="Cambria Math"/>
                    </a:rPr>
                    <m:t>𝐻</m:t>
                  </m:r>
                  <m:d>
                    <m:dPr>
                      <m:ctrlPr>
                        <a:rPr lang="en-US" sz="1000" b="0" i="1">
                          <a:latin typeface="Cambria Math" panose="02040503050406030204" pitchFamily="18" charset="0"/>
                        </a:rPr>
                      </m:ctrlPr>
                    </m:dPr>
                    <m:e>
                      <m:r>
                        <a:rPr lang="en-US" sz="1000" b="0" i="1">
                          <a:latin typeface="Cambria Math"/>
                        </a:rPr>
                        <m:t>𝑖𝑛𝑑𝑢𝑐𝑡𝑎𝑛𝑐𝑒</m:t>
                      </m:r>
                    </m:e>
                  </m:d>
                  <m:r>
                    <a:rPr lang="en-US" sz="1000" b="0" i="1">
                      <a:latin typeface="Cambria Math"/>
                      <a:ea typeface="Cambria Math"/>
                    </a:rPr>
                    <m:t>=</m:t>
                  </m:r>
                  <m:f>
                    <m:fPr>
                      <m:ctrlPr>
                        <a:rPr lang="en-US" sz="1000" b="0" i="1">
                          <a:latin typeface="Cambria Math" panose="02040503050406030204" pitchFamily="18" charset="0"/>
                          <a:ea typeface="Cambria Math"/>
                        </a:rPr>
                      </m:ctrlPr>
                    </m:fPr>
                    <m:num>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𝐿</m:t>
                          </m:r>
                        </m:sub>
                      </m:sSub>
                    </m:num>
                    <m:den>
                      <m:r>
                        <a:rPr lang="en-US" sz="1000" b="0" i="1">
                          <a:latin typeface="Cambria Math"/>
                          <a:ea typeface="Cambria Math"/>
                        </a:rPr>
                        <m:t>2</m:t>
                      </m:r>
                      <m:r>
                        <a:rPr lang="en-US" sz="1000" b="0" i="1">
                          <a:latin typeface="Cambria Math"/>
                          <a:ea typeface="Cambria Math"/>
                        </a:rPr>
                        <m:t>𝜋</m:t>
                      </m:r>
                      <m:r>
                        <a:rPr lang="en-US" sz="1000" b="0" i="1">
                          <a:latin typeface="Cambria Math"/>
                          <a:ea typeface="Cambria Math"/>
                        </a:rPr>
                        <m:t>𝑓</m:t>
                      </m:r>
                    </m:den>
                  </m:f>
                  <m:r>
                    <a:rPr lang="en-US" sz="1000" b="0" i="1">
                      <a:latin typeface="Cambria Math"/>
                      <a:ea typeface="Cambria Math"/>
                    </a:rPr>
                    <m:t>×1000</m:t>
                  </m:r>
                  <m:d>
                    <m:dPr>
                      <m:ctrlPr>
                        <a:rPr lang="en-US" sz="1000" b="0" i="1">
                          <a:latin typeface="Cambria Math" panose="02040503050406030204" pitchFamily="18" charset="0"/>
                          <a:ea typeface="Cambria Math"/>
                        </a:rPr>
                      </m:ctrlPr>
                    </m:dPr>
                    <m:e>
                      <m:r>
                        <a:rPr lang="en-US" sz="1000" b="0" i="1">
                          <a:latin typeface="Cambria Math"/>
                          <a:ea typeface="Cambria Math"/>
                        </a:rPr>
                        <m:t>𝑚𝐻</m:t>
                      </m:r>
                    </m:e>
                  </m:d>
                  <m:r>
                    <a:rPr lang="en-US" sz="1000" b="0" i="1">
                      <a:latin typeface="Cambria Math"/>
                      <a:ea typeface="Cambria Math"/>
                    </a:rPr>
                    <m:t>=</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9.03</m:t>
                      </m:r>
                    </m:num>
                    <m:den>
                      <m:r>
                        <a:rPr lang="en-US" sz="1000" i="1">
                          <a:latin typeface="Cambria Math"/>
                          <a:ea typeface="Cambria Math"/>
                        </a:rPr>
                        <m:t>2</m:t>
                      </m:r>
                      <m:r>
                        <a:rPr lang="en-US" sz="1000" i="1">
                          <a:latin typeface="Cambria Math"/>
                          <a:ea typeface="Cambria Math"/>
                        </a:rPr>
                        <m:t>𝜋</m:t>
                      </m:r>
                      <m:r>
                        <a:rPr lang="en-US" sz="1000" b="0" i="1">
                          <a:latin typeface="Cambria Math"/>
                          <a:ea typeface="Cambria Math"/>
                        </a:rPr>
                        <m:t> 60</m:t>
                      </m:r>
                    </m:den>
                  </m:f>
                  <m:r>
                    <a:rPr lang="en-US" sz="1000" i="1">
                      <a:latin typeface="Cambria Math"/>
                      <a:ea typeface="Cambria Math"/>
                    </a:rPr>
                    <m:t>×1000</m:t>
                  </m:r>
                  <m:d>
                    <m:dPr>
                      <m:ctrlPr>
                        <a:rPr lang="en-US" sz="1000" i="1">
                          <a:latin typeface="Cambria Math" panose="02040503050406030204" pitchFamily="18" charset="0"/>
                          <a:ea typeface="Cambria Math"/>
                        </a:rPr>
                      </m:ctrlPr>
                    </m:dPr>
                    <m:e>
                      <m:r>
                        <a:rPr lang="en-US" sz="1000" i="1">
                          <a:latin typeface="Cambria Math"/>
                          <a:ea typeface="Cambria Math"/>
                        </a:rPr>
                        <m:t>𝑚𝐻</m:t>
                      </m:r>
                    </m:e>
                  </m:d>
                </m:oMath>
              </a14:m>
              <a:r>
                <a:rPr lang="en-US" sz="1000"/>
                <a:t>= 23.95 mH</a:t>
              </a:r>
            </a:p>
          </xdr:txBody>
        </xdr:sp>
      </mc:Choice>
      <mc:Fallback xmlns="">
        <xdr:sp macro="" textlink="">
          <xdr:nvSpPr>
            <xdr:cNvPr id="22" name="TextBox 2">
              <a:extLst>
                <a:ext uri="{FF2B5EF4-FFF2-40B4-BE49-F238E27FC236}">
                  <a16:creationId xmlns:a16="http://schemas.microsoft.com/office/drawing/2014/main" id="{FED3CA65-F0F3-4413-8720-AA85B2B7362F}"/>
                </a:ext>
              </a:extLst>
            </xdr:cNvPr>
            <xdr:cNvSpPr txBox="1"/>
          </xdr:nvSpPr>
          <xdr:spPr>
            <a:xfrm>
              <a:off x="2340426" y="41044822"/>
              <a:ext cx="4237384" cy="324326"/>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𝐻</a:t>
              </a:r>
              <a:r>
                <a:rPr lang="en-US" sz="1000" b="0" i="0">
                  <a:latin typeface="Cambria Math" panose="02040503050406030204" pitchFamily="18" charset="0"/>
                </a:rPr>
                <a:t>(</a:t>
              </a:r>
              <a:r>
                <a:rPr lang="en-US" sz="1000" b="0" i="0">
                  <a:latin typeface="Cambria Math"/>
                </a:rPr>
                <a:t>𝑖𝑛𝑑𝑢𝑐𝑡𝑎𝑛𝑐𝑒</a:t>
              </a:r>
              <a:r>
                <a:rPr lang="en-US" sz="1000" b="0" i="0">
                  <a:latin typeface="Cambria Math" panose="02040503050406030204" pitchFamily="18" charset="0"/>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𝐿</a:t>
              </a:r>
              <a:r>
                <a:rPr lang="en-US" sz="1000" b="0" i="0">
                  <a:latin typeface="Cambria Math" panose="02040503050406030204" pitchFamily="18" charset="0"/>
                  <a:ea typeface="Cambria Math"/>
                </a:rPr>
                <a:t>/</a:t>
              </a:r>
              <a:r>
                <a:rPr lang="en-US" sz="1000" b="0" i="0">
                  <a:latin typeface="Cambria Math"/>
                  <a:ea typeface="Cambria Math"/>
                </a:rPr>
                <a:t>2𝜋𝑓×1000</a:t>
              </a:r>
              <a:r>
                <a:rPr lang="en-US" sz="1000" b="0" i="0">
                  <a:latin typeface="Cambria Math" panose="02040503050406030204" pitchFamily="18" charset="0"/>
                  <a:ea typeface="Cambria Math"/>
                </a:rPr>
                <a:t>(</a:t>
              </a:r>
              <a:r>
                <a:rPr lang="en-US" sz="1000" b="0" i="0">
                  <a:latin typeface="Cambria Math"/>
                  <a:ea typeface="Cambria Math"/>
                </a:rPr>
                <a:t>𝑚𝐻</a:t>
              </a:r>
              <a:r>
                <a:rPr lang="en-US" sz="1000" b="0" i="0">
                  <a:latin typeface="Cambria Math" panose="02040503050406030204" pitchFamily="18" charset="0"/>
                  <a:ea typeface="Cambria Math"/>
                </a:rPr>
                <a:t>)</a:t>
              </a:r>
              <a:r>
                <a:rPr lang="en-US" sz="1000" b="0" i="0">
                  <a:latin typeface="Cambria Math"/>
                  <a:ea typeface="Cambria Math"/>
                </a:rPr>
                <a:t>=</a:t>
              </a:r>
              <a:r>
                <a:rPr lang="en-US" sz="1000" b="0" i="0">
                  <a:latin typeface="Cambria Math" panose="02040503050406030204" pitchFamily="18" charset="0"/>
                  <a:ea typeface="Cambria Math"/>
                </a:rPr>
                <a:t>9.03/(</a:t>
              </a:r>
              <a:r>
                <a:rPr lang="en-US" sz="1000" i="0">
                  <a:latin typeface="Cambria Math"/>
                  <a:ea typeface="Cambria Math"/>
                </a:rPr>
                <a:t>2𝜋</a:t>
              </a:r>
              <a:r>
                <a:rPr lang="en-US" sz="1000" b="0" i="0">
                  <a:latin typeface="Cambria Math"/>
                  <a:ea typeface="Cambria Math"/>
                </a:rPr>
                <a:t> 60</a:t>
              </a:r>
              <a:r>
                <a:rPr lang="en-US" sz="1000" b="0" i="0">
                  <a:latin typeface="Cambria Math" panose="02040503050406030204" pitchFamily="18" charset="0"/>
                  <a:ea typeface="Cambria Math"/>
                </a:rPr>
                <a:t>)</a:t>
              </a:r>
              <a:r>
                <a:rPr lang="en-US" sz="1000" i="0">
                  <a:latin typeface="Cambria Math"/>
                  <a:ea typeface="Cambria Math"/>
                </a:rPr>
                <a:t>×1000</a:t>
              </a:r>
              <a:r>
                <a:rPr lang="en-US" sz="1000" i="0">
                  <a:latin typeface="Cambria Math" panose="02040503050406030204" pitchFamily="18" charset="0"/>
                  <a:ea typeface="Cambria Math"/>
                </a:rPr>
                <a:t>(</a:t>
              </a:r>
              <a:r>
                <a:rPr lang="en-US" sz="1000" i="0">
                  <a:latin typeface="Cambria Math"/>
                  <a:ea typeface="Cambria Math"/>
                </a:rPr>
                <a:t>𝑚𝐻</a:t>
              </a:r>
              <a:r>
                <a:rPr lang="en-US" sz="1000" i="0">
                  <a:latin typeface="Cambria Math" panose="02040503050406030204" pitchFamily="18" charset="0"/>
                  <a:ea typeface="Cambria Math"/>
                </a:rPr>
                <a:t>)</a:t>
              </a:r>
              <a:r>
                <a:rPr lang="en-US" sz="1000"/>
                <a:t>= 23.95 mH</a:t>
              </a:r>
            </a:p>
          </xdr:txBody>
        </xdr:sp>
      </mc:Fallback>
    </mc:AlternateContent>
    <xdr:clientData/>
  </xdr:twoCellAnchor>
  <xdr:twoCellAnchor>
    <xdr:from>
      <xdr:col>12</xdr:col>
      <xdr:colOff>150918</xdr:colOff>
      <xdr:row>180</xdr:row>
      <xdr:rowOff>218010</xdr:rowOff>
    </xdr:from>
    <xdr:to>
      <xdr:col>40</xdr:col>
      <xdr:colOff>112405</xdr:colOff>
      <xdr:row>182</xdr:row>
      <xdr:rowOff>181480</xdr:rowOff>
    </xdr:to>
    <mc:AlternateContent xmlns:mc="http://schemas.openxmlformats.org/markup-compatibility/2006" xmlns:a14="http://schemas.microsoft.com/office/drawing/2010/main">
      <mc:Choice Requires="a14">
        <xdr:sp macro="" textlink="">
          <xdr:nvSpPr>
            <xdr:cNvPr id="23" name="TextBox 3">
              <a:extLst>
                <a:ext uri="{FF2B5EF4-FFF2-40B4-BE49-F238E27FC236}">
                  <a16:creationId xmlns:a16="http://schemas.microsoft.com/office/drawing/2014/main" id="{D1E503C5-8FD9-4B78-9B49-4A29F897E33F}"/>
                </a:ext>
              </a:extLst>
            </xdr:cNvPr>
            <xdr:cNvSpPr txBox="1"/>
          </xdr:nvSpPr>
          <xdr:spPr>
            <a:xfrm>
              <a:off x="2322618" y="41366010"/>
              <a:ext cx="5028787" cy="42067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panose="02040503050406030204" pitchFamily="18" charset="0"/>
                              </a:rPr>
                              <m:t>𝐶𝐴</m:t>
                            </m:r>
                            <m:r>
                              <a:rPr lang="en-US" sz="1000" b="0" i="1">
                                <a:latin typeface="Cambria Math" panose="02040503050406030204" pitchFamily="18" charset="0"/>
                              </a:rPr>
                              <m:t> </m:t>
                            </m:r>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r>
                                  <a:rPr lang="en-US" sz="1000" b="0" i="1">
                                    <a:latin typeface="Cambria Math" panose="02040503050406030204" pitchFamily="18" charset="0"/>
                                    <a:ea typeface="Cambria Math"/>
                                  </a:rPr>
                                  <m:t>𝐴</m:t>
                                </m:r>
                              </m:sub>
                            </m:sSub>
                          </m:den>
                        </m:f>
                        <m:r>
                          <a:rPr lang="en-US" sz="1000" b="0" i="1">
                            <a:latin typeface="Cambria Math"/>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panose="02040503050406030204" pitchFamily="18" charset="0"/>
                                      </a:rPr>
                                      <m:t>0.6</m:t>
                                    </m:r>
                                  </m:e>
                                </m:d>
                              </m:e>
                              <m:sup>
                                <m:r>
                                  <a:rPr lang="en-US" sz="1000" i="1">
                                    <a:latin typeface="Cambria Math"/>
                                  </a:rPr>
                                  <m:t>2</m:t>
                                </m:r>
                              </m:sup>
                            </m:sSup>
                          </m:num>
                          <m:den>
                            <m:r>
                              <a:rPr lang="en-US" sz="1000" b="0" i="1">
                                <a:latin typeface="Cambria Math" panose="02040503050406030204" pitchFamily="18" charset="0"/>
                              </a:rPr>
                              <m:t>9.03</m:t>
                            </m:r>
                          </m:den>
                        </m:f>
                        <m:r>
                          <a:rPr lang="en-US" sz="1000" b="0" i="1">
                            <a:latin typeface="Cambria Math"/>
                            <a:ea typeface="Cambria Math"/>
                          </a:rPr>
                          <m:t>=</m:t>
                        </m:r>
                        <m:r>
                          <a:rPr lang="en-US" sz="1000" b="0" i="1">
                            <a:latin typeface="Cambria Math" panose="02040503050406030204" pitchFamily="18" charset="0"/>
                            <a:ea typeface="Cambria Math"/>
                          </a:rPr>
                          <m:t>0.040 </m:t>
                        </m:r>
                        <m:r>
                          <a:rPr lang="en-US" sz="1000" b="0" i="1">
                            <a:latin typeface="Cambria Math" panose="02040503050406030204" pitchFamily="18" charset="0"/>
                            <a:ea typeface="Cambria Math"/>
                          </a:rPr>
                          <m:t>𝑀𝑉𝐴𝑅</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800" b="0"/>
            </a:p>
          </xdr:txBody>
        </xdr:sp>
      </mc:Choice>
      <mc:Fallback xmlns="">
        <xdr:sp macro="" textlink="">
          <xdr:nvSpPr>
            <xdr:cNvPr id="23" name="TextBox 3">
              <a:extLst>
                <a:ext uri="{FF2B5EF4-FFF2-40B4-BE49-F238E27FC236}">
                  <a16:creationId xmlns:a16="http://schemas.microsoft.com/office/drawing/2014/main" id="{D1E503C5-8FD9-4B78-9B49-4A29F897E33F}"/>
                </a:ext>
              </a:extLst>
            </xdr:cNvPr>
            <xdr:cNvSpPr txBox="1"/>
          </xdr:nvSpPr>
          <xdr:spPr>
            <a:xfrm>
              <a:off x="2322618" y="41366010"/>
              <a:ext cx="5028787" cy="420670"/>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_(𝐶𝐴 </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𝐴 </a:t>
              </a:r>
              <a:r>
                <a:rPr lang="en-US" sz="1000" b="0" i="0">
                  <a:latin typeface="Cambria Math"/>
                  <a:ea typeface="Cambria Math"/>
                </a:rPr>
                <a:t>=</a:t>
              </a:r>
              <a:r>
                <a:rPr lang="en-US" sz="1000" b="0" i="0">
                  <a:latin typeface="Cambria Math" panose="02040503050406030204" pitchFamily="18" charset="0"/>
                  <a:ea typeface="Cambria Math"/>
                </a:rPr>
                <a:t>(</a:t>
              </a:r>
              <a:r>
                <a:rPr lang="en-US" sz="1000" b="0" i="0">
                  <a:latin typeface="Cambria Math" panose="02040503050406030204" pitchFamily="18" charset="0"/>
                </a:rPr>
                <a:t>0.6)^</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9.03</a:t>
              </a:r>
              <a:r>
                <a:rPr lang="en-US" sz="1000" b="0" i="0">
                  <a:latin typeface="Cambria Math"/>
                  <a:ea typeface="Cambria Math"/>
                </a:rPr>
                <a:t>=</a:t>
              </a:r>
              <a:r>
                <a:rPr lang="en-US" sz="1000" b="0" i="0">
                  <a:latin typeface="Cambria Math" panose="02040503050406030204" pitchFamily="18" charset="0"/>
                  <a:ea typeface="Cambria Math"/>
                </a:rPr>
                <a:t>0.040 𝑀𝑉𝐴𝑅/𝑃ℎ𝑎𝑠𝑒〗_</a:t>
              </a:r>
              <a:endParaRPr lang="en-US" sz="800" b="0"/>
            </a:p>
          </xdr:txBody>
        </xdr:sp>
      </mc:Fallback>
    </mc:AlternateContent>
    <xdr:clientData/>
  </xdr:twoCellAnchor>
  <xdr:twoCellAnchor>
    <xdr:from>
      <xdr:col>12</xdr:col>
      <xdr:colOff>149677</xdr:colOff>
      <xdr:row>183</xdr:row>
      <xdr:rowOff>14020</xdr:rowOff>
    </xdr:from>
    <xdr:to>
      <xdr:col>40</xdr:col>
      <xdr:colOff>120689</xdr:colOff>
      <xdr:row>184</xdr:row>
      <xdr:rowOff>208812</xdr:rowOff>
    </xdr:to>
    <mc:AlternateContent xmlns:mc="http://schemas.openxmlformats.org/markup-compatibility/2006" xmlns:a14="http://schemas.microsoft.com/office/drawing/2010/main">
      <mc:Choice Requires="a14">
        <xdr:sp macro="" textlink="">
          <xdr:nvSpPr>
            <xdr:cNvPr id="24" name="TextBox 3">
              <a:extLst>
                <a:ext uri="{FF2B5EF4-FFF2-40B4-BE49-F238E27FC236}">
                  <a16:creationId xmlns:a16="http://schemas.microsoft.com/office/drawing/2014/main" id="{02961EAC-5E86-4AA6-A5EE-4883D2538233}"/>
                </a:ext>
              </a:extLst>
            </xdr:cNvPr>
            <xdr:cNvSpPr txBox="1"/>
          </xdr:nvSpPr>
          <xdr:spPr>
            <a:xfrm>
              <a:off x="2321377" y="41847820"/>
              <a:ext cx="5038312" cy="42339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sSub>
                          <m:sSubPr>
                            <m:ctrlPr>
                              <a:rPr lang="en-US" sz="1000" b="0" i="1">
                                <a:latin typeface="Cambria Math" panose="02040503050406030204" pitchFamily="18" charset="0"/>
                              </a:rPr>
                            </m:ctrlPr>
                          </m:sSubPr>
                          <m:e>
                            <m:r>
                              <a:rPr lang="en-US" sz="1000" b="0" i="1">
                                <a:latin typeface="Cambria Math"/>
                              </a:rPr>
                              <m:t>𝑄</m:t>
                            </m:r>
                          </m:e>
                          <m:sub>
                            <m:r>
                              <a:rPr lang="en-US" sz="1000" b="0" i="1">
                                <a:latin typeface="Cambria Math" panose="02040503050406030204" pitchFamily="18" charset="0"/>
                              </a:rPr>
                              <m:t>𝐶𝑀</m:t>
                            </m:r>
                            <m:r>
                              <a:rPr lang="en-US" sz="1000" b="0" i="1">
                                <a:latin typeface="Cambria Math" panose="02040503050406030204" pitchFamily="18" charset="0"/>
                              </a:rPr>
                              <m:t> </m:t>
                            </m:r>
                            <m:r>
                              <a:rPr lang="en-US" sz="1000" b="0" i="1">
                                <a:latin typeface="Cambria Math"/>
                              </a:rPr>
                              <m:t>𝑅𝐴𝑇𝐸𝐷</m:t>
                            </m:r>
                            <m:r>
                              <a:rPr lang="en-US" sz="1000" b="0" i="1">
                                <a:latin typeface="Cambria Math"/>
                              </a:rPr>
                              <m:t> </m:t>
                            </m:r>
                            <m:r>
                              <a:rPr lang="en-US" sz="1000" b="0" i="1">
                                <a:latin typeface="Cambria Math"/>
                              </a:rPr>
                              <m:t>𝑃𝐸𝑅</m:t>
                            </m:r>
                            <m:r>
                              <a:rPr lang="en-US" sz="1000" b="0" i="1">
                                <a:latin typeface="Cambria Math"/>
                              </a:rPr>
                              <m:t> </m:t>
                            </m:r>
                            <m:r>
                              <a:rPr lang="en-US" sz="1000" b="0" i="1">
                                <a:latin typeface="Cambria Math"/>
                              </a:rPr>
                              <m:t>𝑃𝐻𝐴𝑆𝐸</m:t>
                            </m:r>
                            <m:r>
                              <a:rPr lang="en-US" sz="1000" b="0" i="1">
                                <a:latin typeface="Cambria Math"/>
                              </a:rPr>
                              <m:t> (</m:t>
                            </m:r>
                            <m:r>
                              <a:rPr lang="en-US" sz="1000" b="0" i="1">
                                <a:latin typeface="Cambria Math" panose="02040503050406030204" pitchFamily="18" charset="0"/>
                              </a:rPr>
                              <m:t>𝑀𝑉𝐴𝑅</m:t>
                            </m:r>
                            <m:r>
                              <a:rPr lang="en-US" sz="1000" b="0" i="1">
                                <a:latin typeface="Cambria Math"/>
                              </a:rPr>
                              <m:t>)</m:t>
                            </m:r>
                          </m:sub>
                        </m:sSub>
                        <m:r>
                          <a:rPr lang="en-US" sz="1000" b="0" i="1">
                            <a:latin typeface="Cambria Math"/>
                          </a:rPr>
                          <m:t> </m:t>
                        </m:r>
                        <m:r>
                          <a:rPr lang="en-US" sz="1000" b="0" i="1">
                            <a:latin typeface="Cambria Math"/>
                            <a:ea typeface="Cambria Math"/>
                          </a:rPr>
                          <m:t>=</m:t>
                        </m:r>
                        <m:f>
                          <m:fPr>
                            <m:ctrlPr>
                              <a:rPr lang="en-US" sz="1000" b="0" i="1">
                                <a:latin typeface="Cambria Math" panose="02040503050406030204" pitchFamily="18" charset="0"/>
                                <a:ea typeface="Cambria Math"/>
                              </a:rPr>
                            </m:ctrlPr>
                          </m:fPr>
                          <m:num>
                            <m:sSup>
                              <m:sSupPr>
                                <m:ctrlPr>
                                  <a:rPr lang="en-US" sz="1000" b="0" i="1">
                                    <a:solidFill>
                                      <a:schemeClr val="tx1"/>
                                    </a:solidFill>
                                    <a:effectLst/>
                                    <a:latin typeface="Cambria Math" panose="02040503050406030204" pitchFamily="18" charset="0"/>
                                  </a:rPr>
                                </m:ctrlPr>
                              </m:sSupPr>
                              <m:e>
                                <m:d>
                                  <m:dPr>
                                    <m:ctrlPr>
                                      <a:rPr lang="en-US" sz="1000" b="0" i="1">
                                        <a:solidFill>
                                          <a:schemeClr val="tx1"/>
                                        </a:solidFill>
                                        <a:effectLst/>
                                        <a:latin typeface="Cambria Math" panose="02040503050406030204" pitchFamily="18" charset="0"/>
                                      </a:rPr>
                                    </m:ctrlPr>
                                  </m:dPr>
                                  <m:e>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𝑉</m:t>
                                        </m:r>
                                      </m:e>
                                      <m:sub>
                                        <m:r>
                                          <a:rPr lang="en-US" sz="1000" b="0" i="1">
                                            <a:solidFill>
                                              <a:schemeClr val="tx1"/>
                                            </a:solidFill>
                                            <a:effectLst/>
                                            <a:latin typeface="Cambria Math"/>
                                          </a:rPr>
                                          <m:t>𝐶𝐴𝑃</m:t>
                                        </m:r>
                                        <m:r>
                                          <a:rPr lang="en-US" sz="1000" b="0" i="1">
                                            <a:solidFill>
                                              <a:schemeClr val="tx1"/>
                                            </a:solidFill>
                                            <a:effectLst/>
                                            <a:latin typeface="Cambria Math"/>
                                          </a:rPr>
                                          <m:t> </m:t>
                                        </m:r>
                                        <m:r>
                                          <a:rPr lang="en-US" sz="1000" b="0" i="1">
                                            <a:solidFill>
                                              <a:schemeClr val="tx1"/>
                                            </a:solidFill>
                                            <a:effectLst/>
                                            <a:latin typeface="Cambria Math"/>
                                          </a:rPr>
                                          <m:t>𝑅𝐴𝑇𝐼𝑁𝐺</m:t>
                                        </m:r>
                                      </m:sub>
                                    </m:sSub>
                                  </m:e>
                                </m:d>
                              </m:e>
                              <m:sup>
                                <m:r>
                                  <a:rPr lang="en-US" sz="1000" b="0" i="1">
                                    <a:solidFill>
                                      <a:schemeClr val="tx1"/>
                                    </a:solidFill>
                                    <a:effectLst/>
                                    <a:latin typeface="Cambria Math"/>
                                  </a:rPr>
                                  <m:t>2</m:t>
                                </m:r>
                              </m:sup>
                            </m:sSup>
                          </m:num>
                          <m:den>
                            <m:sSub>
                              <m:sSubPr>
                                <m:ctrlPr>
                                  <a:rPr lang="en-US" sz="1000" b="0" i="1">
                                    <a:latin typeface="Cambria Math" panose="02040503050406030204" pitchFamily="18" charset="0"/>
                                    <a:ea typeface="Cambria Math"/>
                                  </a:rPr>
                                </m:ctrlPr>
                              </m:sSubPr>
                              <m:e>
                                <m:r>
                                  <a:rPr lang="en-US" sz="1000" b="0" i="1">
                                    <a:latin typeface="Cambria Math"/>
                                    <a:ea typeface="Cambria Math"/>
                                  </a:rPr>
                                  <m:t>𝑋</m:t>
                                </m:r>
                              </m:e>
                              <m:sub>
                                <m:r>
                                  <a:rPr lang="en-US" sz="1000" b="0" i="1">
                                    <a:latin typeface="Cambria Math"/>
                                    <a:ea typeface="Cambria Math"/>
                                  </a:rPr>
                                  <m:t>𝐶</m:t>
                                </m:r>
                                <m:r>
                                  <a:rPr lang="en-US" sz="1000" b="0" i="1">
                                    <a:latin typeface="Cambria Math" panose="02040503050406030204" pitchFamily="18" charset="0"/>
                                    <a:ea typeface="Cambria Math"/>
                                  </a:rPr>
                                  <m:t>𝑀</m:t>
                                </m:r>
                              </m:sub>
                            </m:sSub>
                          </m:den>
                        </m:f>
                        <m:r>
                          <a:rPr lang="en-US" sz="1000" b="0" i="1">
                            <a:latin typeface="Cambria Math" panose="02040503050406030204" pitchFamily="18" charset="0"/>
                            <a:ea typeface="Cambria Math"/>
                          </a:rPr>
                          <m:t>=</m:t>
                        </m:r>
                        <m:f>
                          <m:fPr>
                            <m:ctrlPr>
                              <a:rPr lang="en-US" sz="1000" i="1">
                                <a:latin typeface="Cambria Math" panose="02040503050406030204" pitchFamily="18" charset="0"/>
                                <a:ea typeface="Cambria Math"/>
                              </a:rPr>
                            </m:ctrlPr>
                          </m:fPr>
                          <m:num>
                            <m:sSup>
                              <m:sSupPr>
                                <m:ctrlPr>
                                  <a:rPr lang="en-US" sz="1000" i="1">
                                    <a:latin typeface="Cambria Math" panose="02040503050406030204" pitchFamily="18" charset="0"/>
                                  </a:rPr>
                                </m:ctrlPr>
                              </m:sSupPr>
                              <m:e>
                                <m:d>
                                  <m:dPr>
                                    <m:ctrlPr>
                                      <a:rPr lang="en-US" sz="1000" i="1">
                                        <a:latin typeface="Cambria Math" panose="02040503050406030204" pitchFamily="18" charset="0"/>
                                      </a:rPr>
                                    </m:ctrlPr>
                                  </m:dPr>
                                  <m:e>
                                    <m:r>
                                      <a:rPr lang="en-US" sz="1000" b="0" i="1">
                                        <a:latin typeface="Cambria Math"/>
                                      </a:rPr>
                                      <m:t>9.54</m:t>
                                    </m:r>
                                  </m:e>
                                </m:d>
                              </m:e>
                              <m:sup>
                                <m:r>
                                  <a:rPr lang="en-US" sz="1000" i="1">
                                    <a:latin typeface="Cambria Math"/>
                                  </a:rPr>
                                  <m:t>2</m:t>
                                </m:r>
                              </m:sup>
                            </m:sSup>
                          </m:num>
                          <m:den>
                            <m:r>
                              <a:rPr lang="en-US" sz="1000" b="0" i="1">
                                <a:latin typeface="Cambria Math" panose="02040503050406030204" pitchFamily="18" charset="0"/>
                              </a:rPr>
                              <m:t>190.4</m:t>
                            </m:r>
                          </m:den>
                        </m:f>
                        <m:r>
                          <a:rPr lang="en-US" sz="1000" b="0" i="1">
                            <a:latin typeface="Cambria Math"/>
                            <a:ea typeface="Cambria Math"/>
                          </a:rPr>
                          <m:t>=</m:t>
                        </m:r>
                        <m:r>
                          <a:rPr lang="en-US" sz="1000" b="0" i="1">
                            <a:latin typeface="Cambria Math" panose="02040503050406030204" pitchFamily="18" charset="0"/>
                            <a:ea typeface="Cambria Math"/>
                          </a:rPr>
                          <m:t>0.478 </m:t>
                        </m:r>
                        <m:r>
                          <a:rPr lang="en-US" sz="1000" b="0" i="1">
                            <a:latin typeface="Cambria Math" panose="02040503050406030204" pitchFamily="18" charset="0"/>
                            <a:ea typeface="Cambria Math"/>
                          </a:rPr>
                          <m:t>𝑘𝑣𝑎𝑟</m:t>
                        </m:r>
                        <m:r>
                          <a:rPr lang="en-US" sz="1000" b="0" i="1">
                            <a:latin typeface="Cambria Math" panose="02040503050406030204" pitchFamily="18" charset="0"/>
                            <a:ea typeface="Cambria Math"/>
                          </a:rPr>
                          <m:t>/</m:t>
                        </m:r>
                        <m:r>
                          <a:rPr lang="en-US" sz="1000" b="0" i="1">
                            <a:latin typeface="Cambria Math" panose="02040503050406030204" pitchFamily="18" charset="0"/>
                            <a:ea typeface="Cambria Math"/>
                          </a:rPr>
                          <m:t>𝑃h𝑎𝑠𝑒</m:t>
                        </m:r>
                      </m:e>
                      <m:sub/>
                    </m:sSub>
                  </m:oMath>
                </m:oMathPara>
              </a14:m>
              <a:endParaRPr lang="en-US" sz="1000" b="0"/>
            </a:p>
          </xdr:txBody>
        </xdr:sp>
      </mc:Choice>
      <mc:Fallback xmlns="">
        <xdr:sp macro="" textlink="">
          <xdr:nvSpPr>
            <xdr:cNvPr id="24" name="TextBox 3">
              <a:extLst>
                <a:ext uri="{FF2B5EF4-FFF2-40B4-BE49-F238E27FC236}">
                  <a16:creationId xmlns:a16="http://schemas.microsoft.com/office/drawing/2014/main" id="{02961EAC-5E86-4AA6-A5EE-4883D2538233}"/>
                </a:ext>
              </a:extLst>
            </xdr:cNvPr>
            <xdr:cNvSpPr txBox="1"/>
          </xdr:nvSpPr>
          <xdr:spPr>
            <a:xfrm>
              <a:off x="2321377" y="41847820"/>
              <a:ext cx="5038312" cy="423392"/>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panose="02040503050406030204" pitchFamily="18" charset="0"/>
                </a:rPr>
                <a:t>〖</a:t>
              </a:r>
              <a:r>
                <a:rPr lang="en-US" sz="1000" b="0" i="0">
                  <a:latin typeface="Cambria Math"/>
                </a:rPr>
                <a:t>𝑄</a:t>
              </a:r>
              <a:r>
                <a:rPr lang="en-US" sz="1000" b="0" i="0">
                  <a:latin typeface="Cambria Math" panose="02040503050406030204" pitchFamily="18" charset="0"/>
                </a:rPr>
                <a:t>_(𝐶𝑀 </a:t>
              </a:r>
              <a:r>
                <a:rPr lang="en-US" sz="1000" b="0" i="0">
                  <a:latin typeface="Cambria Math"/>
                </a:rPr>
                <a:t>𝑅𝐴𝑇𝐸𝐷 𝑃𝐸𝑅 𝑃𝐻𝐴𝑆𝐸 (</a:t>
              </a:r>
              <a:r>
                <a:rPr lang="en-US" sz="1000" b="0" i="0">
                  <a:latin typeface="Cambria Math" panose="02040503050406030204" pitchFamily="18" charset="0"/>
                </a:rPr>
                <a:t>𝑀𝑉𝐴𝑅</a:t>
              </a:r>
              <a:r>
                <a:rPr lang="en-US" sz="1000" b="0" i="0">
                  <a:latin typeface="Cambria Math"/>
                </a:rPr>
                <a:t>)</a:t>
              </a:r>
              <a:r>
                <a:rPr lang="en-US" sz="1000" b="0" i="0">
                  <a:latin typeface="Cambria Math" panose="02040503050406030204" pitchFamily="18" charset="0"/>
                </a:rPr>
                <a:t>)</a:t>
              </a:r>
              <a:r>
                <a:rPr lang="en-US" sz="1000" b="0" i="0">
                  <a:latin typeface="Cambria Math"/>
                </a:rPr>
                <a:t>  </a:t>
              </a:r>
              <a:r>
                <a:rPr lang="en-US" sz="1000" b="0" i="0">
                  <a:latin typeface="Cambria Math"/>
                  <a:ea typeface="Cambria Math"/>
                </a:rPr>
                <a:t>=</a:t>
              </a:r>
              <a:r>
                <a:rPr lang="en-US" sz="1000" b="0" i="0">
                  <a:solidFill>
                    <a:schemeClr val="tx1"/>
                  </a:solidFill>
                  <a:effectLst/>
                  <a:latin typeface="Cambria Math" panose="02040503050406030204" pitchFamily="18" charset="0"/>
                  <a:ea typeface="Cambria Math"/>
                </a:rPr>
                <a:t>(</a:t>
              </a:r>
              <a:r>
                <a:rPr lang="en-US" sz="1000" b="0" i="0">
                  <a:solidFill>
                    <a:schemeClr val="tx1"/>
                  </a:solidFill>
                  <a:effectLst/>
                  <a:latin typeface="Cambria Math"/>
                </a:rPr>
                <a:t>𝑉</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𝐶𝐴𝑃 𝑅𝐴𝑇𝐼𝑁𝐺</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2</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𝑋</a:t>
              </a:r>
              <a:r>
                <a:rPr lang="en-US" sz="1000" b="0" i="0">
                  <a:latin typeface="Cambria Math" panose="02040503050406030204" pitchFamily="18" charset="0"/>
                  <a:ea typeface="Cambria Math"/>
                </a:rPr>
                <a:t>_</a:t>
              </a:r>
              <a:r>
                <a:rPr lang="en-US" sz="1000" b="0" i="0">
                  <a:latin typeface="Cambria Math"/>
                  <a:ea typeface="Cambria Math"/>
                </a:rPr>
                <a:t>𝐶</a:t>
              </a:r>
              <a:r>
                <a:rPr lang="en-US" sz="1000" b="0" i="0">
                  <a:latin typeface="Cambria Math" panose="02040503050406030204" pitchFamily="18" charset="0"/>
                  <a:ea typeface="Cambria Math"/>
                </a:rPr>
                <a:t>𝑀 =(</a:t>
              </a:r>
              <a:r>
                <a:rPr lang="en-US" sz="1000" b="0" i="0">
                  <a:latin typeface="Cambria Math"/>
                </a:rPr>
                <a:t>9.54</a:t>
              </a:r>
              <a:r>
                <a:rPr lang="en-US" sz="1000" b="0" i="0">
                  <a:latin typeface="Cambria Math" panose="02040503050406030204" pitchFamily="18" charset="0"/>
                </a:rPr>
                <a:t>)^</a:t>
              </a:r>
              <a:r>
                <a:rPr lang="en-US" sz="1000" i="0">
                  <a:latin typeface="Cambria Math"/>
                </a:rPr>
                <a:t>2</a:t>
              </a:r>
              <a:r>
                <a:rPr lang="en-US" sz="1000" i="0">
                  <a:latin typeface="Cambria Math" panose="02040503050406030204" pitchFamily="18" charset="0"/>
                  <a:ea typeface="Cambria Math"/>
                </a:rPr>
                <a:t>/</a:t>
              </a:r>
              <a:r>
                <a:rPr lang="en-US" sz="1000" b="0" i="0">
                  <a:latin typeface="Cambria Math" panose="02040503050406030204" pitchFamily="18" charset="0"/>
                </a:rPr>
                <a:t>190.4</a:t>
              </a:r>
              <a:r>
                <a:rPr lang="en-US" sz="1000" b="0" i="0">
                  <a:latin typeface="Cambria Math"/>
                  <a:ea typeface="Cambria Math"/>
                </a:rPr>
                <a:t>=</a:t>
              </a:r>
              <a:r>
                <a:rPr lang="en-US" sz="1000" b="0" i="0">
                  <a:latin typeface="Cambria Math" panose="02040503050406030204" pitchFamily="18" charset="0"/>
                  <a:ea typeface="Cambria Math"/>
                </a:rPr>
                <a:t>0.478 𝑘𝑣𝑎𝑟/𝑃ℎ𝑎𝑠𝑒〗_</a:t>
              </a:r>
              <a:endParaRPr lang="en-US" sz="1000" b="0"/>
            </a:p>
          </xdr:txBody>
        </xdr:sp>
      </mc:Fallback>
    </mc:AlternateContent>
    <xdr:clientData/>
  </xdr:twoCellAnchor>
  <xdr:twoCellAnchor>
    <xdr:from>
      <xdr:col>12</xdr:col>
      <xdr:colOff>161687</xdr:colOff>
      <xdr:row>185</xdr:row>
      <xdr:rowOff>17334</xdr:rowOff>
    </xdr:from>
    <xdr:to>
      <xdr:col>42</xdr:col>
      <xdr:colOff>54428</xdr:colOff>
      <xdr:row>186</xdr:row>
      <xdr:rowOff>196801</xdr:rowOff>
    </xdr:to>
    <mc:AlternateContent xmlns:mc="http://schemas.openxmlformats.org/markup-compatibility/2006" xmlns:a14="http://schemas.microsoft.com/office/drawing/2010/main">
      <mc:Choice Requires="a14">
        <xdr:sp macro="" textlink="">
          <xdr:nvSpPr>
            <xdr:cNvPr id="25" name="TextBox 14">
              <a:extLst>
                <a:ext uri="{FF2B5EF4-FFF2-40B4-BE49-F238E27FC236}">
                  <a16:creationId xmlns:a16="http://schemas.microsoft.com/office/drawing/2014/main" id="{30802B8F-B260-4451-9E60-C9EDDAFADA3B}"/>
                </a:ext>
              </a:extLst>
            </xdr:cNvPr>
            <xdr:cNvSpPr txBox="1"/>
          </xdr:nvSpPr>
          <xdr:spPr>
            <a:xfrm>
              <a:off x="2333387" y="42308334"/>
              <a:ext cx="5321991" cy="4080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14:m>
                <m:oMathPara xmlns:m="http://schemas.openxmlformats.org/officeDocument/2006/math">
                  <m:oMathParaPr>
                    <m:jc m:val="left"/>
                  </m:oMathParaPr>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𝑅𝐴𝑇𝐸𝐷</m:t>
                        </m:r>
                        <m:r>
                          <a:rPr lang="en-US" sz="1000" b="0" i="1">
                            <a:latin typeface="Cambria Math"/>
                          </a:rPr>
                          <m:t> </m:t>
                        </m:r>
                        <m:r>
                          <a:rPr lang="en-US" sz="1000" b="0" i="1">
                            <a:latin typeface="Cambria Math"/>
                          </a:rPr>
                          <m:t>𝐹𝑈𝑁𝐷𝐴𝑀𝐸𝑁𝑇𝐴𝐿</m:t>
                        </m:r>
                      </m:sub>
                    </m:sSub>
                    <m:r>
                      <a:rPr lang="en-US" sz="1000" b="0" i="1">
                        <a:latin typeface="Cambria Math"/>
                        <a:ea typeface="Cambria Math"/>
                      </a:rPr>
                      <m:t>= </m:t>
                    </m:r>
                    <m:f>
                      <m:fPr>
                        <m:ctrlPr>
                          <a:rPr lang="en-US" sz="1000" b="0" i="1">
                            <a:latin typeface="Cambria Math" panose="02040503050406030204" pitchFamily="18" charset="0"/>
                            <a:ea typeface="Cambria Math"/>
                          </a:rPr>
                        </m:ctrlPr>
                      </m:fPr>
                      <m:num>
                        <m:sSub>
                          <m:sSubPr>
                            <m:ctrlPr>
                              <a:rPr lang="en-US" sz="1000" b="0" i="1">
                                <a:solidFill>
                                  <a:schemeClr val="tx1"/>
                                </a:solidFill>
                                <a:effectLst/>
                                <a:latin typeface="Cambria Math" panose="02040503050406030204" pitchFamily="18" charset="0"/>
                              </a:rPr>
                            </m:ctrlPr>
                          </m:sSubPr>
                          <m:e>
                            <m:r>
                              <a:rPr lang="en-US" sz="1000" b="0" i="1">
                                <a:solidFill>
                                  <a:schemeClr val="tx1"/>
                                </a:solidFill>
                                <a:effectLst/>
                                <a:latin typeface="Cambria Math"/>
                              </a:rPr>
                              <m:t>𝑄</m:t>
                            </m:r>
                          </m:e>
                          <m:sub>
                            <m:r>
                              <a:rPr lang="en-US" sz="1000" b="0" i="1">
                                <a:solidFill>
                                  <a:schemeClr val="tx1"/>
                                </a:solidFill>
                                <a:effectLst/>
                                <a:latin typeface="Cambria Math"/>
                              </a:rPr>
                              <m:t>𝑒𝑓𝑓</m:t>
                            </m:r>
                          </m:sub>
                        </m:sSub>
                      </m:num>
                      <m:den>
                        <m:r>
                          <a:rPr lang="en-US" sz="1000" b="0" i="1">
                            <a:latin typeface="Cambria Math"/>
                            <a:ea typeface="Cambria Math"/>
                          </a:rPr>
                          <m:t>1.73×</m:t>
                        </m:r>
                        <m:sSub>
                          <m:sSubPr>
                            <m:ctrlPr>
                              <a:rPr lang="en-US" sz="1100" b="0" i="1" kern="1200">
                                <a:solidFill>
                                  <a:schemeClr val="tx1"/>
                                </a:solidFill>
                                <a:effectLst/>
                                <a:latin typeface="Cambria Math" panose="02040503050406030204" pitchFamily="18" charset="0"/>
                                <a:ea typeface="+mn-ea"/>
                                <a:cs typeface="+mn-cs"/>
                              </a:rPr>
                            </m:ctrlPr>
                          </m:sSubPr>
                          <m:e>
                            <m:r>
                              <a:rPr lang="en-US" sz="1100" b="0" i="1" kern="1200">
                                <a:solidFill>
                                  <a:schemeClr val="tx1"/>
                                </a:solidFill>
                                <a:effectLst/>
                                <a:latin typeface="Cambria Math" panose="02040503050406030204" pitchFamily="18" charset="0"/>
                                <a:ea typeface="+mn-ea"/>
                                <a:cs typeface="+mn-cs"/>
                              </a:rPr>
                              <m:t>𝑘𝑉</m:t>
                            </m:r>
                          </m:e>
                          <m:sub>
                            <m:r>
                              <a:rPr lang="en-US" sz="1100" b="0" i="1" kern="1200">
                                <a:solidFill>
                                  <a:schemeClr val="tx1"/>
                                </a:solidFill>
                                <a:effectLst/>
                                <a:latin typeface="Cambria Math" panose="02040503050406030204" pitchFamily="18" charset="0"/>
                                <a:ea typeface="+mn-ea"/>
                                <a:cs typeface="+mn-cs"/>
                              </a:rPr>
                              <m:t>𝐿𝐿𝑆𝑌𝑆</m:t>
                            </m:r>
                          </m:sub>
                        </m:sSub>
                      </m:den>
                    </m:f>
                    <m:r>
                      <a:rPr lang="en-US" sz="1000" b="0" i="1">
                        <a:latin typeface="Cambria Math"/>
                        <a:ea typeface="Cambria Math"/>
                      </a:rPr>
                      <m:t>×1000=</m:t>
                    </m:r>
                    <m:f>
                      <m:fPr>
                        <m:ctrlPr>
                          <a:rPr lang="en-US" sz="1000" i="1">
                            <a:latin typeface="Cambria Math" panose="02040503050406030204" pitchFamily="18" charset="0"/>
                            <a:ea typeface="Cambria Math"/>
                          </a:rPr>
                        </m:ctrlPr>
                      </m:fPr>
                      <m:num>
                        <m:r>
                          <a:rPr lang="en-US" sz="1000" b="0" i="1">
                            <a:latin typeface="Cambria Math" panose="02040503050406030204" pitchFamily="18" charset="0"/>
                            <a:ea typeface="Cambria Math"/>
                          </a:rPr>
                          <m:t>1.0</m:t>
                        </m:r>
                      </m:num>
                      <m:den>
                        <m:r>
                          <a:rPr lang="en-US" sz="1000" i="1">
                            <a:latin typeface="Cambria Math"/>
                            <a:ea typeface="Cambria Math"/>
                          </a:rPr>
                          <m:t>1.73×</m:t>
                        </m:r>
                        <m:r>
                          <a:rPr lang="en-US" sz="1000" b="0" i="1">
                            <a:latin typeface="Cambria Math"/>
                            <a:ea typeface="Cambria Math"/>
                          </a:rPr>
                          <m:t>13.8</m:t>
                        </m:r>
                      </m:den>
                    </m:f>
                    <m:r>
                      <a:rPr lang="en-US" sz="1000" i="1">
                        <a:latin typeface="Cambria Math"/>
                        <a:ea typeface="Cambria Math"/>
                      </a:rPr>
                      <m:t>×1000</m:t>
                    </m:r>
                    <m:r>
                      <a:rPr lang="en-US" sz="1000" b="0" i="1">
                        <a:latin typeface="Cambria Math"/>
                        <a:ea typeface="Cambria Math"/>
                      </a:rPr>
                      <m:t>=</m:t>
                    </m:r>
                    <m:r>
                      <a:rPr lang="en-US" sz="1000" b="0" i="1">
                        <a:latin typeface="Cambria Math" panose="02040503050406030204" pitchFamily="18" charset="0"/>
                        <a:ea typeface="Cambria Math"/>
                      </a:rPr>
                      <m:t>41.88</m:t>
                    </m:r>
                    <m:r>
                      <a:rPr lang="en-US" sz="1000" b="0" i="1">
                        <a:latin typeface="Cambria Math"/>
                        <a:ea typeface="Cambria Math"/>
                      </a:rPr>
                      <m:t> </m:t>
                    </m:r>
                    <m:r>
                      <a:rPr lang="en-US" sz="1000" b="0" i="1">
                        <a:latin typeface="Cambria Math"/>
                        <a:ea typeface="Cambria Math"/>
                      </a:rPr>
                      <m:t>𝑎𝑚𝑝𝑠</m:t>
                    </m:r>
                  </m:oMath>
                </m:oMathPara>
              </a14:m>
              <a:endParaRPr lang="en-US" sz="1000" b="0"/>
            </a:p>
          </xdr:txBody>
        </xdr:sp>
      </mc:Choice>
      <mc:Fallback xmlns="">
        <xdr:sp macro="" textlink="">
          <xdr:nvSpPr>
            <xdr:cNvPr id="25" name="TextBox 14">
              <a:extLst>
                <a:ext uri="{FF2B5EF4-FFF2-40B4-BE49-F238E27FC236}">
                  <a16:creationId xmlns:a16="http://schemas.microsoft.com/office/drawing/2014/main" id="{30802B8F-B260-4451-9E60-C9EDDAFADA3B}"/>
                </a:ext>
              </a:extLst>
            </xdr:cNvPr>
            <xdr:cNvSpPr txBox="1"/>
          </xdr:nvSpPr>
          <xdr:spPr>
            <a:xfrm>
              <a:off x="2333387" y="42308334"/>
              <a:ext cx="5321991" cy="408067"/>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sp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pPr/>
              <a:r>
                <a:rPr lang="en-US" sz="1000" b="0" i="0">
                  <a:latin typeface="Cambria Math"/>
                </a:rPr>
                <a:t>𝐼</a:t>
              </a:r>
              <a:r>
                <a:rPr lang="en-US" sz="1000" b="0" i="0">
                  <a:latin typeface="Cambria Math" panose="02040503050406030204" pitchFamily="18" charset="0"/>
                </a:rPr>
                <a:t>_(</a:t>
              </a:r>
              <a:r>
                <a:rPr lang="en-US" sz="1000" b="0" i="0">
                  <a:latin typeface="Cambria Math"/>
                </a:rPr>
                <a:t>𝑅𝐴𝑇𝐸𝐷 𝐹𝑈𝑁𝐷𝐴𝑀𝐸𝑁𝑇𝐴𝐿</a:t>
              </a:r>
              <a:r>
                <a:rPr lang="en-US" sz="1000" b="0" i="0">
                  <a:latin typeface="Cambria Math" panose="02040503050406030204" pitchFamily="18" charset="0"/>
                </a:rPr>
                <a:t>)</a:t>
              </a:r>
              <a:r>
                <a:rPr lang="en-US" sz="1000" b="0" i="0">
                  <a:latin typeface="Cambria Math"/>
                  <a:ea typeface="Cambria Math"/>
                </a:rPr>
                <a:t>= </a:t>
              </a:r>
              <a:r>
                <a:rPr lang="en-US" sz="1000" b="0" i="0">
                  <a:solidFill>
                    <a:schemeClr val="tx1"/>
                  </a:solidFill>
                  <a:effectLst/>
                  <a:latin typeface="Cambria Math" panose="02040503050406030204" pitchFamily="18" charset="0"/>
                </a:rPr>
                <a:t> </a:t>
              </a:r>
              <a:r>
                <a:rPr lang="en-US" sz="1000" b="0" i="0">
                  <a:solidFill>
                    <a:schemeClr val="tx1"/>
                  </a:solidFill>
                  <a:effectLst/>
                  <a:latin typeface="Cambria Math"/>
                </a:rPr>
                <a:t>𝑄</a:t>
              </a:r>
              <a:r>
                <a:rPr lang="en-US" sz="1000" b="0" i="0">
                  <a:solidFill>
                    <a:schemeClr val="tx1"/>
                  </a:solidFill>
                  <a:effectLst/>
                  <a:latin typeface="Cambria Math" panose="02040503050406030204" pitchFamily="18" charset="0"/>
                </a:rPr>
                <a:t>_</a:t>
              </a:r>
              <a:r>
                <a:rPr lang="en-US" sz="1000" b="0" i="0">
                  <a:solidFill>
                    <a:schemeClr val="tx1"/>
                  </a:solidFill>
                  <a:effectLst/>
                  <a:latin typeface="Cambria Math"/>
                </a:rPr>
                <a:t>𝑒𝑓𝑓</a:t>
              </a:r>
              <a:r>
                <a:rPr lang="en-US" sz="1000" b="0" i="0">
                  <a:solidFill>
                    <a:schemeClr val="tx1"/>
                  </a:solidFill>
                  <a:effectLst/>
                  <a:latin typeface="Cambria Math" panose="02040503050406030204" pitchFamily="18" charset="0"/>
                  <a:ea typeface="Cambria Math"/>
                </a:rPr>
                <a:t>/(</a:t>
              </a:r>
              <a:r>
                <a:rPr lang="en-US" sz="1000" b="0" i="0">
                  <a:latin typeface="Cambria Math"/>
                  <a:ea typeface="Cambria Math"/>
                </a:rPr>
                <a:t>1.73×</a:t>
              </a:r>
              <a:r>
                <a:rPr lang="en-US" sz="1100" b="0" i="0" kern="1200">
                  <a:solidFill>
                    <a:schemeClr val="tx1"/>
                  </a:solidFill>
                  <a:effectLst/>
                  <a:latin typeface="Cambria Math" panose="02040503050406030204" pitchFamily="18" charset="0"/>
                  <a:ea typeface="+mn-ea"/>
                  <a:cs typeface="+mn-cs"/>
                </a:rPr>
                <a:t>〖𝑘𝑉〗_𝐿𝐿𝑆𝑌𝑆 </a:t>
              </a:r>
              <a:r>
                <a:rPr lang="en-US" sz="1000" b="0" i="0" kern="1200">
                  <a:solidFill>
                    <a:schemeClr val="tx1"/>
                  </a:solidFill>
                  <a:effectLst/>
                  <a:latin typeface="Cambria Math" panose="02040503050406030204" pitchFamily="18" charset="0"/>
                  <a:ea typeface="Cambria Math"/>
                  <a:cs typeface="+mn-cs"/>
                </a:rPr>
                <a:t>)</a:t>
              </a:r>
              <a:r>
                <a:rPr lang="en-US" sz="1000" b="0" i="0">
                  <a:latin typeface="Cambria Math"/>
                  <a:ea typeface="Cambria Math"/>
                </a:rPr>
                <a:t>×1000=</a:t>
              </a:r>
              <a:r>
                <a:rPr lang="en-US" sz="1000" b="0" i="0">
                  <a:latin typeface="Cambria Math" panose="02040503050406030204" pitchFamily="18" charset="0"/>
                  <a:ea typeface="Cambria Math"/>
                </a:rPr>
                <a:t>1.0/(</a:t>
              </a:r>
              <a:r>
                <a:rPr lang="en-US" sz="1000" i="0">
                  <a:latin typeface="Cambria Math"/>
                  <a:ea typeface="Cambria Math"/>
                </a:rPr>
                <a:t>1.73×</a:t>
              </a:r>
              <a:r>
                <a:rPr lang="en-US" sz="1000" b="0" i="0">
                  <a:latin typeface="Cambria Math"/>
                  <a:ea typeface="Cambria Math"/>
                </a:rPr>
                <a:t>13.8</a:t>
              </a:r>
              <a:r>
                <a:rPr lang="en-US" sz="1000" b="0" i="0">
                  <a:latin typeface="Cambria Math" panose="02040503050406030204" pitchFamily="18" charset="0"/>
                  <a:ea typeface="Cambria Math"/>
                </a:rPr>
                <a:t>)</a:t>
              </a:r>
              <a:r>
                <a:rPr lang="en-US" sz="1000" i="0">
                  <a:latin typeface="Cambria Math"/>
                  <a:ea typeface="Cambria Math"/>
                </a:rPr>
                <a:t>×1000</a:t>
              </a:r>
              <a:r>
                <a:rPr lang="en-US" sz="1000" b="0" i="0">
                  <a:latin typeface="Cambria Math"/>
                  <a:ea typeface="Cambria Math"/>
                </a:rPr>
                <a:t>=</a:t>
              </a:r>
              <a:r>
                <a:rPr lang="en-US" sz="1000" b="0" i="0">
                  <a:latin typeface="Cambria Math" panose="02040503050406030204" pitchFamily="18" charset="0"/>
                  <a:ea typeface="Cambria Math"/>
                </a:rPr>
                <a:t>41.88</a:t>
              </a:r>
              <a:r>
                <a:rPr lang="en-US" sz="1000" b="0" i="0">
                  <a:latin typeface="Cambria Math"/>
                  <a:ea typeface="Cambria Math"/>
                </a:rPr>
                <a:t> 𝑎𝑚𝑝𝑠</a:t>
              </a:r>
              <a:endParaRPr lang="en-US" sz="1000" b="0"/>
            </a:p>
          </xdr:txBody>
        </xdr:sp>
      </mc:Fallback>
    </mc:AlternateContent>
    <xdr:clientData/>
  </xdr:twoCellAnchor>
  <xdr:twoCellAnchor>
    <xdr:from>
      <xdr:col>12</xdr:col>
      <xdr:colOff>167484</xdr:colOff>
      <xdr:row>186</xdr:row>
      <xdr:rowOff>217596</xdr:rowOff>
    </xdr:from>
    <xdr:to>
      <xdr:col>30</xdr:col>
      <xdr:colOff>104122</xdr:colOff>
      <xdr:row>188</xdr:row>
      <xdr:rowOff>125320</xdr:rowOff>
    </xdr:to>
    <mc:AlternateContent xmlns:mc="http://schemas.openxmlformats.org/markup-compatibility/2006" xmlns:a14="http://schemas.microsoft.com/office/drawing/2010/main">
      <mc:Choice Requires="a14">
        <xdr:sp macro="" textlink="">
          <xdr:nvSpPr>
            <xdr:cNvPr id="26" name="TextBox 13">
              <a:extLst>
                <a:ext uri="{FF2B5EF4-FFF2-40B4-BE49-F238E27FC236}">
                  <a16:creationId xmlns:a16="http://schemas.microsoft.com/office/drawing/2014/main" id="{15FF1B80-D53E-4045-8FEB-D6E12D8FBA1A}"/>
                </a:ext>
              </a:extLst>
            </xdr:cNvPr>
            <xdr:cNvSpPr txBox="1"/>
          </xdr:nvSpPr>
          <xdr:spPr>
            <a:xfrm>
              <a:off x="2339184" y="42737196"/>
              <a:ext cx="3194188" cy="3649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14:m>
                <m:oMath xmlns:m="http://schemas.openxmlformats.org/officeDocument/2006/math">
                  <m:sSub>
                    <m:sSubPr>
                      <m:ctrlPr>
                        <a:rPr lang="en-US" sz="1000" b="0" i="1">
                          <a:latin typeface="Cambria Math" panose="02040503050406030204" pitchFamily="18" charset="0"/>
                        </a:rPr>
                      </m:ctrlPr>
                    </m:sSubPr>
                    <m:e>
                      <m:r>
                        <a:rPr lang="en-US" sz="1000" b="0" i="1">
                          <a:latin typeface="Cambria Math"/>
                        </a:rPr>
                        <m:t>𝐼</m:t>
                      </m:r>
                    </m:e>
                    <m:sub>
                      <m:r>
                        <a:rPr lang="en-US" sz="1000" b="0" i="1">
                          <a:latin typeface="Cambria Math"/>
                        </a:rPr>
                        <m:t>𝐹𝐼𝐿𝑇𝐸𝑅</m:t>
                      </m:r>
                      <m:r>
                        <a:rPr lang="en-US" sz="1000" b="0" i="1">
                          <a:latin typeface="Cambria Math"/>
                        </a:rPr>
                        <m:t> </m:t>
                      </m:r>
                      <m:r>
                        <a:rPr lang="en-US" sz="1000" b="0" i="1">
                          <a:latin typeface="Cambria Math"/>
                        </a:rPr>
                        <m:t>𝑅𝑀𝑆</m:t>
                      </m:r>
                      <m:r>
                        <a:rPr lang="en-US" sz="1000" b="0" i="1">
                          <a:latin typeface="Cambria Math"/>
                        </a:rPr>
                        <m:t> </m:t>
                      </m:r>
                      <m:r>
                        <a:rPr lang="en-US" sz="1000" b="0" i="1">
                          <a:latin typeface="Cambria Math"/>
                        </a:rPr>
                        <m:t>𝐶𝑈𝑅𝑅𝐸𝑁𝑇</m:t>
                      </m:r>
                    </m:sub>
                  </m:sSub>
                  <m:r>
                    <a:rPr lang="en-US" sz="1000" b="0" i="1">
                      <a:latin typeface="Cambria Math"/>
                      <a:ea typeface="Cambria Math"/>
                    </a:rPr>
                    <m:t>=</m:t>
                  </m:r>
                  <m:rad>
                    <m:radPr>
                      <m:degHide m:val="on"/>
                      <m:ctrlPr>
                        <a:rPr lang="en-US" sz="1000" b="0" i="1">
                          <a:latin typeface="Cambria Math" panose="02040503050406030204" pitchFamily="18" charset="0"/>
                          <a:ea typeface="Cambria Math"/>
                        </a:rPr>
                      </m:ctrlPr>
                    </m:radPr>
                    <m:deg/>
                    <m:e>
                      <m:nary>
                        <m:naryPr>
                          <m:chr m:val="∑"/>
                          <m:ctrlPr>
                            <a:rPr lang="en-US" sz="1000" b="0" i="1">
                              <a:latin typeface="Cambria Math" panose="02040503050406030204" pitchFamily="18" charset="0"/>
                              <a:ea typeface="Cambria Math"/>
                            </a:rPr>
                          </m:ctrlPr>
                        </m:naryPr>
                        <m:sub>
                          <m:r>
                            <m:rPr>
                              <m:brk m:alnAt="23"/>
                            </m:rPr>
                            <a:rPr lang="en-US" sz="1000" b="0" i="1">
                              <a:latin typeface="Cambria Math"/>
                              <a:ea typeface="Cambria Math"/>
                            </a:rPr>
                            <m:t>𝑛</m:t>
                          </m:r>
                          <m:r>
                            <a:rPr lang="en-US" sz="1000" b="0" i="1">
                              <a:latin typeface="Cambria Math"/>
                              <a:ea typeface="Cambria Math"/>
                            </a:rPr>
                            <m:t>=1</m:t>
                          </m:r>
                        </m:sub>
                        <m:sup>
                          <m:r>
                            <a:rPr lang="en-US" sz="1000" b="0" i="1">
                              <a:latin typeface="Cambria Math"/>
                              <a:ea typeface="Cambria Math"/>
                            </a:rPr>
                            <m:t>𝑛</m:t>
                          </m:r>
                        </m:sup>
                        <m:e>
                          <m:sSubSup>
                            <m:sSubSupPr>
                              <m:ctrlPr>
                                <a:rPr lang="en-US" sz="1100" b="0" i="1" kern="1200">
                                  <a:solidFill>
                                    <a:schemeClr val="tx1"/>
                                  </a:solidFill>
                                  <a:effectLst/>
                                  <a:latin typeface="Cambria Math" panose="02040503050406030204" pitchFamily="18" charset="0"/>
                                  <a:ea typeface="+mn-ea"/>
                                  <a:cs typeface="+mn-cs"/>
                                </a:rPr>
                              </m:ctrlPr>
                            </m:sSubSupPr>
                            <m:e>
                              <m:r>
                                <a:rPr lang="en-US" sz="1100" b="0" i="1" kern="1200">
                                  <a:solidFill>
                                    <a:schemeClr val="tx1"/>
                                  </a:solidFill>
                                  <a:effectLst/>
                                  <a:latin typeface="Cambria Math" panose="02040503050406030204" pitchFamily="18" charset="0"/>
                                  <a:ea typeface="+mn-ea"/>
                                  <a:cs typeface="+mn-cs"/>
                                </a:rPr>
                                <m:t>𝐼</m:t>
                              </m:r>
                            </m:e>
                            <m:sub>
                              <m:r>
                                <a:rPr lang="en-US" sz="1100" b="0" i="1" kern="1200">
                                  <a:solidFill>
                                    <a:schemeClr val="tx1"/>
                                  </a:solidFill>
                                  <a:effectLst/>
                                  <a:latin typeface="Cambria Math" panose="02040503050406030204" pitchFamily="18" charset="0"/>
                                  <a:ea typeface="+mn-ea"/>
                                  <a:cs typeface="+mn-cs"/>
                                </a:rPr>
                                <m:t>𝑛</m:t>
                              </m:r>
                            </m:sub>
                            <m:sup>
                              <m:r>
                                <a:rPr lang="en-US" sz="1100" b="0" i="1" kern="1200">
                                  <a:solidFill>
                                    <a:schemeClr val="tx1"/>
                                  </a:solidFill>
                                  <a:effectLst/>
                                  <a:latin typeface="Cambria Math" panose="02040503050406030204" pitchFamily="18" charset="0"/>
                                  <a:ea typeface="+mn-ea"/>
                                  <a:cs typeface="+mn-cs"/>
                                </a:rPr>
                                <m:t>2</m:t>
                              </m:r>
                            </m:sup>
                          </m:sSubSup>
                        </m:e>
                      </m:nary>
                    </m:e>
                  </m:rad>
                </m:oMath>
              </a14:m>
              <a:r>
                <a:rPr lang="en-US" sz="1000" b="0"/>
                <a:t> </a:t>
              </a:r>
            </a:p>
          </xdr:txBody>
        </xdr:sp>
      </mc:Choice>
      <mc:Fallback xmlns="">
        <xdr:sp macro="" textlink="">
          <xdr:nvSpPr>
            <xdr:cNvPr id="26" name="TextBox 13">
              <a:extLst>
                <a:ext uri="{FF2B5EF4-FFF2-40B4-BE49-F238E27FC236}">
                  <a16:creationId xmlns:a16="http://schemas.microsoft.com/office/drawing/2014/main" id="{15FF1B80-D53E-4045-8FEB-D6E12D8FBA1A}"/>
                </a:ext>
              </a:extLst>
            </xdr:cNvPr>
            <xdr:cNvSpPr txBox="1"/>
          </xdr:nvSpPr>
          <xdr:spPr>
            <a:xfrm>
              <a:off x="2339184" y="42737196"/>
              <a:ext cx="3194188" cy="364924"/>
            </a:xfrm>
            <a:prstGeom prst="rect">
              <a:avLst/>
            </a:prstGeom>
            <a:noFill/>
          </xdr:spPr>
          <xdr:style>
            <a:lnRef idx="0">
              <a:scrgbClr r="0" g="0" b="0"/>
            </a:lnRef>
            <a:fillRef idx="0">
              <a:scrgbClr r="0" g="0" b="0"/>
            </a:fillRef>
            <a:effectRef idx="0">
              <a:scrgbClr r="0" g="0" b="0"/>
            </a:effectRef>
            <a:fontRef idx="minor">
              <a:schemeClr val="tx1"/>
            </a:fontRef>
          </xdr:style>
          <xdr:txBody>
            <a:bodyPr wrap="square" rtlCol="0" anchor="t">
              <a:noAutofit/>
            </a:bodyPr>
            <a:lstStyle>
              <a:defPPr>
                <a:defRPr lang="en-US"/>
              </a:defPPr>
              <a:lvl1pPr marL="0" indent="0" algn="l" defTabSz="731520" rtl="0" eaLnBrk="1" latinLnBrk="0" hangingPunct="1">
                <a:defRPr sz="1100" kern="1200">
                  <a:solidFill>
                    <a:schemeClr val="tx1"/>
                  </a:solidFill>
                  <a:latin typeface="+mn-lt"/>
                  <a:ea typeface="+mn-ea"/>
                  <a:cs typeface="+mn-cs"/>
                </a:defRPr>
              </a:lvl1pPr>
              <a:lvl2pPr marL="457200" indent="0" algn="l" defTabSz="731520" rtl="0" eaLnBrk="1" latinLnBrk="0" hangingPunct="1">
                <a:defRPr sz="1100" kern="1200">
                  <a:solidFill>
                    <a:schemeClr val="tx1"/>
                  </a:solidFill>
                  <a:latin typeface="+mn-lt"/>
                  <a:ea typeface="+mn-ea"/>
                  <a:cs typeface="+mn-cs"/>
                </a:defRPr>
              </a:lvl2pPr>
              <a:lvl3pPr marL="914400" indent="0" algn="l" defTabSz="731520" rtl="0" eaLnBrk="1" latinLnBrk="0" hangingPunct="1">
                <a:defRPr sz="1100" kern="1200">
                  <a:solidFill>
                    <a:schemeClr val="tx1"/>
                  </a:solidFill>
                  <a:latin typeface="+mn-lt"/>
                  <a:ea typeface="+mn-ea"/>
                  <a:cs typeface="+mn-cs"/>
                </a:defRPr>
              </a:lvl3pPr>
              <a:lvl4pPr marL="1371600" indent="0" algn="l" defTabSz="731520" rtl="0" eaLnBrk="1" latinLnBrk="0" hangingPunct="1">
                <a:defRPr sz="1100" kern="1200">
                  <a:solidFill>
                    <a:schemeClr val="tx1"/>
                  </a:solidFill>
                  <a:latin typeface="+mn-lt"/>
                  <a:ea typeface="+mn-ea"/>
                  <a:cs typeface="+mn-cs"/>
                </a:defRPr>
              </a:lvl4pPr>
              <a:lvl5pPr marL="1828800" indent="0" algn="l" defTabSz="731520" rtl="0" eaLnBrk="1" latinLnBrk="0" hangingPunct="1">
                <a:defRPr sz="1100" kern="1200">
                  <a:solidFill>
                    <a:schemeClr val="tx1"/>
                  </a:solidFill>
                  <a:latin typeface="+mn-lt"/>
                  <a:ea typeface="+mn-ea"/>
                  <a:cs typeface="+mn-cs"/>
                </a:defRPr>
              </a:lvl5pPr>
              <a:lvl6pPr marL="2286000" indent="0" algn="l" defTabSz="731520" rtl="0" eaLnBrk="1" latinLnBrk="0" hangingPunct="1">
                <a:defRPr sz="1100" kern="1200">
                  <a:solidFill>
                    <a:schemeClr val="tx1"/>
                  </a:solidFill>
                  <a:latin typeface="+mn-lt"/>
                  <a:ea typeface="+mn-ea"/>
                  <a:cs typeface="+mn-cs"/>
                </a:defRPr>
              </a:lvl6pPr>
              <a:lvl7pPr marL="2743200" indent="0" algn="l" defTabSz="731520" rtl="0" eaLnBrk="1" latinLnBrk="0" hangingPunct="1">
                <a:defRPr sz="1100" kern="1200">
                  <a:solidFill>
                    <a:schemeClr val="tx1"/>
                  </a:solidFill>
                  <a:latin typeface="+mn-lt"/>
                  <a:ea typeface="+mn-ea"/>
                  <a:cs typeface="+mn-cs"/>
                </a:defRPr>
              </a:lvl7pPr>
              <a:lvl8pPr marL="3200400" indent="0" algn="l" defTabSz="731520" rtl="0" eaLnBrk="1" latinLnBrk="0" hangingPunct="1">
                <a:defRPr sz="1100" kern="1200">
                  <a:solidFill>
                    <a:schemeClr val="tx1"/>
                  </a:solidFill>
                  <a:latin typeface="+mn-lt"/>
                  <a:ea typeface="+mn-ea"/>
                  <a:cs typeface="+mn-cs"/>
                </a:defRPr>
              </a:lvl8pPr>
              <a:lvl9pPr marL="3657600" indent="0" algn="l" defTabSz="731520" rtl="0" eaLnBrk="1" latinLnBrk="0" hangingPunct="1">
                <a:defRPr sz="1100" kern="1200">
                  <a:solidFill>
                    <a:schemeClr val="tx1"/>
                  </a:solidFill>
                  <a:latin typeface="+mn-lt"/>
                  <a:ea typeface="+mn-ea"/>
                  <a:cs typeface="+mn-cs"/>
                </a:defRPr>
              </a:lvl9pPr>
            </a:lstStyle>
            <a:p>
              <a:r>
                <a:rPr lang="en-US" sz="1000" b="0" i="0">
                  <a:latin typeface="Cambria Math"/>
                </a:rPr>
                <a:t>𝐼</a:t>
              </a:r>
              <a:r>
                <a:rPr lang="en-US" sz="1000" b="0" i="0">
                  <a:latin typeface="Cambria Math" panose="02040503050406030204" pitchFamily="18" charset="0"/>
                </a:rPr>
                <a:t>_(</a:t>
              </a:r>
              <a:r>
                <a:rPr lang="en-US" sz="1000" b="0" i="0">
                  <a:latin typeface="Cambria Math"/>
                </a:rPr>
                <a:t>𝐹𝐼𝐿𝑇𝐸𝑅 𝑅𝑀𝑆 𝐶𝑈𝑅𝑅𝐸𝑁𝑇</a:t>
              </a:r>
              <a:r>
                <a:rPr lang="en-US" sz="1000" b="0" i="0">
                  <a:latin typeface="Cambria Math" panose="02040503050406030204" pitchFamily="18" charset="0"/>
                </a:rPr>
                <a:t>)</a:t>
              </a:r>
              <a:r>
                <a:rPr lang="en-US" sz="1000" b="0" i="0">
                  <a:latin typeface="Cambria Math"/>
                  <a:ea typeface="Cambria Math"/>
                </a:rPr>
                <a:t>=</a:t>
              </a:r>
              <a:r>
                <a:rPr lang="en-US" sz="1000" b="0" i="0">
                  <a:latin typeface="Cambria Math" panose="02040503050406030204" pitchFamily="18" charset="0"/>
                  <a:ea typeface="Cambria Math"/>
                </a:rPr>
                <a:t>√(∑_(</a:t>
              </a:r>
              <a:r>
                <a:rPr lang="en-US" sz="1000" b="0" i="0">
                  <a:latin typeface="Cambria Math"/>
                  <a:ea typeface="Cambria Math"/>
                </a:rPr>
                <a:t>𝑛=1</a:t>
              </a:r>
              <a:r>
                <a:rPr lang="en-US" sz="1000" b="0" i="0">
                  <a:latin typeface="Cambria Math" panose="02040503050406030204" pitchFamily="18" charset="0"/>
                  <a:ea typeface="Cambria Math"/>
                </a:rPr>
                <a:t>)^</a:t>
              </a:r>
              <a:r>
                <a:rPr lang="en-US" sz="1000" b="0" i="0">
                  <a:latin typeface="Cambria Math"/>
                  <a:ea typeface="Cambria Math"/>
                </a:rPr>
                <a:t>𝑛</a:t>
              </a:r>
              <a:r>
                <a:rPr lang="en-US" sz="1100" b="0" i="0" kern="1200">
                  <a:solidFill>
                    <a:schemeClr val="tx1"/>
                  </a:solidFill>
                  <a:effectLst/>
                  <a:latin typeface="Cambria Math" panose="02040503050406030204" pitchFamily="18" charset="0"/>
                  <a:ea typeface="+mn-ea"/>
                  <a:cs typeface="+mn-cs"/>
                </a:rPr>
                <a:t>▒𝐼_𝑛^2 </a:t>
              </a:r>
              <a:r>
                <a:rPr lang="en-US" sz="1000" b="0" i="0" kern="1200">
                  <a:solidFill>
                    <a:schemeClr val="tx1"/>
                  </a:solidFill>
                  <a:effectLst/>
                  <a:latin typeface="Cambria Math" panose="02040503050406030204" pitchFamily="18" charset="0"/>
                  <a:ea typeface="Cambria Math"/>
                  <a:cs typeface="+mn-cs"/>
                </a:rPr>
                <a:t>)</a:t>
              </a:r>
              <a:r>
                <a:rPr lang="en-US" sz="1000" b="0"/>
                <a:t> </a:t>
              </a:r>
            </a:p>
          </xdr:txBody>
        </xdr:sp>
      </mc:Fallback>
    </mc:AlternateContent>
    <xdr:clientData/>
  </xdr:twoCellAnchor>
  <xdr:twoCellAnchor>
    <xdr:from>
      <xdr:col>13</xdr:col>
      <xdr:colOff>70994</xdr:colOff>
      <xdr:row>189</xdr:row>
      <xdr:rowOff>98978</xdr:rowOff>
    </xdr:from>
    <xdr:to>
      <xdr:col>25</xdr:col>
      <xdr:colOff>145537</xdr:colOff>
      <xdr:row>190</xdr:row>
      <xdr:rowOff>64404</xdr:rowOff>
    </xdr:to>
    <mc:AlternateContent xmlns:mc="http://schemas.openxmlformats.org/markup-compatibility/2006" xmlns:a14="http://schemas.microsoft.com/office/drawing/2010/main">
      <mc:Choice Requires="a14">
        <xdr:sp macro="" textlink="">
          <xdr:nvSpPr>
            <xdr:cNvPr id="27" name="TextBox 39">
              <a:extLst>
                <a:ext uri="{FF2B5EF4-FFF2-40B4-BE49-F238E27FC236}">
                  <a16:creationId xmlns:a16="http://schemas.microsoft.com/office/drawing/2014/main" id="{3B6F6B07-29F4-4736-81D1-FDC4DA19207B}"/>
                </a:ext>
              </a:extLst>
            </xdr:cNvPr>
            <xdr:cNvSpPr txBox="1"/>
          </xdr:nvSpPr>
          <xdr:spPr>
            <a:xfrm>
              <a:off x="2423669" y="43304378"/>
              <a:ext cx="2246243" cy="19402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ysClr val="windowText" lastClr="000000"/>
                  </a:solidFill>
                </a:rPr>
                <a:t>R</a:t>
              </a:r>
              <a14:m>
                <m:oMath xmlns:m="http://schemas.openxmlformats.org/officeDocument/2006/math">
                  <m:r>
                    <a:rPr lang="en-US" sz="1000" i="1">
                      <a:solidFill>
                        <a:sysClr val="windowText" lastClr="000000"/>
                      </a:solidFill>
                      <a:latin typeface="Cambria Math" panose="02040503050406030204" pitchFamily="18" charset="0"/>
                    </a:rPr>
                    <m:t>=</m:t>
                  </m:r>
                  <m:r>
                    <a:rPr lang="en-US" sz="1000" b="0" i="1">
                      <a:solidFill>
                        <a:sysClr val="windowText" lastClr="000000"/>
                      </a:solidFill>
                      <a:latin typeface="Cambria Math" panose="02040503050406030204" pitchFamily="18" charset="0"/>
                    </a:rPr>
                    <m:t>𝐷𝐹</m:t>
                  </m:r>
                  <m:r>
                    <a:rPr lang="en-US" sz="1000" b="0" i="1">
                      <a:solidFill>
                        <a:sysClr val="windowText" lastClr="000000"/>
                      </a:solidFill>
                      <a:latin typeface="Cambria Math" panose="02040503050406030204" pitchFamily="18" charset="0"/>
                      <a:ea typeface="Cambria Math" panose="02040503050406030204" pitchFamily="18" charset="0"/>
                    </a:rPr>
                    <m:t>×</m:t>
                  </m:r>
                  <m:sSub>
                    <m:sSubPr>
                      <m:ctrlPr>
                        <a:rPr lang="en-US" sz="1000" b="0" i="1">
                          <a:solidFill>
                            <a:sysClr val="windowText" lastClr="000000"/>
                          </a:solidFill>
                          <a:latin typeface="Cambria Math" panose="02040503050406030204" pitchFamily="18" charset="0"/>
                          <a:ea typeface="Cambria Math" panose="02040503050406030204" pitchFamily="18" charset="0"/>
                        </a:rPr>
                      </m:ctrlPr>
                    </m:sSubPr>
                    <m:e>
                      <m:r>
                        <a:rPr lang="en-US" sz="1000" b="0" i="1">
                          <a:solidFill>
                            <a:sysClr val="windowText" lastClr="000000"/>
                          </a:solidFill>
                          <a:latin typeface="Cambria Math" panose="02040503050406030204" pitchFamily="18" charset="0"/>
                          <a:ea typeface="Cambria Math" panose="02040503050406030204" pitchFamily="18" charset="0"/>
                        </a:rPr>
                        <m:t>𝑥</m:t>
                      </m:r>
                    </m:e>
                    <m:sub>
                      <m:r>
                        <a:rPr lang="en-US" sz="1000" b="0" i="1">
                          <a:solidFill>
                            <a:sysClr val="windowText" lastClr="000000"/>
                          </a:solidFill>
                          <a:latin typeface="Cambria Math" panose="02040503050406030204" pitchFamily="18" charset="0"/>
                          <a:ea typeface="Cambria Math" panose="02040503050406030204" pitchFamily="18" charset="0"/>
                        </a:rPr>
                        <m:t>𝐿</m:t>
                      </m:r>
                    </m:sub>
                  </m:sSub>
                  <m:r>
                    <a:rPr lang="en-US" sz="1000" b="0" i="1">
                      <a:solidFill>
                        <a:sysClr val="windowText" lastClr="000000"/>
                      </a:solidFill>
                      <a:latin typeface="Cambria Math" panose="02040503050406030204" pitchFamily="18" charset="0"/>
                      <a:ea typeface="Cambria Math" panose="02040503050406030204" pitchFamily="18" charset="0"/>
                    </a:rPr>
                    <m:t>×</m:t>
                  </m:r>
                  <m:r>
                    <a:rPr lang="en-US" sz="1000" b="0" i="1">
                      <a:solidFill>
                        <a:sysClr val="windowText" lastClr="000000"/>
                      </a:solidFill>
                      <a:latin typeface="Cambria Math" panose="02040503050406030204" pitchFamily="18" charset="0"/>
                      <a:ea typeface="Cambria Math" panose="02040503050406030204" pitchFamily="18" charset="0"/>
                    </a:rPr>
                    <m:t>h</m:t>
                  </m:r>
                  <m:r>
                    <a:rPr lang="en-US" sz="1000" b="0" i="1">
                      <a:solidFill>
                        <a:sysClr val="windowText" lastClr="000000"/>
                      </a:solidFill>
                      <a:latin typeface="Cambria Math" panose="02040503050406030204" pitchFamily="18" charset="0"/>
                      <a:ea typeface="Cambria Math" panose="02040503050406030204" pitchFamily="18" charset="0"/>
                    </a:rPr>
                    <m:t> (</m:t>
                  </m:r>
                  <m:r>
                    <a:rPr lang="en-US" sz="1000" b="0" i="1">
                      <a:solidFill>
                        <a:sysClr val="windowText" lastClr="000000"/>
                      </a:solidFill>
                      <a:latin typeface="Cambria Math" panose="02040503050406030204" pitchFamily="18" charset="0"/>
                      <a:ea typeface="Cambria Math" panose="02040503050406030204" pitchFamily="18" charset="0"/>
                    </a:rPr>
                    <m:t>𝑜h𝑚𝑠</m:t>
                  </m:r>
                  <m:r>
                    <a:rPr lang="en-US" sz="1000" b="0" i="1">
                      <a:solidFill>
                        <a:sysClr val="windowText" lastClr="000000"/>
                      </a:solidFill>
                      <a:latin typeface="Cambria Math" panose="02040503050406030204" pitchFamily="18" charset="0"/>
                      <a:ea typeface="Cambria Math" panose="02040503050406030204" pitchFamily="18" charset="0"/>
                    </a:rPr>
                    <m:t>)</m:t>
                  </m:r>
                </m:oMath>
              </a14:m>
              <a:endParaRPr lang="en-US" sz="1000">
                <a:solidFill>
                  <a:sysClr val="windowText" lastClr="000000"/>
                </a:solidFill>
              </a:endParaRPr>
            </a:p>
          </xdr:txBody>
        </xdr:sp>
      </mc:Choice>
      <mc:Fallback xmlns="">
        <xdr:sp macro="" textlink="">
          <xdr:nvSpPr>
            <xdr:cNvPr id="27" name="TextBox 39">
              <a:extLst>
                <a:ext uri="{FF2B5EF4-FFF2-40B4-BE49-F238E27FC236}">
                  <a16:creationId xmlns:a16="http://schemas.microsoft.com/office/drawing/2014/main" id="{3B6F6B07-29F4-4736-81D1-FDC4DA19207B}"/>
                </a:ext>
              </a:extLst>
            </xdr:cNvPr>
            <xdr:cNvSpPr txBox="1"/>
          </xdr:nvSpPr>
          <xdr:spPr>
            <a:xfrm>
              <a:off x="2423669" y="43304378"/>
              <a:ext cx="2246243" cy="19402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00">
                  <a:solidFill>
                    <a:sysClr val="windowText" lastClr="000000"/>
                  </a:solidFill>
                </a:rPr>
                <a:t>R</a:t>
              </a:r>
              <a:r>
                <a:rPr lang="en-US" sz="1000" i="0">
                  <a:solidFill>
                    <a:sysClr val="windowText" lastClr="000000"/>
                  </a:solidFill>
                  <a:latin typeface="Cambria Math" panose="02040503050406030204" pitchFamily="18" charset="0"/>
                </a:rPr>
                <a:t>=</a:t>
              </a:r>
              <a:r>
                <a:rPr lang="en-US" sz="1000" b="0" i="0">
                  <a:solidFill>
                    <a:sysClr val="windowText" lastClr="000000"/>
                  </a:solidFill>
                  <a:latin typeface="Cambria Math" panose="02040503050406030204" pitchFamily="18" charset="0"/>
                </a:rPr>
                <a:t>𝐷𝐹</a:t>
              </a:r>
              <a:r>
                <a:rPr lang="en-US" sz="1000" b="0" i="0">
                  <a:solidFill>
                    <a:sysClr val="windowText" lastClr="000000"/>
                  </a:solidFill>
                  <a:latin typeface="Cambria Math" panose="02040503050406030204" pitchFamily="18" charset="0"/>
                  <a:ea typeface="Cambria Math" panose="02040503050406030204" pitchFamily="18" charset="0"/>
                </a:rPr>
                <a:t>×𝑥_𝐿×ℎ (𝑜ℎ𝑚𝑠)</a:t>
              </a:r>
              <a:endParaRPr lang="en-US" sz="1000">
                <a:solidFill>
                  <a:sysClr val="windowText" lastClr="000000"/>
                </a:solidFill>
              </a:endParaRPr>
            </a:p>
          </xdr:txBody>
        </xdr:sp>
      </mc:Fallback>
    </mc:AlternateContent>
    <xdr:clientData/>
  </xdr:twoCellAnchor>
  <xdr:twoCellAnchor>
    <xdr:from>
      <xdr:col>24</xdr:col>
      <xdr:colOff>65465</xdr:colOff>
      <xdr:row>177</xdr:row>
      <xdr:rowOff>209456</xdr:rowOff>
    </xdr:from>
    <xdr:to>
      <xdr:col>30</xdr:col>
      <xdr:colOff>116549</xdr:colOff>
      <xdr:row>178</xdr:row>
      <xdr:rowOff>226522</xdr:rowOff>
    </xdr:to>
    <mc:AlternateContent xmlns:mc="http://schemas.openxmlformats.org/markup-compatibility/2006" xmlns:a14="http://schemas.microsoft.com/office/drawing/2010/main">
      <mc:Choice Requires="a14">
        <xdr:sp macro="" textlink="">
          <xdr:nvSpPr>
            <xdr:cNvPr id="28" name="TextBox 19">
              <a:extLst>
                <a:ext uri="{FF2B5EF4-FFF2-40B4-BE49-F238E27FC236}">
                  <a16:creationId xmlns:a16="http://schemas.microsoft.com/office/drawing/2014/main" id="{1B0E96A5-0FC3-4EFF-9692-DED65E2B462A}"/>
                </a:ext>
              </a:extLst>
            </xdr:cNvPr>
            <xdr:cNvSpPr txBox="1"/>
          </xdr:nvSpPr>
          <xdr:spPr>
            <a:xfrm>
              <a:off x="4408865" y="40671656"/>
              <a:ext cx="1136934" cy="24566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14:m>
                <m:oMath xmlns:m="http://schemas.openxmlformats.org/officeDocument/2006/math">
                  <m:r>
                    <a:rPr lang="en-US" sz="1050" b="0" i="1">
                      <a:solidFill>
                        <a:sysClr val="windowText" lastClr="000000"/>
                      </a:solidFill>
                      <a:latin typeface="Cambria Math" panose="02040503050406030204" pitchFamily="18" charset="0"/>
                    </a:rPr>
                    <m:t>𝐶</m:t>
                  </m:r>
                  <m:r>
                    <a:rPr lang="en-US" sz="1050" i="1">
                      <a:solidFill>
                        <a:sysClr val="windowText" lastClr="000000"/>
                      </a:solidFill>
                      <a:latin typeface="Cambria Math" panose="02040503050406030204" pitchFamily="18" charset="0"/>
                    </a:rPr>
                    <m:t>=</m:t>
                  </m:r>
                  <m:f>
                    <m:fPr>
                      <m:ctrlPr>
                        <a:rPr lang="en-US" sz="1050" i="1">
                          <a:solidFill>
                            <a:sysClr val="windowText" lastClr="000000"/>
                          </a:solidFill>
                          <a:latin typeface="Cambria Math" panose="02040503050406030204" pitchFamily="18" charset="0"/>
                        </a:rPr>
                      </m:ctrlPr>
                    </m:fPr>
                    <m:num>
                      <m:r>
                        <a:rPr lang="en-US" sz="1050" b="0" i="1">
                          <a:solidFill>
                            <a:sysClr val="windowText" lastClr="000000"/>
                          </a:solidFill>
                          <a:latin typeface="Cambria Math" panose="02040503050406030204" pitchFamily="18" charset="0"/>
                        </a:rPr>
                        <m:t>1</m:t>
                      </m:r>
                    </m:num>
                    <m:den>
                      <m:r>
                        <a:rPr lang="en-US" sz="1050" b="0" i="1">
                          <a:solidFill>
                            <a:sysClr val="windowText" lastClr="000000"/>
                          </a:solidFill>
                          <a:latin typeface="Cambria Math" panose="02040503050406030204" pitchFamily="18" charset="0"/>
                        </a:rPr>
                        <m:t>2</m:t>
                      </m:r>
                      <m:r>
                        <a:rPr lang="en-US" sz="1050" b="0" i="1">
                          <a:solidFill>
                            <a:sysClr val="windowText" lastClr="000000"/>
                          </a:solidFill>
                          <a:latin typeface="Cambria Math" panose="02040503050406030204" pitchFamily="18" charset="0"/>
                          <a:ea typeface="Cambria Math" panose="02040503050406030204" pitchFamily="18" charset="0"/>
                        </a:rPr>
                        <m:t>𝜋</m:t>
                      </m:r>
                      <m:r>
                        <a:rPr lang="en-US" sz="1050" b="0" i="1">
                          <a:solidFill>
                            <a:sysClr val="windowText" lastClr="000000"/>
                          </a:solidFill>
                          <a:latin typeface="Cambria Math" panose="02040503050406030204" pitchFamily="18" charset="0"/>
                          <a:ea typeface="Cambria Math" panose="02040503050406030204" pitchFamily="18" charset="0"/>
                        </a:rPr>
                        <m:t>𝑓</m:t>
                      </m:r>
                      <m:sSub>
                        <m:sSubPr>
                          <m:ctrlPr>
                            <a:rPr lang="en-US" sz="1050" b="0" i="1">
                              <a:solidFill>
                                <a:sysClr val="windowText" lastClr="000000"/>
                              </a:solidFill>
                              <a:latin typeface="Cambria Math" panose="02040503050406030204" pitchFamily="18" charset="0"/>
                              <a:ea typeface="Cambria Math" panose="02040503050406030204" pitchFamily="18" charset="0"/>
                            </a:rPr>
                          </m:ctrlPr>
                        </m:sSubPr>
                        <m:e>
                          <m:r>
                            <a:rPr lang="en-US" sz="1050" b="0" i="1">
                              <a:solidFill>
                                <a:sysClr val="windowText" lastClr="000000"/>
                              </a:solidFill>
                              <a:latin typeface="Cambria Math" panose="02040503050406030204" pitchFamily="18" charset="0"/>
                              <a:ea typeface="Cambria Math" panose="02040503050406030204" pitchFamily="18" charset="0"/>
                            </a:rPr>
                            <m:t>𝑋</m:t>
                          </m:r>
                        </m:e>
                        <m:sub>
                          <m:r>
                            <a:rPr lang="en-US" sz="1050" b="0" i="1">
                              <a:solidFill>
                                <a:sysClr val="windowText" lastClr="000000"/>
                              </a:solidFill>
                              <a:latin typeface="Cambria Math" panose="02040503050406030204" pitchFamily="18" charset="0"/>
                              <a:ea typeface="Cambria Math" panose="02040503050406030204" pitchFamily="18" charset="0"/>
                            </a:rPr>
                            <m:t>𝑐</m:t>
                          </m:r>
                        </m:sub>
                      </m:sSub>
                    </m:den>
                  </m:f>
                </m:oMath>
              </a14:m>
              <a:r>
                <a:rPr lang="en-US" sz="1050">
                  <a:solidFill>
                    <a:sysClr val="windowText" lastClr="000000"/>
                  </a:solidFill>
                </a:rPr>
                <a:t> (f)</a:t>
              </a:r>
            </a:p>
          </xdr:txBody>
        </xdr:sp>
      </mc:Choice>
      <mc:Fallback xmlns="">
        <xdr:sp macro="" textlink="">
          <xdr:nvSpPr>
            <xdr:cNvPr id="28" name="TextBox 19">
              <a:extLst>
                <a:ext uri="{FF2B5EF4-FFF2-40B4-BE49-F238E27FC236}">
                  <a16:creationId xmlns:a16="http://schemas.microsoft.com/office/drawing/2014/main" id="{1B0E96A5-0FC3-4EFF-9692-DED65E2B462A}"/>
                </a:ext>
              </a:extLst>
            </xdr:cNvPr>
            <xdr:cNvSpPr txBox="1"/>
          </xdr:nvSpPr>
          <xdr:spPr>
            <a:xfrm>
              <a:off x="4408865" y="40671656"/>
              <a:ext cx="1136934" cy="245666"/>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r>
                <a:rPr lang="en-US" sz="1050" b="0" i="0">
                  <a:solidFill>
                    <a:sysClr val="windowText" lastClr="000000"/>
                  </a:solidFill>
                  <a:latin typeface="Cambria Math" panose="02040503050406030204" pitchFamily="18" charset="0"/>
                </a:rPr>
                <a:t>𝐶</a:t>
              </a:r>
              <a:r>
                <a:rPr lang="en-US" sz="1050" i="0">
                  <a:solidFill>
                    <a:sysClr val="windowText" lastClr="000000"/>
                  </a:solidFill>
                  <a:latin typeface="Cambria Math" panose="02040503050406030204" pitchFamily="18" charset="0"/>
                </a:rPr>
                <a:t>=</a:t>
              </a:r>
              <a:r>
                <a:rPr lang="en-US" sz="1050" b="0" i="0">
                  <a:solidFill>
                    <a:sysClr val="windowText" lastClr="000000"/>
                  </a:solidFill>
                  <a:latin typeface="Cambria Math" panose="02040503050406030204" pitchFamily="18" charset="0"/>
                </a:rPr>
                <a:t>1/(2</a:t>
              </a:r>
              <a:r>
                <a:rPr lang="en-US" sz="1050" b="0" i="0">
                  <a:solidFill>
                    <a:sysClr val="windowText" lastClr="000000"/>
                  </a:solidFill>
                  <a:latin typeface="Cambria Math" panose="02040503050406030204" pitchFamily="18" charset="0"/>
                  <a:ea typeface="Cambria Math" panose="02040503050406030204" pitchFamily="18" charset="0"/>
                </a:rPr>
                <a:t>𝜋𝑓𝑋_𝑐 )</a:t>
              </a:r>
              <a:r>
                <a:rPr lang="en-US" sz="1050">
                  <a:solidFill>
                    <a:sysClr val="windowText" lastClr="000000"/>
                  </a:solidFill>
                </a:rPr>
                <a:t> (f)</a:t>
              </a:r>
            </a:p>
          </xdr:txBody>
        </xdr:sp>
      </mc:Fallback>
    </mc:AlternateContent>
    <xdr:clientData/>
  </xdr:twoCellAnchor>
  <xdr:twoCellAnchor>
    <xdr:from>
      <xdr:col>22</xdr:col>
      <xdr:colOff>87876</xdr:colOff>
      <xdr:row>175</xdr:row>
      <xdr:rowOff>228425</xdr:rowOff>
    </xdr:from>
    <xdr:to>
      <xdr:col>31</xdr:col>
      <xdr:colOff>79275</xdr:colOff>
      <xdr:row>177</xdr:row>
      <xdr:rowOff>96115</xdr:rowOff>
    </xdr:to>
    <mc:AlternateContent xmlns:mc="http://schemas.openxmlformats.org/markup-compatibility/2006" xmlns:a14="http://schemas.microsoft.com/office/drawing/2010/main">
      <mc:Choice Requires="a14">
        <xdr:sp macro="" textlink="">
          <xdr:nvSpPr>
            <xdr:cNvPr id="29" name="TextBox 34">
              <a:extLst>
                <a:ext uri="{FF2B5EF4-FFF2-40B4-BE49-F238E27FC236}">
                  <a16:creationId xmlns:a16="http://schemas.microsoft.com/office/drawing/2014/main" id="{1FFD8DB0-F137-4162-8649-0B2E8BFAC285}"/>
                </a:ext>
              </a:extLst>
            </xdr:cNvPr>
            <xdr:cNvSpPr txBox="1"/>
          </xdr:nvSpPr>
          <xdr:spPr>
            <a:xfrm>
              <a:off x="4069326" y="40233425"/>
              <a:ext cx="1620174" cy="324890"/>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14:m>
                <m:oMathPara xmlns:m="http://schemas.openxmlformats.org/officeDocument/2006/math">
                  <m:oMathParaPr>
                    <m:jc m:val="centerGroup"/>
                  </m:oMathParaPr>
                  <m:oMath xmlns:m="http://schemas.openxmlformats.org/officeDocument/2006/math">
                    <m:r>
                      <a:rPr lang="en-US" sz="1050" b="0" i="1">
                        <a:solidFill>
                          <a:sysClr val="windowText" lastClr="000000"/>
                        </a:solidFill>
                        <a:latin typeface="Cambria Math" panose="02040503050406030204" pitchFamily="18" charset="0"/>
                      </a:rPr>
                      <m:t>𝐿</m:t>
                    </m:r>
                    <m:r>
                      <a:rPr lang="en-US" sz="1050" i="1">
                        <a:solidFill>
                          <a:sysClr val="windowText" lastClr="000000"/>
                        </a:solidFill>
                        <a:latin typeface="Cambria Math" panose="02040503050406030204" pitchFamily="18" charset="0"/>
                      </a:rPr>
                      <m:t>=</m:t>
                    </m:r>
                    <m:f>
                      <m:fPr>
                        <m:ctrlPr>
                          <a:rPr lang="en-US" sz="1050" i="1">
                            <a:solidFill>
                              <a:sysClr val="windowText" lastClr="000000"/>
                            </a:solidFill>
                            <a:latin typeface="Cambria Math" panose="02040503050406030204" pitchFamily="18" charset="0"/>
                          </a:rPr>
                        </m:ctrlPr>
                      </m:fPr>
                      <m:num>
                        <m:sSub>
                          <m:sSubPr>
                            <m:ctrlPr>
                              <a:rPr lang="en-US" sz="1050" i="1">
                                <a:solidFill>
                                  <a:sysClr val="windowText" lastClr="000000"/>
                                </a:solidFill>
                                <a:latin typeface="Cambria Math" panose="02040503050406030204" pitchFamily="18" charset="0"/>
                              </a:rPr>
                            </m:ctrlPr>
                          </m:sSubPr>
                          <m:e>
                            <m:r>
                              <a:rPr lang="en-US" sz="1050" b="0" i="1">
                                <a:solidFill>
                                  <a:sysClr val="windowText" lastClr="000000"/>
                                </a:solidFill>
                                <a:latin typeface="Cambria Math" panose="02040503050406030204" pitchFamily="18" charset="0"/>
                              </a:rPr>
                              <m:t>𝑋</m:t>
                            </m:r>
                          </m:e>
                          <m:sub>
                            <m:r>
                              <a:rPr lang="en-US" sz="1050" b="0" i="1">
                                <a:solidFill>
                                  <a:sysClr val="windowText" lastClr="000000"/>
                                </a:solidFill>
                                <a:latin typeface="Cambria Math" panose="02040503050406030204" pitchFamily="18" charset="0"/>
                              </a:rPr>
                              <m:t>𝐿</m:t>
                            </m:r>
                          </m:sub>
                        </m:sSub>
                      </m:num>
                      <m:den>
                        <m:r>
                          <a:rPr lang="en-US" sz="1050" b="0" i="1">
                            <a:solidFill>
                              <a:sysClr val="windowText" lastClr="000000"/>
                            </a:solidFill>
                            <a:latin typeface="Cambria Math" panose="02040503050406030204" pitchFamily="18" charset="0"/>
                          </a:rPr>
                          <m:t>2</m:t>
                        </m:r>
                        <m:r>
                          <a:rPr lang="en-US" sz="1050" b="0" i="1">
                            <a:solidFill>
                              <a:sysClr val="windowText" lastClr="000000"/>
                            </a:solidFill>
                            <a:latin typeface="Cambria Math" panose="02040503050406030204" pitchFamily="18" charset="0"/>
                            <a:ea typeface="Cambria Math" panose="02040503050406030204" pitchFamily="18" charset="0"/>
                          </a:rPr>
                          <m:t>𝜋</m:t>
                        </m:r>
                        <m:r>
                          <a:rPr lang="en-US" sz="1050" b="0" i="1">
                            <a:solidFill>
                              <a:sysClr val="windowText" lastClr="000000"/>
                            </a:solidFill>
                            <a:latin typeface="Cambria Math" panose="02040503050406030204" pitchFamily="18" charset="0"/>
                            <a:ea typeface="Cambria Math" panose="02040503050406030204" pitchFamily="18" charset="0"/>
                          </a:rPr>
                          <m:t>𝑓</m:t>
                        </m:r>
                      </m:den>
                    </m:f>
                    <m:r>
                      <a:rPr lang="en-US" sz="1050" b="0" i="1">
                        <a:solidFill>
                          <a:sysClr val="windowText" lastClr="000000"/>
                        </a:solidFill>
                        <a:latin typeface="Cambria Math" panose="02040503050406030204" pitchFamily="18" charset="0"/>
                        <a:ea typeface="Cambria Math" panose="02040503050406030204" pitchFamily="18" charset="0"/>
                      </a:rPr>
                      <m:t> </m:t>
                    </m:r>
                    <m:d>
                      <m:dPr>
                        <m:ctrlPr>
                          <a:rPr lang="en-US" sz="1050" b="0" i="1">
                            <a:solidFill>
                              <a:sysClr val="windowText" lastClr="000000"/>
                            </a:solidFill>
                            <a:latin typeface="Cambria Math" panose="02040503050406030204" pitchFamily="18" charset="0"/>
                            <a:ea typeface="Cambria Math" panose="02040503050406030204" pitchFamily="18" charset="0"/>
                          </a:rPr>
                        </m:ctrlPr>
                      </m:dPr>
                      <m:e>
                        <m:r>
                          <a:rPr lang="en-US" sz="1050" b="0" i="1">
                            <a:solidFill>
                              <a:sysClr val="windowText" lastClr="000000"/>
                            </a:solidFill>
                            <a:latin typeface="Cambria Math" panose="02040503050406030204" pitchFamily="18" charset="0"/>
                            <a:ea typeface="Cambria Math" panose="02040503050406030204" pitchFamily="18" charset="0"/>
                          </a:rPr>
                          <m:t>𝐻</m:t>
                        </m:r>
                      </m:e>
                    </m:d>
                  </m:oMath>
                </m:oMathPara>
              </a14:m>
              <a:endParaRPr lang="en-US" sz="1050">
                <a:solidFill>
                  <a:sysClr val="windowText" lastClr="000000"/>
                </a:solidFill>
              </a:endParaRPr>
            </a:p>
          </xdr:txBody>
        </xdr:sp>
      </mc:Choice>
      <mc:Fallback xmlns="">
        <xdr:sp macro="" textlink="">
          <xdr:nvSpPr>
            <xdr:cNvPr id="29" name="TextBox 34">
              <a:extLst>
                <a:ext uri="{FF2B5EF4-FFF2-40B4-BE49-F238E27FC236}">
                  <a16:creationId xmlns:a16="http://schemas.microsoft.com/office/drawing/2014/main" id="{1FFD8DB0-F137-4162-8649-0B2E8BFAC285}"/>
                </a:ext>
              </a:extLst>
            </xdr:cNvPr>
            <xdr:cNvSpPr txBox="1"/>
          </xdr:nvSpPr>
          <xdr:spPr>
            <a:xfrm>
              <a:off x="4069326" y="40233425"/>
              <a:ext cx="1620174" cy="324890"/>
            </a:xfrm>
            <a:prstGeom prst="rect">
              <a:avLst/>
            </a:prstGeom>
            <a:noFill/>
          </xdr:spPr>
          <xdr:txBody>
            <a:bodyPr wrap="square" lIns="0" tIns="0" rIns="0" bIns="0" rtlCol="0">
              <a:spAutoFit/>
            </a:bodyPr>
            <a:lstStyle>
              <a:defPPr>
                <a:defRPr lang="en-US"/>
              </a:defPPr>
              <a:lvl1pPr marL="0" algn="l" defTabSz="731520" rtl="0" eaLnBrk="1" latinLnBrk="0" hangingPunct="1">
                <a:defRPr sz="1500" kern="1200">
                  <a:solidFill>
                    <a:schemeClr val="tx1"/>
                  </a:solidFill>
                  <a:latin typeface="+mn-lt"/>
                  <a:ea typeface="+mn-ea"/>
                  <a:cs typeface="+mn-cs"/>
                </a:defRPr>
              </a:lvl1pPr>
              <a:lvl2pPr marL="365760" algn="l" defTabSz="731520" rtl="0" eaLnBrk="1" latinLnBrk="0" hangingPunct="1">
                <a:defRPr sz="1500" kern="1200">
                  <a:solidFill>
                    <a:schemeClr val="tx1"/>
                  </a:solidFill>
                  <a:latin typeface="+mn-lt"/>
                  <a:ea typeface="+mn-ea"/>
                  <a:cs typeface="+mn-cs"/>
                </a:defRPr>
              </a:lvl2pPr>
              <a:lvl3pPr marL="731520" algn="l" defTabSz="731520" rtl="0" eaLnBrk="1" latinLnBrk="0" hangingPunct="1">
                <a:defRPr sz="1500" kern="1200">
                  <a:solidFill>
                    <a:schemeClr val="tx1"/>
                  </a:solidFill>
                  <a:latin typeface="+mn-lt"/>
                  <a:ea typeface="+mn-ea"/>
                  <a:cs typeface="+mn-cs"/>
                </a:defRPr>
              </a:lvl3pPr>
              <a:lvl4pPr marL="1097280" algn="l" defTabSz="731520" rtl="0" eaLnBrk="1" latinLnBrk="0" hangingPunct="1">
                <a:defRPr sz="1500" kern="1200">
                  <a:solidFill>
                    <a:schemeClr val="tx1"/>
                  </a:solidFill>
                  <a:latin typeface="+mn-lt"/>
                  <a:ea typeface="+mn-ea"/>
                  <a:cs typeface="+mn-cs"/>
                </a:defRPr>
              </a:lvl4pPr>
              <a:lvl5pPr marL="1463040" algn="l" defTabSz="731520" rtl="0" eaLnBrk="1" latinLnBrk="0" hangingPunct="1">
                <a:defRPr sz="1500" kern="1200">
                  <a:solidFill>
                    <a:schemeClr val="tx1"/>
                  </a:solidFill>
                  <a:latin typeface="+mn-lt"/>
                  <a:ea typeface="+mn-ea"/>
                  <a:cs typeface="+mn-cs"/>
                </a:defRPr>
              </a:lvl5pPr>
              <a:lvl6pPr marL="1828800" algn="l" defTabSz="731520" rtl="0" eaLnBrk="1" latinLnBrk="0" hangingPunct="1">
                <a:defRPr sz="1500" kern="1200">
                  <a:solidFill>
                    <a:schemeClr val="tx1"/>
                  </a:solidFill>
                  <a:latin typeface="+mn-lt"/>
                  <a:ea typeface="+mn-ea"/>
                  <a:cs typeface="+mn-cs"/>
                </a:defRPr>
              </a:lvl6pPr>
              <a:lvl7pPr marL="2194560" algn="l" defTabSz="731520" rtl="0" eaLnBrk="1" latinLnBrk="0" hangingPunct="1">
                <a:defRPr sz="1500" kern="1200">
                  <a:solidFill>
                    <a:schemeClr val="tx1"/>
                  </a:solidFill>
                  <a:latin typeface="+mn-lt"/>
                  <a:ea typeface="+mn-ea"/>
                  <a:cs typeface="+mn-cs"/>
                </a:defRPr>
              </a:lvl7pPr>
              <a:lvl8pPr marL="2560320" algn="l" defTabSz="731520" rtl="0" eaLnBrk="1" latinLnBrk="0" hangingPunct="1">
                <a:defRPr sz="1500" kern="1200">
                  <a:solidFill>
                    <a:schemeClr val="tx1"/>
                  </a:solidFill>
                  <a:latin typeface="+mn-lt"/>
                  <a:ea typeface="+mn-ea"/>
                  <a:cs typeface="+mn-cs"/>
                </a:defRPr>
              </a:lvl8pPr>
              <a:lvl9pPr marL="2926080" algn="l" defTabSz="731520" rtl="0" eaLnBrk="1" latinLnBrk="0" hangingPunct="1">
                <a:defRPr sz="1500" kern="1200">
                  <a:solidFill>
                    <a:schemeClr val="tx1"/>
                  </a:solidFill>
                  <a:latin typeface="+mn-lt"/>
                  <a:ea typeface="+mn-ea"/>
                  <a:cs typeface="+mn-cs"/>
                </a:defRPr>
              </a:lvl9pPr>
            </a:lstStyle>
            <a:p>
              <a:pPr/>
              <a:r>
                <a:rPr lang="en-US" sz="1050" b="0" i="0">
                  <a:solidFill>
                    <a:sysClr val="windowText" lastClr="000000"/>
                  </a:solidFill>
                  <a:latin typeface="Cambria Math" panose="02040503050406030204" pitchFamily="18" charset="0"/>
                </a:rPr>
                <a:t>𝐿</a:t>
              </a:r>
              <a:r>
                <a:rPr lang="en-US" sz="1050" i="0">
                  <a:solidFill>
                    <a:sysClr val="windowText" lastClr="000000"/>
                  </a:solidFill>
                  <a:latin typeface="Cambria Math" panose="02040503050406030204" pitchFamily="18" charset="0"/>
                </a:rPr>
                <a:t>=</a:t>
              </a:r>
              <a:r>
                <a:rPr lang="en-US" sz="1050" b="0" i="0">
                  <a:solidFill>
                    <a:sysClr val="windowText" lastClr="000000"/>
                  </a:solidFill>
                  <a:latin typeface="Cambria Math" panose="02040503050406030204" pitchFamily="18" charset="0"/>
                </a:rPr>
                <a:t>𝑋_𝐿/2</a:t>
              </a:r>
              <a:r>
                <a:rPr lang="en-US" sz="1050" b="0" i="0">
                  <a:solidFill>
                    <a:sysClr val="windowText" lastClr="000000"/>
                  </a:solidFill>
                  <a:latin typeface="Cambria Math" panose="02040503050406030204" pitchFamily="18" charset="0"/>
                  <a:ea typeface="Cambria Math" panose="02040503050406030204" pitchFamily="18" charset="0"/>
                </a:rPr>
                <a:t>𝜋𝑓  (𝐻)</a:t>
              </a:r>
              <a:endParaRPr lang="en-US" sz="1050">
                <a:solidFill>
                  <a:sysClr val="windowText" lastClr="000000"/>
                </a:solidFill>
              </a:endParaRPr>
            </a:p>
          </xdr:txBody>
        </xdr:sp>
      </mc:Fallback>
    </mc:AlternateContent>
    <xdr:clientData/>
  </xdr:twoCellAnchor>
  <xdr:twoCellAnchor>
    <xdr:from>
      <xdr:col>45</xdr:col>
      <xdr:colOff>4438</xdr:colOff>
      <xdr:row>124</xdr:row>
      <xdr:rowOff>83357</xdr:rowOff>
    </xdr:from>
    <xdr:to>
      <xdr:col>82</xdr:col>
      <xdr:colOff>49933</xdr:colOff>
      <xdr:row>144</xdr:row>
      <xdr:rowOff>114300</xdr:rowOff>
    </xdr:to>
    <mc:AlternateContent xmlns:mc="http://schemas.openxmlformats.org/markup-compatibility/2006" xmlns:a14="http://schemas.microsoft.com/office/drawing/2010/main">
      <mc:Choice Requires="a14">
        <xdr:sp macro="" textlink="">
          <xdr:nvSpPr>
            <xdr:cNvPr id="30" name="TextBox 29">
              <a:extLst>
                <a:ext uri="{FF2B5EF4-FFF2-40B4-BE49-F238E27FC236}">
                  <a16:creationId xmlns:a16="http://schemas.microsoft.com/office/drawing/2014/main" id="{91EA1E82-81AC-47D3-8865-B420B551AE25}"/>
                </a:ext>
              </a:extLst>
            </xdr:cNvPr>
            <xdr:cNvSpPr txBox="1"/>
          </xdr:nvSpPr>
          <xdr:spPr>
            <a:xfrm>
              <a:off x="8148313" y="28429757"/>
              <a:ext cx="6741570" cy="4602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is used to support the design, tuning, and component selection associated with </a:t>
              </a:r>
              <a:r>
                <a:rPr lang="en-US" sz="1100" b="1">
                  <a:solidFill>
                    <a:schemeClr val="dk1"/>
                  </a:solidFill>
                  <a:effectLst/>
                  <a:latin typeface="+mn-lt"/>
                  <a:ea typeface="+mn-ea"/>
                  <a:cs typeface="+mn-cs"/>
                </a:rPr>
                <a:t>C-HP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inductances, capacitor reactive power ratings and associated voltage ratings, harmonic currents, voltage stresses, and damping resistance. The summary below describes the calculation process applied throughout the tool. The tool assumes that harmonic simulations have been conducted and the harmonic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system. This requirement is defined as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𝑄</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and forms the foundation of all subsequent calculations. Using the system’s nominal line-to-line voltage </a:t>
              </a:r>
              <a14:m>
                <m:oMath xmlns:m="http://schemas.openxmlformats.org/officeDocument/2006/math">
                  <m:r>
                    <a:rPr lang="en-US" sz="1100" i="1">
                      <a:solidFill>
                        <a:schemeClr val="dk1"/>
                      </a:solidFill>
                      <a:effectLst/>
                      <a:latin typeface="Cambria Math" panose="02040503050406030204" pitchFamily="18" charset="0"/>
                      <a:ea typeface="+mn-ea"/>
                      <a:cs typeface="+mn-cs"/>
                    </a:rPr>
                    <m:t>𝑘</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𝑉</m:t>
                      </m:r>
                    </m:e>
                    <m:sub>
                      <m:r>
                        <a:rPr lang="en-US" sz="1100" i="1">
                          <a:solidFill>
                            <a:schemeClr val="dk1"/>
                          </a:solidFill>
                          <a:effectLst/>
                          <a:latin typeface="Cambria Math" panose="02040503050406030204" pitchFamily="18" charset="0"/>
                          <a:ea typeface="+mn-ea"/>
                          <a:cs typeface="+mn-cs"/>
                        </a:rPr>
                        <m:t>𝐿𝐿𝑆𝑌𝑆</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main capacitor section,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en-US" sz="1100">
                  <a:solidFill>
                    <a:schemeClr val="dk1"/>
                  </a:solidFill>
                  <a:effectLst/>
                  <a:latin typeface="+mn-lt"/>
                  <a:ea typeface="+mn-ea"/>
                  <a:cs typeface="+mn-cs"/>
                </a:rPr>
                <a:t>. For a C-HP filter, this value directly represents the main capacitor reactance,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𝐶𝑀</m:t>
                      </m:r>
                    </m:sub>
                  </m:sSub>
                  <m:r>
                    <a:rPr lang="ar-AE" sz="1100">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𝑒𝑓𝑓</m:t>
                      </m:r>
                    </m:sub>
                  </m:sSub>
                </m:oMath>
              </a14:m>
              <a:r>
                <a:rPr lang="ar-AE" sz="1100">
                  <a:solidFill>
                    <a:schemeClr val="dk1"/>
                  </a:solidFill>
                  <a:effectLst/>
                  <a:latin typeface="+mn-lt"/>
                  <a:ea typeface="+mn-ea"/>
                  <a:cs typeface="+mn-cs"/>
                </a:rPr>
                <a:t>.</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Tuning the filter to the specified harmonic order </a:t>
              </a:r>
              <a14:m>
                <m:oMath xmlns:m="http://schemas.openxmlformats.org/officeDocument/2006/math">
                  <m:r>
                    <a:rPr lang="en-US" sz="1100" i="1">
                      <a:solidFill>
                        <a:schemeClr val="dk1"/>
                      </a:solidFill>
                      <a:effectLst/>
                      <a:latin typeface="Cambria Math" panose="02040503050406030204" pitchFamily="18" charset="0"/>
                      <a:ea typeface="+mn-ea"/>
                      <a:cs typeface="+mn-cs"/>
                    </a:rPr>
                    <m:t>h</m:t>
                  </m:r>
                </m:oMath>
              </a14:m>
              <a:r>
                <a:rPr lang="en-US" sz="1100">
                  <a:solidFill>
                    <a:schemeClr val="dk1"/>
                  </a:solidFill>
                  <a:effectLst/>
                  <a:latin typeface="+mn-lt"/>
                  <a:ea typeface="+mn-ea"/>
                  <a:cs typeface="+mn-cs"/>
                </a:rPr>
                <a:t> requires defining the reactances in the series tuning branch. The reactor’s inductive reactance at the fundamental frequency,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𝐿</m:t>
                      </m:r>
                    </m:sub>
                  </m:sSub>
                </m:oMath>
              </a14:m>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is computed using standard tuning relationships. In a classical C-HP topology, the auxiliary capacitor section is sized such that its capacitive reactance equals the inductive reactance of the tuning reactor, giving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𝐶</m:t>
                      </m:r>
                      <m:r>
                        <a:rPr lang="en-US" sz="1100" i="1">
                          <a:solidFill>
                            <a:schemeClr val="dk1"/>
                          </a:solidFill>
                          <a:effectLst/>
                          <a:latin typeface="Cambria Math" panose="02040503050406030204" pitchFamily="18" charset="0"/>
                          <a:ea typeface="+mn-ea"/>
                          <a:cs typeface="+mn-cs"/>
                        </a:rPr>
                        <m:t> </m:t>
                      </m:r>
                      <m:r>
                        <a:rPr lang="en-US" sz="1100" i="1">
                          <a:solidFill>
                            <a:schemeClr val="dk1"/>
                          </a:solidFill>
                          <a:effectLst/>
                          <a:latin typeface="Cambria Math" panose="02040503050406030204" pitchFamily="18" charset="0"/>
                          <a:ea typeface="+mn-ea"/>
                          <a:cs typeface="+mn-cs"/>
                        </a:rPr>
                        <m:t>𝐴𝑈𝑋</m:t>
                      </m:r>
                    </m:sub>
                  </m:sSub>
                  <m:r>
                    <a:rPr lang="ar-AE" sz="1100">
                      <a:solidFill>
                        <a:schemeClr val="dk1"/>
                      </a:solidFill>
                      <a:effectLst/>
                      <a:latin typeface="Cambria Math" panose="02040503050406030204" pitchFamily="18" charset="0"/>
                      <a:ea typeface="+mn-ea"/>
                      <a:cs typeface="+mn-cs"/>
                    </a:rPr>
                    <m:t>=</m:t>
                  </m:r>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𝐿</m:t>
                      </m:r>
                    </m:sub>
                  </m:sSub>
                </m:oMath>
              </a14:m>
              <a:r>
                <a:rPr lang="en-US" sz="1100">
                  <a:solidFill>
                    <a:schemeClr val="dk1"/>
                  </a:solidFill>
                  <a:effectLst/>
                  <a:latin typeface="+mn-lt"/>
                  <a:ea typeface="+mn-ea"/>
                  <a:cs typeface="+mn-cs"/>
                </a:rPr>
                <a:t>. This establishes a tuned L-C branch in parallel with the damping resistor (high-pass resistor) and eliminates fundamental-frequency losses in the high-pass resistor allowing for an efficient low damping factor high-pass harmonic filter. Once the tuning reactances are known, the corresponding reactor inductance </a:t>
              </a:r>
              <a14:m>
                <m:oMath xmlns:m="http://schemas.openxmlformats.org/officeDocument/2006/math">
                  <m:r>
                    <a:rPr lang="en-US" sz="1100" i="1">
                      <a:solidFill>
                        <a:schemeClr val="dk1"/>
                      </a:solidFill>
                      <a:effectLst/>
                      <a:latin typeface="Cambria Math" panose="02040503050406030204" pitchFamily="18" charset="0"/>
                      <a:ea typeface="+mn-ea"/>
                      <a:cs typeface="+mn-cs"/>
                    </a:rPr>
                    <m:t>𝐿</m:t>
                  </m:r>
                </m:oMath>
              </a14:m>
              <a:r>
                <a:rPr lang="en-US" sz="1100">
                  <a:solidFill>
                    <a:schemeClr val="dk1"/>
                  </a:solidFill>
                  <a:effectLst/>
                  <a:latin typeface="+mn-lt"/>
                  <a:ea typeface="+mn-ea"/>
                  <a:cs typeface="+mn-cs"/>
                </a:rPr>
                <a:t> is calculated directly from </a:t>
              </a:r>
              <a14:m>
                <m:oMath xmlns:m="http://schemas.openxmlformats.org/officeDocument/2006/math">
                  <m:sSub>
                    <m:sSubPr>
                      <m:ctrlPr>
                        <a:rPr lang="en-US" sz="1100" i="1">
                          <a:solidFill>
                            <a:schemeClr val="dk1"/>
                          </a:solidFill>
                          <a:effectLst/>
                          <a:latin typeface="Cambria Math" panose="02040503050406030204" pitchFamily="18" charset="0"/>
                          <a:ea typeface="+mn-ea"/>
                          <a:cs typeface="+mn-cs"/>
                        </a:rPr>
                      </m:ctrlPr>
                    </m:sSubPr>
                    <m:e>
                      <m:r>
                        <a:rPr lang="en-US" sz="1100" i="1">
                          <a:solidFill>
                            <a:schemeClr val="dk1"/>
                          </a:solidFill>
                          <a:effectLst/>
                          <a:latin typeface="Cambria Math" panose="02040503050406030204" pitchFamily="18" charset="0"/>
                          <a:ea typeface="+mn-ea"/>
                          <a:cs typeface="+mn-cs"/>
                        </a:rPr>
                        <m:t>𝑋</m:t>
                      </m:r>
                    </m:e>
                    <m:sub>
                      <m:r>
                        <a:rPr lang="en-US" sz="1100" i="1">
                          <a:solidFill>
                            <a:schemeClr val="dk1"/>
                          </a:solidFill>
                          <a:effectLst/>
                          <a:latin typeface="Cambria Math" panose="02040503050406030204" pitchFamily="18" charset="0"/>
                          <a:ea typeface="+mn-ea"/>
                          <a:cs typeface="+mn-cs"/>
                        </a:rPr>
                        <m:t>𝐿</m:t>
                      </m:r>
                    </m:sub>
                  </m:sSub>
                </m:oMath>
              </a14:m>
              <a:r>
                <a:rPr lang="en-US" sz="1100">
                  <a:solidFill>
                    <a:schemeClr val="dk1"/>
                  </a:solidFill>
                  <a:effectLst/>
                  <a:latin typeface="+mn-lt"/>
                  <a:ea typeface="+mn-ea"/>
                  <a:cs typeface="+mn-cs"/>
                </a:rPr>
                <a:t>and the system frequency.</a:t>
              </a:r>
            </a:p>
            <a:p>
              <a:endParaRPr lang="en-US" sz="1100"/>
            </a:p>
          </xdr:txBody>
        </xdr:sp>
      </mc:Choice>
      <mc:Fallback xmlns="">
        <xdr:sp macro="" textlink="">
          <xdr:nvSpPr>
            <xdr:cNvPr id="30" name="TextBox 29">
              <a:extLst>
                <a:ext uri="{FF2B5EF4-FFF2-40B4-BE49-F238E27FC236}">
                  <a16:creationId xmlns:a16="http://schemas.microsoft.com/office/drawing/2014/main" id="{91EA1E82-81AC-47D3-8865-B420B551AE25}"/>
                </a:ext>
              </a:extLst>
            </xdr:cNvPr>
            <xdr:cNvSpPr txBox="1"/>
          </xdr:nvSpPr>
          <xdr:spPr>
            <a:xfrm>
              <a:off x="8148313" y="28429757"/>
              <a:ext cx="6741570" cy="460294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This spreadsheet is used to support the design, tuning, and component selection associated with </a:t>
              </a:r>
              <a:r>
                <a:rPr lang="en-US" sz="1100" b="1">
                  <a:solidFill>
                    <a:schemeClr val="dk1"/>
                  </a:solidFill>
                  <a:effectLst/>
                  <a:latin typeface="+mn-lt"/>
                  <a:ea typeface="+mn-ea"/>
                  <a:cs typeface="+mn-cs"/>
                </a:rPr>
                <a:t>C-HP harmonic filters</a:t>
              </a:r>
              <a:r>
                <a:rPr lang="en-US" sz="1100">
                  <a:solidFill>
                    <a:schemeClr val="dk1"/>
                  </a:solidFill>
                  <a:effectLst/>
                  <a:latin typeface="+mn-lt"/>
                  <a:ea typeface="+mn-ea"/>
                  <a:cs typeface="+mn-cs"/>
                </a:rPr>
                <a:t> as engineered by </a:t>
              </a:r>
              <a:r>
                <a:rPr lang="en-US" sz="1100" b="1">
                  <a:solidFill>
                    <a:schemeClr val="dk1"/>
                  </a:solidFill>
                  <a:effectLst/>
                  <a:latin typeface="+mn-lt"/>
                  <a:ea typeface="+mn-ea"/>
                  <a:cs typeface="+mn-cs"/>
                </a:rPr>
                <a:t>VarStec Power Solutions</a:t>
              </a:r>
              <a:r>
                <a:rPr lang="en-US" sz="1100">
                  <a:solidFill>
                    <a:schemeClr val="dk1"/>
                  </a:solidFill>
                  <a:effectLst/>
                  <a:latin typeface="+mn-lt"/>
                  <a:ea typeface="+mn-ea"/>
                  <a:cs typeface="+mn-cs"/>
                </a:rPr>
                <a:t>. It provides a consistent methodology for determining all electrical parameters required for proper filter performance, including reactances, inductances, capacitor reactive power ratings and associated voltage ratings, harmonic currents, voltage stresses, and damping resistance. The summary below describes the calculation process applied throughout the tool. The tool assumes that harmonic simulations have been conducted and the harmonic current spectrum into the harmonic filter is known. These values are inserted in the blue highlighted fields of rows 24 and 25 on page 1.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For additional information, engineering support, or custom filter designs, contact VarStec Power Solutions at  </a:t>
              </a:r>
              <a:r>
                <a:rPr lang="en-US" sz="1100" b="1">
                  <a:solidFill>
                    <a:schemeClr val="dk1"/>
                  </a:solidFill>
                  <a:effectLst/>
                  <a:latin typeface="+mn-lt"/>
                  <a:ea typeface="+mn-ea"/>
                  <a:cs typeface="+mn-cs"/>
                </a:rPr>
                <a:t>info@varstec.com</a:t>
              </a:r>
              <a:r>
                <a:rPr lang="en-US" sz="1100">
                  <a:solidFill>
                    <a:schemeClr val="dk1"/>
                  </a:solidFill>
                  <a:effectLst/>
                  <a:latin typeface="+mn-lt"/>
                  <a:ea typeface="+mn-ea"/>
                  <a:cs typeface="+mn-cs"/>
                </a:rPr>
                <a:t>. </a:t>
              </a:r>
              <a:br>
                <a:rPr lang="en-US" sz="1100">
                  <a:solidFill>
                    <a:schemeClr val="dk1"/>
                  </a:solidFill>
                  <a:effectLst/>
                  <a:latin typeface="+mn-lt"/>
                  <a:ea typeface="+mn-ea"/>
                  <a:cs typeface="+mn-cs"/>
                </a:rPr>
              </a:br>
              <a:br>
                <a:rPr lang="en-US" sz="1100">
                  <a:solidFill>
                    <a:schemeClr val="dk1"/>
                  </a:solidFill>
                  <a:effectLst/>
                  <a:latin typeface="+mn-lt"/>
                  <a:ea typeface="+mn-ea"/>
                  <a:cs typeface="+mn-cs"/>
                </a:rPr>
              </a:br>
              <a:r>
                <a:rPr lang="en-US" sz="1100">
                  <a:solidFill>
                    <a:schemeClr val="dk1"/>
                  </a:solidFill>
                  <a:effectLst/>
                  <a:latin typeface="+mn-lt"/>
                  <a:ea typeface="+mn-ea"/>
                  <a:cs typeface="+mn-cs"/>
                </a:rPr>
                <a:t>The design process begins by establishing the fundamental kvar requirement of the harmonic filter, typically based on the kvar demand of the connected load or the kvar allocation assigned to each stage of a multi-stage harmonic filter system. This requirement is defined as </a:t>
              </a:r>
              <a:r>
                <a:rPr lang="en-US" sz="1100" i="0">
                  <a:solidFill>
                    <a:schemeClr val="dk1"/>
                  </a:solidFill>
                  <a:effectLst/>
                  <a:latin typeface="Cambria Math" panose="02040503050406030204" pitchFamily="18" charset="0"/>
                  <a:ea typeface="+mn-ea"/>
                  <a:cs typeface="+mn-cs"/>
                </a:rPr>
                <a:t>𝑄_𝑒𝑓𝑓</a:t>
              </a:r>
              <a:r>
                <a:rPr lang="en-US" sz="1100">
                  <a:solidFill>
                    <a:schemeClr val="dk1"/>
                  </a:solidFill>
                  <a:effectLst/>
                  <a:latin typeface="+mn-lt"/>
                  <a:ea typeface="+mn-ea"/>
                  <a:cs typeface="+mn-cs"/>
                </a:rPr>
                <a:t>and forms the foundation of all subsequent calculations. Using the system’s nominal line-to-line voltage </a:t>
              </a:r>
              <a:r>
                <a:rPr lang="en-US" sz="1100" i="0">
                  <a:solidFill>
                    <a:schemeClr val="dk1"/>
                  </a:solidFill>
                  <a:effectLst/>
                  <a:latin typeface="Cambria Math" panose="02040503050406030204" pitchFamily="18" charset="0"/>
                  <a:ea typeface="+mn-ea"/>
                  <a:cs typeface="+mn-cs"/>
                </a:rPr>
                <a:t>𝑘𝑉_𝐿𝐿𝑆𝑌𝑆</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the spreadsheet determines the fundamental capacitive reactance of the main capacitor section, </a:t>
              </a:r>
              <a:r>
                <a:rPr lang="en-US" sz="1100" i="0">
                  <a:solidFill>
                    <a:schemeClr val="dk1"/>
                  </a:solidFill>
                  <a:effectLst/>
                  <a:latin typeface="Cambria Math" panose="02040503050406030204" pitchFamily="18" charset="0"/>
                  <a:ea typeface="+mn-ea"/>
                  <a:cs typeface="+mn-cs"/>
                </a:rPr>
                <a:t>𝑋_𝑒𝑓𝑓</a:t>
              </a:r>
              <a:r>
                <a:rPr lang="en-US" sz="1100">
                  <a:solidFill>
                    <a:schemeClr val="dk1"/>
                  </a:solidFill>
                  <a:effectLst/>
                  <a:latin typeface="+mn-lt"/>
                  <a:ea typeface="+mn-ea"/>
                  <a:cs typeface="+mn-cs"/>
                </a:rPr>
                <a:t>. For a C-HP filter, this value directly represents the main capacitor reactance, </a:t>
              </a:r>
              <a:r>
                <a:rPr lang="en-US" sz="1100" i="0">
                  <a:solidFill>
                    <a:schemeClr val="dk1"/>
                  </a:solidFill>
                  <a:effectLst/>
                  <a:latin typeface="Cambria Math" panose="02040503050406030204" pitchFamily="18" charset="0"/>
                  <a:ea typeface="+mn-ea"/>
                  <a:cs typeface="+mn-cs"/>
                </a:rPr>
                <a:t>𝑋_𝐶𝑀</a:t>
              </a:r>
              <a:r>
                <a:rPr lang="ar-AE"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𝑋_𝑒𝑓𝑓</a:t>
              </a:r>
              <a:r>
                <a:rPr lang="ar-AE" sz="1100">
                  <a:solidFill>
                    <a:schemeClr val="dk1"/>
                  </a:solidFill>
                  <a:effectLst/>
                  <a:latin typeface="+mn-lt"/>
                  <a:ea typeface="+mn-ea"/>
                  <a:cs typeface="+mn-cs"/>
                </a:rPr>
                <a:t>.</a:t>
              </a:r>
              <a:endParaRPr lang="en-US" sz="1100">
                <a:solidFill>
                  <a:schemeClr val="dk1"/>
                </a:solidFill>
                <a:effectLst/>
                <a:latin typeface="+mn-lt"/>
                <a:ea typeface="+mn-ea"/>
                <a:cs typeface="+mn-cs"/>
              </a:endParaRPr>
            </a:p>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Tuning the filter to the specified harmonic order </a:t>
              </a:r>
              <a:r>
                <a:rPr lang="en-US" sz="1100" i="0">
                  <a:solidFill>
                    <a:schemeClr val="dk1"/>
                  </a:solidFill>
                  <a:effectLst/>
                  <a:latin typeface="Cambria Math" panose="02040503050406030204" pitchFamily="18" charset="0"/>
                  <a:ea typeface="+mn-ea"/>
                  <a:cs typeface="+mn-cs"/>
                </a:rPr>
                <a:t>ℎ</a:t>
              </a:r>
              <a:r>
                <a:rPr lang="en-US" sz="1100">
                  <a:solidFill>
                    <a:schemeClr val="dk1"/>
                  </a:solidFill>
                  <a:effectLst/>
                  <a:latin typeface="+mn-lt"/>
                  <a:ea typeface="+mn-ea"/>
                  <a:cs typeface="+mn-cs"/>
                </a:rPr>
                <a:t> requires defining the reactances in the series tuning branch. The reactor’s inductive reactance at the fundamental frequency, </a:t>
              </a:r>
              <a:r>
                <a:rPr lang="en-US" sz="1100" i="0">
                  <a:solidFill>
                    <a:schemeClr val="dk1"/>
                  </a:solidFill>
                  <a:effectLst/>
                  <a:latin typeface="Cambria Math" panose="02040503050406030204" pitchFamily="18" charset="0"/>
                  <a:ea typeface="+mn-ea"/>
                  <a:cs typeface="+mn-cs"/>
                </a:rPr>
                <a:t>𝑋_𝐿</a:t>
              </a:r>
              <a:r>
                <a:rPr lang="ar-AE" sz="1100">
                  <a:solidFill>
                    <a:schemeClr val="dk1"/>
                  </a:solidFill>
                  <a:effectLst/>
                  <a:latin typeface="+mn-lt"/>
                  <a:ea typeface="+mn-ea"/>
                  <a:cs typeface="+mn-cs"/>
                </a:rPr>
                <a:t>, </a:t>
              </a:r>
              <a:r>
                <a:rPr lang="en-US" sz="1100">
                  <a:solidFill>
                    <a:schemeClr val="dk1"/>
                  </a:solidFill>
                  <a:effectLst/>
                  <a:latin typeface="+mn-lt"/>
                  <a:ea typeface="+mn-ea"/>
                  <a:cs typeface="+mn-cs"/>
                </a:rPr>
                <a:t>is computed using standard tuning relationships. In a classical C-HP topology, the auxiliary capacitor section is sized such that its capacitive reactance equals the inductive reactance of the tuning reactor, giving </a:t>
              </a:r>
              <a:r>
                <a:rPr lang="en-US" sz="1100" i="0">
                  <a:solidFill>
                    <a:schemeClr val="dk1"/>
                  </a:solidFill>
                  <a:effectLst/>
                  <a:latin typeface="Cambria Math" panose="02040503050406030204" pitchFamily="18" charset="0"/>
                  <a:ea typeface="+mn-ea"/>
                  <a:cs typeface="+mn-cs"/>
                </a:rPr>
                <a:t>𝑋_(𝐶 𝐴𝑈𝑋)</a:t>
              </a:r>
              <a:r>
                <a:rPr lang="ar-AE" sz="1100" i="0">
                  <a:solidFill>
                    <a:schemeClr val="dk1"/>
                  </a:solidFill>
                  <a:effectLst/>
                  <a:latin typeface="Cambria Math" panose="02040503050406030204" pitchFamily="18" charset="0"/>
                  <a:ea typeface="+mn-ea"/>
                  <a:cs typeface="+mn-cs"/>
                </a:rPr>
                <a:t>=</a:t>
              </a:r>
              <a:r>
                <a:rPr lang="en-US" sz="1100" i="0">
                  <a:solidFill>
                    <a:schemeClr val="dk1"/>
                  </a:solidFill>
                  <a:effectLst/>
                  <a:latin typeface="Cambria Math" panose="02040503050406030204" pitchFamily="18" charset="0"/>
                  <a:ea typeface="+mn-ea"/>
                  <a:cs typeface="+mn-cs"/>
                </a:rPr>
                <a:t>𝑋_𝐿</a:t>
              </a:r>
              <a:r>
                <a:rPr lang="en-US" sz="1100">
                  <a:solidFill>
                    <a:schemeClr val="dk1"/>
                  </a:solidFill>
                  <a:effectLst/>
                  <a:latin typeface="+mn-lt"/>
                  <a:ea typeface="+mn-ea"/>
                  <a:cs typeface="+mn-cs"/>
                </a:rPr>
                <a:t>. This establishes a tuned L-C branch in parallel with the damping resistor (high-pass resistor) and eliminates fundamental-frequency losses in the high-pass resistor allowing for an efficient low damping factor high-pass harmonic filter. Once the tuning reactances are known, the corresponding reactor inductance </a:t>
              </a:r>
              <a:r>
                <a:rPr lang="en-US" sz="1100" i="0">
                  <a:solidFill>
                    <a:schemeClr val="dk1"/>
                  </a:solidFill>
                  <a:effectLst/>
                  <a:latin typeface="Cambria Math" panose="02040503050406030204" pitchFamily="18" charset="0"/>
                  <a:ea typeface="+mn-ea"/>
                  <a:cs typeface="+mn-cs"/>
                </a:rPr>
                <a:t>𝐿</a:t>
              </a:r>
              <a:r>
                <a:rPr lang="en-US" sz="1100">
                  <a:solidFill>
                    <a:schemeClr val="dk1"/>
                  </a:solidFill>
                  <a:effectLst/>
                  <a:latin typeface="+mn-lt"/>
                  <a:ea typeface="+mn-ea"/>
                  <a:cs typeface="+mn-cs"/>
                </a:rPr>
                <a:t> is calculated directly from </a:t>
              </a:r>
              <a:r>
                <a:rPr lang="en-US" sz="1100" i="0">
                  <a:solidFill>
                    <a:schemeClr val="dk1"/>
                  </a:solidFill>
                  <a:effectLst/>
                  <a:latin typeface="Cambria Math" panose="02040503050406030204" pitchFamily="18" charset="0"/>
                  <a:ea typeface="+mn-ea"/>
                  <a:cs typeface="+mn-cs"/>
                </a:rPr>
                <a:t>𝑋_𝐿</a:t>
              </a:r>
              <a:r>
                <a:rPr lang="en-US" sz="1100">
                  <a:solidFill>
                    <a:schemeClr val="dk1"/>
                  </a:solidFill>
                  <a:effectLst/>
                  <a:latin typeface="+mn-lt"/>
                  <a:ea typeface="+mn-ea"/>
                  <a:cs typeface="+mn-cs"/>
                </a:rPr>
                <a:t>and the system frequency.</a:t>
              </a:r>
            </a:p>
            <a:p>
              <a:endParaRPr lang="en-US" sz="1100"/>
            </a:p>
          </xdr:txBody>
        </xdr:sp>
      </mc:Fallback>
    </mc:AlternateContent>
    <xdr:clientData/>
  </xdr:twoCellAnchor>
  <xdr:twoCellAnchor>
    <xdr:from>
      <xdr:col>43</xdr:col>
      <xdr:colOff>165652</xdr:colOff>
      <xdr:row>41</xdr:row>
      <xdr:rowOff>127163</xdr:rowOff>
    </xdr:from>
    <xdr:to>
      <xdr:col>82</xdr:col>
      <xdr:colOff>176858</xdr:colOff>
      <xdr:row>46</xdr:row>
      <xdr:rowOff>33131</xdr:rowOff>
    </xdr:to>
    <xdr:sp macro="" textlink="">
      <xdr:nvSpPr>
        <xdr:cNvPr id="31" name="TextBox 30">
          <a:extLst>
            <a:ext uri="{FF2B5EF4-FFF2-40B4-BE49-F238E27FC236}">
              <a16:creationId xmlns:a16="http://schemas.microsoft.com/office/drawing/2014/main" id="{4287D9AE-FBC1-4D76-9507-C296D2813402}"/>
            </a:ext>
          </a:extLst>
        </xdr:cNvPr>
        <xdr:cNvSpPr txBox="1"/>
      </xdr:nvSpPr>
      <xdr:spPr>
        <a:xfrm>
          <a:off x="7947577" y="9499763"/>
          <a:ext cx="7069231" cy="104896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b="0"/>
            <a:t>The harmonic</a:t>
          </a:r>
          <a:r>
            <a:rPr lang="en-US" b="0" baseline="0"/>
            <a:t> filter </a:t>
          </a:r>
          <a:r>
            <a:rPr lang="en-US" b="0"/>
            <a:t>design must ensure capacitor operating duties stay within IEEE/IEC-rated limits, including the allowable 10% continuous overvoltage. The spreadsheet checks four key parameters against their rated duty: % Rated</a:t>
          </a:r>
          <a:r>
            <a:rPr lang="en-US" b="0" baseline="0"/>
            <a:t> </a:t>
          </a:r>
          <a:r>
            <a:rPr lang="en-US" b="0"/>
            <a:t>Volts, % Crest Voltage, % Amps, % kVAR. If any value exceeds its limit, the cell turns red. In that case, increase the capacitor voltage rating. The objective is to meet the required duty without significantly exceeding the rating, which would increase cost.</a:t>
          </a:r>
          <a:endParaRPr lang="en-US" sz="1100" b="0"/>
        </a:p>
      </xdr:txBody>
    </xdr:sp>
    <xdr:clientData/>
  </xdr:twoCellAnchor>
  <xdr:twoCellAnchor>
    <xdr:from>
      <xdr:col>2</xdr:col>
      <xdr:colOff>0</xdr:colOff>
      <xdr:row>152</xdr:row>
      <xdr:rowOff>4694</xdr:rowOff>
    </xdr:from>
    <xdr:to>
      <xdr:col>40</xdr:col>
      <xdr:colOff>149679</xdr:colOff>
      <xdr:row>166</xdr:row>
      <xdr:rowOff>125014</xdr:rowOff>
    </xdr:to>
    <xdr:sp macro="" textlink="">
      <xdr:nvSpPr>
        <xdr:cNvPr id="32" name="TextBox 31">
          <a:extLst>
            <a:ext uri="{FF2B5EF4-FFF2-40B4-BE49-F238E27FC236}">
              <a16:creationId xmlns:a16="http://schemas.microsoft.com/office/drawing/2014/main" id="{E4FAD388-6B48-4C35-A42C-45A9370252B5}"/>
            </a:ext>
          </a:extLst>
        </xdr:cNvPr>
        <xdr:cNvSpPr txBox="1"/>
      </xdr:nvSpPr>
      <xdr:spPr>
        <a:xfrm>
          <a:off x="361950" y="34751894"/>
          <a:ext cx="7026729" cy="33207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Capacitor kvar ratings for both the main and auxiliary groups are then determined using their rated operating voltage. The spreadsheet next evaluates the high-pass damping resistor. Its ohmic value is derived from the specified damping factor (DF) of the C-HP filter (determined from harmonic</a:t>
          </a:r>
          <a:r>
            <a:rPr lang="en-US" sz="1100" baseline="0">
              <a:solidFill>
                <a:schemeClr val="dk1"/>
              </a:solidFill>
              <a:effectLst/>
              <a:latin typeface="+mn-lt"/>
              <a:ea typeface="+mn-ea"/>
              <a:cs typeface="+mn-cs"/>
            </a:rPr>
            <a:t> simulations)</a:t>
          </a:r>
          <a:r>
            <a:rPr lang="en-US" sz="1100">
              <a:solidFill>
                <a:schemeClr val="dk1"/>
              </a:solidFill>
              <a:effectLst/>
              <a:latin typeface="+mn-lt"/>
              <a:ea typeface="+mn-ea"/>
              <a:cs typeface="+mn-cs"/>
            </a:rPr>
            <a:t>, linking the resistor to the tuning reactance at the harmonic frequency. With kvar and reactances established, the tool computes the fundamental filter current and applies injected harmonic current data to evaluate the resulting capacitor voltage stresses, current</a:t>
          </a:r>
          <a:r>
            <a:rPr lang="en-US" sz="1100" baseline="0">
              <a:solidFill>
                <a:schemeClr val="dk1"/>
              </a:solidFill>
              <a:effectLst/>
              <a:latin typeface="+mn-lt"/>
              <a:ea typeface="+mn-ea"/>
              <a:cs typeface="+mn-cs"/>
            </a:rPr>
            <a:t> duty, and reactive power duty</a:t>
          </a:r>
          <a:r>
            <a:rPr lang="en-US" sz="1100">
              <a:solidFill>
                <a:schemeClr val="dk1"/>
              </a:solidFill>
              <a:effectLst/>
              <a:latin typeface="+mn-lt"/>
              <a:ea typeface="+mn-ea"/>
              <a:cs typeface="+mn-cs"/>
            </a:rPr>
            <a:t>. These computed values are compared against industry-standard capacitor ratings to confirm suitability for the intended application.</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The spreadsheet then resolves the fundamental and harmonic currents flowing in the reactor, auxiliary capacitor section, and high-pass resistor. This is performed using complex current-divider calculations to ensure accurate representation of harmonic behavior. The watt loss in the damping resistor is subsequently computed and verified against its thermal rating.</a:t>
          </a:r>
          <a:br>
            <a:rPr lang="en-US" sz="1100">
              <a:solidFill>
                <a:schemeClr val="dk1"/>
              </a:solidFill>
              <a:effectLst/>
              <a:latin typeface="+mn-lt"/>
              <a:ea typeface="+mn-ea"/>
              <a:cs typeface="+mn-cs"/>
            </a:rPr>
          </a:br>
          <a:endParaRPr lang="en-US">
            <a:effectLst/>
          </a:endParaRPr>
        </a:p>
        <a:p>
          <a:r>
            <a:rPr lang="en-US" sz="1100">
              <a:solidFill>
                <a:schemeClr val="dk1"/>
              </a:solidFill>
              <a:effectLst/>
              <a:latin typeface="+mn-lt"/>
              <a:ea typeface="+mn-ea"/>
              <a:cs typeface="+mn-cs"/>
            </a:rPr>
            <a:t>Taken together, these calculations define a complete, consistent, and repeatable </a:t>
          </a:r>
          <a:r>
            <a:rPr lang="en-US" sz="1100" b="1">
              <a:solidFill>
                <a:schemeClr val="dk1"/>
              </a:solidFill>
              <a:effectLst/>
              <a:latin typeface="+mn-lt"/>
              <a:ea typeface="+mn-ea"/>
              <a:cs typeface="+mn-cs"/>
            </a:rPr>
            <a:t>VarStec methodology</a:t>
          </a:r>
          <a:r>
            <a:rPr lang="en-US" sz="1100">
              <a:solidFill>
                <a:schemeClr val="dk1"/>
              </a:solidFill>
              <a:effectLst/>
              <a:latin typeface="+mn-lt"/>
              <a:ea typeface="+mn-ea"/>
              <a:cs typeface="+mn-cs"/>
            </a:rPr>
            <a:t> for the engineering of C-HP harmonic filters. The spreadsheet determines all critical design parameters,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including reactances, inductance, kvar requirements, current loading, voltage stress, and damping characteristics,</a:t>
          </a:r>
          <a:r>
            <a:rPr lang="en-US" sz="1100" baseline="0">
              <a:solidFill>
                <a:schemeClr val="dk1"/>
              </a:solidFill>
              <a:effectLst/>
              <a:latin typeface="+mn-lt"/>
              <a:ea typeface="+mn-ea"/>
              <a:cs typeface="+mn-cs"/>
            </a:rPr>
            <a:t> </a:t>
          </a:r>
          <a:r>
            <a:rPr lang="en-US" sz="1100">
              <a:solidFill>
                <a:schemeClr val="dk1"/>
              </a:solidFill>
              <a:effectLst/>
              <a:latin typeface="+mn-lt"/>
              <a:ea typeface="+mn-ea"/>
              <a:cs typeface="+mn-cs"/>
            </a:rPr>
            <a:t>using standardized electrical notation to provide traceability, transparency, and field-proven reliability.</a:t>
          </a:r>
          <a:endParaRPr lang="en-US">
            <a:effectLst/>
          </a:endParaRPr>
        </a:p>
        <a:p>
          <a:endParaRPr lang="en-US" sz="1100"/>
        </a:p>
      </xdr:txBody>
    </xdr:sp>
    <xdr:clientData/>
  </xdr:twoCellAnchor>
  <xdr:twoCellAnchor>
    <xdr:from>
      <xdr:col>2</xdr:col>
      <xdr:colOff>135547</xdr:colOff>
      <xdr:row>78</xdr:row>
      <xdr:rowOff>219807</xdr:rowOff>
    </xdr:from>
    <xdr:to>
      <xdr:col>41</xdr:col>
      <xdr:colOff>7327</xdr:colOff>
      <xdr:row>95</xdr:row>
      <xdr:rowOff>43961</xdr:rowOff>
    </xdr:to>
    <xdr:graphicFrame macro="">
      <xdr:nvGraphicFramePr>
        <xdr:cNvPr id="33" name="Chart 32">
          <a:extLst>
            <a:ext uri="{FF2B5EF4-FFF2-40B4-BE49-F238E27FC236}">
              <a16:creationId xmlns:a16="http://schemas.microsoft.com/office/drawing/2014/main" id="{B719E066-1881-405B-AFC3-AAED428B6B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44</xdr:col>
      <xdr:colOff>24848</xdr:colOff>
      <xdr:row>103</xdr:row>
      <xdr:rowOff>227071</xdr:rowOff>
    </xdr:from>
    <xdr:to>
      <xdr:col>45</xdr:col>
      <xdr:colOff>108732</xdr:colOff>
      <xdr:row>104</xdr:row>
      <xdr:rowOff>221753</xdr:rowOff>
    </xdr:to>
    <xdr:pic>
      <xdr:nvPicPr>
        <xdr:cNvPr id="34" name="Picture 33">
          <a:extLst>
            <a:ext uri="{FF2B5EF4-FFF2-40B4-BE49-F238E27FC236}">
              <a16:creationId xmlns:a16="http://schemas.microsoft.com/office/drawing/2014/main" id="{02EA16A7-F083-4196-ADDE-C0E5DBE1359C}"/>
            </a:ext>
          </a:extLst>
        </xdr:cNvPr>
        <xdr:cNvPicPr>
          <a:picLocks noChangeAspect="1"/>
        </xdr:cNvPicPr>
      </xdr:nvPicPr>
      <xdr:blipFill>
        <a:blip xmlns:r="http://schemas.openxmlformats.org/officeDocument/2006/relationships" r:embed="rId5"/>
        <a:stretch>
          <a:fillRect/>
        </a:stretch>
      </xdr:blipFill>
      <xdr:spPr>
        <a:xfrm>
          <a:off x="7987748" y="23772871"/>
          <a:ext cx="264859" cy="223282"/>
        </a:xfrm>
        <a:prstGeom prst="rect">
          <a:avLst/>
        </a:prstGeom>
      </xdr:spPr>
    </xdr:pic>
    <xdr:clientData/>
  </xdr:twoCellAnchor>
  <xdr:twoCellAnchor editAs="oneCell">
    <xdr:from>
      <xdr:col>44</xdr:col>
      <xdr:colOff>6503</xdr:colOff>
      <xdr:row>122</xdr:row>
      <xdr:rowOff>76199</xdr:rowOff>
    </xdr:from>
    <xdr:to>
      <xdr:col>45</xdr:col>
      <xdr:colOff>143007</xdr:colOff>
      <xdr:row>123</xdr:row>
      <xdr:rowOff>185594</xdr:rowOff>
    </xdr:to>
    <xdr:pic>
      <xdr:nvPicPr>
        <xdr:cNvPr id="35" name="Picture 34">
          <a:extLst>
            <a:ext uri="{FF2B5EF4-FFF2-40B4-BE49-F238E27FC236}">
              <a16:creationId xmlns:a16="http://schemas.microsoft.com/office/drawing/2014/main" id="{D6D0A5DD-BB40-4D49-A4BD-D890BB44FED9}"/>
            </a:ext>
          </a:extLst>
        </xdr:cNvPr>
        <xdr:cNvPicPr>
          <a:picLocks noChangeAspect="1"/>
        </xdr:cNvPicPr>
      </xdr:nvPicPr>
      <xdr:blipFill>
        <a:blip xmlns:r="http://schemas.openxmlformats.org/officeDocument/2006/relationships" r:embed="rId6"/>
        <a:stretch>
          <a:fillRect/>
        </a:stretch>
      </xdr:blipFill>
      <xdr:spPr>
        <a:xfrm>
          <a:off x="7969403" y="27965399"/>
          <a:ext cx="317479" cy="337995"/>
        </a:xfrm>
        <a:prstGeom prst="rect">
          <a:avLst/>
        </a:prstGeom>
      </xdr:spPr>
    </xdr:pic>
    <xdr:clientData/>
  </xdr:twoCellAnchor>
  <xdr:twoCellAnchor editAs="oneCell">
    <xdr:from>
      <xdr:col>53</xdr:col>
      <xdr:colOff>114300</xdr:colOff>
      <xdr:row>58</xdr:row>
      <xdr:rowOff>123825</xdr:rowOff>
    </xdr:from>
    <xdr:to>
      <xdr:col>65</xdr:col>
      <xdr:colOff>95250</xdr:colOff>
      <xdr:row>77</xdr:row>
      <xdr:rowOff>94130</xdr:rowOff>
    </xdr:to>
    <xdr:pic>
      <xdr:nvPicPr>
        <xdr:cNvPr id="36" name="Graphic 35">
          <a:extLst>
            <a:ext uri="{FF2B5EF4-FFF2-40B4-BE49-F238E27FC236}">
              <a16:creationId xmlns:a16="http://schemas.microsoft.com/office/drawing/2014/main" id="{0073C054-8785-4376-8ECB-0DA842BE22AC}"/>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9705975" y="13382625"/>
          <a:ext cx="2152650" cy="4313705"/>
        </a:xfrm>
        <a:prstGeom prst="rect">
          <a:avLst/>
        </a:prstGeom>
      </xdr:spPr>
    </xdr:pic>
    <xdr:clientData/>
  </xdr:twoCellAnchor>
  <xdr:twoCellAnchor editAs="oneCell">
    <xdr:from>
      <xdr:col>2</xdr:col>
      <xdr:colOff>37092</xdr:colOff>
      <xdr:row>171</xdr:row>
      <xdr:rowOff>33618</xdr:rowOff>
    </xdr:from>
    <xdr:to>
      <xdr:col>11</xdr:col>
      <xdr:colOff>69921</xdr:colOff>
      <xdr:row>185</xdr:row>
      <xdr:rowOff>160805</xdr:rowOff>
    </xdr:to>
    <xdr:pic>
      <xdr:nvPicPr>
        <xdr:cNvPr id="37" name="Graphic 36">
          <a:extLst>
            <a:ext uri="{FF2B5EF4-FFF2-40B4-BE49-F238E27FC236}">
              <a16:creationId xmlns:a16="http://schemas.microsoft.com/office/drawing/2014/main" id="{9B183C30-5942-4BED-AC1A-7D63DDB2262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399042" y="39124218"/>
          <a:ext cx="1661604" cy="3327587"/>
        </a:xfrm>
        <a:prstGeom prst="rect">
          <a:avLst/>
        </a:prstGeom>
      </xdr:spPr>
    </xdr:pic>
    <xdr:clientData/>
  </xdr:twoCellAnchor>
  <xdr:twoCellAnchor>
    <xdr:from>
      <xdr:col>44</xdr:col>
      <xdr:colOff>12727</xdr:colOff>
      <xdr:row>202</xdr:row>
      <xdr:rowOff>7363</xdr:rowOff>
    </xdr:from>
    <xdr:to>
      <xdr:col>82</xdr:col>
      <xdr:colOff>124786</xdr:colOff>
      <xdr:row>223</xdr:row>
      <xdr:rowOff>52746</xdr:rowOff>
    </xdr:to>
    <xdr:graphicFrame macro="">
      <xdr:nvGraphicFramePr>
        <xdr:cNvPr id="38" name="f-5">
          <a:extLst>
            <a:ext uri="{FF2B5EF4-FFF2-40B4-BE49-F238E27FC236}">
              <a16:creationId xmlns:a16="http://schemas.microsoft.com/office/drawing/2014/main" id="{AE813E3A-90B3-4AAE-A464-2F20032F39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oneCellAnchor>
    <xdr:from>
      <xdr:col>32</xdr:col>
      <xdr:colOff>19049</xdr:colOff>
      <xdr:row>197</xdr:row>
      <xdr:rowOff>73956</xdr:rowOff>
    </xdr:from>
    <xdr:ext cx="1638301" cy="819151"/>
    <xdr:pic>
      <xdr:nvPicPr>
        <xdr:cNvPr id="41" name="Picture 40">
          <a:extLst>
            <a:ext uri="{FF2B5EF4-FFF2-40B4-BE49-F238E27FC236}">
              <a16:creationId xmlns:a16="http://schemas.microsoft.com/office/drawing/2014/main" id="{4D760074-70AF-49EA-A5F8-D3B7317D4E8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56461" y="44225132"/>
          <a:ext cx="1638301" cy="819151"/>
        </a:xfrm>
        <a:prstGeom prst="rect">
          <a:avLst/>
        </a:prstGeom>
      </xdr:spPr>
    </xdr:pic>
    <xdr:clientData/>
  </xdr:oneCellAnchor>
  <xdr:oneCellAnchor>
    <xdr:from>
      <xdr:col>74</xdr:col>
      <xdr:colOff>19049</xdr:colOff>
      <xdr:row>197</xdr:row>
      <xdr:rowOff>73956</xdr:rowOff>
    </xdr:from>
    <xdr:ext cx="1638301" cy="819151"/>
    <xdr:pic>
      <xdr:nvPicPr>
        <xdr:cNvPr id="42" name="Picture 41">
          <a:extLst>
            <a:ext uri="{FF2B5EF4-FFF2-40B4-BE49-F238E27FC236}">
              <a16:creationId xmlns:a16="http://schemas.microsoft.com/office/drawing/2014/main" id="{9D0127D6-1C09-4715-B40F-3F848D7D349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86814" y="44225132"/>
          <a:ext cx="1638301" cy="819151"/>
        </a:xfrm>
        <a:prstGeom prst="rect">
          <a:avLst/>
        </a:prstGeom>
      </xdr:spPr>
    </xdr:pic>
    <xdr:clientData/>
  </xdr:oneCellAnchor>
  <xdr:oneCellAnchor>
    <xdr:from>
      <xdr:col>32</xdr:col>
      <xdr:colOff>19049</xdr:colOff>
      <xdr:row>246</xdr:row>
      <xdr:rowOff>40338</xdr:rowOff>
    </xdr:from>
    <xdr:ext cx="1638301" cy="819151"/>
    <xdr:pic>
      <xdr:nvPicPr>
        <xdr:cNvPr id="39" name="Picture 38">
          <a:extLst>
            <a:ext uri="{FF2B5EF4-FFF2-40B4-BE49-F238E27FC236}">
              <a16:creationId xmlns:a16="http://schemas.microsoft.com/office/drawing/2014/main" id="{CBD8B70C-6E71-4B5F-9D71-1DA283DA889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756461" y="53626867"/>
          <a:ext cx="1638301" cy="819151"/>
        </a:xfrm>
        <a:prstGeom prst="rect">
          <a:avLst/>
        </a:prstGeom>
      </xdr:spPr>
    </xdr:pic>
    <xdr:clientData/>
  </xdr:oneCellAnchor>
  <xdr:oneCellAnchor>
    <xdr:from>
      <xdr:col>74</xdr:col>
      <xdr:colOff>19049</xdr:colOff>
      <xdr:row>246</xdr:row>
      <xdr:rowOff>40338</xdr:rowOff>
    </xdr:from>
    <xdr:ext cx="1638301" cy="819151"/>
    <xdr:pic>
      <xdr:nvPicPr>
        <xdr:cNvPr id="40" name="Picture 39">
          <a:extLst>
            <a:ext uri="{FF2B5EF4-FFF2-40B4-BE49-F238E27FC236}">
              <a16:creationId xmlns:a16="http://schemas.microsoft.com/office/drawing/2014/main" id="{7B4192FC-5FEF-41AE-8265-CBA0FA6351B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286814" y="53626867"/>
          <a:ext cx="1638301" cy="819151"/>
        </a:xfrm>
        <a:prstGeom prst="rect">
          <a:avLst/>
        </a:prstGeom>
      </xdr:spPr>
    </xdr:pic>
    <xdr:clientData/>
  </xdr:oneCellAnchor>
  <xdr:twoCellAnchor>
    <xdr:from>
      <xdr:col>2</xdr:col>
      <xdr:colOff>13606</xdr:colOff>
      <xdr:row>251</xdr:row>
      <xdr:rowOff>27215</xdr:rowOff>
    </xdr:from>
    <xdr:to>
      <xdr:col>40</xdr:col>
      <xdr:colOff>161925</xdr:colOff>
      <xdr:row>272</xdr:row>
      <xdr:rowOff>72599</xdr:rowOff>
    </xdr:to>
    <xdr:graphicFrame macro="">
      <xdr:nvGraphicFramePr>
        <xdr:cNvPr id="43" name="f-5">
          <a:extLst>
            <a:ext uri="{FF2B5EF4-FFF2-40B4-BE49-F238E27FC236}">
              <a16:creationId xmlns:a16="http://schemas.microsoft.com/office/drawing/2014/main" id="{95AEB62C-B28E-4E47-B4A9-9094395D9C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44</xdr:col>
      <xdr:colOff>9525</xdr:colOff>
      <xdr:row>251</xdr:row>
      <xdr:rowOff>7794</xdr:rowOff>
    </xdr:from>
    <xdr:to>
      <xdr:col>82</xdr:col>
      <xdr:colOff>161925</xdr:colOff>
      <xdr:row>272</xdr:row>
      <xdr:rowOff>66675</xdr:rowOff>
    </xdr:to>
    <xdr:graphicFrame macro="">
      <xdr:nvGraphicFramePr>
        <xdr:cNvPr id="45" name="Chart 44">
          <a:extLst>
            <a:ext uri="{FF2B5EF4-FFF2-40B4-BE49-F238E27FC236}">
              <a16:creationId xmlns:a16="http://schemas.microsoft.com/office/drawing/2014/main" id="{98F41F7F-FFF3-45DD-BFA6-52A6A0F842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152401</xdr:colOff>
      <xdr:row>1</xdr:row>
      <xdr:rowOff>38100</xdr:rowOff>
    </xdr:from>
    <xdr:to>
      <xdr:col>12</xdr:col>
      <xdr:colOff>104776</xdr:colOff>
      <xdr:row>5</xdr:row>
      <xdr:rowOff>81998</xdr:rowOff>
    </xdr:to>
    <xdr:pic>
      <xdr:nvPicPr>
        <xdr:cNvPr id="2" name="Picture 1">
          <a:extLst>
            <a:ext uri="{FF2B5EF4-FFF2-40B4-BE49-F238E27FC236}">
              <a16:creationId xmlns:a16="http://schemas.microsoft.com/office/drawing/2014/main" id="{7B246524-B013-43D9-961F-410FF65E28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266700"/>
          <a:ext cx="1943100" cy="958298"/>
        </a:xfrm>
        <a:prstGeom prst="rect">
          <a:avLst/>
        </a:prstGeom>
      </xdr:spPr>
    </xdr:pic>
    <xdr:clientData/>
  </xdr:twoCellAnchor>
  <xdr:twoCellAnchor editAs="oneCell">
    <xdr:from>
      <xdr:col>32</xdr:col>
      <xdr:colOff>107674</xdr:colOff>
      <xdr:row>21</xdr:row>
      <xdr:rowOff>41413</xdr:rowOff>
    </xdr:from>
    <xdr:to>
      <xdr:col>40</xdr:col>
      <xdr:colOff>171864</xdr:colOff>
      <xdr:row>34</xdr:row>
      <xdr:rowOff>70402</xdr:rowOff>
    </xdr:to>
    <xdr:pic>
      <xdr:nvPicPr>
        <xdr:cNvPr id="3" name="Graphic 2">
          <a:extLst>
            <a:ext uri="{FF2B5EF4-FFF2-40B4-BE49-F238E27FC236}">
              <a16:creationId xmlns:a16="http://schemas.microsoft.com/office/drawing/2014/main" id="{095A3602-C81D-4FD2-B7B8-C80EF1D0A19B}"/>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98874" y="4842013"/>
          <a:ext cx="1511990" cy="300078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152401</xdr:colOff>
      <xdr:row>1</xdr:row>
      <xdr:rowOff>38100</xdr:rowOff>
    </xdr:from>
    <xdr:to>
      <xdr:col>12</xdr:col>
      <xdr:colOff>104776</xdr:colOff>
      <xdr:row>5</xdr:row>
      <xdr:rowOff>81998</xdr:rowOff>
    </xdr:to>
    <xdr:pic>
      <xdr:nvPicPr>
        <xdr:cNvPr id="2" name="Picture 1">
          <a:extLst>
            <a:ext uri="{FF2B5EF4-FFF2-40B4-BE49-F238E27FC236}">
              <a16:creationId xmlns:a16="http://schemas.microsoft.com/office/drawing/2014/main" id="{CD5E6729-9ECF-4ED0-A8C9-98EF4560F9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266700"/>
          <a:ext cx="1943100" cy="958298"/>
        </a:xfrm>
        <a:prstGeom prst="rect">
          <a:avLst/>
        </a:prstGeom>
      </xdr:spPr>
    </xdr:pic>
    <xdr:clientData/>
  </xdr:twoCellAnchor>
  <xdr:twoCellAnchor editAs="oneCell">
    <xdr:from>
      <xdr:col>32</xdr:col>
      <xdr:colOff>140806</xdr:colOff>
      <xdr:row>20</xdr:row>
      <xdr:rowOff>157370</xdr:rowOff>
    </xdr:from>
    <xdr:to>
      <xdr:col>41</xdr:col>
      <xdr:colOff>123754</xdr:colOff>
      <xdr:row>34</xdr:row>
      <xdr:rowOff>156396</xdr:rowOff>
    </xdr:to>
    <xdr:pic>
      <xdr:nvPicPr>
        <xdr:cNvPr id="3" name="Graphic 2">
          <a:extLst>
            <a:ext uri="{FF2B5EF4-FFF2-40B4-BE49-F238E27FC236}">
              <a16:creationId xmlns:a16="http://schemas.microsoft.com/office/drawing/2014/main" id="{855CFE53-AC85-4093-979F-58C80FAC9675}"/>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932006" y="4729370"/>
          <a:ext cx="1611723" cy="319942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152401</xdr:colOff>
      <xdr:row>1</xdr:row>
      <xdr:rowOff>38100</xdr:rowOff>
    </xdr:from>
    <xdr:to>
      <xdr:col>12</xdr:col>
      <xdr:colOff>104776</xdr:colOff>
      <xdr:row>5</xdr:row>
      <xdr:rowOff>81998</xdr:rowOff>
    </xdr:to>
    <xdr:pic>
      <xdr:nvPicPr>
        <xdr:cNvPr id="2" name="Picture 1">
          <a:extLst>
            <a:ext uri="{FF2B5EF4-FFF2-40B4-BE49-F238E27FC236}">
              <a16:creationId xmlns:a16="http://schemas.microsoft.com/office/drawing/2014/main" id="{5914954D-5C75-441E-A2CC-67C684999CC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33376" y="266700"/>
          <a:ext cx="1943100" cy="958298"/>
        </a:xfrm>
        <a:prstGeom prst="rect">
          <a:avLst/>
        </a:prstGeom>
      </xdr:spPr>
    </xdr:pic>
    <xdr:clientData/>
  </xdr:twoCellAnchor>
  <xdr:twoCellAnchor editAs="oneCell">
    <xdr:from>
      <xdr:col>32</xdr:col>
      <xdr:colOff>76443</xdr:colOff>
      <xdr:row>20</xdr:row>
      <xdr:rowOff>66261</xdr:rowOff>
    </xdr:from>
    <xdr:to>
      <xdr:col>41</xdr:col>
      <xdr:colOff>119807</xdr:colOff>
      <xdr:row>34</xdr:row>
      <xdr:rowOff>157370</xdr:rowOff>
    </xdr:to>
    <xdr:pic>
      <xdr:nvPicPr>
        <xdr:cNvPr id="3" name="Graphic 2">
          <a:extLst>
            <a:ext uri="{FF2B5EF4-FFF2-40B4-BE49-F238E27FC236}">
              <a16:creationId xmlns:a16="http://schemas.microsoft.com/office/drawing/2014/main" id="{28297DDF-DC34-465D-B921-5E2F6256286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67643" y="4638261"/>
          <a:ext cx="1672139" cy="329150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0248C-C4C6-46D5-AB1D-0048D9BC17A8}">
  <sheetPr>
    <pageSetUpPr fitToPage="1"/>
  </sheetPr>
  <dimension ref="B1:IP305"/>
  <sheetViews>
    <sheetView workbookViewId="0"/>
  </sheetViews>
  <sheetFormatPr defaultRowHeight="15" x14ac:dyDescent="0.25"/>
  <cols>
    <col min="1" max="85" width="2.7109375" style="1" customWidth="1"/>
    <col min="86" max="128" width="2.7109375" style="1" hidden="1" customWidth="1"/>
    <col min="129" max="131" width="2.7109375" style="2" hidden="1" customWidth="1"/>
    <col min="132" max="133" width="2.7109375" style="1" hidden="1" customWidth="1"/>
    <col min="134" max="148" width="2.7109375" style="56" hidden="1" customWidth="1"/>
    <col min="149" max="167" width="2.7109375" style="1" hidden="1" customWidth="1"/>
    <col min="168" max="168" width="9.140625" style="1" hidden="1" customWidth="1"/>
    <col min="169" max="169" width="0.28515625" style="1" hidden="1" customWidth="1"/>
    <col min="170" max="189" width="9.140625" style="1" hidden="1" customWidth="1"/>
    <col min="190" max="249" width="2.7109375" style="1" hidden="1" customWidth="1"/>
    <col min="250" max="250" width="9.140625" style="1" hidden="1" customWidth="1"/>
    <col min="251" max="596" width="0" style="1" hidden="1" customWidth="1"/>
    <col min="597" max="16384" width="9.140625" style="1"/>
  </cols>
  <sheetData>
    <row r="1" spans="2:148" ht="18" customHeight="1" x14ac:dyDescent="0.25"/>
    <row r="2" spans="2:148"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row>
    <row r="3" spans="2:148" ht="18" customHeight="1" x14ac:dyDescent="0.25">
      <c r="B3" s="6"/>
      <c r="AO3" s="7" t="s">
        <v>280</v>
      </c>
      <c r="AP3" s="8"/>
      <c r="AR3" s="6"/>
      <c r="CF3" s="8"/>
    </row>
    <row r="4" spans="2:148" ht="18" customHeight="1" x14ac:dyDescent="0.25">
      <c r="B4" s="6"/>
      <c r="AO4" s="9" t="s">
        <v>1</v>
      </c>
      <c r="AP4" s="8"/>
      <c r="AR4" s="6"/>
      <c r="CF4" s="8"/>
      <c r="DY4" s="1"/>
      <c r="DZ4" s="1"/>
      <c r="EA4" s="1"/>
      <c r="ED4" s="1"/>
      <c r="EE4" s="1"/>
      <c r="EF4" s="1"/>
      <c r="EG4" s="1"/>
      <c r="EH4" s="1"/>
      <c r="EI4" s="1"/>
      <c r="EJ4" s="1"/>
      <c r="EK4" s="1"/>
      <c r="EL4" s="1"/>
      <c r="EM4" s="1"/>
      <c r="EN4" s="1"/>
      <c r="EO4" s="1"/>
      <c r="EP4" s="1"/>
      <c r="EQ4" s="1"/>
      <c r="ER4" s="1"/>
    </row>
    <row r="5" spans="2:148" ht="18" customHeight="1" thickBot="1" x14ac:dyDescent="0.3">
      <c r="B5" s="6"/>
      <c r="AO5" s="9" t="s">
        <v>4</v>
      </c>
      <c r="AP5" s="8"/>
      <c r="AR5" s="6"/>
      <c r="AS5" s="68" t="s">
        <v>264</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1"/>
      <c r="CD5" s="10"/>
      <c r="CF5" s="8"/>
      <c r="DY5" s="1"/>
      <c r="DZ5" s="1"/>
      <c r="EA5" s="1"/>
      <c r="ED5" s="1"/>
      <c r="EE5" s="1"/>
      <c r="EF5" s="1"/>
      <c r="EG5" s="1"/>
      <c r="EH5" s="1"/>
      <c r="EI5" s="1"/>
      <c r="EJ5" s="1"/>
      <c r="EK5" s="1"/>
      <c r="EL5" s="1"/>
      <c r="EM5" s="1"/>
      <c r="EN5" s="1"/>
      <c r="EO5" s="1"/>
      <c r="EP5" s="1"/>
      <c r="EQ5" s="1"/>
      <c r="ER5" s="1"/>
    </row>
    <row r="6" spans="2:148"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F6" s="8"/>
      <c r="DY6" s="1"/>
      <c r="DZ6" s="1"/>
      <c r="EA6" s="1"/>
      <c r="ED6" s="1"/>
      <c r="EE6" s="1"/>
      <c r="EF6" s="1"/>
      <c r="EG6" s="1"/>
      <c r="EH6" s="1"/>
      <c r="EI6" s="1"/>
      <c r="EJ6" s="1"/>
      <c r="EK6" s="1"/>
      <c r="EL6" s="1"/>
      <c r="EM6" s="1"/>
      <c r="EN6" s="1"/>
      <c r="EO6" s="1"/>
      <c r="EP6" s="1"/>
      <c r="EQ6" s="1"/>
      <c r="ER6" s="1"/>
    </row>
    <row r="7" spans="2:148" ht="18" customHeight="1" x14ac:dyDescent="0.25">
      <c r="B7" s="6"/>
      <c r="C7" s="64"/>
      <c r="D7" s="64"/>
      <c r="E7" s="64"/>
      <c r="F7" s="64"/>
      <c r="G7" s="64"/>
      <c r="H7" s="64"/>
      <c r="I7" s="64"/>
      <c r="J7" s="64"/>
      <c r="K7" s="64"/>
      <c r="L7" s="64"/>
      <c r="M7" s="64"/>
      <c r="N7" s="64"/>
      <c r="O7" s="64"/>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8"/>
      <c r="AR7" s="6"/>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8"/>
      <c r="DY7" s="1"/>
      <c r="DZ7" s="1"/>
      <c r="EA7" s="1"/>
      <c r="ED7" s="1"/>
      <c r="EE7" s="1"/>
      <c r="EF7" s="1"/>
      <c r="EG7" s="1"/>
      <c r="EH7" s="1"/>
      <c r="EI7" s="1"/>
      <c r="EJ7" s="1"/>
      <c r="EK7" s="1"/>
      <c r="EL7" s="1"/>
      <c r="EM7" s="1"/>
      <c r="EN7" s="1"/>
      <c r="EO7" s="1"/>
      <c r="EP7" s="1"/>
      <c r="EQ7" s="1"/>
      <c r="ER7" s="1"/>
    </row>
    <row r="8" spans="2:148" ht="18" customHeight="1" x14ac:dyDescent="0.25">
      <c r="B8" s="6"/>
      <c r="C8" s="290" t="s">
        <v>260</v>
      </c>
      <c r="D8" s="290"/>
      <c r="E8" s="290"/>
      <c r="F8" s="290"/>
      <c r="G8" s="290"/>
      <c r="H8" s="290"/>
      <c r="I8" s="290"/>
      <c r="J8" s="290"/>
      <c r="K8" s="290"/>
      <c r="L8" s="290"/>
      <c r="M8" s="290"/>
      <c r="N8" s="290"/>
      <c r="O8" s="290"/>
      <c r="P8" s="290"/>
      <c r="Q8" s="290"/>
      <c r="R8" s="290"/>
      <c r="S8" s="290"/>
      <c r="T8" s="290"/>
      <c r="U8" s="290"/>
      <c r="V8" s="290"/>
      <c r="W8" s="290"/>
      <c r="X8" s="290"/>
      <c r="Y8" s="290"/>
      <c r="Z8" s="290"/>
      <c r="AA8" s="290"/>
      <c r="AB8" s="290"/>
      <c r="AC8" s="290"/>
      <c r="AD8" s="290"/>
      <c r="AE8" s="290"/>
      <c r="AF8" s="290"/>
      <c r="AG8" s="290"/>
      <c r="AH8" s="290"/>
      <c r="AI8" s="290"/>
      <c r="AJ8" s="290"/>
      <c r="AK8" s="290"/>
      <c r="AL8" s="290"/>
      <c r="AM8" s="290"/>
      <c r="AN8" s="290"/>
      <c r="AO8" s="290"/>
      <c r="AP8" s="8"/>
      <c r="AR8" s="6"/>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8"/>
      <c r="DY8" s="1"/>
      <c r="DZ8" s="1"/>
      <c r="EA8" s="1"/>
      <c r="ED8" s="1"/>
      <c r="EE8" s="1"/>
      <c r="EF8" s="1"/>
      <c r="EG8" s="1"/>
      <c r="EH8" s="1"/>
      <c r="EI8" s="1"/>
      <c r="EJ8" s="1"/>
      <c r="EK8" s="1"/>
      <c r="EL8" s="1"/>
      <c r="EM8" s="1"/>
      <c r="EN8" s="1"/>
      <c r="EO8" s="1"/>
      <c r="EP8" s="1"/>
      <c r="EQ8" s="1"/>
      <c r="ER8" s="1"/>
    </row>
    <row r="9" spans="2:148" ht="18" customHeight="1" x14ac:dyDescent="0.25">
      <c r="B9" s="6"/>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c r="AG9" s="290"/>
      <c r="AH9" s="290"/>
      <c r="AI9" s="290"/>
      <c r="AJ9" s="290"/>
      <c r="AK9" s="290"/>
      <c r="AL9" s="290"/>
      <c r="AM9" s="290"/>
      <c r="AN9" s="290"/>
      <c r="AO9" s="290"/>
      <c r="AP9" s="8"/>
      <c r="AR9" s="6"/>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8"/>
      <c r="DY9" s="1"/>
      <c r="DZ9" s="1"/>
      <c r="EA9" s="1"/>
      <c r="ED9" s="1"/>
      <c r="EE9" s="1"/>
      <c r="EF9" s="1"/>
      <c r="EG9" s="1"/>
      <c r="EH9" s="1"/>
      <c r="EI9" s="1"/>
      <c r="EJ9" s="1"/>
      <c r="EK9" s="1"/>
      <c r="EL9" s="1"/>
      <c r="EM9" s="1"/>
      <c r="EN9" s="1"/>
      <c r="EO9" s="1"/>
      <c r="EP9" s="1"/>
      <c r="EQ9" s="1"/>
      <c r="ER9" s="1"/>
    </row>
    <row r="10" spans="2:148" ht="18" customHeight="1" x14ac:dyDescent="0.25">
      <c r="B10" s="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8"/>
      <c r="AR10" s="6"/>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8"/>
      <c r="DY10" s="1"/>
      <c r="DZ10" s="1"/>
      <c r="EA10" s="1"/>
      <c r="ED10" s="1"/>
      <c r="EE10" s="1"/>
      <c r="EF10" s="1"/>
      <c r="EG10" s="1"/>
      <c r="EH10" s="1"/>
      <c r="EI10" s="1"/>
      <c r="EJ10" s="1"/>
      <c r="EK10" s="1"/>
      <c r="EL10" s="1"/>
      <c r="EM10" s="1"/>
      <c r="EN10" s="1"/>
      <c r="EO10" s="1"/>
      <c r="EP10" s="1"/>
      <c r="EQ10" s="1"/>
      <c r="ER10" s="1"/>
    </row>
    <row r="11" spans="2:148" ht="18" customHeight="1" x14ac:dyDescent="0.25">
      <c r="B11" s="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8"/>
      <c r="AR11" s="6"/>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8"/>
      <c r="DY11" s="1"/>
      <c r="DZ11" s="1"/>
      <c r="EA11" s="1"/>
      <c r="ED11" s="1"/>
      <c r="EE11" s="1"/>
      <c r="EF11" s="1"/>
      <c r="EG11" s="1"/>
      <c r="EH11" s="1"/>
      <c r="EI11" s="1"/>
      <c r="EJ11" s="1"/>
      <c r="EK11" s="1"/>
      <c r="EL11" s="1"/>
      <c r="EM11" s="1"/>
      <c r="EN11" s="1"/>
      <c r="EO11" s="1"/>
      <c r="EP11" s="1"/>
      <c r="EQ11" s="1"/>
      <c r="ER11" s="1"/>
    </row>
    <row r="12" spans="2:148" ht="18" customHeight="1" x14ac:dyDescent="0.25">
      <c r="B12" s="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8"/>
      <c r="AR12" s="6"/>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8"/>
      <c r="DY12" s="1"/>
      <c r="DZ12" s="1"/>
      <c r="EA12" s="1"/>
      <c r="ED12" s="1"/>
      <c r="EE12" s="1"/>
      <c r="EF12" s="1"/>
      <c r="EG12" s="1"/>
      <c r="EH12" s="1"/>
      <c r="EI12" s="1"/>
      <c r="EJ12" s="1"/>
      <c r="EK12" s="1"/>
      <c r="EL12" s="1"/>
      <c r="EM12" s="1"/>
      <c r="EN12" s="1"/>
      <c r="EO12" s="1"/>
      <c r="EP12" s="1"/>
      <c r="EQ12" s="1"/>
      <c r="ER12" s="1"/>
    </row>
    <row r="13" spans="2:148" ht="18" customHeight="1" x14ac:dyDescent="0.25">
      <c r="B13" s="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8"/>
      <c r="AR13" s="6"/>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8"/>
      <c r="DY13" s="1"/>
      <c r="DZ13" s="1"/>
      <c r="EA13" s="1"/>
      <c r="ED13" s="1"/>
      <c r="EE13" s="1"/>
      <c r="EF13" s="1"/>
      <c r="EG13" s="1"/>
      <c r="EH13" s="1"/>
      <c r="EI13" s="1"/>
      <c r="EJ13" s="1"/>
      <c r="EK13" s="1"/>
      <c r="EL13" s="1"/>
      <c r="EM13" s="1"/>
      <c r="EN13" s="1"/>
      <c r="EO13" s="1"/>
      <c r="EP13" s="1"/>
      <c r="EQ13" s="1"/>
      <c r="ER13" s="1"/>
    </row>
    <row r="14" spans="2:148" ht="18" customHeight="1" x14ac:dyDescent="0.25">
      <c r="B14" s="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8"/>
      <c r="AR14" s="6"/>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8"/>
      <c r="DY14" s="1"/>
      <c r="DZ14" s="1"/>
      <c r="EA14" s="1"/>
      <c r="ED14" s="1"/>
      <c r="EE14" s="1"/>
      <c r="EF14" s="1"/>
      <c r="EG14" s="1"/>
      <c r="EH14" s="1"/>
      <c r="EI14" s="1"/>
      <c r="EJ14" s="1"/>
      <c r="EK14" s="1"/>
      <c r="EL14" s="1"/>
      <c r="EM14" s="1"/>
      <c r="EN14" s="1"/>
      <c r="EO14" s="1"/>
      <c r="EP14" s="1"/>
      <c r="EQ14" s="1"/>
      <c r="ER14" s="1"/>
    </row>
    <row r="15" spans="2:148" ht="18" customHeight="1" x14ac:dyDescent="0.25">
      <c r="B15" s="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8"/>
      <c r="AR15" s="6"/>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8"/>
      <c r="CX15" s="38"/>
      <c r="DY15" s="1"/>
      <c r="DZ15" s="1"/>
      <c r="EA15" s="1"/>
      <c r="ED15" s="1"/>
      <c r="EE15" s="1"/>
      <c r="EF15" s="1"/>
      <c r="EG15" s="1"/>
      <c r="EH15" s="1"/>
      <c r="EI15" s="1"/>
      <c r="EJ15" s="1"/>
      <c r="EK15" s="1"/>
      <c r="EL15" s="1"/>
      <c r="EM15" s="1"/>
      <c r="EN15" s="1"/>
      <c r="EO15" s="1"/>
      <c r="EP15" s="1"/>
      <c r="EQ15" s="1"/>
      <c r="ER15" s="1"/>
    </row>
    <row r="16" spans="2:148" ht="18" customHeight="1" x14ac:dyDescent="0.25">
      <c r="B16" s="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8"/>
      <c r="AR16" s="6"/>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8"/>
      <c r="DY16" s="1"/>
      <c r="DZ16" s="1"/>
      <c r="EA16" s="1"/>
      <c r="ED16" s="1"/>
      <c r="EE16" s="1"/>
      <c r="EF16" s="1"/>
      <c r="EG16" s="1"/>
      <c r="EH16" s="1"/>
      <c r="EI16" s="1"/>
      <c r="EJ16" s="1"/>
      <c r="EK16" s="1"/>
      <c r="EL16" s="1"/>
      <c r="EM16" s="1"/>
      <c r="EN16" s="1"/>
      <c r="EO16" s="1"/>
      <c r="EP16" s="1"/>
      <c r="EQ16" s="1"/>
      <c r="ER16" s="1"/>
    </row>
    <row r="17" spans="2:148" ht="18" customHeight="1" x14ac:dyDescent="0.25">
      <c r="B17" s="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8"/>
      <c r="AR17" s="6"/>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8"/>
      <c r="DY17" s="1"/>
      <c r="DZ17" s="1"/>
      <c r="EA17" s="1"/>
      <c r="ED17" s="1"/>
      <c r="EE17" s="1"/>
      <c r="EF17" s="1"/>
      <c r="EG17" s="1"/>
      <c r="EH17" s="1"/>
      <c r="EI17" s="1"/>
      <c r="EJ17" s="1"/>
      <c r="EK17" s="1"/>
      <c r="EL17" s="1"/>
      <c r="EM17" s="1"/>
      <c r="EN17" s="1"/>
      <c r="EO17" s="1"/>
      <c r="EP17" s="1"/>
      <c r="EQ17" s="1"/>
      <c r="ER17" s="1"/>
    </row>
    <row r="18" spans="2:148" ht="18" customHeight="1" x14ac:dyDescent="0.25">
      <c r="B18" s="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8"/>
      <c r="AR18" s="6"/>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8"/>
      <c r="DY18" s="1"/>
      <c r="DZ18" s="1"/>
      <c r="EA18" s="1"/>
      <c r="ED18" s="1"/>
      <c r="EE18" s="1"/>
      <c r="EF18" s="1"/>
      <c r="EG18" s="1"/>
      <c r="EH18" s="1"/>
      <c r="EI18" s="1"/>
      <c r="EJ18" s="1"/>
      <c r="EK18" s="1"/>
      <c r="EL18" s="1"/>
      <c r="EM18" s="1"/>
      <c r="EN18" s="1"/>
      <c r="EO18" s="1"/>
      <c r="EP18" s="1"/>
      <c r="EQ18" s="1"/>
      <c r="ER18" s="1"/>
    </row>
    <row r="19" spans="2:148" ht="18" customHeight="1" x14ac:dyDescent="0.25">
      <c r="B19" s="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8"/>
      <c r="AR19" s="6"/>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8"/>
      <c r="DY19" s="1"/>
      <c r="DZ19" s="1"/>
      <c r="EA19" s="1"/>
      <c r="ED19" s="1"/>
      <c r="EE19" s="1"/>
      <c r="EF19" s="1"/>
      <c r="EG19" s="1"/>
      <c r="EH19" s="1"/>
      <c r="EI19" s="1"/>
      <c r="EJ19" s="1"/>
      <c r="EK19" s="1"/>
      <c r="EL19" s="1"/>
      <c r="EM19" s="1"/>
      <c r="EN19" s="1"/>
      <c r="EO19" s="1"/>
      <c r="EP19" s="1"/>
      <c r="EQ19" s="1"/>
      <c r="ER19" s="1"/>
    </row>
    <row r="20" spans="2:148" ht="18" customHeight="1" x14ac:dyDescent="0.25">
      <c r="B20" s="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8"/>
      <c r="AR20" s="6"/>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8"/>
      <c r="DY20" s="1"/>
      <c r="DZ20" s="1"/>
      <c r="EA20" s="1"/>
      <c r="ED20" s="1"/>
      <c r="EE20" s="1"/>
      <c r="EF20" s="1"/>
      <c r="EG20" s="1"/>
      <c r="EH20" s="1"/>
      <c r="EI20" s="1"/>
      <c r="EJ20" s="1"/>
      <c r="EK20" s="1"/>
      <c r="EL20" s="1"/>
      <c r="EM20" s="1"/>
      <c r="EN20" s="1"/>
      <c r="EO20" s="1"/>
      <c r="EP20" s="1"/>
      <c r="EQ20" s="1"/>
      <c r="ER20" s="1"/>
    </row>
    <row r="21" spans="2:148" ht="18" customHeight="1" x14ac:dyDescent="0.25">
      <c r="B21" s="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8"/>
      <c r="AR21" s="6"/>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8"/>
      <c r="DY21" s="1"/>
      <c r="DZ21" s="1"/>
      <c r="EA21" s="1"/>
      <c r="ED21" s="1"/>
      <c r="EE21" s="1"/>
      <c r="EF21" s="1"/>
      <c r="EG21" s="1"/>
      <c r="EH21" s="1"/>
      <c r="EI21" s="1"/>
      <c r="EJ21" s="1"/>
      <c r="EK21" s="1"/>
      <c r="EL21" s="1"/>
      <c r="EM21" s="1"/>
      <c r="EN21" s="1"/>
      <c r="EO21" s="1"/>
      <c r="EP21" s="1"/>
      <c r="EQ21" s="1"/>
      <c r="ER21" s="1"/>
    </row>
    <row r="22" spans="2:148" ht="18" customHeight="1" x14ac:dyDescent="0.25">
      <c r="B22" s="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8"/>
      <c r="AR22" s="6"/>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8"/>
      <c r="DY22" s="1"/>
      <c r="DZ22" s="1"/>
      <c r="EA22" s="1"/>
      <c r="ED22" s="1"/>
      <c r="EE22" s="1"/>
      <c r="EF22" s="1"/>
      <c r="EG22" s="1"/>
      <c r="EH22" s="1"/>
      <c r="EI22" s="1"/>
      <c r="EJ22" s="1"/>
      <c r="EK22" s="1"/>
      <c r="EL22" s="1"/>
      <c r="EM22" s="1"/>
      <c r="EN22" s="1"/>
      <c r="EO22" s="1"/>
      <c r="EP22" s="1"/>
      <c r="EQ22" s="1"/>
      <c r="ER22" s="1"/>
    </row>
    <row r="23" spans="2:148" ht="18" customHeight="1" x14ac:dyDescent="0.25">
      <c r="B23" s="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8"/>
      <c r="AR23" s="6"/>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8"/>
      <c r="DY23" s="1"/>
      <c r="DZ23" s="1"/>
      <c r="EA23" s="1"/>
      <c r="ED23" s="1"/>
      <c r="EE23" s="1"/>
      <c r="EF23" s="1"/>
      <c r="EG23" s="1"/>
      <c r="EH23" s="1"/>
      <c r="EI23" s="1"/>
      <c r="EJ23" s="1"/>
      <c r="EK23" s="1"/>
      <c r="EL23" s="1"/>
      <c r="EM23" s="1"/>
      <c r="EN23" s="1"/>
      <c r="EO23" s="1"/>
      <c r="EP23" s="1"/>
      <c r="EQ23" s="1"/>
      <c r="ER23" s="1"/>
    </row>
    <row r="24" spans="2:148" ht="18" customHeight="1" x14ac:dyDescent="0.25">
      <c r="B24" s="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8"/>
      <c r="AR24" s="6"/>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8"/>
      <c r="DY24" s="1"/>
      <c r="DZ24" s="1"/>
      <c r="EA24" s="1"/>
      <c r="ED24" s="1"/>
      <c r="EE24" s="1"/>
      <c r="EF24" s="1"/>
      <c r="EG24" s="1"/>
      <c r="EH24" s="1"/>
      <c r="EI24" s="1"/>
      <c r="EJ24" s="1"/>
      <c r="EK24" s="1"/>
      <c r="EL24" s="1"/>
      <c r="EM24" s="1"/>
      <c r="EN24" s="1"/>
      <c r="EO24" s="1"/>
      <c r="EP24" s="1"/>
      <c r="EQ24" s="1"/>
      <c r="ER24" s="1"/>
    </row>
    <row r="25" spans="2:148" ht="18" customHeight="1" x14ac:dyDescent="0.3">
      <c r="B25" s="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66"/>
      <c r="AR25" s="6"/>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8"/>
      <c r="DY25" s="1"/>
      <c r="DZ25" s="1"/>
      <c r="EA25" s="1"/>
      <c r="ED25" s="1"/>
      <c r="EE25" s="1"/>
      <c r="EF25" s="1"/>
      <c r="EG25" s="1"/>
      <c r="EH25" s="1"/>
      <c r="EI25" s="1"/>
      <c r="EJ25" s="1"/>
      <c r="EK25" s="1"/>
      <c r="EL25" s="1"/>
      <c r="EM25" s="1"/>
      <c r="EN25" s="1"/>
      <c r="EO25" s="1"/>
      <c r="EP25" s="1"/>
      <c r="EQ25" s="1"/>
      <c r="ER25" s="1"/>
    </row>
    <row r="26" spans="2:148" ht="18" customHeight="1" x14ac:dyDescent="0.25">
      <c r="B26" s="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8"/>
      <c r="AR26" s="6"/>
      <c r="AS26" s="65"/>
      <c r="AT26" s="65"/>
      <c r="AU26" s="65"/>
      <c r="AV26" s="65"/>
      <c r="AW26" s="65"/>
      <c r="AX26" s="65"/>
      <c r="AY26" s="65"/>
      <c r="AZ26" s="65"/>
      <c r="BA26" s="65"/>
      <c r="BB26" s="65"/>
      <c r="BC26" s="65"/>
      <c r="BD26" s="65"/>
      <c r="BE26" s="65"/>
      <c r="BF26" s="65"/>
      <c r="BG26" s="65"/>
      <c r="BH26" s="65"/>
      <c r="BI26" s="65"/>
      <c r="BJ26" s="65"/>
      <c r="BK26" s="65"/>
      <c r="BL26" s="65"/>
      <c r="BM26" s="65"/>
      <c r="BN26" s="65"/>
      <c r="BO26" s="65"/>
      <c r="BP26" s="65"/>
      <c r="BQ26" s="65"/>
      <c r="BR26" s="65"/>
      <c r="BS26" s="65"/>
      <c r="BT26" s="65"/>
      <c r="BU26" s="65"/>
      <c r="BV26" s="65"/>
      <c r="BW26" s="65"/>
      <c r="BX26" s="65"/>
      <c r="BY26" s="65"/>
      <c r="BZ26" s="65"/>
      <c r="CA26" s="65"/>
      <c r="CB26" s="65"/>
      <c r="CC26" s="65"/>
      <c r="CD26" s="65"/>
      <c r="CE26" s="65"/>
      <c r="CF26" s="27"/>
      <c r="DY26" s="1"/>
      <c r="DZ26" s="1"/>
      <c r="EA26" s="1"/>
      <c r="ED26" s="1"/>
      <c r="EE26" s="1"/>
      <c r="EF26" s="1"/>
      <c r="EG26" s="1"/>
      <c r="EH26" s="1"/>
      <c r="EI26" s="1"/>
      <c r="EJ26" s="1"/>
      <c r="EK26" s="1"/>
      <c r="EL26" s="1"/>
      <c r="EM26" s="1"/>
      <c r="EN26" s="1"/>
      <c r="EO26" s="1"/>
      <c r="EP26" s="1"/>
      <c r="EQ26" s="1"/>
      <c r="ER26" s="1"/>
    </row>
    <row r="27" spans="2:148" ht="18" customHeight="1" x14ac:dyDescent="0.25">
      <c r="B27" s="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8"/>
      <c r="AR27" s="6"/>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65"/>
      <c r="BQ27" s="65"/>
      <c r="BR27" s="65"/>
      <c r="BS27" s="65"/>
      <c r="BT27" s="65"/>
      <c r="BU27" s="65"/>
      <c r="BV27" s="65"/>
      <c r="BW27" s="65"/>
      <c r="BX27" s="65"/>
      <c r="BY27" s="65"/>
      <c r="BZ27" s="65"/>
      <c r="CA27" s="65"/>
      <c r="CB27" s="65"/>
      <c r="CC27" s="65"/>
      <c r="CD27" s="65"/>
      <c r="CE27" s="65"/>
      <c r="CF27" s="8"/>
      <c r="CQ27" s="1" t="s">
        <v>3</v>
      </c>
      <c r="DY27" s="1"/>
      <c r="DZ27" s="1"/>
      <c r="EA27" s="1"/>
      <c r="ED27" s="1"/>
      <c r="EE27" s="1"/>
      <c r="EF27" s="1"/>
      <c r="EG27" s="1"/>
      <c r="EH27" s="1"/>
      <c r="EI27" s="1"/>
      <c r="EJ27" s="1"/>
      <c r="EK27" s="1"/>
      <c r="EL27" s="1"/>
      <c r="EM27" s="1"/>
      <c r="EN27" s="1"/>
      <c r="EO27" s="1"/>
      <c r="EP27" s="1"/>
      <c r="EQ27" s="1"/>
      <c r="ER27" s="1"/>
    </row>
    <row r="28" spans="2:148" ht="18" customHeight="1" x14ac:dyDescent="0.25">
      <c r="B28" s="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8"/>
      <c r="AR28" s="6"/>
      <c r="AS28" s="65"/>
      <c r="AT28" s="65"/>
      <c r="AU28" s="65"/>
      <c r="AV28" s="65"/>
      <c r="AW28" s="65"/>
      <c r="AX28" s="65"/>
      <c r="AY28" s="65"/>
      <c r="AZ28" s="65"/>
      <c r="BA28" s="65"/>
      <c r="BB28" s="65"/>
      <c r="BC28" s="65"/>
      <c r="BD28" s="65"/>
      <c r="BE28" s="65"/>
      <c r="BF28" s="65"/>
      <c r="BG28" s="65"/>
      <c r="BH28" s="65"/>
      <c r="BI28" s="65"/>
      <c r="BJ28" s="65"/>
      <c r="BK28" s="65"/>
      <c r="BL28" s="65"/>
      <c r="BM28" s="65"/>
      <c r="BN28" s="65"/>
      <c r="BO28" s="65"/>
      <c r="BP28" s="65"/>
      <c r="BQ28" s="65"/>
      <c r="BR28" s="65"/>
      <c r="BS28" s="65"/>
      <c r="BT28" s="65"/>
      <c r="BU28" s="65"/>
      <c r="BV28" s="65"/>
      <c r="BW28" s="65"/>
      <c r="BX28" s="65"/>
      <c r="BY28" s="65"/>
      <c r="BZ28" s="65"/>
      <c r="CA28" s="65"/>
      <c r="CB28" s="65"/>
      <c r="CC28" s="65"/>
      <c r="CD28" s="65"/>
      <c r="CE28" s="65"/>
      <c r="CF28" s="8"/>
      <c r="CQ28" s="1" t="s">
        <v>3</v>
      </c>
      <c r="DY28" s="1"/>
      <c r="DZ28" s="1"/>
      <c r="EA28" s="1"/>
      <c r="ED28" s="1"/>
      <c r="EE28" s="1"/>
      <c r="EF28" s="1"/>
      <c r="EG28" s="1"/>
      <c r="EH28" s="1"/>
      <c r="EI28" s="1"/>
      <c r="EJ28" s="1"/>
      <c r="EK28" s="1"/>
      <c r="EL28" s="1"/>
      <c r="EM28" s="1"/>
      <c r="EN28" s="1"/>
      <c r="EO28" s="1"/>
      <c r="EP28" s="1"/>
      <c r="EQ28" s="1"/>
      <c r="ER28" s="1"/>
    </row>
    <row r="29" spans="2:148" ht="18" customHeight="1" x14ac:dyDescent="0.25">
      <c r="B29" s="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8"/>
      <c r="AR29" s="6"/>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S29" s="65"/>
      <c r="BT29" s="65"/>
      <c r="BU29" s="65"/>
      <c r="BV29" s="65"/>
      <c r="BW29" s="65"/>
      <c r="BX29" s="65"/>
      <c r="BY29" s="65"/>
      <c r="BZ29" s="65"/>
      <c r="CA29" s="65"/>
      <c r="CB29" s="65"/>
      <c r="CC29" s="65"/>
      <c r="CD29" s="65"/>
      <c r="CE29" s="65"/>
      <c r="CF29" s="8"/>
      <c r="CQ29" s="1" t="s">
        <v>3</v>
      </c>
      <c r="DY29" s="1"/>
      <c r="DZ29" s="1"/>
      <c r="EA29" s="1"/>
      <c r="ED29" s="1"/>
      <c r="EE29" s="1"/>
      <c r="EF29" s="1"/>
      <c r="EG29" s="1"/>
      <c r="EH29" s="1"/>
      <c r="EI29" s="1"/>
      <c r="EJ29" s="1"/>
      <c r="EK29" s="1"/>
      <c r="EL29" s="1"/>
      <c r="EM29" s="1"/>
      <c r="EN29" s="1"/>
      <c r="EO29" s="1"/>
      <c r="EP29" s="1"/>
      <c r="EQ29" s="1"/>
      <c r="ER29" s="1"/>
    </row>
    <row r="30" spans="2:148" ht="18" customHeight="1" x14ac:dyDescent="0.25">
      <c r="B30" s="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8"/>
      <c r="AR30" s="6"/>
      <c r="AS30" s="65"/>
      <c r="AT30" s="65"/>
      <c r="AU30" s="65"/>
      <c r="AV30" s="65"/>
      <c r="AW30" s="65"/>
      <c r="AX30" s="65"/>
      <c r="AY30" s="65"/>
      <c r="AZ30" s="65"/>
      <c r="BA30" s="65"/>
      <c r="BB30" s="65"/>
      <c r="BC30" s="65"/>
      <c r="BD30" s="65"/>
      <c r="BE30" s="65"/>
      <c r="BF30" s="65"/>
      <c r="BG30" s="65"/>
      <c r="BH30" s="65"/>
      <c r="BI30" s="65"/>
      <c r="BJ30" s="65"/>
      <c r="BK30" s="65"/>
      <c r="BL30" s="65"/>
      <c r="BM30" s="65"/>
      <c r="BN30" s="65"/>
      <c r="BO30" s="65"/>
      <c r="BP30" s="65"/>
      <c r="BQ30" s="65"/>
      <c r="BR30" s="65"/>
      <c r="BS30" s="65"/>
      <c r="BT30" s="65"/>
      <c r="BU30" s="65"/>
      <c r="BV30" s="65"/>
      <c r="BW30" s="65"/>
      <c r="BX30" s="65"/>
      <c r="BY30" s="65"/>
      <c r="BZ30" s="65"/>
      <c r="CA30" s="65"/>
      <c r="CB30" s="65"/>
      <c r="CC30" s="65"/>
      <c r="CD30" s="65"/>
      <c r="CE30" s="65"/>
      <c r="CF30" s="8"/>
      <c r="DY30" s="1"/>
      <c r="DZ30" s="1"/>
      <c r="EA30" s="1"/>
      <c r="ED30" s="1"/>
      <c r="EE30" s="1"/>
      <c r="EF30" s="1"/>
      <c r="EG30" s="1"/>
      <c r="EH30" s="1"/>
      <c r="EI30" s="1"/>
      <c r="EJ30" s="1"/>
      <c r="EK30" s="1"/>
      <c r="EL30" s="1"/>
      <c r="EM30" s="1"/>
      <c r="EN30" s="1"/>
      <c r="EO30" s="1"/>
      <c r="EP30" s="1"/>
      <c r="EQ30" s="1"/>
      <c r="ER30" s="1"/>
    </row>
    <row r="31" spans="2:148" ht="18" customHeight="1" x14ac:dyDescent="0.25">
      <c r="B31" s="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8"/>
      <c r="AR31" s="6"/>
      <c r="AS31" s="65"/>
      <c r="AT31" s="65"/>
      <c r="AU31" s="65"/>
      <c r="AV31" s="65"/>
      <c r="AW31" s="65"/>
      <c r="AX31" s="65"/>
      <c r="AY31" s="65"/>
      <c r="AZ31" s="65"/>
      <c r="BA31" s="65"/>
      <c r="BB31" s="65"/>
      <c r="BC31" s="65"/>
      <c r="BD31" s="65"/>
      <c r="BE31" s="65"/>
      <c r="BF31" s="65"/>
      <c r="BG31" s="65"/>
      <c r="BH31" s="65"/>
      <c r="BI31" s="65"/>
      <c r="BJ31" s="65"/>
      <c r="BK31" s="65"/>
      <c r="BL31" s="65"/>
      <c r="BM31" s="65"/>
      <c r="BN31" s="65"/>
      <c r="BO31" s="65"/>
      <c r="BP31" s="65"/>
      <c r="BQ31" s="65"/>
      <c r="BR31" s="65"/>
      <c r="BS31" s="65"/>
      <c r="BT31" s="65"/>
      <c r="BU31" s="65"/>
      <c r="BV31" s="65"/>
      <c r="BW31" s="65"/>
      <c r="BX31" s="65"/>
      <c r="BY31" s="65"/>
      <c r="BZ31" s="65"/>
      <c r="CA31" s="65"/>
      <c r="CB31" s="65"/>
      <c r="CC31" s="65"/>
      <c r="CD31" s="65"/>
      <c r="CE31" s="65"/>
      <c r="CF31" s="8"/>
      <c r="DY31" s="1"/>
      <c r="DZ31" s="1"/>
      <c r="EA31" s="1"/>
      <c r="ED31" s="1"/>
      <c r="EE31" s="1"/>
      <c r="EF31" s="1"/>
      <c r="EG31" s="1"/>
      <c r="EH31" s="1"/>
      <c r="EI31" s="1"/>
      <c r="EJ31" s="1"/>
      <c r="EK31" s="1"/>
      <c r="EL31" s="1"/>
      <c r="EM31" s="1"/>
      <c r="EN31" s="1"/>
      <c r="EO31" s="1"/>
      <c r="EP31" s="1"/>
      <c r="EQ31" s="1"/>
      <c r="ER31" s="1"/>
    </row>
    <row r="32" spans="2:148" ht="18" customHeight="1" x14ac:dyDescent="0.25">
      <c r="B32" s="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8"/>
      <c r="AR32" s="6"/>
      <c r="AS32" s="65"/>
      <c r="AT32" s="65"/>
      <c r="AU32" s="65"/>
      <c r="AV32" s="65"/>
      <c r="AW32" s="65"/>
      <c r="AX32" s="65"/>
      <c r="AY32" s="65"/>
      <c r="AZ32" s="65"/>
      <c r="BA32" s="65"/>
      <c r="BB32" s="65"/>
      <c r="BC32" s="65"/>
      <c r="BD32" s="65"/>
      <c r="BE32" s="65"/>
      <c r="BF32" s="65"/>
      <c r="BG32" s="65"/>
      <c r="BH32" s="65"/>
      <c r="BI32" s="65"/>
      <c r="BJ32" s="65"/>
      <c r="BK32" s="65"/>
      <c r="BL32" s="65"/>
      <c r="BM32" s="65"/>
      <c r="BN32" s="65"/>
      <c r="BO32" s="65"/>
      <c r="BP32" s="65"/>
      <c r="BQ32" s="65"/>
      <c r="BR32" s="65"/>
      <c r="BS32" s="65"/>
      <c r="BT32" s="65"/>
      <c r="BU32" s="65"/>
      <c r="BV32" s="65"/>
      <c r="BW32" s="65"/>
      <c r="BX32" s="65"/>
      <c r="BY32" s="65"/>
      <c r="BZ32" s="65"/>
      <c r="CA32" s="65"/>
      <c r="CB32" s="65"/>
      <c r="CC32" s="65"/>
      <c r="CD32" s="65"/>
      <c r="CE32" s="65"/>
      <c r="CF32" s="8"/>
      <c r="DY32" s="1"/>
      <c r="DZ32" s="1"/>
      <c r="EA32" s="1"/>
      <c r="ED32" s="1"/>
      <c r="EE32" s="1"/>
      <c r="EF32" s="1"/>
      <c r="EG32" s="1"/>
      <c r="EH32" s="1"/>
      <c r="EI32" s="1"/>
      <c r="EJ32" s="1"/>
      <c r="EK32" s="1"/>
      <c r="EL32" s="1"/>
      <c r="EM32" s="1"/>
      <c r="EN32" s="1"/>
      <c r="EO32" s="1"/>
      <c r="EP32" s="1"/>
      <c r="EQ32" s="1"/>
      <c r="ER32" s="1"/>
    </row>
    <row r="33" spans="2:148" ht="18" customHeight="1" x14ac:dyDescent="0.25">
      <c r="B33" s="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8"/>
      <c r="AR33" s="6"/>
      <c r="CD33" s="65"/>
      <c r="CE33" s="65"/>
      <c r="CF33" s="8"/>
      <c r="DY33" s="1"/>
      <c r="DZ33" s="1"/>
      <c r="EA33" s="1"/>
      <c r="ED33" s="1"/>
      <c r="EE33" s="1"/>
      <c r="EF33" s="1"/>
      <c r="EG33" s="1"/>
      <c r="EH33" s="1"/>
      <c r="EI33" s="1"/>
      <c r="EJ33" s="1"/>
      <c r="EK33" s="1"/>
      <c r="EL33" s="1"/>
      <c r="EM33" s="1"/>
      <c r="EN33" s="1"/>
      <c r="EO33" s="1"/>
      <c r="EP33" s="1"/>
      <c r="EQ33" s="1"/>
      <c r="ER33" s="1"/>
    </row>
    <row r="34" spans="2:148" ht="18" customHeight="1" x14ac:dyDescent="0.25">
      <c r="B34" s="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8"/>
      <c r="AR34" s="6"/>
      <c r="CD34" s="65"/>
      <c r="CE34" s="65"/>
      <c r="CF34" s="8"/>
      <c r="DY34" s="1"/>
      <c r="DZ34" s="1"/>
      <c r="EA34" s="1"/>
      <c r="ED34" s="1"/>
      <c r="EE34" s="1"/>
      <c r="EF34" s="1"/>
      <c r="EG34" s="1"/>
      <c r="EH34" s="1"/>
      <c r="EI34" s="1"/>
      <c r="EJ34" s="1"/>
      <c r="EK34" s="1"/>
      <c r="EL34" s="1"/>
      <c r="EM34" s="1"/>
      <c r="EN34" s="1"/>
      <c r="EO34" s="1"/>
      <c r="EP34" s="1"/>
      <c r="EQ34" s="1"/>
      <c r="ER34" s="1"/>
    </row>
    <row r="35" spans="2:148" ht="18" customHeight="1" x14ac:dyDescent="0.25">
      <c r="B35" s="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8"/>
      <c r="AR35" s="6"/>
      <c r="CD35" s="65"/>
      <c r="CE35" s="65"/>
      <c r="CF35" s="8"/>
      <c r="DY35" s="1"/>
      <c r="DZ35" s="1"/>
      <c r="EA35" s="1"/>
      <c r="ED35" s="1"/>
      <c r="EE35" s="1"/>
      <c r="EF35" s="1"/>
      <c r="EG35" s="1"/>
      <c r="EH35" s="1"/>
      <c r="EI35" s="1"/>
      <c r="EJ35" s="1"/>
      <c r="EK35" s="1"/>
      <c r="EL35" s="1"/>
      <c r="EM35" s="1"/>
      <c r="EN35" s="1"/>
      <c r="EO35" s="1"/>
      <c r="EP35" s="1"/>
      <c r="EQ35" s="1"/>
      <c r="ER35" s="1"/>
    </row>
    <row r="36" spans="2:148" ht="18" customHeight="1" x14ac:dyDescent="0.25">
      <c r="B36" s="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8"/>
      <c r="AR36" s="6"/>
      <c r="CD36" s="65"/>
      <c r="CE36" s="65"/>
      <c r="CF36" s="8"/>
      <c r="DY36" s="1"/>
      <c r="DZ36" s="1"/>
      <c r="EA36" s="1"/>
      <c r="ED36" s="1"/>
      <c r="EE36" s="1"/>
      <c r="EF36" s="1"/>
      <c r="EG36" s="1"/>
      <c r="EH36" s="1"/>
      <c r="EI36" s="1"/>
      <c r="EJ36" s="1"/>
      <c r="EK36" s="1"/>
      <c r="EL36" s="1"/>
      <c r="EM36" s="1"/>
      <c r="EN36" s="1"/>
      <c r="EO36" s="1"/>
      <c r="EP36" s="1"/>
      <c r="EQ36" s="1"/>
      <c r="ER36" s="1"/>
    </row>
    <row r="37" spans="2:148" ht="18" customHeight="1" x14ac:dyDescent="0.25">
      <c r="B37" s="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8"/>
      <c r="AR37" s="6"/>
      <c r="CD37" s="65"/>
      <c r="CE37" s="65"/>
      <c r="CF37" s="8"/>
      <c r="DY37" s="1"/>
      <c r="DZ37" s="1"/>
      <c r="EA37" s="1"/>
      <c r="ED37" s="1"/>
      <c r="EE37" s="1"/>
      <c r="EF37" s="1"/>
      <c r="EG37" s="1"/>
      <c r="EH37" s="1"/>
      <c r="EI37" s="1"/>
      <c r="EJ37" s="1"/>
      <c r="EK37" s="1"/>
      <c r="EL37" s="1"/>
      <c r="EM37" s="1"/>
      <c r="EN37" s="1"/>
      <c r="EO37" s="1"/>
      <c r="EP37" s="1"/>
      <c r="EQ37" s="1"/>
      <c r="ER37" s="1"/>
    </row>
    <row r="38" spans="2:148" ht="18" customHeight="1" x14ac:dyDescent="0.25">
      <c r="B38" s="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8"/>
      <c r="AR38" s="6"/>
      <c r="CD38" s="65"/>
      <c r="CE38" s="65"/>
      <c r="CF38" s="8"/>
      <c r="DY38" s="1"/>
      <c r="DZ38" s="1"/>
      <c r="EA38" s="1"/>
      <c r="ED38" s="1"/>
      <c r="EE38" s="1"/>
      <c r="EF38" s="1"/>
      <c r="EG38" s="1"/>
      <c r="EH38" s="1"/>
      <c r="EI38" s="1"/>
      <c r="EJ38" s="1"/>
      <c r="EK38" s="1"/>
      <c r="EL38" s="1"/>
      <c r="EM38" s="1"/>
      <c r="EN38" s="1"/>
      <c r="EO38" s="1"/>
      <c r="EP38" s="1"/>
      <c r="EQ38" s="1"/>
      <c r="ER38" s="1"/>
    </row>
    <row r="39" spans="2:148" ht="18" customHeight="1" x14ac:dyDescent="0.25">
      <c r="B39" s="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8"/>
      <c r="AR39" s="6"/>
      <c r="CD39" s="65"/>
      <c r="CE39" s="65"/>
      <c r="CF39" s="8"/>
      <c r="DY39" s="1"/>
      <c r="DZ39" s="1"/>
      <c r="EA39" s="1"/>
      <c r="ED39" s="1"/>
      <c r="EE39" s="1"/>
      <c r="EF39" s="1"/>
      <c r="EG39" s="1"/>
      <c r="EH39" s="1"/>
      <c r="EI39" s="1"/>
      <c r="EJ39" s="1"/>
      <c r="EK39" s="1"/>
      <c r="EL39" s="1"/>
      <c r="EM39" s="1"/>
      <c r="EN39" s="1"/>
      <c r="EO39" s="1"/>
      <c r="EP39" s="1"/>
      <c r="EQ39" s="1"/>
      <c r="ER39" s="1"/>
    </row>
    <row r="40" spans="2:148" ht="18" customHeight="1" x14ac:dyDescent="0.25">
      <c r="B40" s="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8"/>
      <c r="AR40" s="6"/>
      <c r="CD40" s="65"/>
      <c r="CE40" s="65"/>
      <c r="CF40" s="8"/>
      <c r="DY40" s="1"/>
      <c r="DZ40" s="1"/>
      <c r="EA40" s="1"/>
      <c r="ED40" s="1"/>
      <c r="EE40" s="1"/>
      <c r="EF40" s="1"/>
      <c r="EG40" s="1"/>
      <c r="EH40" s="1"/>
      <c r="EI40" s="1"/>
      <c r="EJ40" s="1"/>
      <c r="EK40" s="1"/>
      <c r="EL40" s="1"/>
      <c r="EM40" s="1"/>
      <c r="EN40" s="1"/>
      <c r="EO40" s="1"/>
      <c r="EP40" s="1"/>
      <c r="EQ40" s="1"/>
      <c r="ER40" s="1"/>
    </row>
    <row r="41" spans="2:148" ht="18" customHeight="1" x14ac:dyDescent="0.25">
      <c r="B41" s="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8"/>
      <c r="AR41" s="6"/>
      <c r="CD41" s="65"/>
      <c r="CE41" s="65"/>
      <c r="CF41" s="8"/>
      <c r="DY41" s="1"/>
      <c r="DZ41" s="1"/>
      <c r="EA41" s="1"/>
      <c r="ED41" s="1"/>
      <c r="EE41" s="1"/>
      <c r="EF41" s="1"/>
      <c r="EG41" s="1"/>
      <c r="EH41" s="1"/>
      <c r="EI41" s="1"/>
      <c r="EJ41" s="1"/>
      <c r="EK41" s="1"/>
      <c r="EL41" s="1"/>
      <c r="EM41" s="1"/>
      <c r="EN41" s="1"/>
      <c r="EO41" s="1"/>
      <c r="EP41" s="1"/>
      <c r="EQ41" s="1"/>
      <c r="ER41" s="1"/>
    </row>
    <row r="42" spans="2:148" ht="18" customHeight="1" x14ac:dyDescent="0.25">
      <c r="B42" s="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8"/>
      <c r="AR42" s="6"/>
      <c r="CD42" s="65"/>
      <c r="CE42" s="65"/>
      <c r="CF42" s="8"/>
      <c r="DY42" s="1"/>
      <c r="DZ42" s="1"/>
      <c r="EA42" s="1"/>
      <c r="ED42" s="1"/>
      <c r="EE42" s="1"/>
      <c r="EF42" s="1"/>
      <c r="EG42" s="1"/>
      <c r="EH42" s="1"/>
      <c r="EI42" s="1"/>
      <c r="EJ42" s="1"/>
      <c r="EK42" s="1"/>
      <c r="EL42" s="1"/>
      <c r="EM42" s="1"/>
      <c r="EN42" s="1"/>
      <c r="EO42" s="1"/>
      <c r="EP42" s="1"/>
      <c r="EQ42" s="1"/>
      <c r="ER42" s="1"/>
    </row>
    <row r="43" spans="2:148" ht="18" customHeight="1" x14ac:dyDescent="0.25">
      <c r="B43" s="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8"/>
      <c r="AR43" s="6"/>
      <c r="CD43" s="65"/>
      <c r="CE43" s="65"/>
      <c r="CF43" s="8"/>
      <c r="DY43" s="1"/>
      <c r="DZ43" s="1"/>
      <c r="EA43" s="1"/>
      <c r="ED43" s="1"/>
      <c r="EE43" s="1"/>
      <c r="EF43" s="1"/>
      <c r="EG43" s="1"/>
      <c r="EH43" s="1"/>
      <c r="EI43" s="1"/>
      <c r="EJ43" s="1"/>
      <c r="EK43" s="1"/>
      <c r="EL43" s="1"/>
      <c r="EM43" s="1"/>
      <c r="EN43" s="1"/>
      <c r="EO43" s="1"/>
      <c r="EP43" s="1"/>
      <c r="EQ43" s="1"/>
      <c r="ER43" s="1"/>
    </row>
    <row r="44" spans="2:148" ht="18" customHeight="1" x14ac:dyDescent="0.25">
      <c r="B44" s="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8"/>
      <c r="AR44" s="6"/>
      <c r="CD44" s="65"/>
      <c r="CE44" s="65"/>
      <c r="CF44" s="8"/>
      <c r="DY44" s="1"/>
      <c r="DZ44" s="1"/>
      <c r="EA44" s="1"/>
      <c r="ED44" s="1"/>
      <c r="EE44" s="1"/>
      <c r="EF44" s="1"/>
      <c r="EG44" s="1"/>
      <c r="EH44" s="1"/>
      <c r="EI44" s="1"/>
      <c r="EJ44" s="1"/>
      <c r="EK44" s="1"/>
      <c r="EL44" s="1"/>
      <c r="EM44" s="1"/>
      <c r="EN44" s="1"/>
      <c r="EO44" s="1"/>
      <c r="EP44" s="1"/>
      <c r="EQ44" s="1"/>
      <c r="ER44" s="1"/>
    </row>
    <row r="45" spans="2:148" ht="18" customHeight="1" x14ac:dyDescent="0.25">
      <c r="B45" s="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8"/>
      <c r="AR45" s="6"/>
      <c r="CD45" s="65"/>
      <c r="CE45" s="65"/>
      <c r="CF45" s="8"/>
      <c r="DY45" s="1"/>
      <c r="DZ45" s="1"/>
      <c r="EA45" s="1"/>
      <c r="ED45" s="1"/>
      <c r="EE45" s="1"/>
      <c r="EF45" s="1"/>
      <c r="EG45" s="1"/>
      <c r="EH45" s="1"/>
      <c r="EI45" s="1"/>
      <c r="EJ45" s="1"/>
      <c r="EK45" s="1"/>
      <c r="EL45" s="1"/>
      <c r="EM45" s="1"/>
      <c r="EN45" s="1"/>
      <c r="EO45" s="1"/>
      <c r="EP45" s="1"/>
      <c r="EQ45" s="1"/>
      <c r="ER45" s="1"/>
    </row>
    <row r="46" spans="2:148" ht="18" customHeight="1" x14ac:dyDescent="0.25">
      <c r="B46" s="6"/>
      <c r="AP46" s="42"/>
      <c r="AR46" s="6"/>
      <c r="CD46" s="62"/>
      <c r="CE46" s="62"/>
      <c r="CF46" s="8"/>
      <c r="DY46" s="1"/>
      <c r="DZ46" s="1"/>
      <c r="EA46" s="1"/>
      <c r="ED46" s="1"/>
      <c r="EE46" s="1"/>
      <c r="EF46" s="1"/>
      <c r="EG46" s="1"/>
      <c r="EH46" s="1"/>
      <c r="EI46" s="1"/>
      <c r="EJ46" s="1"/>
      <c r="EK46" s="1"/>
      <c r="EL46" s="1"/>
      <c r="EM46" s="1"/>
      <c r="EN46" s="1"/>
      <c r="EO46" s="1"/>
      <c r="EP46" s="1"/>
      <c r="EQ46" s="1"/>
      <c r="ER46" s="1"/>
    </row>
    <row r="47" spans="2:148"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0"/>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DY47" s="1"/>
      <c r="DZ47" s="1"/>
      <c r="EA47" s="1"/>
      <c r="ED47" s="1"/>
      <c r="EE47" s="1"/>
      <c r="EF47" s="1"/>
      <c r="EG47" s="1"/>
      <c r="EH47" s="1"/>
      <c r="EI47" s="1"/>
      <c r="EJ47" s="1"/>
      <c r="EK47" s="1"/>
      <c r="EL47" s="1"/>
      <c r="EM47" s="1"/>
      <c r="EN47" s="1"/>
      <c r="EO47" s="1"/>
      <c r="EP47" s="1"/>
      <c r="EQ47" s="1"/>
      <c r="ER47" s="1"/>
    </row>
    <row r="48" spans="2:148" ht="18" customHeight="1" x14ac:dyDescent="0.25">
      <c r="B48" s="6"/>
      <c r="D48" s="43" t="s">
        <v>84</v>
      </c>
      <c r="AP48" s="8"/>
      <c r="AR48" s="6"/>
      <c r="AT48" s="43" t="s">
        <v>84</v>
      </c>
      <c r="CE48" s="29" t="s">
        <v>86</v>
      </c>
      <c r="CF48" s="8"/>
      <c r="DY48" s="1"/>
      <c r="DZ48" s="1"/>
      <c r="EA48" s="1"/>
      <c r="ED48" s="1"/>
      <c r="EE48" s="1"/>
      <c r="EF48" s="1"/>
      <c r="EG48" s="1"/>
      <c r="EH48" s="1"/>
      <c r="EI48" s="1"/>
      <c r="EJ48" s="1"/>
      <c r="EK48" s="1"/>
      <c r="EL48" s="1"/>
      <c r="EM48" s="1"/>
      <c r="EN48" s="1"/>
      <c r="EO48" s="1"/>
      <c r="EP48" s="1"/>
      <c r="EQ48" s="1"/>
      <c r="ER48" s="1"/>
    </row>
    <row r="49" spans="2:148"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67" t="s">
        <v>661</v>
      </c>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DY49" s="1"/>
      <c r="DZ49" s="1"/>
      <c r="EA49" s="1"/>
      <c r="ED49" s="1"/>
      <c r="EE49" s="1"/>
      <c r="EF49" s="1"/>
      <c r="EG49" s="1"/>
      <c r="EH49" s="1"/>
      <c r="EI49" s="1"/>
      <c r="EJ49" s="1"/>
      <c r="EK49" s="1"/>
      <c r="EL49" s="1"/>
      <c r="EM49" s="1"/>
      <c r="EN49" s="1"/>
      <c r="EO49" s="1"/>
      <c r="EP49" s="1"/>
      <c r="EQ49" s="1"/>
      <c r="ER49" s="1"/>
    </row>
    <row r="50" spans="2:148" ht="18" customHeight="1" x14ac:dyDescent="0.25">
      <c r="DY50" s="1"/>
      <c r="DZ50" s="1"/>
      <c r="EA50" s="1"/>
      <c r="ED50" s="1"/>
      <c r="EE50" s="1"/>
      <c r="EF50" s="1"/>
      <c r="EG50" s="1"/>
      <c r="EH50" s="1"/>
      <c r="EI50" s="1"/>
      <c r="EJ50" s="1"/>
      <c r="EK50" s="1"/>
      <c r="EL50" s="1"/>
      <c r="EM50" s="1"/>
      <c r="EN50" s="1"/>
      <c r="EO50" s="1"/>
      <c r="EP50" s="1"/>
      <c r="EQ50" s="1"/>
      <c r="ER50" s="1"/>
    </row>
    <row r="51" spans="2:148"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DY51" s="1"/>
      <c r="DZ51" s="1"/>
      <c r="EA51" s="1"/>
      <c r="ED51" s="1"/>
      <c r="EE51" s="1"/>
      <c r="EF51" s="1"/>
      <c r="EG51" s="1"/>
      <c r="EH51" s="1"/>
      <c r="EI51" s="1"/>
      <c r="EJ51" s="1"/>
      <c r="EK51" s="1"/>
      <c r="EL51" s="1"/>
      <c r="EM51" s="1"/>
      <c r="EN51" s="1"/>
      <c r="EO51" s="1"/>
      <c r="EP51" s="1"/>
      <c r="EQ51" s="1"/>
      <c r="ER51" s="1"/>
    </row>
    <row r="52" spans="2:148" ht="18" customHeight="1" x14ac:dyDescent="0.25">
      <c r="B52" s="6"/>
      <c r="AP52" s="8"/>
      <c r="AR52" s="6"/>
      <c r="CF52" s="8"/>
      <c r="DY52" s="1"/>
      <c r="DZ52" s="1"/>
      <c r="EA52" s="1"/>
      <c r="ED52" s="1"/>
      <c r="EE52" s="1"/>
      <c r="EF52" s="1"/>
      <c r="EG52" s="1"/>
      <c r="EH52" s="1"/>
      <c r="EI52" s="1"/>
      <c r="EJ52" s="1"/>
      <c r="EK52" s="1"/>
      <c r="EL52" s="1"/>
      <c r="EM52" s="1"/>
      <c r="EN52" s="1"/>
      <c r="EO52" s="1"/>
      <c r="EP52" s="1"/>
      <c r="EQ52" s="1"/>
      <c r="ER52" s="1"/>
    </row>
    <row r="53" spans="2:148" ht="18" customHeight="1" x14ac:dyDescent="0.25">
      <c r="B53" s="6"/>
      <c r="AP53" s="8"/>
      <c r="AR53" s="6"/>
      <c r="CF53" s="8"/>
      <c r="DY53" s="1"/>
      <c r="DZ53" s="1"/>
      <c r="EA53" s="1"/>
      <c r="ED53" s="1"/>
      <c r="EE53" s="1"/>
      <c r="EF53" s="1"/>
      <c r="EG53" s="1"/>
      <c r="EH53" s="1"/>
      <c r="EI53" s="1"/>
      <c r="EJ53" s="1"/>
      <c r="EK53" s="1"/>
      <c r="EL53" s="1"/>
      <c r="EM53" s="1"/>
      <c r="EN53" s="1"/>
      <c r="EO53" s="1"/>
      <c r="EP53" s="1"/>
      <c r="EQ53" s="1"/>
      <c r="ER53" s="1"/>
    </row>
    <row r="54" spans="2:148" ht="18" customHeight="1" thickBot="1" x14ac:dyDescent="0.3">
      <c r="B54" s="6"/>
      <c r="C54" s="68" t="s">
        <v>264</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1"/>
      <c r="AN54" s="10"/>
      <c r="AP54" s="8"/>
      <c r="AR54" s="6"/>
      <c r="AS54" s="68" t="s">
        <v>264</v>
      </c>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1"/>
      <c r="CD54" s="10"/>
      <c r="CF54" s="8"/>
      <c r="DY54" s="1"/>
      <c r="DZ54" s="1"/>
      <c r="EA54" s="1"/>
      <c r="ED54" s="1"/>
      <c r="EE54" s="1"/>
      <c r="EF54" s="1"/>
      <c r="EG54" s="1"/>
      <c r="EH54" s="1"/>
      <c r="EI54" s="1"/>
      <c r="EJ54" s="1"/>
      <c r="EK54" s="1"/>
      <c r="EL54" s="1"/>
      <c r="EM54" s="1"/>
      <c r="EN54" s="1"/>
      <c r="EO54" s="1"/>
      <c r="EP54" s="1"/>
      <c r="EQ54" s="1"/>
      <c r="ER54" s="1"/>
    </row>
    <row r="55" spans="2:148" ht="18" customHeight="1" x14ac:dyDescent="0.25">
      <c r="B55" s="6"/>
      <c r="AP55" s="8"/>
      <c r="AR55" s="6"/>
      <c r="CF55" s="8"/>
      <c r="DY55" s="1"/>
      <c r="DZ55" s="1"/>
      <c r="EA55" s="1"/>
      <c r="ED55" s="1"/>
      <c r="EE55" s="1"/>
      <c r="EF55" s="1"/>
      <c r="EG55" s="1"/>
      <c r="EH55" s="1"/>
      <c r="EI55" s="1"/>
      <c r="EJ55" s="1"/>
      <c r="EK55" s="1"/>
      <c r="EL55" s="1"/>
      <c r="EM55" s="1"/>
      <c r="EN55" s="1"/>
      <c r="EO55" s="1"/>
      <c r="EP55" s="1"/>
      <c r="EQ55" s="1"/>
      <c r="ER55" s="1"/>
    </row>
    <row r="56" spans="2:148" ht="18" customHeight="1" x14ac:dyDescent="0.25">
      <c r="B56" s="6"/>
      <c r="C56" s="65"/>
      <c r="D56" s="65"/>
      <c r="AJ56" s="65"/>
      <c r="AK56" s="65"/>
      <c r="AL56" s="65"/>
      <c r="AM56" s="65"/>
      <c r="AN56" s="65"/>
      <c r="AO56" s="65"/>
      <c r="AP56" s="8"/>
      <c r="AR56" s="6"/>
      <c r="AS56" s="65"/>
      <c r="AT56" s="65"/>
      <c r="BZ56" s="65"/>
      <c r="CA56" s="65"/>
      <c r="CB56" s="65"/>
      <c r="CC56" s="65"/>
      <c r="CD56" s="65"/>
      <c r="CE56" s="65"/>
      <c r="CF56" s="8"/>
      <c r="DY56" s="1"/>
      <c r="DZ56" s="1"/>
      <c r="EA56" s="1"/>
      <c r="ED56" s="1"/>
      <c r="EE56" s="1"/>
      <c r="EF56" s="1"/>
      <c r="EG56" s="1"/>
      <c r="EH56" s="1"/>
      <c r="EI56" s="1"/>
      <c r="EJ56" s="1"/>
      <c r="EK56" s="1"/>
      <c r="EL56" s="1"/>
      <c r="EM56" s="1"/>
      <c r="EN56" s="1"/>
      <c r="EO56" s="1"/>
      <c r="EP56" s="1"/>
      <c r="EQ56" s="1"/>
      <c r="ER56" s="1"/>
    </row>
    <row r="57" spans="2:148" ht="18" customHeight="1" x14ac:dyDescent="0.25">
      <c r="B57" s="6"/>
      <c r="C57" s="65"/>
      <c r="D57" s="65"/>
      <c r="AJ57" s="65"/>
      <c r="AK57" s="65"/>
      <c r="AL57" s="65"/>
      <c r="AM57" s="65"/>
      <c r="AN57" s="65"/>
      <c r="AO57" s="65"/>
      <c r="AP57" s="8"/>
      <c r="AR57" s="6"/>
      <c r="AS57" s="65"/>
      <c r="AT57" s="65"/>
      <c r="BZ57" s="65"/>
      <c r="CA57" s="65"/>
      <c r="CB57" s="65"/>
      <c r="CC57" s="65"/>
      <c r="CD57" s="65"/>
      <c r="CE57" s="65"/>
      <c r="CF57" s="8"/>
      <c r="DY57" s="1"/>
      <c r="DZ57" s="1"/>
      <c r="EA57" s="1"/>
      <c r="ED57" s="1"/>
      <c r="EE57" s="1"/>
      <c r="EF57" s="1"/>
      <c r="EG57" s="1"/>
      <c r="EH57" s="1"/>
      <c r="EI57" s="1"/>
      <c r="EJ57" s="1"/>
      <c r="EK57" s="1"/>
      <c r="EL57" s="1"/>
      <c r="EM57" s="1"/>
      <c r="EN57" s="1"/>
      <c r="EO57" s="1"/>
      <c r="EP57" s="1"/>
      <c r="EQ57" s="1"/>
      <c r="ER57" s="1"/>
    </row>
    <row r="58" spans="2:148" ht="18" customHeight="1" x14ac:dyDescent="0.25">
      <c r="B58" s="6"/>
      <c r="C58" s="65"/>
      <c r="D58" s="65"/>
      <c r="AJ58" s="65"/>
      <c r="AK58" s="65"/>
      <c r="AL58" s="65"/>
      <c r="AM58" s="65"/>
      <c r="AN58" s="65"/>
      <c r="AO58" s="65"/>
      <c r="AP58" s="8"/>
      <c r="AR58" s="6"/>
      <c r="AS58" s="65"/>
      <c r="AT58" s="65"/>
      <c r="BZ58" s="65"/>
      <c r="CA58" s="65"/>
      <c r="CB58" s="65"/>
      <c r="CC58" s="65"/>
      <c r="CD58" s="65"/>
      <c r="CE58" s="65"/>
      <c r="CF58" s="8"/>
      <c r="DY58" s="1"/>
      <c r="DZ58" s="1"/>
      <c r="EA58" s="1"/>
      <c r="ED58" s="1"/>
      <c r="EE58" s="1"/>
      <c r="EF58" s="1"/>
      <c r="EG58" s="1"/>
      <c r="EH58" s="1"/>
      <c r="EI58" s="1"/>
      <c r="EJ58" s="1"/>
      <c r="EK58" s="1"/>
      <c r="EL58" s="1"/>
      <c r="EM58" s="1"/>
      <c r="EN58" s="1"/>
      <c r="EO58" s="1"/>
      <c r="EP58" s="1"/>
      <c r="EQ58" s="1"/>
      <c r="ER58" s="1"/>
    </row>
    <row r="59" spans="2:148" ht="18" customHeight="1" x14ac:dyDescent="0.25">
      <c r="B59" s="6"/>
      <c r="C59" s="65"/>
      <c r="D59" s="65"/>
      <c r="AJ59" s="65"/>
      <c r="AK59" s="65"/>
      <c r="AL59" s="65"/>
      <c r="AM59" s="65"/>
      <c r="AN59" s="65"/>
      <c r="AO59" s="65"/>
      <c r="AP59" s="8"/>
      <c r="AR59" s="6"/>
      <c r="AS59" s="65"/>
      <c r="AT59" s="65"/>
      <c r="BZ59" s="65"/>
      <c r="CA59" s="65"/>
      <c r="CB59" s="65"/>
      <c r="CC59" s="65"/>
      <c r="CD59" s="65"/>
      <c r="CE59" s="65"/>
      <c r="CF59" s="8"/>
      <c r="DY59" s="1"/>
      <c r="DZ59" s="1"/>
      <c r="EA59" s="1"/>
      <c r="ED59" s="1"/>
      <c r="EE59" s="1"/>
      <c r="EF59" s="1"/>
      <c r="EG59" s="1"/>
      <c r="EH59" s="1"/>
      <c r="EI59" s="1"/>
      <c r="EJ59" s="1"/>
      <c r="EK59" s="1"/>
      <c r="EL59" s="1"/>
      <c r="EM59" s="1"/>
      <c r="EN59" s="1"/>
      <c r="EO59" s="1"/>
      <c r="EP59" s="1"/>
      <c r="EQ59" s="1"/>
      <c r="ER59" s="1"/>
    </row>
    <row r="60" spans="2:148" ht="18" customHeight="1" x14ac:dyDescent="0.25">
      <c r="B60" s="6"/>
      <c r="C60" s="65"/>
      <c r="D60" s="65"/>
      <c r="AJ60" s="65"/>
      <c r="AK60" s="65"/>
      <c r="AL60" s="65"/>
      <c r="AM60" s="65"/>
      <c r="AN60" s="65"/>
      <c r="AO60" s="65"/>
      <c r="AP60" s="8"/>
      <c r="AR60" s="6"/>
      <c r="AS60" s="65"/>
      <c r="AT60" s="65"/>
      <c r="BZ60" s="65"/>
      <c r="CA60" s="65"/>
      <c r="CB60" s="65"/>
      <c r="CC60" s="65"/>
      <c r="CD60" s="65"/>
      <c r="CE60" s="65"/>
      <c r="CF60" s="8"/>
      <c r="DY60" s="1"/>
      <c r="DZ60" s="1"/>
      <c r="EA60" s="1"/>
      <c r="ED60" s="1"/>
      <c r="EE60" s="1"/>
      <c r="EF60" s="1"/>
      <c r="EG60" s="1"/>
      <c r="EH60" s="1"/>
      <c r="EI60" s="1"/>
      <c r="EJ60" s="1"/>
      <c r="EK60" s="1"/>
      <c r="EL60" s="1"/>
      <c r="EM60" s="1"/>
      <c r="EN60" s="1"/>
      <c r="EO60" s="1"/>
      <c r="EP60" s="1"/>
      <c r="EQ60" s="1"/>
      <c r="ER60" s="1"/>
    </row>
    <row r="61" spans="2:148" ht="18" customHeight="1" x14ac:dyDescent="0.25">
      <c r="B61" s="6"/>
      <c r="C61" s="65"/>
      <c r="D61" s="65"/>
      <c r="AJ61" s="65"/>
      <c r="AK61" s="65"/>
      <c r="AL61" s="65"/>
      <c r="AM61" s="65"/>
      <c r="AN61" s="65"/>
      <c r="AO61" s="65"/>
      <c r="AP61" s="8"/>
      <c r="AR61" s="6"/>
      <c r="AS61" s="65"/>
      <c r="AT61" s="65"/>
      <c r="BZ61" s="65"/>
      <c r="CA61" s="65"/>
      <c r="CB61" s="65"/>
      <c r="CC61" s="65"/>
      <c r="CD61" s="65"/>
      <c r="CE61" s="65"/>
      <c r="CF61" s="8"/>
      <c r="DY61" s="1"/>
      <c r="DZ61" s="1"/>
      <c r="EA61" s="1"/>
      <c r="ED61" s="1"/>
      <c r="EE61" s="1"/>
      <c r="EF61" s="1"/>
      <c r="EG61" s="1"/>
      <c r="EH61" s="1"/>
      <c r="EI61" s="1"/>
      <c r="EJ61" s="1"/>
      <c r="EK61" s="1"/>
      <c r="EL61" s="1"/>
      <c r="EM61" s="1"/>
      <c r="EN61" s="1"/>
      <c r="EO61" s="1"/>
      <c r="EP61" s="1"/>
      <c r="EQ61" s="1"/>
      <c r="ER61" s="1"/>
    </row>
    <row r="62" spans="2:148" ht="18" customHeight="1" x14ac:dyDescent="0.25">
      <c r="B62" s="6"/>
      <c r="C62" s="65"/>
      <c r="D62" s="65"/>
      <c r="E62" s="65"/>
      <c r="F62" s="65"/>
      <c r="G62" s="65"/>
      <c r="H62" s="65"/>
      <c r="I62" s="65"/>
      <c r="J62" s="65"/>
      <c r="K62" s="65"/>
      <c r="L62" s="65"/>
      <c r="M62" s="65"/>
      <c r="N62" s="65"/>
      <c r="O62" s="65"/>
      <c r="P62" s="65"/>
      <c r="Q62" s="65"/>
      <c r="R62" s="65"/>
      <c r="S62" s="65"/>
      <c r="T62" s="65"/>
      <c r="U62" s="65"/>
      <c r="V62" s="65"/>
      <c r="W62" s="65"/>
      <c r="X62" s="65"/>
      <c r="Y62" s="65"/>
      <c r="Z62" s="65"/>
      <c r="AA62" s="65"/>
      <c r="AB62" s="65"/>
      <c r="AC62" s="65"/>
      <c r="AD62" s="65"/>
      <c r="AE62" s="65"/>
      <c r="AJ62" s="65"/>
      <c r="AK62" s="65"/>
      <c r="AL62" s="65"/>
      <c r="AM62" s="65"/>
      <c r="AN62" s="65"/>
      <c r="AO62" s="65"/>
      <c r="AP62" s="8"/>
      <c r="AR62" s="6"/>
      <c r="AS62" s="65"/>
      <c r="AT62" s="65"/>
      <c r="AU62" s="65"/>
      <c r="AV62" s="65"/>
      <c r="AW62" s="65"/>
      <c r="AX62" s="65"/>
      <c r="AY62" s="65"/>
      <c r="AZ62" s="65"/>
      <c r="BA62" s="65"/>
      <c r="BB62" s="65"/>
      <c r="BC62" s="65"/>
      <c r="BD62" s="65"/>
      <c r="BE62" s="65"/>
      <c r="BF62" s="65"/>
      <c r="BG62" s="65"/>
      <c r="BH62" s="65"/>
      <c r="BI62" s="65"/>
      <c r="BJ62" s="65"/>
      <c r="BK62" s="65"/>
      <c r="BL62" s="65"/>
      <c r="BM62" s="65"/>
      <c r="BN62" s="65"/>
      <c r="BO62" s="65"/>
      <c r="BP62" s="65"/>
      <c r="BQ62" s="65"/>
      <c r="BR62" s="65"/>
      <c r="BS62" s="65"/>
      <c r="BT62" s="65"/>
      <c r="BU62" s="65"/>
      <c r="BZ62" s="65"/>
      <c r="CA62" s="65"/>
      <c r="CB62" s="65"/>
      <c r="CC62" s="65"/>
      <c r="CD62" s="65"/>
      <c r="CE62" s="65"/>
      <c r="CF62" s="8"/>
      <c r="DY62" s="1"/>
      <c r="DZ62" s="1"/>
      <c r="EA62" s="1"/>
      <c r="ED62" s="1"/>
      <c r="EE62" s="1"/>
      <c r="EF62" s="1"/>
      <c r="EG62" s="1"/>
      <c r="EH62" s="1"/>
      <c r="EI62" s="1"/>
      <c r="EJ62" s="1"/>
      <c r="EK62" s="1"/>
      <c r="EL62" s="1"/>
      <c r="EM62" s="1"/>
      <c r="EN62" s="1"/>
      <c r="EO62" s="1"/>
      <c r="EP62" s="1"/>
      <c r="EQ62" s="1"/>
      <c r="ER62" s="1"/>
    </row>
    <row r="63" spans="2:148" ht="18" customHeight="1" x14ac:dyDescent="0.25">
      <c r="B63" s="6"/>
      <c r="C63" s="65"/>
      <c r="D63" s="65"/>
      <c r="E63" s="65"/>
      <c r="F63" s="65"/>
      <c r="G63" s="65"/>
      <c r="H63" s="65"/>
      <c r="I63" s="65"/>
      <c r="J63" s="65"/>
      <c r="K63" s="65"/>
      <c r="L63" s="65"/>
      <c r="M63" s="65"/>
      <c r="N63" s="65"/>
      <c r="O63" s="65"/>
      <c r="P63" s="65"/>
      <c r="Q63" s="65"/>
      <c r="R63" s="65"/>
      <c r="S63" s="65"/>
      <c r="T63" s="65"/>
      <c r="U63" s="65"/>
      <c r="V63" s="65"/>
      <c r="W63" s="65"/>
      <c r="X63" s="65"/>
      <c r="Y63" s="65"/>
      <c r="Z63" s="65"/>
      <c r="AA63" s="65"/>
      <c r="AB63" s="65"/>
      <c r="AC63" s="65"/>
      <c r="AD63" s="65"/>
      <c r="AE63" s="65"/>
      <c r="AF63" s="65"/>
      <c r="AJ63" s="65"/>
      <c r="AK63" s="65"/>
      <c r="AL63" s="65"/>
      <c r="AM63" s="65"/>
      <c r="AN63" s="65"/>
      <c r="AO63" s="65"/>
      <c r="AP63" s="8"/>
      <c r="AR63" s="6"/>
      <c r="AS63" s="65"/>
      <c r="AT63" s="65"/>
      <c r="AU63" s="65"/>
      <c r="AV63" s="65"/>
      <c r="AW63" s="65"/>
      <c r="AX63" s="65"/>
      <c r="AY63" s="65"/>
      <c r="AZ63" s="65"/>
      <c r="BA63" s="65"/>
      <c r="BB63" s="65"/>
      <c r="BC63" s="65"/>
      <c r="BD63" s="65"/>
      <c r="BE63" s="65"/>
      <c r="BF63" s="65"/>
      <c r="BG63" s="65"/>
      <c r="BH63" s="65"/>
      <c r="BI63" s="65"/>
      <c r="BJ63" s="65"/>
      <c r="BK63" s="65"/>
      <c r="BL63" s="65"/>
      <c r="BM63" s="65"/>
      <c r="BN63" s="65"/>
      <c r="BO63" s="65"/>
      <c r="BP63" s="65"/>
      <c r="BQ63" s="65"/>
      <c r="BR63" s="65"/>
      <c r="BS63" s="65"/>
      <c r="BT63" s="65"/>
      <c r="BU63" s="65"/>
      <c r="BV63" s="65"/>
      <c r="BZ63" s="65"/>
      <c r="CA63" s="65"/>
      <c r="CB63" s="65"/>
      <c r="CC63" s="65"/>
      <c r="CD63" s="65"/>
      <c r="CE63" s="65"/>
      <c r="CF63" s="8"/>
      <c r="DY63" s="1"/>
      <c r="DZ63" s="1"/>
      <c r="EA63" s="1"/>
      <c r="ED63" s="1"/>
      <c r="EE63" s="1"/>
      <c r="EF63" s="1"/>
      <c r="EG63" s="1"/>
      <c r="EH63" s="1"/>
      <c r="EI63" s="1"/>
      <c r="EJ63" s="1"/>
      <c r="EK63" s="1"/>
      <c r="EL63" s="1"/>
      <c r="EM63" s="1"/>
      <c r="EN63" s="1"/>
      <c r="EO63" s="1"/>
      <c r="EP63" s="1"/>
      <c r="EQ63" s="1"/>
      <c r="ER63" s="1"/>
    </row>
    <row r="64" spans="2:148" ht="18" customHeight="1" x14ac:dyDescent="0.25">
      <c r="B64" s="6"/>
      <c r="C64" s="65"/>
      <c r="D64" s="65"/>
      <c r="E64" s="65"/>
      <c r="F64" s="65"/>
      <c r="G64" s="65"/>
      <c r="H64" s="65"/>
      <c r="I64" s="65"/>
      <c r="J64" s="65"/>
      <c r="K64" s="65"/>
      <c r="L64" s="65"/>
      <c r="M64" s="65"/>
      <c r="N64" s="65"/>
      <c r="O64" s="65"/>
      <c r="P64" s="65"/>
      <c r="Q64" s="65"/>
      <c r="R64" s="65"/>
      <c r="S64" s="65"/>
      <c r="T64" s="65"/>
      <c r="U64" s="65"/>
      <c r="V64" s="65"/>
      <c r="W64" s="65"/>
      <c r="X64" s="65"/>
      <c r="Y64" s="65"/>
      <c r="Z64" s="65"/>
      <c r="AA64" s="65"/>
      <c r="AB64" s="65"/>
      <c r="AC64" s="65"/>
      <c r="AD64" s="65"/>
      <c r="AE64" s="65"/>
      <c r="AF64" s="286" t="s">
        <v>657</v>
      </c>
      <c r="AG64" s="286"/>
      <c r="AH64" s="286"/>
      <c r="AI64" s="286"/>
      <c r="AJ64" s="286"/>
      <c r="AK64" s="286"/>
      <c r="AL64" s="286"/>
      <c r="AM64" s="286"/>
      <c r="AN64" s="286"/>
      <c r="AO64" s="286"/>
      <c r="AP64" s="8"/>
      <c r="AR64" s="6"/>
      <c r="AS64" s="65"/>
      <c r="AT64" s="65"/>
      <c r="AU64" s="65"/>
      <c r="AV64" s="65"/>
      <c r="AW64" s="65"/>
      <c r="AX64" s="65"/>
      <c r="AY64" s="65"/>
      <c r="AZ64" s="65"/>
      <c r="BA64" s="65"/>
      <c r="BB64" s="65"/>
      <c r="BC64" s="65"/>
      <c r="BD64" s="65"/>
      <c r="BE64" s="65"/>
      <c r="BF64" s="65"/>
      <c r="BG64" s="65"/>
      <c r="BH64" s="65"/>
      <c r="BI64" s="65"/>
      <c r="BJ64" s="65"/>
      <c r="BK64" s="65"/>
      <c r="BL64" s="65"/>
      <c r="BM64" s="65"/>
      <c r="BN64" s="65"/>
      <c r="BO64" s="65"/>
      <c r="BP64" s="65"/>
      <c r="BQ64" s="65"/>
      <c r="BR64" s="65"/>
      <c r="BS64" s="65"/>
      <c r="BT64" s="65"/>
      <c r="BU64" s="65"/>
      <c r="CF64" s="8"/>
      <c r="DY64" s="1"/>
      <c r="DZ64" s="1"/>
      <c r="EA64" s="1"/>
      <c r="ED64" s="1"/>
      <c r="EE64" s="1"/>
      <c r="EF64" s="1"/>
      <c r="EG64" s="1"/>
      <c r="EH64" s="1"/>
      <c r="EI64" s="1"/>
      <c r="EJ64" s="1"/>
      <c r="EK64" s="1"/>
      <c r="EL64" s="1"/>
      <c r="EM64" s="1"/>
      <c r="EN64" s="1"/>
      <c r="EO64" s="1"/>
      <c r="EP64" s="1"/>
      <c r="EQ64" s="1"/>
      <c r="ER64" s="1"/>
    </row>
    <row r="65" spans="2:148" ht="18" customHeight="1" x14ac:dyDescent="0.25">
      <c r="B65" s="6"/>
      <c r="C65" s="65"/>
      <c r="D65" s="65"/>
      <c r="E65" s="65"/>
      <c r="F65" s="65"/>
      <c r="G65" s="65"/>
      <c r="H65" s="65"/>
      <c r="I65" s="65"/>
      <c r="J65" s="65"/>
      <c r="K65" s="65"/>
      <c r="L65" s="65"/>
      <c r="M65" s="65"/>
      <c r="N65" s="65"/>
      <c r="O65" s="65"/>
      <c r="P65" s="65"/>
      <c r="Q65" s="65"/>
      <c r="R65" s="65"/>
      <c r="S65" s="65"/>
      <c r="T65" s="65"/>
      <c r="U65" s="65"/>
      <c r="V65" s="65"/>
      <c r="W65" s="65"/>
      <c r="X65" s="65"/>
      <c r="Y65" s="65"/>
      <c r="Z65" s="65"/>
      <c r="AA65" s="65"/>
      <c r="AB65" s="65"/>
      <c r="AC65" s="65"/>
      <c r="AD65" s="65"/>
      <c r="AE65" s="65"/>
      <c r="AF65" s="286"/>
      <c r="AG65" s="286"/>
      <c r="AH65" s="286"/>
      <c r="AI65" s="286"/>
      <c r="AJ65" s="286"/>
      <c r="AK65" s="286"/>
      <c r="AL65" s="286"/>
      <c r="AM65" s="286"/>
      <c r="AN65" s="286"/>
      <c r="AO65" s="286"/>
      <c r="AP65" s="8"/>
      <c r="AR65" s="6"/>
      <c r="AS65" s="65"/>
      <c r="AT65" s="65"/>
      <c r="AU65" s="65"/>
      <c r="AV65" s="65"/>
      <c r="AW65" s="65"/>
      <c r="AX65" s="65"/>
      <c r="AY65" s="65"/>
      <c r="AZ65" s="65"/>
      <c r="BA65" s="65"/>
      <c r="BB65" s="65"/>
      <c r="BC65" s="65"/>
      <c r="BD65" s="65"/>
      <c r="BE65" s="65"/>
      <c r="BF65" s="65"/>
      <c r="BG65" s="65"/>
      <c r="BH65" s="65"/>
      <c r="BI65" s="65"/>
      <c r="BJ65" s="65"/>
      <c r="BK65" s="65"/>
      <c r="BL65" s="65"/>
      <c r="BM65" s="65"/>
      <c r="BN65" s="65"/>
      <c r="BO65" s="65"/>
      <c r="BP65" s="65"/>
      <c r="BQ65" s="65"/>
      <c r="BR65" s="65"/>
      <c r="BS65" s="65"/>
      <c r="BT65" s="65"/>
      <c r="BU65" s="65"/>
      <c r="CF65" s="8"/>
      <c r="DY65" s="1"/>
      <c r="DZ65" s="1"/>
      <c r="EA65" s="1"/>
      <c r="ED65" s="1"/>
      <c r="EE65" s="1"/>
      <c r="EF65" s="1"/>
      <c r="EG65" s="1"/>
      <c r="EH65" s="1"/>
      <c r="EI65" s="1"/>
      <c r="EJ65" s="1"/>
      <c r="EK65" s="1"/>
      <c r="EL65" s="1"/>
      <c r="EM65" s="1"/>
      <c r="EN65" s="1"/>
      <c r="EO65" s="1"/>
      <c r="EP65" s="1"/>
      <c r="EQ65" s="1"/>
      <c r="ER65" s="1"/>
    </row>
    <row r="66" spans="2:148" ht="18" customHeight="1" x14ac:dyDescent="0.25">
      <c r="B66" s="6"/>
      <c r="C66" s="65"/>
      <c r="D66" s="65"/>
      <c r="E66" s="65"/>
      <c r="F66" s="65"/>
      <c r="G66" s="65"/>
      <c r="H66" s="65"/>
      <c r="I66" s="65"/>
      <c r="J66" s="65"/>
      <c r="K66" s="65"/>
      <c r="L66" s="65"/>
      <c r="M66" s="65"/>
      <c r="N66" s="65"/>
      <c r="O66" s="65"/>
      <c r="P66" s="65"/>
      <c r="Q66" s="65"/>
      <c r="R66" s="65"/>
      <c r="S66" s="65"/>
      <c r="T66" s="65"/>
      <c r="U66" s="65"/>
      <c r="V66" s="65"/>
      <c r="W66" s="65"/>
      <c r="X66" s="65"/>
      <c r="Y66" s="65"/>
      <c r="Z66" s="65"/>
      <c r="AA66" s="65"/>
      <c r="AB66" s="65"/>
      <c r="AC66" s="65"/>
      <c r="AD66" s="65"/>
      <c r="AE66" s="65"/>
      <c r="AF66" s="286"/>
      <c r="AG66" s="286"/>
      <c r="AH66" s="286"/>
      <c r="AI66" s="286"/>
      <c r="AJ66" s="286"/>
      <c r="AK66" s="286"/>
      <c r="AL66" s="286"/>
      <c r="AM66" s="286"/>
      <c r="AN66" s="286"/>
      <c r="AO66" s="286"/>
      <c r="AP66" s="8"/>
      <c r="AR66" s="6"/>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CF66" s="8"/>
      <c r="DY66" s="1"/>
      <c r="DZ66" s="1"/>
      <c r="EA66" s="1"/>
      <c r="ED66" s="1"/>
      <c r="EE66" s="1"/>
      <c r="EF66" s="1"/>
      <c r="EG66" s="1"/>
      <c r="EH66" s="1"/>
      <c r="EI66" s="1"/>
      <c r="EJ66" s="1"/>
      <c r="EK66" s="1"/>
      <c r="EL66" s="1"/>
      <c r="EM66" s="1"/>
      <c r="EN66" s="1"/>
      <c r="EO66" s="1"/>
      <c r="EP66" s="1"/>
      <c r="EQ66" s="1"/>
      <c r="ER66" s="1"/>
    </row>
    <row r="67" spans="2:148" ht="18" customHeight="1" x14ac:dyDescent="0.25">
      <c r="B67" s="6"/>
      <c r="C67" s="65"/>
      <c r="D67" s="65"/>
      <c r="E67" s="65"/>
      <c r="F67" s="65"/>
      <c r="G67" s="65"/>
      <c r="H67" s="65"/>
      <c r="I67" s="65"/>
      <c r="J67" s="65"/>
      <c r="K67" s="65"/>
      <c r="L67" s="65"/>
      <c r="M67" s="65"/>
      <c r="N67" s="65"/>
      <c r="O67" s="65"/>
      <c r="P67" s="65"/>
      <c r="Q67" s="65"/>
      <c r="R67" s="65"/>
      <c r="S67" s="65"/>
      <c r="T67" s="65"/>
      <c r="U67" s="65"/>
      <c r="V67" s="65"/>
      <c r="W67" s="65"/>
      <c r="X67" s="65"/>
      <c r="Y67" s="65"/>
      <c r="Z67" s="65"/>
      <c r="AA67" s="65"/>
      <c r="AB67" s="65"/>
      <c r="AC67" s="65"/>
      <c r="AD67" s="65"/>
      <c r="AE67" s="65"/>
      <c r="AF67" s="286"/>
      <c r="AG67" s="286"/>
      <c r="AH67" s="286"/>
      <c r="AI67" s="286"/>
      <c r="AJ67" s="286"/>
      <c r="AK67" s="286"/>
      <c r="AL67" s="286"/>
      <c r="AM67" s="286"/>
      <c r="AN67" s="286"/>
      <c r="AO67" s="286"/>
      <c r="AP67" s="8"/>
      <c r="AR67" s="6"/>
      <c r="AS67" s="65"/>
      <c r="AT67" s="65"/>
      <c r="AU67" s="65"/>
      <c r="AV67" s="65"/>
      <c r="AW67" s="65"/>
      <c r="AX67" s="65"/>
      <c r="AY67" s="65"/>
      <c r="AZ67" s="65"/>
      <c r="BA67" s="65"/>
      <c r="BB67" s="65"/>
      <c r="BC67" s="65"/>
      <c r="BD67" s="65"/>
      <c r="BE67" s="65"/>
      <c r="BF67" s="65"/>
      <c r="BG67" s="65"/>
      <c r="BH67" s="65"/>
      <c r="BI67" s="65"/>
      <c r="BJ67" s="65"/>
      <c r="BK67" s="65"/>
      <c r="BL67" s="65"/>
      <c r="BM67" s="65"/>
      <c r="BN67" s="65"/>
      <c r="BO67" s="65"/>
      <c r="BP67" s="65"/>
      <c r="BQ67" s="65"/>
      <c r="BR67" s="65"/>
      <c r="BS67" s="65"/>
      <c r="BT67" s="65"/>
      <c r="BU67" s="65"/>
      <c r="CF67" s="8"/>
      <c r="DY67" s="1"/>
      <c r="DZ67" s="1"/>
      <c r="EA67" s="1"/>
      <c r="ED67" s="1"/>
      <c r="EE67" s="1"/>
      <c r="EF67" s="1"/>
      <c r="EG67" s="1"/>
      <c r="EH67" s="1"/>
      <c r="EI67" s="1"/>
      <c r="EJ67" s="1"/>
      <c r="EK67" s="1"/>
      <c r="EL67" s="1"/>
      <c r="EM67" s="1"/>
      <c r="EN67" s="1"/>
      <c r="EO67" s="1"/>
      <c r="EP67" s="1"/>
      <c r="EQ67" s="1"/>
      <c r="ER67" s="1"/>
    </row>
    <row r="68" spans="2:148" ht="18" customHeight="1" x14ac:dyDescent="0.25">
      <c r="B68" s="6"/>
      <c r="C68" s="65"/>
      <c r="D68" s="65"/>
      <c r="E68" s="65"/>
      <c r="F68" s="65"/>
      <c r="G68" s="65"/>
      <c r="H68" s="65"/>
      <c r="I68" s="65"/>
      <c r="J68" s="65"/>
      <c r="K68" s="65"/>
      <c r="L68" s="65"/>
      <c r="M68" s="65"/>
      <c r="N68" s="65"/>
      <c r="O68" s="65"/>
      <c r="P68" s="65"/>
      <c r="Q68" s="65"/>
      <c r="R68" s="65"/>
      <c r="S68" s="65"/>
      <c r="T68" s="65"/>
      <c r="U68" s="65"/>
      <c r="V68" s="65"/>
      <c r="W68" s="65"/>
      <c r="X68" s="65"/>
      <c r="Y68" s="65"/>
      <c r="Z68" s="65"/>
      <c r="AA68" s="65"/>
      <c r="AB68" s="65"/>
      <c r="AC68" s="65"/>
      <c r="AD68" s="65"/>
      <c r="AE68" s="65"/>
      <c r="AF68" s="286"/>
      <c r="AG68" s="286"/>
      <c r="AH68" s="286"/>
      <c r="AI68" s="286"/>
      <c r="AJ68" s="286"/>
      <c r="AK68" s="286"/>
      <c r="AL68" s="286"/>
      <c r="AM68" s="286"/>
      <c r="AN68" s="286"/>
      <c r="AO68" s="286"/>
      <c r="AP68" s="8"/>
      <c r="AR68" s="6"/>
      <c r="AS68" s="65"/>
      <c r="AT68" s="65"/>
      <c r="AU68" s="65"/>
      <c r="AV68" s="65"/>
      <c r="AW68" s="65"/>
      <c r="AX68" s="65"/>
      <c r="AY68" s="65"/>
      <c r="AZ68" s="65"/>
      <c r="BA68" s="65"/>
      <c r="BB68" s="65"/>
      <c r="BC68" s="65"/>
      <c r="BD68" s="65"/>
      <c r="BE68" s="65"/>
      <c r="BF68" s="65"/>
      <c r="BG68" s="65"/>
      <c r="BH68" s="65"/>
      <c r="BI68" s="65"/>
      <c r="BJ68" s="65"/>
      <c r="BK68" s="65"/>
      <c r="BL68" s="65"/>
      <c r="BM68" s="65"/>
      <c r="BN68" s="65"/>
      <c r="BO68" s="65"/>
      <c r="BP68" s="65"/>
      <c r="BQ68" s="65"/>
      <c r="BR68" s="65"/>
      <c r="BS68" s="65"/>
      <c r="BT68" s="65"/>
      <c r="BU68" s="65"/>
      <c r="CF68" s="8"/>
      <c r="DY68" s="1"/>
      <c r="DZ68" s="1"/>
      <c r="EA68" s="1"/>
      <c r="ED68" s="1"/>
      <c r="EE68" s="1"/>
      <c r="EF68" s="1"/>
      <c r="EG68" s="1"/>
      <c r="EH68" s="1"/>
      <c r="EI68" s="1"/>
      <c r="EJ68" s="1"/>
      <c r="EK68" s="1"/>
      <c r="EL68" s="1"/>
      <c r="EM68" s="1"/>
      <c r="EN68" s="1"/>
      <c r="EO68" s="1"/>
      <c r="EP68" s="1"/>
      <c r="EQ68" s="1"/>
      <c r="ER68" s="1"/>
    </row>
    <row r="69" spans="2:148" ht="18" customHeight="1" x14ac:dyDescent="0.25">
      <c r="B69" s="6"/>
      <c r="C69" s="65"/>
      <c r="D69" s="65"/>
      <c r="E69" s="65"/>
      <c r="F69" s="65"/>
      <c r="G69" s="65"/>
      <c r="H69" s="65"/>
      <c r="I69" s="65"/>
      <c r="J69" s="65"/>
      <c r="K69" s="65"/>
      <c r="L69" s="65"/>
      <c r="M69" s="65"/>
      <c r="N69" s="65"/>
      <c r="O69" s="65"/>
      <c r="P69" s="65"/>
      <c r="Q69" s="65"/>
      <c r="R69" s="65"/>
      <c r="S69" s="65"/>
      <c r="T69" s="65"/>
      <c r="U69" s="65"/>
      <c r="V69" s="65"/>
      <c r="W69" s="65"/>
      <c r="X69" s="65"/>
      <c r="Y69" s="65"/>
      <c r="Z69" s="65"/>
      <c r="AA69" s="65"/>
      <c r="AB69" s="65"/>
      <c r="AC69" s="65"/>
      <c r="AD69" s="65"/>
      <c r="AE69" s="65"/>
      <c r="AF69" s="65"/>
      <c r="AK69" s="62"/>
      <c r="AL69" s="62"/>
      <c r="AM69" s="62"/>
      <c r="AN69" s="65"/>
      <c r="AO69" s="65"/>
      <c r="AP69" s="8"/>
      <c r="AR69" s="6"/>
      <c r="AS69" s="65"/>
      <c r="AT69" s="65"/>
      <c r="AU69" s="65"/>
      <c r="AV69" s="65"/>
      <c r="AW69" s="65"/>
      <c r="AX69" s="65"/>
      <c r="AY69" s="65"/>
      <c r="AZ69" s="65"/>
      <c r="BA69" s="65"/>
      <c r="BB69" s="65"/>
      <c r="BC69" s="65"/>
      <c r="BD69" s="65"/>
      <c r="BE69" s="65"/>
      <c r="BF69" s="65"/>
      <c r="BG69" s="65"/>
      <c r="BH69" s="65"/>
      <c r="BI69" s="65"/>
      <c r="BJ69" s="65"/>
      <c r="BK69" s="65"/>
      <c r="BL69" s="65"/>
      <c r="BM69" s="65"/>
      <c r="BN69" s="65"/>
      <c r="BO69" s="65"/>
      <c r="BP69" s="65"/>
      <c r="BQ69" s="65"/>
      <c r="BR69" s="65"/>
      <c r="BS69" s="65"/>
      <c r="BT69" s="65"/>
      <c r="BU69" s="65"/>
      <c r="BV69" s="65"/>
      <c r="CA69" s="62"/>
      <c r="CB69" s="62"/>
      <c r="CC69" s="62"/>
      <c r="CD69" s="65"/>
      <c r="CE69" s="65"/>
      <c r="CF69" s="8"/>
      <c r="DY69" s="1"/>
      <c r="DZ69" s="1"/>
      <c r="EA69" s="1"/>
      <c r="ED69" s="1"/>
      <c r="EE69" s="1"/>
      <c r="EF69" s="1"/>
      <c r="EG69" s="1"/>
      <c r="EH69" s="1"/>
      <c r="EI69" s="1"/>
      <c r="EJ69" s="1"/>
      <c r="EK69" s="1"/>
      <c r="EL69" s="1"/>
      <c r="EM69" s="1"/>
      <c r="EN69" s="1"/>
      <c r="EO69" s="1"/>
      <c r="EP69" s="1"/>
      <c r="EQ69" s="1"/>
      <c r="ER69" s="1"/>
    </row>
    <row r="70" spans="2:148" ht="18" customHeight="1" x14ac:dyDescent="0.25">
      <c r="B70" s="6"/>
      <c r="C70" s="65"/>
      <c r="D70" s="65"/>
      <c r="E70" s="65"/>
      <c r="F70" s="65"/>
      <c r="G70" s="65"/>
      <c r="H70" s="65"/>
      <c r="I70" s="65"/>
      <c r="J70" s="65"/>
      <c r="K70" s="65"/>
      <c r="L70" s="65"/>
      <c r="M70" s="65"/>
      <c r="N70" s="65"/>
      <c r="O70" s="65"/>
      <c r="P70" s="65"/>
      <c r="Q70" s="65"/>
      <c r="R70" s="65"/>
      <c r="S70" s="65"/>
      <c r="T70" s="65"/>
      <c r="AA70" s="65"/>
      <c r="AB70" s="65"/>
      <c r="AC70" s="65"/>
      <c r="AD70" s="65"/>
      <c r="AE70" s="65"/>
      <c r="AF70" s="65"/>
      <c r="AI70" s="65"/>
      <c r="AJ70" s="65"/>
      <c r="AK70" s="65"/>
      <c r="AL70" s="65"/>
      <c r="AM70" s="65"/>
      <c r="AN70" s="65"/>
      <c r="AO70" s="65"/>
      <c r="AP70" s="8"/>
      <c r="AR70" s="6"/>
      <c r="AS70" s="65"/>
      <c r="AT70" s="65"/>
      <c r="AU70" s="65"/>
      <c r="AV70" s="65"/>
      <c r="AW70" s="65"/>
      <c r="AX70" s="65"/>
      <c r="AY70" s="65"/>
      <c r="AZ70" s="65"/>
      <c r="BA70" s="65"/>
      <c r="BB70" s="65"/>
      <c r="BC70" s="65"/>
      <c r="BD70" s="65"/>
      <c r="BE70" s="65"/>
      <c r="BF70" s="65"/>
      <c r="BG70" s="65"/>
      <c r="BH70" s="65"/>
      <c r="BI70" s="65"/>
      <c r="BJ70" s="65"/>
      <c r="BQ70" s="65"/>
      <c r="BR70" s="65"/>
      <c r="BS70" s="65"/>
      <c r="BT70" s="65"/>
      <c r="BU70" s="65"/>
      <c r="BV70" s="65"/>
      <c r="BY70" s="65"/>
      <c r="BZ70" s="65"/>
      <c r="CA70" s="65"/>
      <c r="CB70" s="65"/>
      <c r="CC70" s="65"/>
      <c r="CD70" s="65"/>
      <c r="CE70" s="65"/>
      <c r="CF70" s="8"/>
      <c r="DY70" s="1"/>
      <c r="DZ70" s="1"/>
      <c r="EA70" s="1"/>
      <c r="ED70" s="1"/>
      <c r="EE70" s="1"/>
      <c r="EF70" s="1"/>
      <c r="EG70" s="1"/>
      <c r="EH70" s="1"/>
      <c r="EI70" s="1"/>
      <c r="EJ70" s="1"/>
      <c r="EK70" s="1"/>
      <c r="EL70" s="1"/>
      <c r="EM70" s="1"/>
      <c r="EN70" s="1"/>
      <c r="EO70" s="1"/>
      <c r="EP70" s="1"/>
      <c r="EQ70" s="1"/>
      <c r="ER70" s="1"/>
    </row>
    <row r="71" spans="2:148" ht="18" customHeight="1" x14ac:dyDescent="0.25">
      <c r="B71" s="6"/>
      <c r="F71" s="65"/>
      <c r="G71" s="65"/>
      <c r="H71" s="65"/>
      <c r="I71" s="65"/>
      <c r="J71" s="65"/>
      <c r="Q71" s="65"/>
      <c r="R71" s="65"/>
      <c r="S71" s="65"/>
      <c r="T71" s="65"/>
      <c r="AA71" s="65"/>
      <c r="AB71" s="65"/>
      <c r="AC71" s="65"/>
      <c r="AD71" s="65"/>
      <c r="AE71" s="65"/>
      <c r="AF71" s="65"/>
      <c r="AI71" s="65"/>
      <c r="AJ71" s="65"/>
      <c r="AK71" s="65"/>
      <c r="AL71" s="65"/>
      <c r="AM71" s="65"/>
      <c r="AN71" s="65"/>
      <c r="AO71" s="65"/>
      <c r="AP71" s="8"/>
      <c r="AR71" s="6"/>
      <c r="AV71" s="65"/>
      <c r="AW71" s="65"/>
      <c r="AX71" s="65"/>
      <c r="AY71" s="65"/>
      <c r="AZ71" s="65"/>
      <c r="BG71" s="65"/>
      <c r="BH71" s="65"/>
      <c r="BI71" s="65"/>
      <c r="BJ71" s="65"/>
      <c r="BQ71" s="65"/>
      <c r="BR71" s="65"/>
      <c r="BS71" s="65"/>
      <c r="BT71" s="65"/>
      <c r="BU71" s="65"/>
      <c r="BV71" s="65"/>
      <c r="BY71" s="65"/>
      <c r="BZ71" s="65"/>
      <c r="CA71" s="65"/>
      <c r="CB71" s="65"/>
      <c r="CC71" s="65"/>
      <c r="CD71" s="65"/>
      <c r="CE71" s="65"/>
      <c r="CF71" s="8"/>
      <c r="DY71" s="1"/>
      <c r="DZ71" s="1"/>
      <c r="EA71" s="1"/>
      <c r="ED71" s="1"/>
      <c r="EE71" s="1"/>
      <c r="EF71" s="1"/>
      <c r="EG71" s="1"/>
      <c r="EH71" s="1"/>
      <c r="EI71" s="1"/>
      <c r="EJ71" s="1"/>
      <c r="EK71" s="1"/>
      <c r="EL71" s="1"/>
      <c r="EM71" s="1"/>
      <c r="EN71" s="1"/>
      <c r="EO71" s="1"/>
      <c r="EP71" s="1"/>
      <c r="EQ71" s="1"/>
      <c r="ER71" s="1"/>
    </row>
    <row r="72" spans="2:148" ht="18" customHeight="1" x14ac:dyDescent="0.25">
      <c r="B72" s="6"/>
      <c r="F72" s="65"/>
      <c r="G72" s="65"/>
      <c r="H72" s="65"/>
      <c r="I72" s="65"/>
      <c r="J72" s="65"/>
      <c r="Q72" s="65"/>
      <c r="R72" s="65"/>
      <c r="S72" s="65"/>
      <c r="T72" s="65"/>
      <c r="U72" s="65"/>
      <c r="V72" s="65"/>
      <c r="W72" s="65"/>
      <c r="X72" s="65"/>
      <c r="Y72" s="65"/>
      <c r="Z72" s="65"/>
      <c r="AA72" s="65"/>
      <c r="AB72" s="65"/>
      <c r="AC72" s="65"/>
      <c r="AD72" s="65"/>
      <c r="AE72" s="65"/>
      <c r="AF72" s="65"/>
      <c r="AI72" s="65"/>
      <c r="AJ72" s="65"/>
      <c r="AK72" s="65"/>
      <c r="AL72" s="65"/>
      <c r="AM72" s="65"/>
      <c r="AN72" s="65"/>
      <c r="AO72" s="65"/>
      <c r="AP72" s="8"/>
      <c r="AR72" s="6"/>
      <c r="AT72" s="287" t="s">
        <v>659</v>
      </c>
      <c r="AU72" s="287"/>
      <c r="AV72" s="287"/>
      <c r="AW72" s="287"/>
      <c r="AX72" s="287"/>
      <c r="AY72" s="287"/>
      <c r="AZ72" s="287"/>
      <c r="BA72" s="287"/>
      <c r="BB72" s="287"/>
      <c r="BC72" s="287"/>
      <c r="BD72" s="287"/>
      <c r="BE72" s="287"/>
      <c r="BF72" s="287"/>
      <c r="BG72" s="287"/>
      <c r="BH72" s="287"/>
      <c r="BI72" s="287"/>
      <c r="BJ72" s="287"/>
      <c r="BK72" s="287"/>
      <c r="BL72" s="287"/>
      <c r="BM72" s="287"/>
      <c r="BN72" s="287"/>
      <c r="BO72" s="287"/>
      <c r="BP72" s="287"/>
      <c r="BQ72" s="287"/>
      <c r="BR72" s="287"/>
      <c r="BS72" s="287"/>
      <c r="BT72" s="287"/>
      <c r="BU72" s="287"/>
      <c r="BV72" s="287"/>
      <c r="BW72" s="287"/>
      <c r="BX72" s="287"/>
      <c r="BY72" s="287"/>
      <c r="BZ72" s="287"/>
      <c r="CA72" s="287"/>
      <c r="CB72" s="287"/>
      <c r="CC72" s="287"/>
      <c r="CD72" s="287"/>
      <c r="CE72" s="287"/>
      <c r="CF72" s="8"/>
      <c r="DY72" s="1"/>
      <c r="DZ72" s="1"/>
      <c r="EA72" s="1"/>
      <c r="ED72" s="1"/>
      <c r="EE72" s="1"/>
      <c r="EF72" s="1"/>
      <c r="EG72" s="1"/>
      <c r="EH72" s="1"/>
      <c r="EI72" s="1"/>
      <c r="EJ72" s="1"/>
      <c r="EK72" s="1"/>
      <c r="EL72" s="1"/>
      <c r="EM72" s="1"/>
      <c r="EN72" s="1"/>
      <c r="EO72" s="1"/>
      <c r="EP72" s="1"/>
      <c r="EQ72" s="1"/>
      <c r="ER72" s="1"/>
    </row>
    <row r="73" spans="2:148" ht="18" customHeight="1" x14ac:dyDescent="0.25">
      <c r="B73" s="6"/>
      <c r="C73" s="65"/>
      <c r="D73" s="65"/>
      <c r="E73" s="286" t="s">
        <v>262</v>
      </c>
      <c r="F73" s="286"/>
      <c r="G73" s="286"/>
      <c r="H73" s="286"/>
      <c r="I73" s="286"/>
      <c r="J73" s="286"/>
      <c r="K73" s="65"/>
      <c r="L73" s="65"/>
      <c r="M73" s="65"/>
      <c r="N73" s="65"/>
      <c r="O73" s="65"/>
      <c r="P73" s="286" t="s">
        <v>261</v>
      </c>
      <c r="Q73" s="286"/>
      <c r="R73" s="286"/>
      <c r="S73" s="286"/>
      <c r="T73" s="286"/>
      <c r="U73" s="286"/>
      <c r="V73" s="65"/>
      <c r="W73" s="65"/>
      <c r="X73" s="65"/>
      <c r="Y73" s="65"/>
      <c r="Z73" s="286" t="s">
        <v>263</v>
      </c>
      <c r="AA73" s="286"/>
      <c r="AB73" s="286"/>
      <c r="AC73" s="286"/>
      <c r="AD73" s="286"/>
      <c r="AE73" s="286"/>
      <c r="AF73" s="65"/>
      <c r="AI73" s="65"/>
      <c r="AJ73" s="65"/>
      <c r="AK73" s="65"/>
      <c r="AL73" s="65"/>
      <c r="AM73" s="65"/>
      <c r="AN73" s="65"/>
      <c r="AO73" s="65"/>
      <c r="AP73" s="8"/>
      <c r="AR73" s="6"/>
      <c r="AS73" s="65"/>
      <c r="AT73" s="287"/>
      <c r="AU73" s="287"/>
      <c r="AV73" s="287"/>
      <c r="AW73" s="287"/>
      <c r="AX73" s="287"/>
      <c r="AY73" s="287"/>
      <c r="AZ73" s="287"/>
      <c r="BA73" s="287"/>
      <c r="BB73" s="287"/>
      <c r="BC73" s="287"/>
      <c r="BD73" s="287"/>
      <c r="BE73" s="287"/>
      <c r="BF73" s="287"/>
      <c r="BG73" s="287"/>
      <c r="BH73" s="287"/>
      <c r="BI73" s="287"/>
      <c r="BJ73" s="287"/>
      <c r="BK73" s="287"/>
      <c r="BL73" s="287"/>
      <c r="BM73" s="287"/>
      <c r="BN73" s="287"/>
      <c r="BO73" s="287"/>
      <c r="BP73" s="287"/>
      <c r="BQ73" s="287"/>
      <c r="BR73" s="287"/>
      <c r="BS73" s="287"/>
      <c r="BT73" s="287"/>
      <c r="BU73" s="287"/>
      <c r="BV73" s="287"/>
      <c r="BW73" s="287"/>
      <c r="BX73" s="287"/>
      <c r="BY73" s="287"/>
      <c r="BZ73" s="287"/>
      <c r="CA73" s="287"/>
      <c r="CB73" s="287"/>
      <c r="CC73" s="287"/>
      <c r="CD73" s="287"/>
      <c r="CE73" s="287"/>
      <c r="CF73" s="8"/>
      <c r="DY73" s="1"/>
      <c r="DZ73" s="1"/>
      <c r="EA73" s="1"/>
      <c r="ED73" s="1"/>
      <c r="EE73" s="1"/>
      <c r="EF73" s="1"/>
      <c r="EG73" s="1"/>
      <c r="EH73" s="1"/>
      <c r="EI73" s="1"/>
      <c r="EJ73" s="1"/>
      <c r="EK73" s="1"/>
      <c r="EL73" s="1"/>
      <c r="EM73" s="1"/>
      <c r="EN73" s="1"/>
      <c r="EO73" s="1"/>
      <c r="EP73" s="1"/>
      <c r="EQ73" s="1"/>
      <c r="ER73" s="1"/>
    </row>
    <row r="74" spans="2:148" ht="18" customHeight="1" x14ac:dyDescent="0.25">
      <c r="B74" s="6"/>
      <c r="C74" s="65"/>
      <c r="D74" s="65"/>
      <c r="E74" s="286"/>
      <c r="F74" s="286"/>
      <c r="G74" s="286"/>
      <c r="H74" s="286"/>
      <c r="I74" s="286"/>
      <c r="J74" s="286"/>
      <c r="K74" s="65"/>
      <c r="L74" s="65"/>
      <c r="M74" s="65"/>
      <c r="P74" s="286"/>
      <c r="Q74" s="286"/>
      <c r="R74" s="286"/>
      <c r="S74" s="286"/>
      <c r="T74" s="286"/>
      <c r="U74" s="286"/>
      <c r="V74" s="65"/>
      <c r="W74" s="65"/>
      <c r="X74" s="65"/>
      <c r="Y74" s="65"/>
      <c r="Z74" s="286"/>
      <c r="AA74" s="286"/>
      <c r="AB74" s="286"/>
      <c r="AC74" s="286"/>
      <c r="AD74" s="286"/>
      <c r="AE74" s="286"/>
      <c r="AF74" s="65"/>
      <c r="AI74" s="65"/>
      <c r="AJ74" s="65"/>
      <c r="AK74" s="65"/>
      <c r="AL74" s="65"/>
      <c r="AM74" s="65"/>
      <c r="AN74" s="65"/>
      <c r="AO74" s="65"/>
      <c r="AP74" s="8"/>
      <c r="AR74" s="6"/>
      <c r="AS74" s="65"/>
      <c r="AT74" s="287"/>
      <c r="AU74" s="287"/>
      <c r="AV74" s="287"/>
      <c r="AW74" s="287"/>
      <c r="AX74" s="287"/>
      <c r="AY74" s="287"/>
      <c r="AZ74" s="287"/>
      <c r="BA74" s="287"/>
      <c r="BB74" s="287"/>
      <c r="BC74" s="287"/>
      <c r="BD74" s="287"/>
      <c r="BE74" s="287"/>
      <c r="BF74" s="287"/>
      <c r="BG74" s="287"/>
      <c r="BH74" s="287"/>
      <c r="BI74" s="287"/>
      <c r="BJ74" s="287"/>
      <c r="BK74" s="287"/>
      <c r="BL74" s="287"/>
      <c r="BM74" s="287"/>
      <c r="BN74" s="287"/>
      <c r="BO74" s="287"/>
      <c r="BP74" s="287"/>
      <c r="BQ74" s="287"/>
      <c r="BR74" s="287"/>
      <c r="BS74" s="287"/>
      <c r="BT74" s="287"/>
      <c r="BU74" s="287"/>
      <c r="BV74" s="287"/>
      <c r="BW74" s="287"/>
      <c r="BX74" s="287"/>
      <c r="BY74" s="287"/>
      <c r="BZ74" s="287"/>
      <c r="CA74" s="287"/>
      <c r="CB74" s="287"/>
      <c r="CC74" s="287"/>
      <c r="CD74" s="287"/>
      <c r="CE74" s="287"/>
      <c r="CF74" s="8"/>
      <c r="DY74" s="1"/>
      <c r="DZ74" s="1"/>
      <c r="EA74" s="1"/>
      <c r="ED74" s="1"/>
      <c r="EE74" s="1"/>
      <c r="EF74" s="1"/>
      <c r="EG74" s="1"/>
      <c r="EH74" s="1"/>
      <c r="EI74" s="1"/>
      <c r="EJ74" s="1"/>
      <c r="EK74" s="1"/>
      <c r="EL74" s="1"/>
      <c r="EM74" s="1"/>
      <c r="EN74" s="1"/>
      <c r="EO74" s="1"/>
      <c r="EP74" s="1"/>
      <c r="EQ74" s="1"/>
      <c r="ER74" s="1"/>
    </row>
    <row r="75" spans="2:148" ht="18" customHeight="1" x14ac:dyDescent="0.25">
      <c r="B75" s="6"/>
      <c r="C75" s="65"/>
      <c r="D75" s="65"/>
      <c r="AI75" s="65"/>
      <c r="AJ75" s="65"/>
      <c r="AK75" s="65"/>
      <c r="AL75" s="65"/>
      <c r="AM75" s="65"/>
      <c r="AN75" s="65"/>
      <c r="AO75" s="65"/>
      <c r="AP75" s="27"/>
      <c r="AR75" s="6"/>
      <c r="AS75" s="65"/>
      <c r="BD75" s="16"/>
      <c r="BE75" s="16"/>
      <c r="BF75" s="16"/>
      <c r="BG75" s="16"/>
      <c r="BH75" s="16"/>
      <c r="BI75" s="16"/>
      <c r="BJ75" s="16"/>
      <c r="BK75" s="16"/>
      <c r="BL75" s="16"/>
      <c r="BM75" s="16"/>
      <c r="CF75" s="27"/>
      <c r="DY75" s="1"/>
      <c r="DZ75" s="1"/>
      <c r="EA75" s="1"/>
      <c r="ED75" s="1"/>
      <c r="EE75" s="1"/>
      <c r="EF75" s="1"/>
      <c r="EG75" s="1"/>
      <c r="EH75" s="1"/>
      <c r="EI75" s="1"/>
      <c r="EJ75" s="1"/>
      <c r="EK75" s="1"/>
      <c r="EL75" s="1"/>
      <c r="EM75" s="1"/>
      <c r="EN75" s="1"/>
      <c r="EO75" s="1"/>
      <c r="EP75" s="1"/>
      <c r="EQ75" s="1"/>
      <c r="ER75" s="1"/>
    </row>
    <row r="76" spans="2:148" ht="18" customHeight="1" x14ac:dyDescent="0.25">
      <c r="B76" s="6"/>
      <c r="C76" s="65"/>
      <c r="D76" s="65"/>
      <c r="AI76" s="65"/>
      <c r="AJ76" s="65"/>
      <c r="AK76" s="65"/>
      <c r="AL76" s="65"/>
      <c r="AM76" s="65"/>
      <c r="AN76" s="65"/>
      <c r="AO76" s="65"/>
      <c r="AP76" s="8"/>
      <c r="AR76" s="6"/>
      <c r="AS76" s="215" t="s">
        <v>265</v>
      </c>
      <c r="AT76" s="288"/>
      <c r="AU76" s="288"/>
      <c r="AV76" s="288"/>
      <c r="AW76" s="288"/>
      <c r="AX76" s="288"/>
      <c r="AY76" s="288"/>
      <c r="AZ76" s="288"/>
      <c r="BA76" s="288"/>
      <c r="BB76" s="288"/>
      <c r="BC76" s="288"/>
      <c r="BD76" s="288"/>
      <c r="BE76" s="288"/>
      <c r="BF76" s="288"/>
      <c r="BG76" s="288"/>
      <c r="BH76" s="288"/>
      <c r="BI76" s="288"/>
      <c r="BJ76" s="288"/>
      <c r="BK76" s="288"/>
      <c r="BL76" s="288"/>
      <c r="BM76" s="288"/>
      <c r="BN76" s="288"/>
      <c r="BO76" s="288"/>
      <c r="BP76" s="288"/>
      <c r="BQ76" s="288"/>
      <c r="BR76" s="288"/>
      <c r="BS76" s="288"/>
      <c r="BT76" s="288"/>
      <c r="BU76" s="288"/>
      <c r="BV76" s="288"/>
      <c r="BW76" s="288"/>
      <c r="BX76" s="288"/>
      <c r="BY76" s="288"/>
      <c r="BZ76" s="288"/>
      <c r="CA76" s="288"/>
      <c r="CB76" s="288"/>
      <c r="CC76" s="288"/>
      <c r="CD76" s="288"/>
      <c r="CE76" s="288"/>
      <c r="CF76" s="8"/>
      <c r="DY76" s="1"/>
      <c r="DZ76" s="1"/>
      <c r="EA76" s="1"/>
      <c r="ED76" s="1"/>
      <c r="EE76" s="1"/>
      <c r="EF76" s="1"/>
      <c r="EG76" s="1"/>
      <c r="EH76" s="1"/>
      <c r="EI76" s="1"/>
      <c r="EJ76" s="1"/>
      <c r="EK76" s="1"/>
      <c r="EL76" s="1"/>
      <c r="EM76" s="1"/>
      <c r="EN76" s="1"/>
      <c r="EO76" s="1"/>
      <c r="EP76" s="1"/>
      <c r="EQ76" s="1"/>
      <c r="ER76" s="1"/>
    </row>
    <row r="77" spans="2:148" ht="18" customHeight="1" x14ac:dyDescent="0.25">
      <c r="B77" s="6"/>
      <c r="C77" s="65"/>
      <c r="D77" s="65"/>
      <c r="AI77" s="65"/>
      <c r="AJ77" s="65"/>
      <c r="AK77" s="65"/>
      <c r="AL77" s="65"/>
      <c r="AM77" s="65"/>
      <c r="AN77" s="65"/>
      <c r="AO77" s="65"/>
      <c r="AP77" s="8"/>
      <c r="AR77" s="6"/>
      <c r="AS77" s="289" t="s">
        <v>660</v>
      </c>
      <c r="AT77" s="289"/>
      <c r="AU77" s="289"/>
      <c r="AV77" s="289"/>
      <c r="AW77" s="289"/>
      <c r="AX77" s="289"/>
      <c r="AY77" s="289"/>
      <c r="AZ77" s="289"/>
      <c r="BA77" s="289"/>
      <c r="BB77" s="289"/>
      <c r="BC77" s="289"/>
      <c r="BD77" s="289"/>
      <c r="BE77" s="289"/>
      <c r="BF77" s="289"/>
      <c r="BG77" s="289"/>
      <c r="BH77" s="289"/>
      <c r="BI77" s="289"/>
      <c r="BJ77" s="289"/>
      <c r="BK77" s="289"/>
      <c r="BL77" s="289"/>
      <c r="BM77" s="289"/>
      <c r="BN77" s="289"/>
      <c r="BO77" s="289"/>
      <c r="BP77" s="289"/>
      <c r="BQ77" s="289"/>
      <c r="BR77" s="289"/>
      <c r="BS77" s="289"/>
      <c r="BT77" s="289"/>
      <c r="BU77" s="289"/>
      <c r="BV77" s="289"/>
      <c r="BW77" s="289"/>
      <c r="BX77" s="289"/>
      <c r="BY77" s="289"/>
      <c r="BZ77" s="289"/>
      <c r="CA77" s="289"/>
      <c r="CB77" s="289"/>
      <c r="CC77" s="289"/>
      <c r="CD77" s="289"/>
      <c r="CE77" s="289"/>
      <c r="CF77" s="8"/>
      <c r="DY77" s="1"/>
      <c r="DZ77" s="1"/>
      <c r="EA77" s="1"/>
      <c r="ED77" s="1"/>
      <c r="EE77" s="1"/>
      <c r="EF77" s="1"/>
      <c r="EG77" s="1"/>
      <c r="EH77" s="1"/>
      <c r="EI77" s="1"/>
      <c r="EJ77" s="1"/>
      <c r="EK77" s="1"/>
      <c r="EL77" s="1"/>
      <c r="EM77" s="1"/>
      <c r="EN77" s="1"/>
      <c r="EO77" s="1"/>
      <c r="EP77" s="1"/>
      <c r="EQ77" s="1"/>
      <c r="ER77" s="1"/>
    </row>
    <row r="78" spans="2:148" ht="18" customHeight="1" x14ac:dyDescent="0.25">
      <c r="B78" s="6"/>
      <c r="AI78" s="65"/>
      <c r="AJ78" s="65"/>
      <c r="AK78" s="65"/>
      <c r="AL78" s="65"/>
      <c r="AM78" s="65"/>
      <c r="AN78" s="65"/>
      <c r="AO78" s="65"/>
      <c r="AP78" s="8"/>
      <c r="AR78" s="6"/>
      <c r="AS78" s="289"/>
      <c r="AT78" s="289"/>
      <c r="AU78" s="289"/>
      <c r="AV78" s="289"/>
      <c r="AW78" s="289"/>
      <c r="AX78" s="289"/>
      <c r="AY78" s="289"/>
      <c r="AZ78" s="289"/>
      <c r="BA78" s="289"/>
      <c r="BB78" s="289"/>
      <c r="BC78" s="289"/>
      <c r="BD78" s="289"/>
      <c r="BE78" s="289"/>
      <c r="BF78" s="289"/>
      <c r="BG78" s="289"/>
      <c r="BH78" s="289"/>
      <c r="BI78" s="289"/>
      <c r="BJ78" s="289"/>
      <c r="BK78" s="289"/>
      <c r="BL78" s="289"/>
      <c r="BM78" s="289"/>
      <c r="BN78" s="289"/>
      <c r="BO78" s="289"/>
      <c r="BP78" s="289"/>
      <c r="BQ78" s="289"/>
      <c r="BR78" s="289"/>
      <c r="BS78" s="289"/>
      <c r="BT78" s="289"/>
      <c r="BU78" s="289"/>
      <c r="BV78" s="289"/>
      <c r="BW78" s="289"/>
      <c r="BX78" s="289"/>
      <c r="BY78" s="289"/>
      <c r="BZ78" s="289"/>
      <c r="CA78" s="289"/>
      <c r="CB78" s="289"/>
      <c r="CC78" s="289"/>
      <c r="CD78" s="289"/>
      <c r="CE78" s="289"/>
      <c r="CF78" s="8"/>
      <c r="DY78" s="1"/>
      <c r="DZ78" s="1"/>
      <c r="EA78" s="1"/>
      <c r="ED78" s="1"/>
      <c r="EE78" s="1"/>
      <c r="EF78" s="1"/>
      <c r="EG78" s="1"/>
      <c r="EH78" s="1"/>
      <c r="EI78" s="1"/>
      <c r="EJ78" s="1"/>
      <c r="EK78" s="1"/>
      <c r="EL78" s="1"/>
      <c r="EM78" s="1"/>
      <c r="EN78" s="1"/>
      <c r="EO78" s="1"/>
      <c r="EP78" s="1"/>
      <c r="EQ78" s="1"/>
      <c r="ER78" s="1"/>
    </row>
    <row r="79" spans="2:148" ht="18" customHeight="1" x14ac:dyDescent="0.25">
      <c r="B79" s="6"/>
      <c r="AI79" s="65"/>
      <c r="AJ79" s="65"/>
      <c r="AK79" s="65"/>
      <c r="AL79" s="65"/>
      <c r="AM79" s="65"/>
      <c r="AN79" s="65"/>
      <c r="AO79" s="65"/>
      <c r="AP79" s="8"/>
      <c r="AR79" s="6"/>
      <c r="AS79" s="289"/>
      <c r="AT79" s="289"/>
      <c r="AU79" s="289"/>
      <c r="AV79" s="289"/>
      <c r="AW79" s="289"/>
      <c r="AX79" s="289"/>
      <c r="AY79" s="289"/>
      <c r="AZ79" s="289"/>
      <c r="BA79" s="289"/>
      <c r="BB79" s="289"/>
      <c r="BC79" s="289"/>
      <c r="BD79" s="289"/>
      <c r="BE79" s="289"/>
      <c r="BF79" s="289"/>
      <c r="BG79" s="289"/>
      <c r="BH79" s="289"/>
      <c r="BI79" s="289"/>
      <c r="BJ79" s="289"/>
      <c r="BK79" s="289"/>
      <c r="BL79" s="289"/>
      <c r="BM79" s="289"/>
      <c r="BN79" s="289"/>
      <c r="BO79" s="289"/>
      <c r="BP79" s="289"/>
      <c r="BQ79" s="289"/>
      <c r="BR79" s="289"/>
      <c r="BS79" s="289"/>
      <c r="BT79" s="289"/>
      <c r="BU79" s="289"/>
      <c r="BV79" s="289"/>
      <c r="BW79" s="289"/>
      <c r="BX79" s="289"/>
      <c r="BY79" s="289"/>
      <c r="BZ79" s="289"/>
      <c r="CA79" s="289"/>
      <c r="CB79" s="289"/>
      <c r="CC79" s="289"/>
      <c r="CD79" s="289"/>
      <c r="CE79" s="289"/>
      <c r="CF79" s="8"/>
      <c r="DY79" s="1"/>
      <c r="DZ79" s="1"/>
      <c r="EA79" s="1"/>
      <c r="ED79" s="1"/>
      <c r="EE79" s="1"/>
      <c r="EF79" s="1"/>
      <c r="EG79" s="1"/>
      <c r="EH79" s="1"/>
      <c r="EI79" s="1"/>
      <c r="EJ79" s="1"/>
      <c r="EK79" s="1"/>
      <c r="EL79" s="1"/>
      <c r="EM79" s="1"/>
      <c r="EN79" s="1"/>
      <c r="EO79" s="1"/>
      <c r="EP79" s="1"/>
      <c r="EQ79" s="1"/>
      <c r="ER79" s="1"/>
    </row>
    <row r="80" spans="2:148" ht="18" customHeight="1" x14ac:dyDescent="0.25">
      <c r="B80" s="6"/>
      <c r="C80" s="65"/>
      <c r="D80" s="65"/>
      <c r="AI80" s="65"/>
      <c r="AJ80" s="65"/>
      <c r="AK80" s="65"/>
      <c r="AL80" s="65"/>
      <c r="AM80" s="65"/>
      <c r="AN80" s="65"/>
      <c r="AO80" s="65"/>
      <c r="AP80" s="8"/>
      <c r="AR80" s="6"/>
      <c r="AS80" s="289"/>
      <c r="AT80" s="289"/>
      <c r="AU80" s="289"/>
      <c r="AV80" s="289"/>
      <c r="AW80" s="289"/>
      <c r="AX80" s="289"/>
      <c r="AY80" s="289"/>
      <c r="AZ80" s="289"/>
      <c r="BA80" s="289"/>
      <c r="BB80" s="289"/>
      <c r="BC80" s="289"/>
      <c r="BD80" s="289"/>
      <c r="BE80" s="289"/>
      <c r="BF80" s="289"/>
      <c r="BG80" s="289"/>
      <c r="BH80" s="289"/>
      <c r="BI80" s="289"/>
      <c r="BJ80" s="289"/>
      <c r="BK80" s="289"/>
      <c r="BL80" s="289"/>
      <c r="BM80" s="289"/>
      <c r="BN80" s="289"/>
      <c r="BO80" s="289"/>
      <c r="BP80" s="289"/>
      <c r="BQ80" s="289"/>
      <c r="BR80" s="289"/>
      <c r="BS80" s="289"/>
      <c r="BT80" s="289"/>
      <c r="BU80" s="289"/>
      <c r="BV80" s="289"/>
      <c r="BW80" s="289"/>
      <c r="BX80" s="289"/>
      <c r="BY80" s="289"/>
      <c r="BZ80" s="289"/>
      <c r="CA80" s="289"/>
      <c r="CB80" s="289"/>
      <c r="CC80" s="289"/>
      <c r="CD80" s="289"/>
      <c r="CE80" s="289"/>
      <c r="CF80" s="8"/>
      <c r="DY80" s="1"/>
      <c r="DZ80" s="1"/>
      <c r="EA80" s="1"/>
      <c r="ED80" s="1"/>
      <c r="EE80" s="1"/>
      <c r="EF80" s="1"/>
      <c r="EG80" s="1"/>
      <c r="EH80" s="1"/>
      <c r="EI80" s="1"/>
      <c r="EJ80" s="1"/>
      <c r="EK80" s="1"/>
      <c r="EL80" s="1"/>
      <c r="EM80" s="1"/>
      <c r="EN80" s="1"/>
      <c r="EO80" s="1"/>
      <c r="EP80" s="1"/>
      <c r="EQ80" s="1"/>
      <c r="ER80" s="1"/>
    </row>
    <row r="81" spans="2:84" s="1" customFormat="1" ht="18" customHeight="1" x14ac:dyDescent="0.25">
      <c r="B81" s="6"/>
      <c r="C81" s="65"/>
      <c r="D81" s="65"/>
      <c r="AF81" s="286" t="s">
        <v>658</v>
      </c>
      <c r="AG81" s="286"/>
      <c r="AH81" s="286"/>
      <c r="AI81" s="286"/>
      <c r="AJ81" s="286"/>
      <c r="AK81" s="286"/>
      <c r="AL81" s="286"/>
      <c r="AM81" s="286"/>
      <c r="AN81" s="286"/>
      <c r="AO81" s="286"/>
      <c r="AP81" s="8"/>
      <c r="AR81" s="6"/>
      <c r="AS81" s="289"/>
      <c r="AT81" s="289"/>
      <c r="AU81" s="289"/>
      <c r="AV81" s="289"/>
      <c r="AW81" s="289"/>
      <c r="AX81" s="289"/>
      <c r="AY81" s="289"/>
      <c r="AZ81" s="289"/>
      <c r="BA81" s="289"/>
      <c r="BB81" s="289"/>
      <c r="BC81" s="289"/>
      <c r="BD81" s="289"/>
      <c r="BE81" s="289"/>
      <c r="BF81" s="289"/>
      <c r="BG81" s="289"/>
      <c r="BH81" s="289"/>
      <c r="BI81" s="289"/>
      <c r="BJ81" s="289"/>
      <c r="BK81" s="289"/>
      <c r="BL81" s="289"/>
      <c r="BM81" s="289"/>
      <c r="BN81" s="289"/>
      <c r="BO81" s="289"/>
      <c r="BP81" s="289"/>
      <c r="BQ81" s="289"/>
      <c r="BR81" s="289"/>
      <c r="BS81" s="289"/>
      <c r="BT81" s="289"/>
      <c r="BU81" s="289"/>
      <c r="BV81" s="289"/>
      <c r="BW81" s="289"/>
      <c r="BX81" s="289"/>
      <c r="BY81" s="289"/>
      <c r="BZ81" s="289"/>
      <c r="CA81" s="289"/>
      <c r="CB81" s="289"/>
      <c r="CC81" s="289"/>
      <c r="CD81" s="289"/>
      <c r="CE81" s="289"/>
      <c r="CF81" s="8"/>
    </row>
    <row r="82" spans="2:84" s="1" customFormat="1" ht="18" customHeight="1" x14ac:dyDescent="0.25">
      <c r="B82" s="6"/>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286"/>
      <c r="AG82" s="286"/>
      <c r="AH82" s="286"/>
      <c r="AI82" s="286"/>
      <c r="AJ82" s="286"/>
      <c r="AK82" s="286"/>
      <c r="AL82" s="286"/>
      <c r="AM82" s="286"/>
      <c r="AN82" s="286"/>
      <c r="AO82" s="286"/>
      <c r="AP82" s="8"/>
      <c r="AR82" s="6"/>
      <c r="AS82" s="65"/>
      <c r="CF82" s="8"/>
    </row>
    <row r="83" spans="2:84" s="1" customFormat="1" ht="18" customHeight="1" x14ac:dyDescent="0.25">
      <c r="B83" s="6"/>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5"/>
      <c r="AE83" s="65"/>
      <c r="AF83" s="286"/>
      <c r="AG83" s="286"/>
      <c r="AH83" s="286"/>
      <c r="AI83" s="286"/>
      <c r="AJ83" s="286"/>
      <c r="AK83" s="286"/>
      <c r="AL83" s="286"/>
      <c r="AM83" s="286"/>
      <c r="AN83" s="286"/>
      <c r="AO83" s="286"/>
      <c r="AP83" s="8"/>
      <c r="AR83" s="6"/>
      <c r="AS83" s="65"/>
      <c r="CF83" s="8"/>
    </row>
    <row r="84" spans="2:84" s="1" customFormat="1" ht="18" customHeight="1" x14ac:dyDescent="0.25">
      <c r="B84" s="6"/>
      <c r="C84" s="65"/>
      <c r="D84" s="65"/>
      <c r="E84" s="65"/>
      <c r="F84" s="65"/>
      <c r="G84" s="65"/>
      <c r="H84" s="65"/>
      <c r="I84" s="65"/>
      <c r="J84" s="65"/>
      <c r="K84" s="65"/>
      <c r="L84" s="65"/>
      <c r="M84" s="65"/>
      <c r="N84" s="65"/>
      <c r="O84" s="65"/>
      <c r="P84" s="65"/>
      <c r="Q84" s="65"/>
      <c r="R84" s="65"/>
      <c r="S84" s="65"/>
      <c r="T84" s="65"/>
      <c r="U84" s="65"/>
      <c r="V84" s="65"/>
      <c r="W84" s="65"/>
      <c r="X84" s="65"/>
      <c r="Y84" s="65"/>
      <c r="Z84" s="65"/>
      <c r="AA84" s="65"/>
      <c r="AB84" s="65"/>
      <c r="AC84" s="65"/>
      <c r="AD84" s="65"/>
      <c r="AE84" s="65"/>
      <c r="AF84" s="286"/>
      <c r="AG84" s="286"/>
      <c r="AH84" s="286"/>
      <c r="AI84" s="286"/>
      <c r="AJ84" s="286"/>
      <c r="AK84" s="286"/>
      <c r="AL84" s="286"/>
      <c r="AM84" s="286"/>
      <c r="AN84" s="286"/>
      <c r="AO84" s="286"/>
      <c r="AP84" s="8"/>
      <c r="AR84" s="6"/>
      <c r="AS84" s="65"/>
      <c r="CF84" s="8"/>
    </row>
    <row r="85" spans="2:84" s="1" customFormat="1" ht="18" customHeight="1" x14ac:dyDescent="0.25">
      <c r="B85" s="6"/>
      <c r="C85" s="65"/>
      <c r="D85" s="65"/>
      <c r="E85" s="65"/>
      <c r="F85" s="65"/>
      <c r="G85" s="65"/>
      <c r="H85" s="65"/>
      <c r="I85" s="65"/>
      <c r="J85" s="65"/>
      <c r="K85" s="65"/>
      <c r="L85" s="65"/>
      <c r="M85" s="65"/>
      <c r="N85" s="65"/>
      <c r="O85" s="65"/>
      <c r="P85" s="65"/>
      <c r="Q85" s="65"/>
      <c r="R85" s="65"/>
      <c r="S85" s="65"/>
      <c r="T85" s="65"/>
      <c r="U85" s="65"/>
      <c r="V85" s="65"/>
      <c r="W85" s="65"/>
      <c r="X85" s="65"/>
      <c r="Y85" s="65"/>
      <c r="Z85" s="65"/>
      <c r="AA85" s="65"/>
      <c r="AB85" s="65"/>
      <c r="AC85" s="65"/>
      <c r="AD85" s="65"/>
      <c r="AE85" s="65"/>
      <c r="AF85" s="286"/>
      <c r="AG85" s="286"/>
      <c r="AH85" s="286"/>
      <c r="AI85" s="286"/>
      <c r="AJ85" s="286"/>
      <c r="AK85" s="286"/>
      <c r="AL85" s="286"/>
      <c r="AM85" s="286"/>
      <c r="AN85" s="286"/>
      <c r="AO85" s="286"/>
      <c r="AP85" s="8"/>
      <c r="AR85" s="6"/>
      <c r="AS85" s="65"/>
      <c r="CF85" s="8"/>
    </row>
    <row r="86" spans="2:84" s="1" customFormat="1" ht="18" customHeight="1" x14ac:dyDescent="0.25">
      <c r="B86" s="6"/>
      <c r="C86" s="65"/>
      <c r="D86" s="65"/>
      <c r="E86" s="65"/>
      <c r="F86" s="65"/>
      <c r="G86" s="65"/>
      <c r="H86" s="65"/>
      <c r="I86" s="65"/>
      <c r="J86" s="65"/>
      <c r="K86" s="65"/>
      <c r="L86" s="65"/>
      <c r="M86" s="65"/>
      <c r="N86" s="65"/>
      <c r="O86" s="65"/>
      <c r="P86" s="65"/>
      <c r="Q86" s="65"/>
      <c r="R86" s="65"/>
      <c r="S86" s="65"/>
      <c r="T86" s="65"/>
      <c r="U86" s="65"/>
      <c r="V86" s="65"/>
      <c r="W86" s="65"/>
      <c r="X86" s="65"/>
      <c r="Y86" s="65"/>
      <c r="Z86" s="65"/>
      <c r="AA86" s="65"/>
      <c r="AB86" s="65"/>
      <c r="AC86" s="65"/>
      <c r="AD86" s="65"/>
      <c r="AE86" s="65"/>
      <c r="AF86" s="65"/>
      <c r="AG86" s="65"/>
      <c r="AH86" s="65"/>
      <c r="AI86" s="65"/>
      <c r="AJ86" s="65"/>
      <c r="AK86" s="65"/>
      <c r="AL86" s="65"/>
      <c r="AM86" s="65"/>
      <c r="AN86" s="65"/>
      <c r="AO86" s="65"/>
      <c r="AP86" s="8"/>
      <c r="AR86" s="6"/>
      <c r="AS86" s="65"/>
      <c r="CF86" s="8"/>
    </row>
    <row r="87" spans="2:84" s="1" customFormat="1" ht="18" customHeight="1" x14ac:dyDescent="0.25">
      <c r="B87" s="6"/>
      <c r="C87" s="65"/>
      <c r="D87" s="65"/>
      <c r="E87" s="65"/>
      <c r="F87" s="65"/>
      <c r="G87" s="65"/>
      <c r="H87" s="65"/>
      <c r="I87" s="65"/>
      <c r="J87" s="65"/>
      <c r="K87" s="65"/>
      <c r="L87" s="65"/>
      <c r="M87" s="65"/>
      <c r="N87" s="65"/>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8"/>
      <c r="AR87" s="6"/>
      <c r="AS87" s="65"/>
      <c r="CF87" s="8"/>
    </row>
    <row r="88" spans="2:84" s="1" customFormat="1" ht="18" customHeight="1" x14ac:dyDescent="0.25">
      <c r="B88" s="6"/>
      <c r="C88" s="65"/>
      <c r="D88" s="65"/>
      <c r="E88" s="65"/>
      <c r="F88" s="65"/>
      <c r="G88" s="65"/>
      <c r="H88" s="65"/>
      <c r="I88" s="65"/>
      <c r="J88" s="65"/>
      <c r="K88" s="65"/>
      <c r="L88" s="65"/>
      <c r="M88" s="65"/>
      <c r="N88" s="65"/>
      <c r="O88" s="65"/>
      <c r="P88" s="65"/>
      <c r="Q88" s="65"/>
      <c r="R88" s="65"/>
      <c r="S88" s="65"/>
      <c r="T88" s="65"/>
      <c r="U88" s="65"/>
      <c r="V88" s="65"/>
      <c r="W88" s="65"/>
      <c r="X88" s="65"/>
      <c r="Y88" s="65"/>
      <c r="Z88" s="65"/>
      <c r="AA88" s="65"/>
      <c r="AB88" s="65"/>
      <c r="AC88" s="65"/>
      <c r="AD88" s="65"/>
      <c r="AE88" s="65"/>
      <c r="AF88" s="65"/>
      <c r="AG88" s="65"/>
      <c r="AH88" s="65"/>
      <c r="AI88" s="65"/>
      <c r="AJ88" s="65"/>
      <c r="AK88" s="65"/>
      <c r="AL88" s="65"/>
      <c r="AM88" s="65"/>
      <c r="AN88" s="65"/>
      <c r="AO88" s="65"/>
      <c r="AP88" s="8"/>
      <c r="AR88" s="6"/>
      <c r="AS88" s="65"/>
      <c r="AT88" s="65"/>
      <c r="AU88" s="65"/>
      <c r="AV88" s="65"/>
      <c r="AW88" s="65"/>
      <c r="AX88" s="65"/>
      <c r="AY88" s="65"/>
      <c r="AZ88" s="65"/>
      <c r="BA88" s="65"/>
      <c r="BB88" s="65"/>
      <c r="BC88" s="65"/>
      <c r="BD88" s="65"/>
      <c r="BE88" s="65"/>
      <c r="BF88" s="65"/>
      <c r="BG88" s="65"/>
      <c r="BH88" s="65"/>
      <c r="BI88" s="65"/>
      <c r="BJ88" s="65"/>
      <c r="BK88" s="65"/>
      <c r="BL88" s="65"/>
      <c r="BM88" s="65"/>
      <c r="BN88" s="65"/>
      <c r="BO88" s="65"/>
      <c r="BP88" s="65"/>
      <c r="BQ88" s="65"/>
      <c r="BR88" s="65"/>
      <c r="BS88" s="65"/>
      <c r="BT88" s="65"/>
      <c r="BU88" s="65"/>
      <c r="BV88" s="65"/>
      <c r="BW88" s="65"/>
      <c r="BX88" s="65"/>
      <c r="BY88" s="65"/>
      <c r="BZ88" s="65"/>
      <c r="CA88" s="65"/>
      <c r="CB88" s="65"/>
      <c r="CC88" s="65"/>
      <c r="CD88" s="65"/>
      <c r="CE88" s="65"/>
      <c r="CF88" s="8"/>
    </row>
    <row r="89" spans="2:84" s="1" customFormat="1" ht="18" customHeight="1" x14ac:dyDescent="0.25">
      <c r="B89" s="6"/>
      <c r="C89" s="65"/>
      <c r="D89" s="65"/>
      <c r="E89" s="65"/>
      <c r="F89" s="65"/>
      <c r="G89" s="65"/>
      <c r="H89" s="65"/>
      <c r="I89" s="65"/>
      <c r="J89" s="65"/>
      <c r="K89" s="65"/>
      <c r="L89" s="65"/>
      <c r="M89" s="65"/>
      <c r="N89" s="65"/>
      <c r="O89" s="65"/>
      <c r="P89" s="65"/>
      <c r="Q89" s="65"/>
      <c r="R89" s="65"/>
      <c r="S89" s="65"/>
      <c r="T89" s="65"/>
      <c r="U89" s="65"/>
      <c r="V89" s="65"/>
      <c r="W89" s="65"/>
      <c r="X89" s="65"/>
      <c r="Y89" s="65"/>
      <c r="Z89" s="65"/>
      <c r="AA89" s="65"/>
      <c r="AB89" s="65"/>
      <c r="AC89" s="65"/>
      <c r="AD89" s="65"/>
      <c r="AE89" s="65"/>
      <c r="AF89" s="65"/>
      <c r="AG89" s="65"/>
      <c r="AH89" s="65"/>
      <c r="AI89" s="65"/>
      <c r="AJ89" s="65"/>
      <c r="AK89" s="65"/>
      <c r="AL89" s="65"/>
      <c r="AM89" s="65"/>
      <c r="AN89" s="65"/>
      <c r="AO89" s="65"/>
      <c r="AP89" s="8"/>
      <c r="AR89" s="6"/>
      <c r="AS89" s="65"/>
      <c r="AT89" s="65"/>
      <c r="AU89" s="65"/>
      <c r="AV89" s="65"/>
      <c r="AW89" s="65"/>
      <c r="AX89" s="65"/>
      <c r="AY89" s="65"/>
      <c r="AZ89" s="65"/>
      <c r="BA89" s="65"/>
      <c r="BB89" s="65"/>
      <c r="BC89" s="65"/>
      <c r="BD89" s="65"/>
      <c r="BE89" s="65"/>
      <c r="BF89" s="65"/>
      <c r="BG89" s="65"/>
      <c r="BH89" s="65"/>
      <c r="BI89" s="65"/>
      <c r="BJ89" s="65"/>
      <c r="BK89" s="65"/>
      <c r="BL89" s="65"/>
      <c r="BM89" s="65"/>
      <c r="BN89" s="65"/>
      <c r="BO89" s="65"/>
      <c r="BP89" s="65"/>
      <c r="BQ89" s="65"/>
      <c r="BR89" s="65"/>
      <c r="BS89" s="65"/>
      <c r="BT89" s="65"/>
      <c r="BU89" s="65"/>
      <c r="BV89" s="65"/>
      <c r="BW89" s="65"/>
      <c r="BX89" s="65"/>
      <c r="BY89" s="65"/>
      <c r="BZ89" s="65"/>
      <c r="CA89" s="65"/>
      <c r="CB89" s="65"/>
      <c r="CC89" s="65"/>
      <c r="CD89" s="65"/>
      <c r="CE89" s="65"/>
      <c r="CF89" s="8"/>
    </row>
    <row r="90" spans="2:84" s="1" customFormat="1" ht="18" customHeight="1" x14ac:dyDescent="0.25">
      <c r="B90" s="6"/>
      <c r="C90" s="65"/>
      <c r="D90" s="65"/>
      <c r="E90" s="65"/>
      <c r="F90" s="65"/>
      <c r="G90" s="65"/>
      <c r="H90" s="65"/>
      <c r="I90" s="65"/>
      <c r="J90" s="65"/>
      <c r="K90" s="65"/>
      <c r="L90" s="65"/>
      <c r="M90" s="65"/>
      <c r="N90" s="65"/>
      <c r="O90" s="65"/>
      <c r="P90" s="65"/>
      <c r="Q90" s="65"/>
      <c r="R90" s="65"/>
      <c r="S90" s="65"/>
      <c r="T90" s="65"/>
      <c r="U90" s="65"/>
      <c r="V90" s="65"/>
      <c r="W90" s="65"/>
      <c r="X90" s="65"/>
      <c r="AE90" s="65"/>
      <c r="AF90" s="65"/>
      <c r="AG90" s="65"/>
      <c r="AH90" s="65"/>
      <c r="AI90" s="65"/>
      <c r="AJ90" s="65"/>
      <c r="AK90" s="65"/>
      <c r="AL90" s="65"/>
      <c r="AM90" s="65"/>
      <c r="AN90" s="65"/>
      <c r="AO90" s="65"/>
      <c r="AP90" s="8"/>
      <c r="AR90" s="6"/>
      <c r="AS90" s="65"/>
      <c r="AT90" s="65"/>
      <c r="AU90" s="65"/>
      <c r="AV90" s="65"/>
      <c r="AW90" s="65"/>
      <c r="AX90" s="65"/>
      <c r="AY90" s="65"/>
      <c r="AZ90" s="65"/>
      <c r="BA90" s="65"/>
      <c r="BB90" s="65"/>
      <c r="BC90" s="65"/>
      <c r="BD90" s="65"/>
      <c r="BE90" s="65"/>
      <c r="BF90" s="65"/>
      <c r="BG90" s="65"/>
      <c r="BH90" s="65"/>
      <c r="BI90" s="65"/>
      <c r="BJ90" s="65"/>
      <c r="BK90" s="65"/>
      <c r="BL90" s="65"/>
      <c r="BM90" s="65"/>
      <c r="BN90" s="65"/>
      <c r="BU90" s="65"/>
      <c r="BV90" s="65"/>
      <c r="BW90" s="65"/>
      <c r="BX90" s="65"/>
      <c r="BY90" s="65"/>
      <c r="BZ90" s="65"/>
      <c r="CA90" s="65"/>
      <c r="CB90" s="65"/>
      <c r="CC90" s="65"/>
      <c r="CD90" s="65"/>
      <c r="CE90" s="65"/>
      <c r="CF90" s="8"/>
    </row>
    <row r="91" spans="2:84" s="1" customFormat="1" ht="18" customHeight="1" x14ac:dyDescent="0.25">
      <c r="B91" s="6"/>
      <c r="C91" s="65"/>
      <c r="J91" s="65"/>
      <c r="K91" s="65"/>
      <c r="L91" s="65"/>
      <c r="M91" s="65"/>
      <c r="N91" s="65"/>
      <c r="U91" s="65"/>
      <c r="V91" s="65"/>
      <c r="W91" s="65"/>
      <c r="X91" s="65"/>
      <c r="AE91" s="65"/>
      <c r="AF91" s="65"/>
      <c r="AG91" s="65"/>
      <c r="AH91" s="65"/>
      <c r="AI91" s="65"/>
      <c r="AJ91" s="65"/>
      <c r="AK91" s="65"/>
      <c r="AL91" s="65"/>
      <c r="AM91" s="65"/>
      <c r="AN91" s="65"/>
      <c r="AO91" s="65"/>
      <c r="AP91" s="8"/>
      <c r="AR91" s="6"/>
      <c r="AS91" s="65"/>
      <c r="AZ91" s="65"/>
      <c r="BA91" s="65"/>
      <c r="BB91" s="65"/>
      <c r="BC91" s="65"/>
      <c r="BD91" s="65"/>
      <c r="BK91" s="65"/>
      <c r="BL91" s="65"/>
      <c r="BM91" s="65"/>
      <c r="BN91" s="65"/>
      <c r="BU91" s="65"/>
      <c r="BV91" s="65"/>
      <c r="BW91" s="65"/>
      <c r="BX91" s="65"/>
      <c r="BY91" s="65"/>
      <c r="BZ91" s="65"/>
      <c r="CA91" s="65"/>
      <c r="CB91" s="65"/>
      <c r="CC91" s="65"/>
      <c r="CD91" s="65"/>
      <c r="CE91" s="65"/>
      <c r="CF91" s="8"/>
    </row>
    <row r="92" spans="2:84" s="1" customFormat="1" ht="18" customHeight="1" x14ac:dyDescent="0.25">
      <c r="B92" s="6"/>
      <c r="C92" s="65"/>
      <c r="AN92" s="65"/>
      <c r="AO92" s="65"/>
      <c r="AP92" s="8"/>
      <c r="AR92" s="6"/>
      <c r="AS92" s="65"/>
      <c r="CD92" s="65"/>
      <c r="CE92" s="65"/>
      <c r="CF92" s="8"/>
    </row>
    <row r="93" spans="2:84" s="1" customFormat="1" ht="18" customHeight="1" x14ac:dyDescent="0.25">
      <c r="B93" s="6"/>
      <c r="C93" s="65"/>
      <c r="D93" s="65"/>
      <c r="E93" s="65"/>
      <c r="F93" s="65"/>
      <c r="G93" s="65"/>
      <c r="AN93" s="65"/>
      <c r="AO93" s="65"/>
      <c r="AP93" s="8"/>
      <c r="AR93" s="6"/>
      <c r="AS93" s="65"/>
      <c r="AT93" s="65"/>
      <c r="AU93" s="65"/>
      <c r="AV93" s="65"/>
      <c r="AW93" s="65"/>
      <c r="CD93" s="65"/>
      <c r="CE93" s="65"/>
      <c r="CF93" s="8"/>
    </row>
    <row r="94" spans="2:84" s="1" customFormat="1" ht="18" customHeight="1" x14ac:dyDescent="0.25">
      <c r="B94" s="6"/>
      <c r="C94" s="65"/>
      <c r="D94" s="65"/>
      <c r="E94" s="65"/>
      <c r="F94" s="65"/>
      <c r="G94" s="65"/>
      <c r="AN94" s="65"/>
      <c r="AO94" s="65"/>
      <c r="AP94" s="8"/>
      <c r="AR94" s="6"/>
      <c r="AS94" s="65"/>
      <c r="AT94" s="65"/>
      <c r="AU94" s="65"/>
      <c r="AV94" s="65"/>
      <c r="AW94" s="65"/>
      <c r="CD94" s="65"/>
      <c r="CE94" s="65"/>
      <c r="CF94" s="8"/>
    </row>
    <row r="95" spans="2:84" s="1" customFormat="1" ht="18" customHeight="1" x14ac:dyDescent="0.25">
      <c r="B95" s="6"/>
      <c r="C95" s="62"/>
      <c r="D95" s="62"/>
      <c r="E95" s="62"/>
      <c r="F95" s="62"/>
      <c r="G95" s="62"/>
      <c r="AN95" s="62"/>
      <c r="AO95" s="62"/>
      <c r="AP95" s="8"/>
      <c r="AR95" s="6"/>
      <c r="AS95" s="62"/>
      <c r="AT95" s="62"/>
      <c r="AU95" s="62"/>
      <c r="AV95" s="62"/>
      <c r="AW95" s="62"/>
      <c r="CD95" s="62"/>
      <c r="CE95" s="62"/>
      <c r="CF95" s="8"/>
    </row>
    <row r="96" spans="2:84" s="1" customFormat="1"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row>
    <row r="97" spans="2:84" s="1" customFormat="1" ht="18" customHeight="1" x14ac:dyDescent="0.25">
      <c r="B97" s="6"/>
      <c r="D97" s="43" t="s">
        <v>84</v>
      </c>
      <c r="AO97" s="29" t="s">
        <v>99</v>
      </c>
      <c r="AP97" s="8"/>
      <c r="AR97" s="6"/>
      <c r="AT97" s="43" t="s">
        <v>84</v>
      </c>
      <c r="CE97" s="29" t="s">
        <v>100</v>
      </c>
      <c r="CF97" s="8"/>
    </row>
    <row r="98" spans="2:84" s="1" customFormat="1"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row>
    <row r="99" spans="2:84" s="1" customFormat="1" ht="18" customHeight="1" x14ac:dyDescent="0.25"/>
    <row r="100" spans="2:84" s="1" customFormat="1" ht="18" customHeight="1" x14ac:dyDescent="0.25"/>
    <row r="101" spans="2:84" s="1" customFormat="1" ht="18" customHeight="1" x14ac:dyDescent="0.25"/>
    <row r="102" spans="2:84" s="1" customFormat="1" ht="18" customHeight="1" x14ac:dyDescent="0.25"/>
    <row r="103" spans="2:84" s="1" customFormat="1" ht="18" customHeight="1" x14ac:dyDescent="0.25"/>
    <row r="104" spans="2:84" s="1" customFormat="1" ht="18" customHeight="1" x14ac:dyDescent="0.25"/>
    <row r="105" spans="2:84" s="1" customFormat="1" ht="18" customHeight="1" x14ac:dyDescent="0.25"/>
    <row r="106" spans="2:84" s="1" customFormat="1" ht="18" customHeight="1" x14ac:dyDescent="0.25"/>
    <row r="107" spans="2:84" s="1" customFormat="1" ht="18" customHeight="1" x14ac:dyDescent="0.25"/>
    <row r="108" spans="2:84" s="1" customFormat="1" ht="18" customHeight="1" x14ac:dyDescent="0.25"/>
    <row r="109" spans="2:84" s="1" customFormat="1" ht="18" customHeight="1" x14ac:dyDescent="0.25"/>
    <row r="110" spans="2:84" s="1" customFormat="1" ht="18" customHeight="1" x14ac:dyDescent="0.25"/>
    <row r="111" spans="2:84" s="1" customFormat="1" ht="18" customHeight="1" x14ac:dyDescent="0.25"/>
    <row r="112" spans="2:84" s="1" customFormat="1" ht="18" customHeight="1" x14ac:dyDescent="0.25"/>
    <row r="113" s="1" customFormat="1" ht="18" customHeight="1" x14ac:dyDescent="0.25"/>
    <row r="114" s="1" customFormat="1" ht="18" customHeight="1" x14ac:dyDescent="0.25"/>
    <row r="115" s="1" customFormat="1" ht="18" customHeight="1" x14ac:dyDescent="0.25"/>
    <row r="116" s="1" customFormat="1" ht="18" customHeight="1" x14ac:dyDescent="0.25"/>
    <row r="117" s="1" customFormat="1" ht="18" customHeight="1" x14ac:dyDescent="0.25"/>
    <row r="118" s="1" customFormat="1" ht="18" customHeight="1" x14ac:dyDescent="0.25"/>
    <row r="119" s="1" customFormat="1" ht="18" customHeight="1" x14ac:dyDescent="0.25"/>
    <row r="120" s="1" customFormat="1" ht="18" customHeight="1" x14ac:dyDescent="0.25"/>
    <row r="121" s="1" customFormat="1" ht="18" customHeight="1" x14ac:dyDescent="0.25"/>
    <row r="122" s="1" customFormat="1" ht="18" customHeight="1" x14ac:dyDescent="0.25"/>
    <row r="123" s="1" customFormat="1" ht="18" customHeight="1" x14ac:dyDescent="0.25"/>
    <row r="124" s="1" customFormat="1" ht="18" customHeight="1" x14ac:dyDescent="0.25"/>
    <row r="125" s="1" customFormat="1" ht="18" customHeight="1" x14ac:dyDescent="0.25"/>
    <row r="126" s="1" customFormat="1" ht="18" customHeight="1" x14ac:dyDescent="0.25"/>
    <row r="127" s="1" customFormat="1" ht="18" customHeight="1" x14ac:dyDescent="0.25"/>
    <row r="128" s="1" customFormat="1" ht="18" customHeight="1" x14ac:dyDescent="0.25"/>
    <row r="129" s="1" customFormat="1" ht="18" customHeight="1" x14ac:dyDescent="0.25"/>
    <row r="130" s="1" customFormat="1" ht="18" customHeight="1" x14ac:dyDescent="0.25"/>
    <row r="131" s="1" customFormat="1" ht="18" customHeight="1" x14ac:dyDescent="0.25"/>
    <row r="132" s="1" customFormat="1" ht="18" customHeight="1" x14ac:dyDescent="0.25"/>
    <row r="133" s="1" customFormat="1" ht="18" customHeight="1" x14ac:dyDescent="0.25"/>
    <row r="134" s="1" customFormat="1" ht="18" customHeight="1" x14ac:dyDescent="0.25"/>
    <row r="135" s="1" customFormat="1" ht="18" customHeight="1" x14ac:dyDescent="0.25"/>
    <row r="136" s="1" customFormat="1" ht="18" customHeight="1" x14ac:dyDescent="0.25"/>
    <row r="137" s="1" customFormat="1" ht="18" customHeight="1" x14ac:dyDescent="0.25"/>
    <row r="138" s="1" customFormat="1" ht="18" customHeight="1" x14ac:dyDescent="0.25"/>
    <row r="139" s="1" customFormat="1" ht="18" customHeight="1" x14ac:dyDescent="0.25"/>
    <row r="140" s="1" customFormat="1" ht="18" customHeight="1" x14ac:dyDescent="0.25"/>
    <row r="141" s="1" customFormat="1" ht="18" customHeight="1" x14ac:dyDescent="0.25"/>
    <row r="142" s="1" customFormat="1" ht="18" customHeight="1" x14ac:dyDescent="0.25"/>
    <row r="143" s="1" customFormat="1" ht="18" customHeight="1" x14ac:dyDescent="0.25"/>
    <row r="144" s="1" customFormat="1" ht="18" customHeight="1" x14ac:dyDescent="0.25"/>
    <row r="145" s="1" customFormat="1" ht="18" customHeight="1" x14ac:dyDescent="0.25"/>
    <row r="146" s="1" customFormat="1" ht="18" customHeight="1" x14ac:dyDescent="0.25"/>
    <row r="147" s="1" customFormat="1" ht="18" customHeight="1" x14ac:dyDescent="0.25"/>
    <row r="148" s="1" customFormat="1" ht="18" customHeight="1" x14ac:dyDescent="0.25"/>
    <row r="149" s="1" customFormat="1" ht="18" customHeight="1" x14ac:dyDescent="0.25"/>
    <row r="150" s="1" customFormat="1" ht="18" customHeight="1" x14ac:dyDescent="0.25"/>
    <row r="151" s="1" customFormat="1" ht="18" customHeight="1" x14ac:dyDescent="0.25"/>
    <row r="152" s="1" customFormat="1" ht="18" customHeight="1" x14ac:dyDescent="0.25"/>
    <row r="153" s="1" customFormat="1" ht="18" customHeight="1" x14ac:dyDescent="0.25"/>
    <row r="154" s="1" customFormat="1" ht="18" customHeight="1" x14ac:dyDescent="0.25"/>
    <row r="155" s="1" customFormat="1" ht="18" customHeight="1" x14ac:dyDescent="0.25"/>
    <row r="156" s="1" customFormat="1" ht="18" customHeight="1" x14ac:dyDescent="0.25"/>
    <row r="157" s="1" customFormat="1" ht="18" customHeight="1" x14ac:dyDescent="0.25"/>
    <row r="158" s="1" customFormat="1" ht="18" customHeight="1" x14ac:dyDescent="0.25"/>
    <row r="159" s="1" customFormat="1" ht="18" customHeight="1" x14ac:dyDescent="0.25"/>
    <row r="160" s="1" customFormat="1" ht="18" customHeight="1" x14ac:dyDescent="0.25"/>
    <row r="161" s="1" customFormat="1" ht="18" customHeight="1" x14ac:dyDescent="0.25"/>
    <row r="162" s="1" customFormat="1" ht="18" customHeight="1" x14ac:dyDescent="0.25"/>
    <row r="163" s="1" customFormat="1" ht="18" customHeight="1" x14ac:dyDescent="0.25"/>
    <row r="164" s="1" customFormat="1" ht="18" customHeight="1" x14ac:dyDescent="0.25"/>
    <row r="165" s="1" customFormat="1" ht="18" customHeight="1" x14ac:dyDescent="0.25"/>
    <row r="166" s="1" customFormat="1" ht="18" customHeight="1" x14ac:dyDescent="0.25"/>
    <row r="167" s="1" customFormat="1" ht="18" customHeight="1" x14ac:dyDescent="0.25"/>
    <row r="168" s="1" customFormat="1" ht="18" customHeight="1" x14ac:dyDescent="0.25"/>
    <row r="169" s="1" customFormat="1" ht="18" customHeight="1" x14ac:dyDescent="0.25"/>
    <row r="170" s="1" customFormat="1" ht="18" customHeight="1" x14ac:dyDescent="0.25"/>
    <row r="171" s="1" customFormat="1" ht="18" customHeight="1" x14ac:dyDescent="0.25"/>
    <row r="172" s="1" customFormat="1" ht="18" customHeight="1" x14ac:dyDescent="0.25"/>
    <row r="173" s="1" customFormat="1" ht="18" customHeight="1" x14ac:dyDescent="0.25"/>
    <row r="174" s="1" customFormat="1" ht="18" customHeight="1" x14ac:dyDescent="0.25"/>
    <row r="175" s="1" customFormat="1" ht="18" customHeight="1" x14ac:dyDescent="0.25"/>
    <row r="176" s="1" customFormat="1" ht="18" customHeight="1" x14ac:dyDescent="0.25"/>
    <row r="177" s="1" customFormat="1" ht="18" customHeight="1" x14ac:dyDescent="0.25"/>
    <row r="178" s="1" customFormat="1" ht="18" customHeight="1" x14ac:dyDescent="0.25"/>
    <row r="179" s="1" customFormat="1" ht="18" customHeight="1" x14ac:dyDescent="0.25"/>
    <row r="180" s="1" customFormat="1" ht="18" customHeight="1" x14ac:dyDescent="0.25"/>
    <row r="181" s="1" customFormat="1" ht="18" customHeight="1" x14ac:dyDescent="0.25"/>
    <row r="182" s="1" customFormat="1" ht="18" customHeight="1" x14ac:dyDescent="0.25"/>
    <row r="183" s="1" customFormat="1" ht="18" customHeight="1" x14ac:dyDescent="0.25"/>
    <row r="184" s="1" customFormat="1" ht="18" customHeight="1" x14ac:dyDescent="0.25"/>
    <row r="185" s="1" customFormat="1" ht="18" customHeight="1" x14ac:dyDescent="0.25"/>
    <row r="186" s="1" customFormat="1" ht="18" customHeight="1" x14ac:dyDescent="0.25"/>
    <row r="187" s="1" customFormat="1" ht="18" customHeight="1" x14ac:dyDescent="0.25"/>
    <row r="188" s="1" customFormat="1" ht="18" customHeight="1" x14ac:dyDescent="0.25"/>
    <row r="189" s="1" customFormat="1" ht="18" customHeight="1" x14ac:dyDescent="0.25"/>
    <row r="190" s="1" customFormat="1" ht="18" customHeight="1" x14ac:dyDescent="0.25"/>
    <row r="191" s="1" customFormat="1" ht="18" customHeight="1" x14ac:dyDescent="0.25"/>
    <row r="192" s="1" customFormat="1" ht="18" customHeight="1" x14ac:dyDescent="0.25"/>
    <row r="193" s="1" customFormat="1" ht="18" customHeight="1" x14ac:dyDescent="0.25"/>
    <row r="194" s="1" customFormat="1" ht="18" customHeight="1" x14ac:dyDescent="0.25"/>
    <row r="195" s="1" customFormat="1" ht="18" customHeight="1" x14ac:dyDescent="0.25"/>
    <row r="196" s="1" customFormat="1" ht="18" customHeight="1" x14ac:dyDescent="0.25"/>
    <row r="197" s="1" customFormat="1" ht="18" customHeight="1" x14ac:dyDescent="0.25"/>
    <row r="198" s="1" customFormat="1" ht="18" customHeigh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305" ht="18.75" customHeight="1" x14ac:dyDescent="0.25"/>
  </sheetData>
  <sheetProtection algorithmName="SHA-512" hashValue="fOOEzNUs3aXrU60SxEdZ+c2xwnEbPYcYgzoOO9RO2/CSHGMAxcoYMndHmoObZzM2r2fQ0bPK0kpcpgtEeGj+Hw==" saltValue="e7rfXt0qonjPX/kELO0eog==" spinCount="100000" sheet="1" objects="1" scenarios="1"/>
  <mergeCells count="9">
    <mergeCell ref="AF81:AO85"/>
    <mergeCell ref="AT72:CE74"/>
    <mergeCell ref="AS76:CE76"/>
    <mergeCell ref="AS77:CE81"/>
    <mergeCell ref="C8:AO9"/>
    <mergeCell ref="E73:J74"/>
    <mergeCell ref="P73:U74"/>
    <mergeCell ref="Z73:AE74"/>
    <mergeCell ref="AF64:AO68"/>
  </mergeCells>
  <dataValidations disablePrompts="1" count="1">
    <dataValidation allowBlank="1" showErrorMessage="1" sqref="S17:U17" xr:uid="{5068BB15-B6D5-42DB-9B14-30DB3F4CB642}"/>
  </dataValidations>
  <printOptions horizontalCentered="1" verticalCentered="1"/>
  <pageMargins left="0.2" right="0.2" top="0.2" bottom="0.2" header="0" footer="0"/>
  <pageSetup scale="91" orientation="portrait" r:id="rId1"/>
  <headerFooter>
    <oddHeader xml:space="preserve">&amp;L
&amp;R       </oddHeader>
  </headerFooter>
  <rowBreaks count="2" manualBreakCount="2">
    <brk id="63" max="16383" man="1"/>
    <brk id="1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33E00-9DAD-4BC8-8210-69783F3E8760}">
  <sheetPr>
    <pageSetUpPr fitToPage="1"/>
  </sheetPr>
  <dimension ref="B1:JS456"/>
  <sheetViews>
    <sheetView zoomScaleNormal="100" workbookViewId="0">
      <selection activeCell="A21" sqref="A21"/>
    </sheetView>
  </sheetViews>
  <sheetFormatPr defaultRowHeight="15" x14ac:dyDescent="0.25"/>
  <cols>
    <col min="1" max="85" width="2.7109375" style="1" customWidth="1"/>
    <col min="86" max="86" width="10.7109375" style="1" hidden="1" customWidth="1"/>
    <col min="87" max="87" width="17.140625" style="1" hidden="1" customWidth="1"/>
    <col min="88" max="88" width="13.28515625" style="1" hidden="1" customWidth="1"/>
    <col min="89" max="92" width="10.7109375" style="1" hidden="1" customWidth="1"/>
    <col min="93" max="93" width="14.140625" style="1" hidden="1" customWidth="1"/>
    <col min="94" max="102" width="10.7109375" style="1" hidden="1" customWidth="1"/>
    <col min="103" max="128" width="2.7109375" style="1" hidden="1" customWidth="1"/>
    <col min="129" max="131" width="9.140625" style="1" hidden="1" customWidth="1"/>
    <col min="132" max="132" width="37.28515625" style="1" hidden="1" customWidth="1"/>
    <col min="133" max="133" width="36.85546875" style="1" hidden="1" customWidth="1"/>
    <col min="134" max="134" width="37.7109375" style="1" hidden="1" customWidth="1"/>
    <col min="135" max="135" width="42" style="1" hidden="1" customWidth="1"/>
    <col min="136" max="136" width="41.140625" style="1" hidden="1" customWidth="1"/>
    <col min="137" max="137" width="3.85546875" style="1" hidden="1" customWidth="1"/>
    <col min="138" max="138" width="41.42578125" style="1" hidden="1" customWidth="1"/>
    <col min="139" max="139" width="40.7109375" style="1" hidden="1" customWidth="1"/>
    <col min="140" max="140" width="39" style="1" hidden="1" customWidth="1"/>
    <col min="141" max="141" width="2.140625" style="88" hidden="1" customWidth="1"/>
    <col min="142" max="142" width="9.140625" style="52" hidden="1" customWidth="1"/>
    <col min="143" max="143" width="25.5703125" style="14" hidden="1" customWidth="1"/>
    <col min="144" max="144" width="18.140625" style="52" hidden="1" customWidth="1"/>
    <col min="145" max="145" width="22.42578125" style="52" hidden="1" customWidth="1"/>
    <col min="146" max="146" width="2.7109375" style="88" hidden="1" customWidth="1"/>
    <col min="147" max="147" width="37.5703125" style="1" hidden="1" customWidth="1"/>
    <col min="148" max="148" width="0" style="2" hidden="1" customWidth="1"/>
    <col min="149" max="149" width="14.140625" style="2" hidden="1" customWidth="1"/>
    <col min="150" max="150" width="3.140625" style="88" hidden="1" customWidth="1"/>
    <col min="151" max="151" width="39.85546875" style="1" hidden="1" customWidth="1"/>
    <col min="152" max="152" width="9.140625" style="1" hidden="1" customWidth="1"/>
    <col min="153" max="153" width="16.42578125" style="1" hidden="1" customWidth="1"/>
    <col min="154" max="154" width="2.85546875" style="88" hidden="1" customWidth="1"/>
    <col min="155" max="155" width="10" style="100" hidden="1" customWidth="1"/>
    <col min="156" max="156" width="18.140625" style="1" hidden="1" customWidth="1"/>
    <col min="157" max="157" width="20" style="1" hidden="1" customWidth="1"/>
    <col min="158" max="158" width="18.85546875" style="1" hidden="1" customWidth="1"/>
    <col min="159" max="159" width="38" style="1" hidden="1" customWidth="1"/>
    <col min="160" max="160" width="39.42578125" style="1" hidden="1" customWidth="1"/>
    <col min="161" max="161" width="2.28515625" style="88" hidden="1" customWidth="1"/>
    <col min="162" max="163" width="19.5703125" style="100" hidden="1" customWidth="1"/>
    <col min="164" max="165" width="40.5703125" style="100" hidden="1" customWidth="1"/>
    <col min="166" max="166" width="42.5703125" style="1" hidden="1" customWidth="1"/>
    <col min="167" max="167" width="41.28515625" style="1" hidden="1" customWidth="1"/>
    <col min="168" max="168" width="41.5703125" style="1" hidden="1" customWidth="1"/>
    <col min="169" max="169" width="45.28515625" style="1" hidden="1" customWidth="1"/>
    <col min="170" max="170" width="43.7109375" style="1" hidden="1" customWidth="1"/>
    <col min="171" max="171" width="42.140625" style="1" hidden="1" customWidth="1"/>
    <col min="172" max="172" width="14.28515625" style="100" hidden="1" customWidth="1"/>
    <col min="173" max="173" width="2.7109375" style="1" hidden="1" customWidth="1"/>
    <col min="174" max="174" width="10.28515625" style="1" hidden="1" customWidth="1"/>
    <col min="175" max="178" width="9.140625" style="1" hidden="1" customWidth="1"/>
    <col min="179" max="179" width="1.85546875" style="1" hidden="1" customWidth="1"/>
    <col min="180" max="180" width="9.140625" style="1" hidden="1" customWidth="1"/>
    <col min="181" max="181" width="40.85546875" style="1" hidden="1" customWidth="1"/>
    <col min="182" max="182" width="48.7109375" style="1" hidden="1" customWidth="1"/>
    <col min="183" max="184" width="9.140625" style="1" hidden="1" customWidth="1"/>
    <col min="185" max="185" width="1.7109375" style="1" hidden="1" customWidth="1"/>
    <col min="186" max="186" width="39.5703125" style="1" hidden="1" customWidth="1"/>
    <col min="187" max="187" width="37.5703125" style="1" hidden="1" customWidth="1"/>
    <col min="188" max="189" width="9.140625" style="1" hidden="1" customWidth="1"/>
    <col min="190" max="190" width="1.85546875" style="1" hidden="1" customWidth="1"/>
    <col min="191" max="191" width="37.42578125" style="1" hidden="1" customWidth="1"/>
    <col min="192" max="192" width="46" style="1" hidden="1" customWidth="1"/>
    <col min="193" max="194" width="9" style="1" hidden="1" customWidth="1"/>
    <col min="195" max="195" width="2.28515625" style="1" hidden="1" customWidth="1"/>
    <col min="196" max="196" width="45.7109375" style="1" hidden="1" customWidth="1"/>
    <col min="197" max="197" width="43.42578125" style="1" hidden="1" customWidth="1"/>
    <col min="198" max="199" width="9.140625" style="1" hidden="1" customWidth="1"/>
    <col min="200" max="200" width="1.5703125" style="1" hidden="1" customWidth="1"/>
    <col min="201" max="201" width="44.28515625" style="1" hidden="1" customWidth="1"/>
    <col min="202" max="202" width="35.7109375" style="1" hidden="1" customWidth="1"/>
    <col min="203" max="203" width="14.28515625" style="1" hidden="1" customWidth="1"/>
    <col min="204" max="204" width="11.5703125" style="1" hidden="1" customWidth="1"/>
    <col min="205" max="205" width="9" style="1" hidden="1" customWidth="1"/>
    <col min="206" max="206" width="39.42578125" style="1" hidden="1" customWidth="1"/>
    <col min="207" max="207" width="9" style="1" hidden="1" customWidth="1"/>
    <col min="208" max="209" width="9.140625" style="1" hidden="1" customWidth="1"/>
    <col min="210" max="210" width="9" style="72" hidden="1" customWidth="1"/>
    <col min="211" max="222" width="9" style="1" hidden="1" customWidth="1"/>
    <col min="223" max="224" width="9.140625" style="1" hidden="1" customWidth="1"/>
    <col min="225" max="235" width="9" style="1" hidden="1" customWidth="1"/>
    <col min="236" max="249" width="2.7109375" style="1" customWidth="1"/>
    <col min="250" max="272" width="9.140625" style="1" customWidth="1"/>
    <col min="273" max="274" width="11.140625" style="1" customWidth="1"/>
    <col min="275" max="275" width="7.140625" style="2" customWidth="1"/>
    <col min="276" max="276" width="12.85546875" style="1" customWidth="1"/>
    <col min="277" max="277" width="40" style="1" customWidth="1"/>
    <col min="278" max="278" width="9.140625" style="1" customWidth="1"/>
    <col min="279" max="279" width="9.140625" style="2" customWidth="1"/>
    <col min="280" max="342" width="9.140625" style="1" customWidth="1"/>
    <col min="343" max="373" width="2.7109375" style="1" customWidth="1"/>
    <col min="374" max="389" width="9.140625" style="1" customWidth="1"/>
    <col min="390" max="16384" width="9.140625" style="1"/>
  </cols>
  <sheetData>
    <row r="1" spans="2:279" ht="18" customHeight="1" x14ac:dyDescent="0.25">
      <c r="CI1" s="1" t="s">
        <v>269</v>
      </c>
      <c r="GP1" s="261"/>
      <c r="GQ1" s="261"/>
      <c r="GR1" s="261"/>
      <c r="GS1" s="261"/>
      <c r="GT1" s="261"/>
      <c r="GU1" s="38"/>
      <c r="HB1" s="1"/>
      <c r="JO1" s="1"/>
      <c r="JS1" s="1"/>
    </row>
    <row r="2" spans="2:279"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c r="CI2" s="1" t="s">
        <v>270</v>
      </c>
      <c r="EB2" s="38"/>
      <c r="FP2" s="267" t="s">
        <v>515</v>
      </c>
      <c r="FR2" s="155" t="s">
        <v>516</v>
      </c>
      <c r="FS2" s="155"/>
      <c r="FT2" s="155"/>
      <c r="FU2" s="155"/>
      <c r="FV2" s="155"/>
      <c r="GT2" s="87"/>
      <c r="GU2" s="38"/>
      <c r="HB2" s="1"/>
      <c r="HD2" s="38"/>
      <c r="JO2" s="1"/>
      <c r="JS2" s="38"/>
    </row>
    <row r="3" spans="2:279" ht="18" customHeight="1" x14ac:dyDescent="0.25">
      <c r="B3" s="6"/>
      <c r="AO3" s="7" t="s">
        <v>280</v>
      </c>
      <c r="AP3" s="8"/>
      <c r="AR3" s="6"/>
      <c r="CD3" s="7"/>
      <c r="CF3" s="8"/>
      <c r="CI3" s="1" t="s">
        <v>271</v>
      </c>
      <c r="EB3" s="195" t="s">
        <v>497</v>
      </c>
      <c r="EC3" s="195"/>
      <c r="ED3" s="195"/>
      <c r="EE3" s="195"/>
      <c r="EF3" s="195"/>
      <c r="EG3" s="195"/>
      <c r="EH3" s="195"/>
      <c r="EI3" s="97"/>
      <c r="EJ3" s="97"/>
      <c r="EK3" s="107"/>
      <c r="EL3" s="264" t="s">
        <v>502</v>
      </c>
      <c r="EM3" s="264"/>
      <c r="EN3" s="264"/>
      <c r="EO3" s="264"/>
      <c r="EQ3" s="265" t="s">
        <v>503</v>
      </c>
      <c r="ER3" s="265"/>
      <c r="ES3" s="265"/>
      <c r="EU3" s="265" t="s">
        <v>507</v>
      </c>
      <c r="EV3" s="265"/>
      <c r="EW3" s="265"/>
      <c r="EY3" s="112"/>
      <c r="EZ3" s="186" t="s">
        <v>509</v>
      </c>
      <c r="FA3" s="186"/>
      <c r="FB3" s="186"/>
      <c r="FC3" s="186"/>
      <c r="FD3" s="186"/>
      <c r="FF3" s="267" t="s">
        <v>510</v>
      </c>
      <c r="FG3" s="114"/>
      <c r="FH3" s="114"/>
      <c r="FI3" s="114" t="s">
        <v>514</v>
      </c>
      <c r="FJ3" s="195" t="s">
        <v>594</v>
      </c>
      <c r="FK3" s="195"/>
      <c r="FL3" s="195"/>
      <c r="FM3" s="195"/>
      <c r="FN3" s="195"/>
      <c r="FO3" s="155" t="s">
        <v>511</v>
      </c>
      <c r="FP3" s="267"/>
      <c r="FR3" s="155"/>
      <c r="FS3" s="155"/>
      <c r="FT3" s="155"/>
      <c r="FU3" s="155"/>
      <c r="FV3" s="155"/>
      <c r="FY3" s="2" t="s">
        <v>541</v>
      </c>
      <c r="FZ3" s="2" t="s">
        <v>541</v>
      </c>
      <c r="GA3" s="120" t="s">
        <v>530</v>
      </c>
      <c r="GB3" s="120" t="s">
        <v>532</v>
      </c>
      <c r="GC3" s="100"/>
      <c r="GD3" s="2" t="s">
        <v>541</v>
      </c>
      <c r="GE3" s="2" t="s">
        <v>541</v>
      </c>
      <c r="GF3" s="120" t="s">
        <v>535</v>
      </c>
      <c r="GG3" s="120" t="s">
        <v>536</v>
      </c>
      <c r="GI3" s="2" t="s">
        <v>541</v>
      </c>
      <c r="GJ3" s="2" t="s">
        <v>541</v>
      </c>
      <c r="GK3" s="122" t="s">
        <v>539</v>
      </c>
      <c r="GL3" s="122" t="s">
        <v>540</v>
      </c>
      <c r="GN3" s="2" t="s">
        <v>541</v>
      </c>
      <c r="GO3" s="2" t="s">
        <v>541</v>
      </c>
      <c r="GP3" s="113" t="s">
        <v>544</v>
      </c>
      <c r="GQ3" s="113" t="s">
        <v>545</v>
      </c>
      <c r="GS3" s="97" t="s">
        <v>541</v>
      </c>
      <c r="GT3" s="97" t="s">
        <v>541</v>
      </c>
      <c r="GU3" s="113" t="s">
        <v>548</v>
      </c>
      <c r="GV3" s="113" t="s">
        <v>549</v>
      </c>
      <c r="HB3" s="1"/>
      <c r="JO3" s="1"/>
      <c r="JS3" s="1"/>
    </row>
    <row r="4" spans="2:279" ht="18" customHeight="1" x14ac:dyDescent="0.25">
      <c r="B4" s="6"/>
      <c r="AO4" s="9" t="s">
        <v>1</v>
      </c>
      <c r="AP4" s="8"/>
      <c r="AR4" s="6"/>
      <c r="CD4" s="9"/>
      <c r="CF4" s="8"/>
      <c r="EA4" s="70" t="s">
        <v>2</v>
      </c>
      <c r="EB4" s="99" t="s">
        <v>383</v>
      </c>
      <c r="EC4" s="99" t="s">
        <v>384</v>
      </c>
      <c r="ED4" s="99" t="s">
        <v>385</v>
      </c>
      <c r="EE4" s="99" t="s">
        <v>386</v>
      </c>
      <c r="EF4" s="99" t="s">
        <v>496</v>
      </c>
      <c r="EG4" s="99"/>
      <c r="EH4" s="99" t="s">
        <v>527</v>
      </c>
      <c r="EI4" s="99" t="s">
        <v>499</v>
      </c>
      <c r="EJ4" s="99" t="s">
        <v>500</v>
      </c>
      <c r="EK4" s="108"/>
      <c r="EL4" s="111" t="s">
        <v>115</v>
      </c>
      <c r="EM4" s="106" t="s">
        <v>498</v>
      </c>
      <c r="EN4" s="106" t="s">
        <v>499</v>
      </c>
      <c r="EO4" s="106" t="s">
        <v>501</v>
      </c>
      <c r="EP4" s="105"/>
      <c r="EQ4" s="18" t="s">
        <v>504</v>
      </c>
      <c r="ER4" s="97" t="s">
        <v>115</v>
      </c>
      <c r="ES4" s="97" t="s">
        <v>505</v>
      </c>
      <c r="EU4" s="18" t="s">
        <v>506</v>
      </c>
      <c r="EV4" s="97" t="s">
        <v>115</v>
      </c>
      <c r="EW4" s="97" t="s">
        <v>505</v>
      </c>
      <c r="EY4" s="113" t="s">
        <v>508</v>
      </c>
      <c r="EZ4" s="113" t="s">
        <v>383</v>
      </c>
      <c r="FA4" s="113" t="s">
        <v>384</v>
      </c>
      <c r="FB4" s="113" t="s">
        <v>385</v>
      </c>
      <c r="FC4" s="113" t="s">
        <v>386</v>
      </c>
      <c r="FD4" s="113" t="s">
        <v>496</v>
      </c>
      <c r="FF4" s="267"/>
      <c r="FG4" s="114"/>
      <c r="FH4" s="115" t="s">
        <v>512</v>
      </c>
      <c r="FI4" s="115" t="s">
        <v>513</v>
      </c>
      <c r="FJ4" s="60" t="s">
        <v>383</v>
      </c>
      <c r="FK4" s="60" t="s">
        <v>384</v>
      </c>
      <c r="FL4" s="60" t="s">
        <v>385</v>
      </c>
      <c r="FM4" s="60" t="s">
        <v>386</v>
      </c>
      <c r="FN4" s="60" t="s">
        <v>496</v>
      </c>
      <c r="FO4" s="266"/>
      <c r="FP4" s="268"/>
      <c r="FR4" s="18" t="s">
        <v>517</v>
      </c>
      <c r="FS4" s="18" t="s">
        <v>518</v>
      </c>
      <c r="FT4" s="18" t="s">
        <v>519</v>
      </c>
      <c r="FU4" s="18" t="s">
        <v>520</v>
      </c>
      <c r="FV4" s="18" t="s">
        <v>521</v>
      </c>
      <c r="FX4" s="97" t="s">
        <v>508</v>
      </c>
      <c r="FY4" s="97" t="s">
        <v>528</v>
      </c>
      <c r="FZ4" s="97" t="s">
        <v>529</v>
      </c>
      <c r="GA4" s="120" t="s">
        <v>531</v>
      </c>
      <c r="GB4" s="120" t="s">
        <v>531</v>
      </c>
      <c r="GC4" s="100"/>
      <c r="GD4" s="97" t="s">
        <v>533</v>
      </c>
      <c r="GE4" s="97" t="s">
        <v>534</v>
      </c>
      <c r="GF4" s="120" t="s">
        <v>531</v>
      </c>
      <c r="GG4" s="120" t="s">
        <v>531</v>
      </c>
      <c r="GI4" s="97" t="s">
        <v>537</v>
      </c>
      <c r="GJ4" s="97" t="s">
        <v>538</v>
      </c>
      <c r="GK4" s="122" t="s">
        <v>531</v>
      </c>
      <c r="GL4" s="122" t="s">
        <v>531</v>
      </c>
      <c r="GN4" s="97" t="s">
        <v>542</v>
      </c>
      <c r="GO4" s="97" t="s">
        <v>543</v>
      </c>
      <c r="GP4" s="113" t="s">
        <v>531</v>
      </c>
      <c r="GQ4" s="113" t="s">
        <v>531</v>
      </c>
      <c r="GS4" s="97" t="s">
        <v>546</v>
      </c>
      <c r="GT4" s="97" t="s">
        <v>547</v>
      </c>
      <c r="GU4" s="113" t="s">
        <v>531</v>
      </c>
      <c r="GV4" s="113" t="s">
        <v>531</v>
      </c>
      <c r="HB4" s="1"/>
      <c r="JO4" s="1"/>
      <c r="JS4" s="1"/>
    </row>
    <row r="5" spans="2:279" ht="18" customHeight="1" thickBot="1" x14ac:dyDescent="0.3">
      <c r="B5" s="6"/>
      <c r="AO5" s="9" t="s">
        <v>4</v>
      </c>
      <c r="AP5" s="8"/>
      <c r="AR5" s="6"/>
      <c r="AS5" s="104" t="s">
        <v>489</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1"/>
      <c r="CE5" s="10"/>
      <c r="CF5" s="8"/>
      <c r="EA5" s="1">
        <v>1</v>
      </c>
      <c r="EB5" s="1" t="str">
        <f>IMSUM(IMDIV(IMPRODUCT(COMPLEX($W$40/100,$W$40*EA5),COMPLEX($AL$40,0)),IMSUM(COMPLEX($W$40/100,$W$40*EA5),COMPLEX($AL$40,0))),COMPLEX(0,-$L$40/EA5))</f>
        <v>0.0755111598403155-51.8360604392335i</v>
      </c>
      <c r="EC5" s="1" t="str">
        <f>IMSUM(IMDIV(IMPRODUCT(COMPLEX($W$41/100,$W$41*EA5),COMPLEX($AL$41,0)),IMSUM(COMPLEX($W$41/100,$W$41*EA5),COMPLEX($AL$41,0))),COMPLEX(0,-$L$41/EA5))</f>
        <v>0.0300636230983922-51.8343628869257i</v>
      </c>
      <c r="ED5" s="52" t="str">
        <f>IMSUM(IMDIV(IMPRODUCT(COMPLEX($W$42/100,$W$42*EA5),COMPLEX($AL$42,0)),IMSUM(COMPLEX($W$42/100,$W$42*EA5),COMPLEX($AL$42,0))),COMPLEX(0,-$L$42/EA5))</f>
        <v>0.00922516028629829-51.8337872320918i</v>
      </c>
      <c r="EE5" s="1" t="str">
        <f>IMSUM(IMDIV(IMPRODUCT(COMPLEX($W$43/100,$W$43*EA5),COMPLEX($AL$43,0)),IMSUM(COMPLEX($W$43/100,$W$43*EA5),COMPLEX($AL$43,0))),COMPLEX(0,-$L$43/EA5))</f>
        <v>0.0060505775203539-51.8337211702033i</v>
      </c>
      <c r="EF5" s="1" t="str">
        <f>IMSUM(IMDIV(IMPRODUCT(COMPLEX($W$44/100,$W$44*EA5),COMPLEX($AL$44,0)),IMSUM(COMPLEX($W$44/100,$W$44*EA5),COMPLEX($AL$44,0))),COMPLEX(0,-$L$44/EA5))</f>
        <v>936.795023234793-15550100.857501i</v>
      </c>
      <c r="EH5" s="1" t="str">
        <f>IMDIV("1",IMSUM(IMDIV("1",EB5),IMDIV("1",EC5),IMDIV("1",ED5),IMDIV("1",EE5),IMDIV("1",EF5)))</f>
        <v>0.00755288987299731-12.9586136386201i</v>
      </c>
      <c r="EI5" s="1" t="str">
        <f t="shared" ref="EI5:EI68" si="0">COMPLEX((($S$17/1.732)/($T$124))*COS(ATAN($AF$124)),(EL5*($S$17/1.732)/($T$124))*SIN(ATAN($AF$124)))</f>
        <v>0.0143880322809015+0.359700807022538i</v>
      </c>
      <c r="EJ5" s="1" t="str">
        <f>IMDIV(IMPRODUCT(EH5,EI5),IMSUM(EH5,EI5))</f>
        <v>0.0152274462631019+0.369952424706483i</v>
      </c>
      <c r="EL5" s="52">
        <v>1</v>
      </c>
      <c r="EM5" s="14">
        <f>IMABS(EH5)</f>
        <v>12.958615839709745</v>
      </c>
      <c r="EN5" s="14">
        <f t="shared" ref="EN5:EO20" si="1">IMABS(EI5)</f>
        <v>0.35998845265588925</v>
      </c>
      <c r="EO5" s="14">
        <f t="shared" si="1"/>
        <v>0.37026567713724373</v>
      </c>
      <c r="EQ5" s="1" t="str">
        <f>IMDIV(EH5,IMSUM(EH5,EI5))</f>
        <v>1.02854807111911-0.00119172213409671i</v>
      </c>
      <c r="ER5" s="14">
        <f>EL5</f>
        <v>1</v>
      </c>
      <c r="ES5" s="2">
        <f>IMABS(EQ5)</f>
        <v>1.0285487615103557</v>
      </c>
      <c r="EU5" s="1" t="str">
        <f>IMDIV(EI5,IMSUM(EH5,EI5))</f>
        <v>-0.0285480711191139+0.00119172213409671i</v>
      </c>
      <c r="EV5" s="52">
        <f>ER5</f>
        <v>1</v>
      </c>
      <c r="EW5" s="2">
        <f>IMABS(EU5)</f>
        <v>2.8572934155715986E-2</v>
      </c>
      <c r="EY5" s="98">
        <f>EV5</f>
        <v>1</v>
      </c>
      <c r="EZ5" s="1" t="str">
        <f>IMSUM(IMDIV(IMPRODUCT(COMPLEX($W$40/100,$W$40*EY5),COMPLEX($AL$40,0)),IMSUM(COMPLEX($W$40/100,$W$40*EY5),COMPLEX($AL$40,0))),COMPLEX(0,-$L$40/EY5))</f>
        <v>0.0755111598403155-51.8360604392335i</v>
      </c>
      <c r="FA5" s="1" t="str">
        <f>IMSUM(IMDIV(IMPRODUCT(COMPLEX($W$41/100,$W$41*EY5),COMPLEX($AL$41,0)),IMSUM(COMPLEX($W$41/100,$W$41*EY5),COMPLEX($AL$41,0))),COMPLEX(0,-$L$41/EY5))</f>
        <v>0.0300636230983922-51.8343628869257i</v>
      </c>
      <c r="FB5" s="1" t="str">
        <f>IMSUM(IMDIV(IMPRODUCT(COMPLEX($W$42/100,$W$42*EY5),COMPLEX($AL$42,0)),IMSUM(COMPLEX($W$42/100,$W$42*EY5),COMPLEX($AL$42,0))),COMPLEX(0,-$L$42/EY5))</f>
        <v>0.00922516028629829-51.8337872320918i</v>
      </c>
      <c r="FC5" s="1" t="str">
        <f>IMSUM(IMDIV(IMPRODUCT(COMPLEX($W$43/100,$W$43*EY5),COMPLEX($AL$43,0)),IMSUM(COMPLEX($W$43/100,$W$43*EY5),COMPLEX($AL$43,0))),COMPLEX(0,-$L$43/EY5))</f>
        <v>0.0060505775203539-51.8337211702033i</v>
      </c>
      <c r="FD5" s="1" t="str">
        <f>IMSUM(IMDIV(IMPRODUCT(COMPLEX($W$44/100,$W$44*EY5),COMPLEX($AL$44,0)),IMSUM(COMPLEX($W$44/100,$W$44*EY5),COMPLEX($AL$44,0))),COMPLEX(0,-$L$44/EY5))</f>
        <v>936.795023234793-15550100.857501i</v>
      </c>
      <c r="FF5" s="98">
        <f>J21</f>
        <v>555.59013663016856</v>
      </c>
      <c r="FG5" s="98"/>
      <c r="FH5" s="98" t="str">
        <f>IMPRODUCT(IMDIV("1",IMSUM(IMDIV("1",EZ5),IMDIV("1",FA5),IMDIV("1",FB5),IMDIV("1",FC5),IMDIV("1",FD5))),FF5)</f>
        <v>4.19631111649119-7199.67792201851i</v>
      </c>
      <c r="FI5" s="98">
        <f>IMABS(FH5)</f>
        <v>7199.6791449222064</v>
      </c>
      <c r="FJ5" s="1" t="str">
        <f>IMDIV($FI$5,EZ5)</f>
        <v>0.202329583130776+138.892959954408i</v>
      </c>
      <c r="FK5" s="1" t="str">
        <f>IMDIV($FI$5,FA5)</f>
        <v>0.0805598752049726+138.897756662048i</v>
      </c>
      <c r="FL5" s="1" t="str">
        <f>IMDIV($FI$5,FB5)</f>
        <v>0.0247207228708572+138.89934155558i</v>
      </c>
      <c r="FM5" s="1" t="str">
        <f>IMDIV($FI$5,FC5)</f>
        <v>0.0162138141140089+138.899521089333i</v>
      </c>
      <c r="FN5" s="1" t="str">
        <f>IMDIV($FI$5,FD5)</f>
        <v>2.78927474976153E-08+0.0004629988695745i</v>
      </c>
      <c r="FO5" s="1" t="str">
        <f>IMSUM(FJ5:FN5)</f>
        <v>0.323824023213362+555.590042260239i</v>
      </c>
      <c r="FP5" s="100">
        <f>IMABS(FO5)</f>
        <v>555.59013663017106</v>
      </c>
      <c r="FR5" s="12">
        <f>IMABS(FJ5)</f>
        <v>138.89310732414691</v>
      </c>
      <c r="FS5" s="12">
        <f t="shared" ref="FS5:FV5" si="2">IMABS(FK5)</f>
        <v>138.897780024171</v>
      </c>
      <c r="FT5" s="12">
        <f t="shared" si="2"/>
        <v>138.89934375542532</v>
      </c>
      <c r="FU5" s="12">
        <f t="shared" si="2"/>
        <v>138.8995220356565</v>
      </c>
      <c r="FV5" s="12">
        <f t="shared" si="2"/>
        <v>4.629988704146806E-4</v>
      </c>
      <c r="FX5" s="52">
        <f>EY5</f>
        <v>1</v>
      </c>
      <c r="FY5" s="1" t="str">
        <f>IMDIV(COMPLEX($AL$40,0),IMSUM(COMPLEX($W$40/100,$W$40*FX5),COMPLEX($AL$40,0)))</f>
        <v>0.999125920893625-0.0249719050460791i</v>
      </c>
      <c r="FZ5" s="1" t="str">
        <f>IMDIV(COMPLEX($W$40/100,$W$40*FX5),IMSUM(COMPLEX($W$40/100,$W$40*FX5),COMPLEX($AL$40,0)))</f>
        <v>0.000874079106375382+0.0249719050460791i</v>
      </c>
      <c r="GA5" s="121">
        <f>IMABS(FY5)*FR5</f>
        <v>138.81504147641357</v>
      </c>
      <c r="GB5" s="121">
        <f>IMABS(FZ5)*FR5</f>
        <v>3.4705495513744307</v>
      </c>
      <c r="GC5" s="13"/>
      <c r="GD5" s="1" t="str">
        <f>IMDIV(COMPLEX($AL$41,0),IMSUM(COMPLEX($W$41/100,$W$41*FX5),COMPLEX($AL$41,0)))</f>
        <v>0.999502855228517-0.0178450786507502i</v>
      </c>
      <c r="GE5" s="1" t="str">
        <f>IMDIV(COMPLEX($W$41/100,$W$41*FX5),IMSUM(COMPLEX($W$41/100,$W$41*FX5),COMPLEX($AL$41,0)))</f>
        <v>0.000497144771482774+0.0178450786507502i</v>
      </c>
      <c r="GF5" s="121">
        <f>IMABS(GD5)*FS5</f>
        <v>138.85085273526533</v>
      </c>
      <c r="GG5" s="121">
        <f>IMABS(GE5)*FS5</f>
        <v>2.4796034840062045</v>
      </c>
      <c r="GI5" s="1" t="str">
        <f>IMDIV(COMPLEX($AL$42,0),IMSUM(COMPLEX($W$42/100,$W$42*FX5),COMPLEX($AL$42,0)))</f>
        <v>0.999757304992575-0.011359587603597i</v>
      </c>
      <c r="GJ5" s="1" t="str">
        <f>IMDIV(COMPLEX($W$42/100,$W$42*FX5),IMSUM(COMPLEX($W$42/100,$W$42*FX5),COMPLEX($AL$42,0)))</f>
        <v>0.000242695007426395+0.011359587603597i</v>
      </c>
      <c r="GK5" s="123">
        <f>IMABS(GI5)*FT5</f>
        <v>138.87459726604251</v>
      </c>
      <c r="GL5" s="123">
        <f>IMABS(GJ5)*FT5</f>
        <v>1.578199327526373</v>
      </c>
      <c r="GN5" s="1" t="str">
        <f>IMDIV(COMPLEX($AL$43,0),IMSUM(COMPLEX($W$43/100,$W$43*FX5),COMPLEX($AL$43,0)))</f>
        <v>0.999811434985123-0.00961264719724183i</v>
      </c>
      <c r="GO5" s="1" t="str">
        <f>IMDIV(COMPLEX($W$43/100,$W$43*FX5),IMSUM(COMPLEX($W$43/100,$W$43*FX5),COMPLEX($AL$43,0)))</f>
        <v>0.000188565014875895+0.00961264719724184i</v>
      </c>
      <c r="GP5" s="123">
        <f>IMABS(GN5)*FU5</f>
        <v>138.87974887251792</v>
      </c>
      <c r="GQ5" s="123">
        <f>IMABS(GO5)*FU5</f>
        <v>1.3354489681381794</v>
      </c>
      <c r="GS5" s="1" t="str">
        <f>IMDIV(COMPLEX($AL$44,0),IMSUM(COMPLEX($W$44/100,$W$44*FX5),COMPLEX($AL$44,0)))</f>
        <v>0.999872425096853-0.00735146257699325i</v>
      </c>
      <c r="GT5" s="1" t="str">
        <f>IMDIV(COMPLEX($W$44/100,$W$44*FX5),IMSUM(COMPLEX($W$44/100,$W$44*FX5),COMPLEX($AL$44,0)))</f>
        <v>0.000127574903146778+0.00735146257699326i</v>
      </c>
      <c r="GU5" s="123">
        <f>IMABS(GS5)*FV5</f>
        <v>4.6295231596178927E-4</v>
      </c>
      <c r="GV5" s="123">
        <f>IMABS(GT5)*FV5</f>
        <v>3.4042313455803383E-6</v>
      </c>
      <c r="HB5" s="1"/>
      <c r="JO5" s="1"/>
      <c r="JS5" s="1"/>
    </row>
    <row r="6" spans="2:279"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D6" s="9"/>
      <c r="CF6" s="8"/>
      <c r="EA6" s="1">
        <f>ROUND(EA5+0.2,1)</f>
        <v>1.2</v>
      </c>
      <c r="EB6" s="1" t="str">
        <f t="shared" ref="EB6:EB69" si="3">IMSUM(IMDIV(IMPRODUCT(COMPLEX($W$40/100,$W$40*EA6),COMPLEX($AL$40,0)),IMSUM(COMPLEX($W$40/100,$W$40*EA6),COMPLEX($AL$40,0))),COMPLEX(0,-$L$40/EA6))</f>
        <v>0.0992142903516427-42.4064151562293i</v>
      </c>
      <c r="EC6" s="1" t="str">
        <f t="shared" ref="EC6:EC69" si="4">IMSUM(IMDIV(IMPRODUCT(COMPLEX($W$41/100,$W$41*EA6),COMPLEX($AL$41,0)),IMSUM(COMPLEX($W$41/100,$W$41*EA6),COMPLEX($AL$41,0))),COMPLEX(0,-$L$41/EA6))</f>
        <v>0.0385371596681122-42.7998000863797i</v>
      </c>
      <c r="ED6" s="52" t="str">
        <f t="shared" ref="ED6:ED69" si="5">IMSUM(IMDIV(IMPRODUCT(COMPLEX($W$42/100,$W$42*EA6),COMPLEX($AL$42,0)),IMSUM(COMPLEX($W$42/100,$W$42*EA6),COMPLEX($AL$42,0))),COMPLEX(0,-$L$42/EA6))</f>
        <v>0.0113834789565961-43.0365280049324i</v>
      </c>
      <c r="EE6" s="1" t="str">
        <f t="shared" ref="EE6:EE69" si="6">IMSUM(IMDIV(IMPRODUCT(COMPLEX($W$43/100,$W$43*EA6),COMPLEX($AL$43,0)),IMSUM(COMPLEX($W$43/100,$W$43*EA6),COMPLEX($AL$43,0))),COMPLEX(0,-$L$43/EA6))</f>
        <v>0.00735524094609949-43.0816859394096i</v>
      </c>
      <c r="EF6" s="1" t="str">
        <f t="shared" ref="EF6:EF69" si="7">IMSUM(IMDIV(IMPRODUCT(COMPLEX($W$44/100,$W$44*EA6),COMPLEX($AL$44,0)),IMSUM(COMPLEX($W$44/100,$W$44*EA6),COMPLEX($AL$44,0))),COMPLEX(0,-$L$44/EA6))</f>
        <v>1111.41788796526-12938625.3347242i</v>
      </c>
      <c r="EH6" s="1" t="str">
        <f t="shared" ref="EH6:EH69" si="8">IMDIV("1",IMSUM(IMDIV("1",EB6),IMDIV("1",EC6),IMDIV("1",ED6),IMDIV("1",EE6),IMDIV("1",EF6)))</f>
        <v>0.00989607174742569-10.7073564378874i</v>
      </c>
      <c r="EI6" s="1" t="str">
        <f t="shared" si="0"/>
        <v>0.0143880322809015+0.431640968427045i</v>
      </c>
      <c r="EJ6" s="1" t="str">
        <f t="shared" ref="EJ6:EJ69" si="9">IMDIV(IMPRODUCT(EH6,EI6),IMSUM(EH6,EI6))</f>
        <v>0.0156395922422927+0.449749344208024i</v>
      </c>
      <c r="EL6" s="52">
        <f>ROUND(EL5+0.2,1)</f>
        <v>1.2</v>
      </c>
      <c r="EM6" s="14">
        <f t="shared" ref="EM6:EO69" si="10">IMABS(EH6)</f>
        <v>10.707361011015029</v>
      </c>
      <c r="EN6" s="14">
        <f t="shared" si="1"/>
        <v>0.43188070239078002</v>
      </c>
      <c r="EO6" s="14">
        <f t="shared" si="1"/>
        <v>0.45002118779125588</v>
      </c>
      <c r="EQ6" s="1" t="str">
        <f t="shared" ref="EQ6:EQ69" si="11">IMDIV(EH6,IMSUM(EH6,EI6))</f>
        <v>1.0420023848141-0.00149945982924089i</v>
      </c>
      <c r="ER6" s="14">
        <f t="shared" ref="ER6:ER69" si="12">EL6</f>
        <v>1.2</v>
      </c>
      <c r="ES6" s="2">
        <f t="shared" ref="ES6:ES69" si="13">IMABS(EQ6)</f>
        <v>1.0420034636881257</v>
      </c>
      <c r="EU6" s="1" t="str">
        <f t="shared" ref="EU6:EU69" si="14">IMDIV(EI6,IMSUM(EH6,EI6))</f>
        <v>-0.0420023848141087+0.0014994598292409i</v>
      </c>
      <c r="EV6" s="52">
        <f t="shared" ref="EV6:EV69" si="15">ER6</f>
        <v>1.2</v>
      </c>
      <c r="EW6" s="2">
        <f t="shared" ref="EW6:EW69" si="16">IMABS(EU6)</f>
        <v>4.2029141198125571E-2</v>
      </c>
      <c r="EY6" s="96">
        <f>L20</f>
        <v>2</v>
      </c>
      <c r="EZ6" s="1" t="str">
        <f t="shared" ref="EZ6:EZ20" si="17">IMSUM(IMDIV(IMPRODUCT(COMPLEX($W$40/100,$W$40*EY6),COMPLEX($AL$40,0)),IMSUM(COMPLEX($W$40/100,$W$40*EY6),COMPLEX($AL$40,0))),COMPLEX(0,-$L$40/EY6))</f>
        <v>0.236865607155683-22.6901345010728i</v>
      </c>
      <c r="FA6" s="1" t="str">
        <f t="shared" ref="FA6:FA20" si="18">IMSUM(IMDIV(IMPRODUCT(COMPLEX($W$41/100,$W$41*EY6),COMPLEX($AL$41,0)),IMSUM(COMPLEX($W$41/100,$W$41*EY6),COMPLEX($AL$41,0))),COMPLEX(0,-$L$41/EY6))</f>
        <v>0.087790650408609-24.3005360436402i</v>
      </c>
      <c r="FB6" s="1" t="str">
        <f t="shared" ref="FB6:FB20" si="19">IMSUM(IMDIV(IMPRODUCT(COMPLEX($W$42/100,$W$42*EY6),COMPLEX($AL$42,0)),IMSUM(COMPLEX($W$42/100,$W$42*EY6),COMPLEX($AL$42,0))),COMPLEX(0,-$L$42/EY6))</f>
        <v>0.0239361082874467-25.2695383492554i</v>
      </c>
      <c r="FC6" s="1" t="str">
        <f t="shared" ref="FC6:FC20" si="20">IMSUM(IMDIV(IMPRODUCT(COMPLEX($W$43/100,$W$43*EY6),COMPLEX($AL$43,0)),IMSUM(COMPLEX($W$43/100,$W$43*EY6),COMPLEX($AL$43,0))),COMPLEX(0,-$L$43/EY6))</f>
        <v>0.0149439057237-25.4543630518866i</v>
      </c>
      <c r="FD6" s="1" t="str">
        <f t="shared" ref="FD6:FD20" si="21">IMSUM(IMDIV(IMPRODUCT(COMPLEX($W$44/100,$W$44*EY6),COMPLEX($AL$44,0)),IMSUM(COMPLEX($W$44/100,$W$44*EY6),COMPLEX($AL$44,0))),COMPLEX(0,-$L$44/EY6))</f>
        <v>2127.24073405743-7694094.16818598i</v>
      </c>
      <c r="FF6" s="96">
        <f>L21</f>
        <v>0.1711122058962033</v>
      </c>
      <c r="FG6" s="96"/>
      <c r="FH6" s="98" t="str">
        <f t="shared" ref="FH6:FH20" si="22">IMPRODUCT(IMDIV("1",IMSUM(IMDIV("1",EZ6),IMDIV("1",FA6),IMDIV("1",FB6),IMDIV("1",FC6),IMDIV("1",FD6))),FF6)</f>
        <v>0.00425360667811005-1.04285726214481i</v>
      </c>
      <c r="FI6" s="98">
        <f t="shared" ref="FI6:FI20" si="23">IMABS(FH6)</f>
        <v>1.0428659369151632</v>
      </c>
      <c r="FJ6" s="1" t="str">
        <f>IMDIV($FI$6,EZ6)</f>
        <v>0.000479743415379768+0.0459561974897283i</v>
      </c>
      <c r="FK6" s="1" t="str">
        <f>IMDIV($FI$6,FA6)</f>
        <v>0.000155038434039944+0.0429147869050045i</v>
      </c>
      <c r="FL6" s="1" t="str">
        <f>IMDIV($FI$6,FB6)</f>
        <v>0.0000390919214951866+0.0412696499157622i</v>
      </c>
      <c r="FM6" s="1" t="str">
        <f>IMDIV($FI$6,FC6)</f>
        <v>0.0000240529297872657+0.0409700126985953i</v>
      </c>
      <c r="FN6" s="1" t="str">
        <f>IMDIV($FI$6,FD6)</f>
        <v>3.74740036777398E-11+1.35541083122045E-07i</v>
      </c>
      <c r="FO6" s="1" t="str">
        <f t="shared" ref="FO6:FO20" si="24">IMSUM(FJ6:FN6)</f>
        <v>0.000697926738176168+0.171110782550173i</v>
      </c>
      <c r="FP6" s="100">
        <f t="shared" ref="FP6:FP20" si="25">IMABS(FO6)</f>
        <v>0.17111220589620266</v>
      </c>
      <c r="FR6" s="12">
        <f t="shared" ref="FR6:FR20" si="26">IMABS(FJ6)</f>
        <v>4.595870147708167E-2</v>
      </c>
      <c r="FS6" s="12">
        <f t="shared" ref="FS6:FS20" si="27">IMABS(FK6)</f>
        <v>4.2915066958097305E-2</v>
      </c>
      <c r="FT6" s="12">
        <f t="shared" ref="FT6:FT20" si="28">IMABS(FL6)</f>
        <v>4.126966843031208E-2</v>
      </c>
      <c r="FU6" s="12">
        <f t="shared" ref="FU6:FU20" si="29">IMABS(FM6)</f>
        <v>4.0970019759166476E-2</v>
      </c>
      <c r="FV6" s="12">
        <f t="shared" ref="FV6:FV20" si="30">IMABS(FN6)</f>
        <v>1.3554108830239657E-7</v>
      </c>
      <c r="FX6" s="52">
        <f t="shared" ref="FX6:FX20" si="31">EY6</f>
        <v>2</v>
      </c>
      <c r="FY6" s="1" t="str">
        <f t="shared" ref="FY6:FY20" si="32">IMDIV(COMPLEX($AL$40,0),IMSUM(COMPLEX($W$40/100,$W$40*FX6),COMPLEX($AL$40,0)))</f>
        <v>0.99725816318182-0.0498504455477041i</v>
      </c>
      <c r="FZ6" s="1" t="str">
        <f t="shared" ref="FZ6:FZ20" si="33">IMDIV(COMPLEX($W$40/100,$W$40*FX6),IMSUM(COMPLEX($W$40/100,$W$40*FX6),COMPLEX($AL$40,0)))</f>
        <v>0.00274183681818066+0.0498504455477041i</v>
      </c>
      <c r="GA6" s="121">
        <f t="shared" ref="GA6:GA20" si="34">IMABS(FY6)*FR6</f>
        <v>4.588991671895163E-2</v>
      </c>
      <c r="GB6" s="121">
        <f t="shared" ref="GB6:GB20" si="35">IMABS(FZ6)*FR6</f>
        <v>2.2945245169662767E-3</v>
      </c>
      <c r="GC6" s="13"/>
      <c r="GD6" s="1" t="str">
        <f t="shared" ref="GD6:GD20" si="36">IMDIV(COMPLEX($AL$41,0),IMSUM(COMPLEX($W$41/100,$W$41*FX6),COMPLEX($AL$41,0)))</f>
        <v>0.998548256718997-0.0356560705845026i</v>
      </c>
      <c r="GE6" s="1" t="str">
        <f t="shared" ref="GE6:GE20" si="37">IMDIV(COMPLEX($W$41/100,$W$41*FX6),IMSUM(COMPLEX($W$41/100,$W$41*FX6),COMPLEX($AL$41,0)))</f>
        <v>0.00145174328100349+0.0356560705845026i</v>
      </c>
      <c r="GF6" s="121">
        <f t="shared" ref="GF6:GF20" si="38">IMABS(GD6)*FS6</f>
        <v>4.2880076406728994E-2</v>
      </c>
      <c r="GG6" s="121">
        <f t="shared" ref="GG6:GG20" si="39">IMABS(GE6)*FS6</f>
        <v>1.5314504430119296E-3</v>
      </c>
      <c r="GI6" s="1" t="str">
        <f t="shared" ref="GI6:GI20" si="40">IMDIV(COMPLEX($AL$42,0),IMSUM(COMPLEX($W$42/100,$W$42*FX6),COMPLEX($AL$42,0)))</f>
        <v>0.999370290184855-0.0227103804155177i</v>
      </c>
      <c r="GJ6" s="1" t="str">
        <f t="shared" ref="GJ6:GJ20" si="41">IMDIV(COMPLEX($W$42/100,$W$42*FX6),IMSUM(COMPLEX($W$42/100,$W$42*FX6),COMPLEX($AL$42,0)))</f>
        <v>0.000629709815146409+0.0227103804155177i</v>
      </c>
      <c r="GK6" s="123">
        <f t="shared" ref="GK6:GK20" si="42">IMABS(GI6)*FT6</f>
        <v>4.1254328497072619E-2</v>
      </c>
      <c r="GL6" s="123">
        <f t="shared" ref="GL6:GL20" si="43">IMABS(GJ6)*FT6</f>
        <v>9.376100948399077E-4</v>
      </c>
      <c r="GN6" s="1" t="str">
        <f t="shared" ref="GN6:GN20" si="44">IMDIV(COMPLEX($AL$43,0),IMSUM(COMPLEX($W$43/100,$W$43*FX6),COMPLEX($AL$43,0)))</f>
        <v>0.99953427622477-0.0192199649307715i</v>
      </c>
      <c r="GO6" s="1" t="str">
        <f t="shared" ref="GO6:GO20" si="45">IMDIV(COMPLEX($W$43/100,$W$43*FX6),IMSUM(COMPLEX($W$43/100,$W$43*FX6),COMPLEX($AL$43,0)))</f>
        <v>0.000465723775228756+0.0192199649307715i</v>
      </c>
      <c r="GP6" s="123">
        <f t="shared" ref="GP6:GP20" si="46">IMABS(GN6)*FU6</f>
        <v>4.0958509180216374E-2</v>
      </c>
      <c r="GQ6" s="123">
        <f t="shared" ref="GQ6:GQ20" si="47">IMABS(GO6)*FU6</f>
        <v>7.8767348381502626E-4</v>
      </c>
      <c r="GS6" s="1" t="str">
        <f t="shared" ref="GS6:GS20" si="48">IMDIV(COMPLEX($AL$44,0),IMSUM(COMPLEX($W$44/100,$W$44*FX6),COMPLEX($AL$44,0)))</f>
        <v>0.999710307459063-0.0147005412463651i</v>
      </c>
      <c r="GT6" s="1" t="str">
        <f t="shared" ref="GT6:GT20" si="49">IMDIV(COMPLEX($W$44/100,$W$44*FX6),IMSUM(COMPLEX($W$44/100,$W$44*FX6),COMPLEX($AL$44,0)))</f>
        <v>0.000289692540936183+0.0147005412463651i</v>
      </c>
      <c r="GU6" s="123">
        <f t="shared" ref="GU6:GU20" si="50">IMABS(GS6)*FV6</f>
        <v>1.3551647212754032E-7</v>
      </c>
      <c r="GV6" s="123">
        <f t="shared" ref="GV6:GV20" si="51">IMABS(GT6)*FV6</f>
        <v>1.9929142069537389E-9</v>
      </c>
      <c r="HB6" s="1"/>
      <c r="JO6" s="1"/>
      <c r="JS6" s="1"/>
    </row>
    <row r="7" spans="2:279" ht="18" customHeight="1" x14ac:dyDescent="0.25">
      <c r="B7" s="6"/>
      <c r="C7" s="262" t="s">
        <v>488</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c r="AR7" s="6"/>
      <c r="AS7" s="16" t="s">
        <v>7</v>
      </c>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8"/>
      <c r="EA7" s="1">
        <f t="shared" ref="EA7:EA41" si="52">ROUND(EA6+0.2,1)</f>
        <v>1.4</v>
      </c>
      <c r="EB7" s="1" t="str">
        <f t="shared" si="3"/>
        <v>0.127210302225933-35.5482698231321i</v>
      </c>
      <c r="EC7" s="1" t="str">
        <f t="shared" si="4"/>
        <v>0.0485482766932972-36.2850267421965i</v>
      </c>
      <c r="ED7" s="52" t="str">
        <f t="shared" si="5"/>
        <v>0.0139339031476714-36.7281219806159i</v>
      </c>
      <c r="EE7" s="1" t="str">
        <f t="shared" si="6"/>
        <v>0.00889697910209146-36.8126192440619i</v>
      </c>
      <c r="EF7" s="1" t="str">
        <f t="shared" si="7"/>
        <v>1317.77965580033-11070202.2411612i</v>
      </c>
      <c r="EH7" s="1" t="str">
        <f t="shared" si="8"/>
        <v>0.0127441551789188-9.08414349742142i</v>
      </c>
      <c r="EI7" s="1" t="str">
        <f t="shared" si="0"/>
        <v>0.0143880322809015+0.503581129831553i</v>
      </c>
      <c r="EJ7" s="1" t="str">
        <f t="shared" si="9"/>
        <v>0.0161702176804751+0.533105836186239i</v>
      </c>
      <c r="EL7" s="52">
        <f t="shared" ref="EL7:EL41" si="53">ROUND(EL6+0.2,1)</f>
        <v>1.4</v>
      </c>
      <c r="EM7" s="14">
        <f t="shared" si="10"/>
        <v>9.0841524368118751</v>
      </c>
      <c r="EN7" s="14">
        <f t="shared" si="1"/>
        <v>0.50378663121934841</v>
      </c>
      <c r="EO7" s="14">
        <f t="shared" si="1"/>
        <v>0.53335101810689656</v>
      </c>
      <c r="EQ7" s="1" t="str">
        <f t="shared" si="11"/>
        <v>1.05868270376235-0.00186237471571683i</v>
      </c>
      <c r="ER7" s="14">
        <f t="shared" si="12"/>
        <v>1.4</v>
      </c>
      <c r="ES7" s="2">
        <f t="shared" si="13"/>
        <v>1.0586843418531993</v>
      </c>
      <c r="EU7" s="1" t="str">
        <f t="shared" si="14"/>
        <v>-0.0586827037623501+0.00186237471571683i</v>
      </c>
      <c r="EV7" s="52">
        <f t="shared" si="15"/>
        <v>1.4</v>
      </c>
      <c r="EW7" s="2">
        <f t="shared" si="16"/>
        <v>5.8712248810971972E-2</v>
      </c>
      <c r="EY7" s="96">
        <f>N20</f>
        <v>3</v>
      </c>
      <c r="EZ7" s="1" t="str">
        <f t="shared" si="17"/>
        <v>0.504453251366083-11.5580291190959i</v>
      </c>
      <c r="FA7" s="1" t="str">
        <f t="shared" si="18"/>
        <v>0.183757714049653-14.4086522842485i</v>
      </c>
      <c r="FB7" s="1" t="str">
        <f t="shared" si="19"/>
        <v>0.0484290613336817-16.1278173003039i</v>
      </c>
      <c r="FC7" s="1" t="str">
        <f t="shared" si="20"/>
        <v>0.0297551674395265-16.4560689242367i</v>
      </c>
      <c r="FD7" s="1" t="str">
        <f t="shared" si="21"/>
        <v>4110.45929775874-5039483.59317432i</v>
      </c>
      <c r="FF7" s="96">
        <f>N21</f>
        <v>0.5742539727342898</v>
      </c>
      <c r="FG7" s="96"/>
      <c r="FH7" s="98" t="str">
        <f t="shared" si="22"/>
        <v>0.0366324869200847-2.06116250154577i</v>
      </c>
      <c r="FI7" s="98">
        <f t="shared" si="23"/>
        <v>2.0614880055135822</v>
      </c>
      <c r="FJ7" s="1" t="str">
        <f>IMDIV($FI$7,EZ7)</f>
        <v>0.00776976108318839+0.178020707775633i</v>
      </c>
      <c r="FK7" s="1" t="str">
        <f>IMDIV($FI$7,FA7)</f>
        <v>0.0018243536896528+0.1430496569553i</v>
      </c>
      <c r="FL7" s="1" t="str">
        <f>IMDIV($FI$7,FB7)</f>
        <v>0.000383823673576625+0.127820732273208i</v>
      </c>
      <c r="FM7" s="1" t="str">
        <f>IMDIV($FI$7,FC7)</f>
        <v>0.000226511155474062+0.125271793350358i</v>
      </c>
      <c r="FN7" s="1" t="str">
        <f>IMDIV($FI$7,FD7)</f>
        <v>3.33655896443255E-10+4.09067039493245E-07i</v>
      </c>
      <c r="FO7" s="1" t="str">
        <f t="shared" si="24"/>
        <v>0.0102044499355478+0.574163299421538i</v>
      </c>
      <c r="FP7" s="100">
        <f t="shared" si="25"/>
        <v>0.57425397273428924</v>
      </c>
      <c r="FR7" s="12">
        <f t="shared" si="26"/>
        <v>0.17819018374822768</v>
      </c>
      <c r="FS7" s="12">
        <f t="shared" si="27"/>
        <v>0.14306128973769935</v>
      </c>
      <c r="FT7" s="12">
        <f t="shared" si="28"/>
        <v>0.12782130855014559</v>
      </c>
      <c r="FU7" s="12">
        <f t="shared" si="29"/>
        <v>0.12527199813413353</v>
      </c>
      <c r="FV7" s="12">
        <f t="shared" si="30"/>
        <v>4.090671755665875E-7</v>
      </c>
      <c r="FX7" s="52">
        <f t="shared" si="31"/>
        <v>3</v>
      </c>
      <c r="FY7" s="1" t="str">
        <f t="shared" si="32"/>
        <v>0.994160703555678-0.0745434169124478i</v>
      </c>
      <c r="FZ7" s="1" t="str">
        <f t="shared" si="33"/>
        <v>0.0058392964443225+0.0745434169124477i</v>
      </c>
      <c r="GA7" s="121">
        <f t="shared" si="34"/>
        <v>0.17764696490922099</v>
      </c>
      <c r="GB7" s="121">
        <f t="shared" si="35"/>
        <v>1.3323596387554667E-2</v>
      </c>
      <c r="GC7" s="13"/>
      <c r="GD7" s="1" t="str">
        <f t="shared" si="36"/>
        <v>0.996961304814778-0.0533991057747604i</v>
      </c>
      <c r="GE7" s="1" t="str">
        <f t="shared" si="37"/>
        <v>0.00303869518522195+0.0533991057747604i</v>
      </c>
      <c r="GF7" s="121">
        <f t="shared" si="38"/>
        <v>0.14283101233793066</v>
      </c>
      <c r="GG7" s="121">
        <f t="shared" si="39"/>
        <v>7.6517038843580583E-3</v>
      </c>
      <c r="GI7" s="1" t="str">
        <f t="shared" si="40"/>
        <v>0.998725930928541-0.0340436063263904i</v>
      </c>
      <c r="GJ7" s="1" t="str">
        <f t="shared" si="41"/>
        <v>0.00127406907145973+0.0340436063263904i</v>
      </c>
      <c r="GK7" s="123">
        <f t="shared" si="42"/>
        <v>0.12773259868203979</v>
      </c>
      <c r="GL7" s="123">
        <f t="shared" si="43"/>
        <v>4.3545446013278409E-3</v>
      </c>
      <c r="GN7" s="1" t="str">
        <f t="shared" si="44"/>
        <v>0.999072686273004-0.0288166335815692i</v>
      </c>
      <c r="GO7" s="1" t="str">
        <f t="shared" si="45"/>
        <v>0.000927313726994591+0.0288166335815692i</v>
      </c>
      <c r="GP7" s="123">
        <f t="shared" si="46"/>
        <v>0.12520788197579014</v>
      </c>
      <c r="GQ7" s="123">
        <f t="shared" si="47"/>
        <v>3.6117858915346805E-3</v>
      </c>
      <c r="GS7" s="1" t="str">
        <f t="shared" si="48"/>
        <v>0.999440228188884-0.0220448546766168i</v>
      </c>
      <c r="GT7" s="1" t="str">
        <f t="shared" si="49"/>
        <v>0.000559771811115731+0.0220448546766168i</v>
      </c>
      <c r="GU7" s="123">
        <f t="shared" si="50"/>
        <v>4.0893763320741597E-7</v>
      </c>
      <c r="GV7" s="123">
        <f t="shared" si="51"/>
        <v>9.0207332002245244E-9</v>
      </c>
      <c r="HB7" s="1"/>
      <c r="JO7" s="1"/>
      <c r="JS7" s="1"/>
    </row>
    <row r="8" spans="2:279" ht="18" customHeight="1" x14ac:dyDescent="0.3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c r="AR8" s="6"/>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8"/>
      <c r="DC8" s="19"/>
      <c r="EA8" s="1">
        <f t="shared" si="52"/>
        <v>1.6</v>
      </c>
      <c r="EB8" s="1" t="str">
        <f t="shared" si="3"/>
        <v>0.159490828074118-30.2975211957493i</v>
      </c>
      <c r="EC8" s="1" t="str">
        <f t="shared" si="4"/>
        <v>0.0600954449437561-31.3451753408543i</v>
      </c>
      <c r="ED8" s="52" t="str">
        <f t="shared" si="5"/>
        <v>0.0168762749173635-31.9752578958823i</v>
      </c>
      <c r="EE8" s="1" t="str">
        <f t="shared" si="6"/>
        <v>0.0106757236140258-32.0954123281252i</v>
      </c>
      <c r="EF8" s="1" t="str">
        <f t="shared" si="7"/>
        <v>1555.87497362322-9666187.37090538i</v>
      </c>
      <c r="EH8" s="1" t="str">
        <f t="shared" si="8"/>
        <v>0.0161438618063212-7.85300948897723i</v>
      </c>
      <c r="EI8" s="1" t="str">
        <f t="shared" si="0"/>
        <v>0.0143880322809015+0.575521291236061i</v>
      </c>
      <c r="EJ8" s="1" t="str">
        <f t="shared" si="9"/>
        <v>0.0168544973036532+0.620996107045035i</v>
      </c>
      <c r="EL8" s="52">
        <f t="shared" si="53"/>
        <v>1.6</v>
      </c>
      <c r="EM8" s="14">
        <f t="shared" si="10"/>
        <v>7.8530260828702483</v>
      </c>
      <c r="EN8" s="14">
        <f t="shared" si="1"/>
        <v>0.57570111354672515</v>
      </c>
      <c r="EO8" s="14">
        <f t="shared" si="1"/>
        <v>0.62122478946388437</v>
      </c>
      <c r="EQ8" s="1" t="str">
        <f t="shared" si="11"/>
        <v>1.07907272173195-0.00230880102989725i</v>
      </c>
      <c r="ER8" s="14">
        <f t="shared" si="12"/>
        <v>1.6</v>
      </c>
      <c r="ES8" s="2">
        <f t="shared" si="13"/>
        <v>1.0790751917026886</v>
      </c>
      <c r="EU8" s="1" t="str">
        <f t="shared" si="14"/>
        <v>-0.0790727217319513+0.00230880102989725i</v>
      </c>
      <c r="EV8" s="52">
        <f t="shared" si="15"/>
        <v>1.6</v>
      </c>
      <c r="EW8" s="2">
        <f t="shared" si="16"/>
        <v>7.9106421258291398E-2</v>
      </c>
      <c r="EY8" s="96">
        <f>P20</f>
        <v>4</v>
      </c>
      <c r="EZ8" s="1" t="str">
        <f t="shared" si="17"/>
        <v>0.876295478158783-4.9491699658279i</v>
      </c>
      <c r="FA8" s="1" t="str">
        <f t="shared" si="18"/>
        <v>0.317600285272109-8.93235860964395i</v>
      </c>
      <c r="FB8" s="1" t="str">
        <f t="shared" si="19"/>
        <v>0.0826661816420569-11.3425607356428i</v>
      </c>
      <c r="FC8" s="1" t="str">
        <f t="shared" si="20"/>
        <v>0.0504679665759328-11.8034671336331i</v>
      </c>
      <c r="FD8" s="1" t="str">
        <f t="shared" si="21"/>
        <v>6885.16574194656-3685265.73901224i</v>
      </c>
      <c r="FF8" s="96">
        <f>P21</f>
        <v>3.9977570149213957</v>
      </c>
      <c r="FG8" s="96"/>
      <c r="FH8" s="98" t="str">
        <f t="shared" si="22"/>
        <v>0.681932171384046-8.26194498349166i</v>
      </c>
      <c r="FI8" s="98">
        <f t="shared" si="23"/>
        <v>8.2900401927018148</v>
      </c>
      <c r="FJ8" s="1" t="str">
        <f>IMDIV($FI$8,EZ8)</f>
        <v>0.287565268082377+1.62412042910333i</v>
      </c>
      <c r="FK8" s="1" t="str">
        <f>IMDIV($FI$8,FA8)</f>
        <v>0.0329576709506554+0.926918990698249i</v>
      </c>
      <c r="FL8" s="1" t="str">
        <f>IMDIV($FI$8,FB8)</f>
        <v>0.00532646673922356+0.73084024562334i</v>
      </c>
      <c r="FM8" s="1" t="str">
        <f>IMDIV($FI$8,FC8)</f>
        <v>0.0030029307230885+0.702326574644583i</v>
      </c>
      <c r="FN8" s="1" t="str">
        <f>IMDIV($FI$8,FD8)</f>
        <v>4.20273396786473E-09+0.000002249501621667i</v>
      </c>
      <c r="FO8" s="1" t="str">
        <f t="shared" si="24"/>
        <v>0.328852340698078+3.98420848957112i</v>
      </c>
      <c r="FP8" s="100">
        <f t="shared" si="25"/>
        <v>3.9977570149213904</v>
      </c>
      <c r="FR8" s="12">
        <f t="shared" si="26"/>
        <v>1.6493819908190077</v>
      </c>
      <c r="FS8" s="12">
        <f t="shared" si="27"/>
        <v>0.92750472957907459</v>
      </c>
      <c r="FT8" s="12">
        <f t="shared" si="28"/>
        <v>0.73085965538583952</v>
      </c>
      <c r="FU8" s="12">
        <f t="shared" si="29"/>
        <v>0.70233299441569785</v>
      </c>
      <c r="FV8" s="12">
        <f t="shared" si="30"/>
        <v>2.2495055476382513E-6</v>
      </c>
      <c r="FX8" s="52">
        <f t="shared" si="31"/>
        <v>4</v>
      </c>
      <c r="FY8" s="1" t="str">
        <f t="shared" si="32"/>
        <v>0.989856445456677-0.0989609043195878i</v>
      </c>
      <c r="FZ8" s="1" t="str">
        <f t="shared" si="33"/>
        <v>0.010143554543323+0.0989609043195878i</v>
      </c>
      <c r="GA8" s="121">
        <f t="shared" si="34"/>
        <v>1.6407902850158216</v>
      </c>
      <c r="GB8" s="121">
        <f t="shared" si="35"/>
        <v>0.16407954124774507</v>
      </c>
      <c r="GC8" s="13"/>
      <c r="GD8" s="1" t="str">
        <f t="shared" si="36"/>
        <v>0.994748027517252-0.0710407446896805i</v>
      </c>
      <c r="GE8" s="1" t="str">
        <f t="shared" si="37"/>
        <v>0.00525197248274811+0.0710407446896805i</v>
      </c>
      <c r="GF8" s="121">
        <f t="shared" si="38"/>
        <v>0.92498332443947273</v>
      </c>
      <c r="GG8" s="121">
        <f t="shared" si="39"/>
        <v>6.6070443929131736E-2</v>
      </c>
      <c r="GI8" s="1" t="str">
        <f t="shared" si="40"/>
        <v>0.997825222657939-0.0453505384687168i</v>
      </c>
      <c r="GJ8" s="1" t="str">
        <f t="shared" si="41"/>
        <v>0.0021747773420619+0.0453505384687168i</v>
      </c>
      <c r="GK8" s="123">
        <f t="shared" si="42"/>
        <v>0.73002301691437788</v>
      </c>
      <c r="GL8" s="123">
        <f t="shared" si="43"/>
        <v>3.3182968101488304E-2</v>
      </c>
      <c r="GN8" s="1" t="str">
        <f t="shared" si="44"/>
        <v>0.998427176110687-0.0383973531818359i</v>
      </c>
      <c r="GO8" s="1" t="str">
        <f t="shared" si="45"/>
        <v>0.00157282388931203+0.0383973531818359i</v>
      </c>
      <c r="GP8" s="123">
        <f t="shared" si="46"/>
        <v>0.7017467170001136</v>
      </c>
      <c r="GQ8" s="123">
        <f t="shared" si="47"/>
        <v>2.6990342690583789E-2</v>
      </c>
      <c r="GS8" s="1" t="str">
        <f t="shared" si="48"/>
        <v>0.999062362276813-0.0293820266826501i</v>
      </c>
      <c r="GT8" s="1" t="str">
        <f t="shared" si="49"/>
        <v>0.000937637723186532+0.0293820266826501i</v>
      </c>
      <c r="GU8" s="123">
        <f t="shared" si="50"/>
        <v>2.2483680306116961E-6</v>
      </c>
      <c r="GV8" s="123">
        <f t="shared" si="51"/>
        <v>6.6128678139729605E-8</v>
      </c>
      <c r="HB8" s="1"/>
      <c r="JO8" s="1"/>
      <c r="JS8" s="1"/>
    </row>
    <row r="9" spans="2:279" ht="18" customHeight="1" x14ac:dyDescent="0.25">
      <c r="B9" s="20"/>
      <c r="C9" s="16" t="s">
        <v>8</v>
      </c>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c r="AR9" s="6"/>
      <c r="AS9" s="178" t="s">
        <v>9</v>
      </c>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27"/>
      <c r="EA9" s="1">
        <f t="shared" si="52"/>
        <v>1.8</v>
      </c>
      <c r="EB9" s="1" t="str">
        <f t="shared" si="3"/>
        <v>0.196046230075199-26.1185845995199i</v>
      </c>
      <c r="EC9" s="1" t="str">
        <f t="shared" si="4"/>
        <v>0.0731769014966363-27.455326757689i</v>
      </c>
      <c r="ED9" s="52" t="str">
        <f t="shared" si="5"/>
        <v>0.0202104120905727-28.2594306782209i</v>
      </c>
      <c r="EE9" s="1" t="str">
        <f t="shared" si="6"/>
        <v>0.0126913956088891-28.4127831560081i</v>
      </c>
      <c r="EF9" s="1" t="str">
        <f t="shared" si="7"/>
        <v>1825.69766569549-8571778.44949993i</v>
      </c>
      <c r="EH9" s="1" t="str">
        <f t="shared" si="8"/>
        <v>0.0201557870925079-6.88276326775854i</v>
      </c>
      <c r="EI9" s="1" t="str">
        <f t="shared" si="0"/>
        <v>0.0143880322809015+0.647461452640568i</v>
      </c>
      <c r="EJ9" s="1" t="str">
        <f t="shared" si="9"/>
        <v>0.017748258130401+0.714640757599328i</v>
      </c>
      <c r="EL9" s="52">
        <f t="shared" si="53"/>
        <v>1.8</v>
      </c>
      <c r="EM9" s="14">
        <f t="shared" si="10"/>
        <v>6.8827927802425908</v>
      </c>
      <c r="EN9" s="14">
        <f t="shared" si="1"/>
        <v>0.64762129993411321</v>
      </c>
      <c r="EO9" s="14">
        <f t="shared" si="1"/>
        <v>0.71486111454519952</v>
      </c>
      <c r="EQ9" s="1" t="str">
        <f t="shared" si="11"/>
        <v>1.10382205909348-0.00288269008785136i</v>
      </c>
      <c r="ER9" s="14">
        <f t="shared" si="12"/>
        <v>1.8</v>
      </c>
      <c r="ES9" s="2">
        <f t="shared" si="13"/>
        <v>1.1038258232363982</v>
      </c>
      <c r="EU9" s="1" t="str">
        <f t="shared" si="14"/>
        <v>-0.10382205909348+0.00288269008785135i</v>
      </c>
      <c r="EV9" s="52">
        <f t="shared" si="15"/>
        <v>1.8</v>
      </c>
      <c r="EW9" s="2">
        <f t="shared" si="16"/>
        <v>0.10386207130879224</v>
      </c>
      <c r="EY9" s="96">
        <f>R20</f>
        <v>5</v>
      </c>
      <c r="EZ9" s="1" t="str">
        <f t="shared" si="17"/>
        <v>1.34967338033542-0.1713659994448i</v>
      </c>
      <c r="FA9" s="1" t="str">
        <f t="shared" si="18"/>
        <v>0.488812867435751-5.22796354231806i</v>
      </c>
      <c r="FB9" s="1" t="str">
        <f t="shared" si="19"/>
        <v>0.126594700856698-8.30081879329822i</v>
      </c>
      <c r="FC9" s="1" t="str">
        <f t="shared" si="20"/>
        <v>0.0770594121205526-8.88961845668734i</v>
      </c>
      <c r="FD9" s="1" t="str">
        <f t="shared" si="21"/>
        <v>10449.5640189602-2851253.82927846i</v>
      </c>
      <c r="FF9" s="96">
        <f>R21</f>
        <v>154.2431409120035</v>
      </c>
      <c r="FG9" s="96"/>
      <c r="FH9" s="98" t="str">
        <f t="shared" si="22"/>
        <v>139.75693082768-96.027673387224i</v>
      </c>
      <c r="FI9" s="98">
        <f t="shared" si="23"/>
        <v>169.56802107277275</v>
      </c>
      <c r="FJ9" s="1" t="str">
        <f>IMDIV($FI$9,EZ9)</f>
        <v>123.643087952657+15.6987769412646i</v>
      </c>
      <c r="FK9" s="1" t="str">
        <f>IMDIV($FI$9,FA9)</f>
        <v>3.0063621584214+32.153719360298i</v>
      </c>
      <c r="FL9" s="1" t="str">
        <f>IMDIV($FI$9,FB9)</f>
        <v>0.311470278832614+20.4231166596323i</v>
      </c>
      <c r="FM9" s="1" t="str">
        <f>IMDIV($FI$9,FC9)</f>
        <v>0.165337272043168+19.073403555609i</v>
      </c>
      <c r="FN9" s="1" t="str">
        <f>IMDIV($FI$9,FD9)</f>
        <v>2.17953840767994E-07+0.0000594705886262925i</v>
      </c>
      <c r="FO9" s="1" t="str">
        <f t="shared" si="24"/>
        <v>127.126257879908+87.3490759873925i</v>
      </c>
      <c r="FP9" s="100">
        <f t="shared" si="25"/>
        <v>154.24314091200338</v>
      </c>
      <c r="FR9" s="12">
        <f t="shared" si="26"/>
        <v>124.63572840851076</v>
      </c>
      <c r="FS9" s="12">
        <f t="shared" si="27"/>
        <v>32.293960459014478</v>
      </c>
      <c r="FT9" s="12">
        <f t="shared" si="28"/>
        <v>20.42549161776887</v>
      </c>
      <c r="FU9" s="12">
        <f t="shared" si="29"/>
        <v>19.074120152936146</v>
      </c>
      <c r="FV9" s="12">
        <f t="shared" si="30"/>
        <v>5.9470988014614457E-5</v>
      </c>
      <c r="FX9" s="52">
        <f t="shared" si="31"/>
        <v>5</v>
      </c>
      <c r="FY9" s="1" t="str">
        <f t="shared" si="32"/>
        <v>0.984376861583414-0.123016353609524i</v>
      </c>
      <c r="FZ9" s="1" t="str">
        <f t="shared" si="33"/>
        <v>0.0156231384165864+0.123016353609524i</v>
      </c>
      <c r="GA9" s="121">
        <f t="shared" si="34"/>
        <v>123.64284072854899</v>
      </c>
      <c r="GB9" s="121">
        <f t="shared" si="35"/>
        <v>15.455386001747851</v>
      </c>
      <c r="GC9" s="13"/>
      <c r="GD9" s="1" t="str">
        <f t="shared" si="36"/>
        <v>0.9919167839324-0.0885481863892521i</v>
      </c>
      <c r="GE9" s="1" t="str">
        <f t="shared" si="37"/>
        <v>0.00808321606759973+0.0885481863892521i</v>
      </c>
      <c r="GF9" s="121">
        <f t="shared" si="38"/>
        <v>32.160304775576613</v>
      </c>
      <c r="GG9" s="121">
        <f t="shared" si="39"/>
        <v>2.8714615264394565</v>
      </c>
      <c r="GI9" s="1" t="str">
        <f t="shared" si="40"/>
        <v>0.996669553600041-0.056622517532101i</v>
      </c>
      <c r="GJ9" s="1" t="str">
        <f t="shared" si="41"/>
        <v>0.00333044639996028+0.0566225175321009i</v>
      </c>
      <c r="GK9" s="123">
        <f t="shared" si="42"/>
        <v>20.390291741986317</v>
      </c>
      <c r="GL9" s="123">
        <f t="shared" si="43"/>
        <v>1.1585416205982391</v>
      </c>
      <c r="GN9" s="1" t="str">
        <f t="shared" si="44"/>
        <v>0.997598459131551-0.0479568531454452i</v>
      </c>
      <c r="GO9" s="1" t="str">
        <f t="shared" si="45"/>
        <v>0.00240154086844752+0.0479568531454452i</v>
      </c>
      <c r="GP9" s="123">
        <f t="shared" si="46"/>
        <v>19.050286888692344</v>
      </c>
      <c r="GQ9" s="123">
        <f t="shared" si="47"/>
        <v>0.91588100909750103</v>
      </c>
      <c r="GS9" s="1" t="str">
        <f t="shared" si="48"/>
        <v>0.998576954312756-0.0367096887843819i</v>
      </c>
      <c r="GT9" s="1" t="str">
        <f t="shared" si="49"/>
        <v>0.00142304568724292+0.0367096887843819i</v>
      </c>
      <c r="GU9" s="123">
        <f t="shared" si="50"/>
        <v>5.9426473226706211E-5</v>
      </c>
      <c r="GV9" s="123">
        <f t="shared" si="51"/>
        <v>2.1848011793946258E-6</v>
      </c>
      <c r="HB9" s="1"/>
      <c r="JO9" s="1"/>
      <c r="JS9" s="1"/>
    </row>
    <row r="10" spans="2:279" ht="18" customHeight="1" x14ac:dyDescent="0.25">
      <c r="B10" s="6"/>
      <c r="AP10" s="8"/>
      <c r="AR10" s="6"/>
      <c r="CE10" s="24"/>
      <c r="CF10" s="8"/>
      <c r="EA10" s="1">
        <f t="shared" si="52"/>
        <v>2</v>
      </c>
      <c r="EB10" s="1" t="str">
        <f t="shared" si="3"/>
        <v>0.236865607155683-22.6901345010728i</v>
      </c>
      <c r="EC10" s="1" t="str">
        <f t="shared" si="4"/>
        <v>0.087790650408609-24.3005360436402i</v>
      </c>
      <c r="ED10" s="52" t="str">
        <f t="shared" si="5"/>
        <v>0.0239361082874467-25.2695383492554i</v>
      </c>
      <c r="EE10" s="1" t="str">
        <f t="shared" si="6"/>
        <v>0.0149439057237-25.4543630518866i</v>
      </c>
      <c r="EF10" s="1" t="str">
        <f t="shared" si="7"/>
        <v>2127.24073405743-7694094.16818598i</v>
      </c>
      <c r="EH10" s="1" t="str">
        <f t="shared" si="8"/>
        <v>0.0248585812790602-6.09458136947523i</v>
      </c>
      <c r="EI10" s="1" t="str">
        <f t="shared" si="0"/>
        <v>0.0143880322809015+0.719401614045076i</v>
      </c>
      <c r="EJ10" s="1" t="str">
        <f t="shared" si="9"/>
        <v>0.0189418361506304+0.815612897940206i</v>
      </c>
      <c r="EL10" s="52">
        <f t="shared" si="53"/>
        <v>2</v>
      </c>
      <c r="EM10" s="14">
        <f t="shared" si="10"/>
        <v>6.0946320658607256</v>
      </c>
      <c r="EN10" s="14">
        <f t="shared" si="1"/>
        <v>0.71954547998272955</v>
      </c>
      <c r="EO10" s="14">
        <f t="shared" si="1"/>
        <v>0.81583282138142632</v>
      </c>
      <c r="EQ10" s="1" t="str">
        <f t="shared" si="11"/>
        <v>1.13381100702496-0.00365376825655716i</v>
      </c>
      <c r="ER10" s="14">
        <f t="shared" si="12"/>
        <v>2</v>
      </c>
      <c r="ES10" s="2">
        <f t="shared" si="13"/>
        <v>1.1338168942441396</v>
      </c>
      <c r="EU10" s="1" t="str">
        <f t="shared" si="14"/>
        <v>-0.133811007024958+0.00365376825655715i</v>
      </c>
      <c r="EV10" s="52">
        <f t="shared" si="15"/>
        <v>2</v>
      </c>
      <c r="EW10" s="2">
        <f t="shared" si="16"/>
        <v>0.13386088160290138</v>
      </c>
      <c r="EY10" s="96">
        <f>T20</f>
        <v>7</v>
      </c>
      <c r="EZ10" s="1" t="str">
        <f t="shared" si="17"/>
        <v>2.58676457229578+6.94845551330131i</v>
      </c>
      <c r="FA10" s="1" t="str">
        <f t="shared" si="18"/>
        <v>0.940650895925285-0.11890996227022i</v>
      </c>
      <c r="FB10" s="1" t="str">
        <f t="shared" si="19"/>
        <v>0.243241481794331-4.46257296802426i</v>
      </c>
      <c r="FC10" s="1" t="str">
        <f t="shared" si="20"/>
        <v>0.147754599997855-5.29929797033118i</v>
      </c>
      <c r="FD10" s="1" t="str">
        <f t="shared" si="21"/>
        <v>19937.7147376503-1852255.1095919i</v>
      </c>
      <c r="FF10" s="96">
        <f>T21</f>
        <v>111.05356103682382</v>
      </c>
      <c r="FG10" s="96"/>
      <c r="FH10" s="98" t="str">
        <f t="shared" si="22"/>
        <v>87.5787843954036-32.9431132117413i</v>
      </c>
      <c r="FI10" s="98">
        <f t="shared" si="23"/>
        <v>93.569718308105394</v>
      </c>
      <c r="FJ10" s="1" t="str">
        <f>IMDIV($FI$10,EZ10)</f>
        <v>4.40298947332941-11.8271205693106i</v>
      </c>
      <c r="FK10" s="1" t="str">
        <f>IMDIV($FI$10,FA10)</f>
        <v>97.908781653666+12.3768866672991i</v>
      </c>
      <c r="FL10" s="1" t="str">
        <f>IMDIV($FI$10,FB10)</f>
        <v>1.13949892523873+20.9055505802365i</v>
      </c>
      <c r="FM10" s="1" t="str">
        <f>IMDIV($FI$10,FC10)</f>
        <v>0.491928702372394+17.6432867340003i</v>
      </c>
      <c r="FN10" s="1" t="str">
        <f>IMDIV($FI$10,FD10)</f>
        <v>5.43699308638471E-07+0.0000505107950313605i</v>
      </c>
      <c r="FO10" s="1" t="str">
        <f t="shared" si="24"/>
        <v>103.943199298306+39.0986539230203i</v>
      </c>
      <c r="FP10" s="100">
        <f t="shared" si="25"/>
        <v>111.05356103682345</v>
      </c>
      <c r="FR10" s="12">
        <f t="shared" si="26"/>
        <v>12.620106864177476</v>
      </c>
      <c r="FS10" s="12">
        <f t="shared" si="27"/>
        <v>98.68797722357273</v>
      </c>
      <c r="FT10" s="12">
        <f t="shared" si="28"/>
        <v>20.936582884115712</v>
      </c>
      <c r="FU10" s="12">
        <f t="shared" si="29"/>
        <v>17.650143359938149</v>
      </c>
      <c r="FV10" s="12">
        <f t="shared" si="30"/>
        <v>5.0513721142263176E-5</v>
      </c>
      <c r="FX10" s="52">
        <f t="shared" si="31"/>
        <v>7</v>
      </c>
      <c r="FY10" s="1" t="str">
        <f t="shared" si="32"/>
        <v>0.970056917804769-0.169717531233027i</v>
      </c>
      <c r="FZ10" s="1" t="str">
        <f t="shared" si="33"/>
        <v>0.029943082195231+0.169717531233027i</v>
      </c>
      <c r="GA10" s="121">
        <f t="shared" si="34"/>
        <v>12.428175030762199</v>
      </c>
      <c r="GB10" s="121">
        <f t="shared" si="35"/>
        <v>2.1749328496992311</v>
      </c>
      <c r="GC10" s="13"/>
      <c r="GD10" s="1" t="str">
        <f t="shared" si="36"/>
        <v>0.984444999421083-0.123033654632165i</v>
      </c>
      <c r="GE10" s="1" t="str">
        <f t="shared" si="37"/>
        <v>0.0155550005789173+0.123033654632165i</v>
      </c>
      <c r="GF10" s="121">
        <f t="shared" si="38"/>
        <v>97.908681759654726</v>
      </c>
      <c r="GG10" s="121">
        <f t="shared" si="39"/>
        <v>12.2385977083027</v>
      </c>
      <c r="GI10" s="1" t="str">
        <f t="shared" si="40"/>
        <v>0.993600816528017-0.0790274481956156i</v>
      </c>
      <c r="GJ10" s="1" t="str">
        <f t="shared" si="41"/>
        <v>0.00639918347198397+0.0790274481956155i</v>
      </c>
      <c r="GK10" s="123">
        <f t="shared" si="42"/>
        <v>20.868301189066432</v>
      </c>
      <c r="GL10" s="123">
        <f t="shared" si="43"/>
        <v>1.6599801975304909</v>
      </c>
      <c r="GN10" s="1" t="str">
        <f t="shared" si="44"/>
        <v>0.995395258014155-0.0669913162782335i</v>
      </c>
      <c r="GO10" s="1" t="str">
        <f t="shared" si="45"/>
        <v>0.004604741985844+0.0669913162782336i</v>
      </c>
      <c r="GP10" s="123">
        <f t="shared" si="46"/>
        <v>17.608612745325985</v>
      </c>
      <c r="GQ10" s="123">
        <f t="shared" si="47"/>
        <v>1.1851962980098356</v>
      </c>
      <c r="GS10" s="1" t="str">
        <f t="shared" si="48"/>
        <v>0.997284836102308-0.051327063103567i</v>
      </c>
      <c r="GT10" s="1" t="str">
        <f t="shared" si="49"/>
        <v>0.00271516389769112+0.0513270631035671i</v>
      </c>
      <c r="GU10" s="123">
        <f t="shared" si="50"/>
        <v>5.0443243516927317E-5</v>
      </c>
      <c r="GV10" s="123">
        <f t="shared" si="51"/>
        <v>2.5963460656411025E-6</v>
      </c>
      <c r="HB10" s="1"/>
      <c r="JO10" s="1"/>
      <c r="JS10" s="1"/>
    </row>
    <row r="11" spans="2:279" ht="18" customHeight="1" x14ac:dyDescent="0.25">
      <c r="B11" s="28"/>
      <c r="C11" s="24"/>
      <c r="D11" s="24"/>
      <c r="E11" s="24"/>
      <c r="F11" s="24"/>
      <c r="G11" s="9" t="s">
        <v>11</v>
      </c>
      <c r="H11" s="234" t="s">
        <v>745</v>
      </c>
      <c r="I11" s="234"/>
      <c r="J11" s="234"/>
      <c r="K11" s="234"/>
      <c r="L11" s="234"/>
      <c r="M11" s="234"/>
      <c r="N11" s="234"/>
      <c r="O11" s="234"/>
      <c r="P11" s="234"/>
      <c r="Q11" s="234"/>
      <c r="R11" s="234"/>
      <c r="S11" s="234"/>
      <c r="T11" s="234"/>
      <c r="U11" s="234"/>
      <c r="V11" s="234"/>
      <c r="W11" s="234"/>
      <c r="X11" s="24"/>
      <c r="Y11" s="24"/>
      <c r="Z11" s="24"/>
      <c r="AA11" s="24"/>
      <c r="AC11" s="9" t="s">
        <v>13</v>
      </c>
      <c r="AD11" s="24"/>
      <c r="AE11" s="263" t="s">
        <v>14</v>
      </c>
      <c r="AF11" s="263"/>
      <c r="AG11" s="263"/>
      <c r="AH11" s="263"/>
      <c r="AI11" s="263"/>
      <c r="AJ11" s="263"/>
      <c r="AK11" s="263"/>
      <c r="AL11" s="263"/>
      <c r="AM11" s="263"/>
      <c r="AN11" s="263"/>
      <c r="AO11" s="24"/>
      <c r="AP11" s="8"/>
      <c r="AR11" s="6"/>
      <c r="AS11" s="172" t="s">
        <v>383</v>
      </c>
      <c r="AT11" s="172"/>
      <c r="AU11" s="172"/>
      <c r="AV11" s="172"/>
      <c r="AW11" s="172"/>
      <c r="AX11" s="172"/>
      <c r="AY11" s="172"/>
      <c r="AZ11" s="172"/>
      <c r="BA11" s="172"/>
      <c r="BB11" s="172"/>
      <c r="BC11" s="172"/>
      <c r="BD11" s="172"/>
      <c r="BE11" s="172"/>
      <c r="BF11" s="172"/>
      <c r="BG11" s="172"/>
      <c r="BH11" s="172"/>
      <c r="BI11" s="172"/>
      <c r="BJ11" s="172"/>
      <c r="BK11" s="172"/>
      <c r="BL11" s="172"/>
      <c r="BM11" s="172"/>
      <c r="BN11" s="172"/>
      <c r="BO11" s="172"/>
      <c r="BP11" s="172"/>
      <c r="BQ11" s="172"/>
      <c r="BR11" s="172"/>
      <c r="BS11" s="172"/>
      <c r="BT11" s="172"/>
      <c r="BU11" s="172"/>
      <c r="BV11" s="172"/>
      <c r="BW11" s="172"/>
      <c r="BX11" s="172"/>
      <c r="BY11" s="172"/>
      <c r="BZ11" s="172"/>
      <c r="CA11" s="172"/>
      <c r="CB11" s="172"/>
      <c r="CC11" s="172"/>
      <c r="CD11" s="172"/>
      <c r="CE11" s="172"/>
      <c r="CF11" s="8"/>
      <c r="EA11" s="1">
        <f t="shared" si="52"/>
        <v>2.2000000000000002</v>
      </c>
      <c r="EB11" s="1" t="str">
        <f t="shared" si="3"/>
        <v>0.281936803095953-19.8077138420797i</v>
      </c>
      <c r="EC11" s="1" t="str">
        <f t="shared" si="4"/>
        <v>0.10393446347623-21.6803895988014i</v>
      </c>
      <c r="ED11" s="52" t="str">
        <f t="shared" si="5"/>
        <v>0.0280531329553008-22.8076078897694i</v>
      </c>
      <c r="EE11" s="1" t="str">
        <f t="shared" si="6"/>
        <v>0.0174331541154095-23.0226451720688i</v>
      </c>
      <c r="EF11" s="1" t="str">
        <f t="shared" si="7"/>
        <v>2460.49635898174-6974028.29037546i</v>
      </c>
      <c r="EH11" s="1" t="str">
        <f t="shared" si="8"/>
        <v>0.030354918376221-5.43818076688923i</v>
      </c>
      <c r="EI11" s="1" t="str">
        <f t="shared" si="0"/>
        <v>0.0143880322809015+0.791341775449584i</v>
      </c>
      <c r="EJ11" s="1" t="str">
        <f t="shared" si="9"/>
        <v>0.0205850904832561+0.926000522305704i</v>
      </c>
      <c r="EL11" s="52">
        <f t="shared" si="53"/>
        <v>2.2000000000000002</v>
      </c>
      <c r="EM11" s="14">
        <f t="shared" si="10"/>
        <v>5.4382654839970401</v>
      </c>
      <c r="EN11" s="14">
        <f t="shared" si="1"/>
        <v>0.79147256493489149</v>
      </c>
      <c r="EO11" s="14">
        <f t="shared" si="1"/>
        <v>0.92622929842487722</v>
      </c>
      <c r="EQ11" s="1" t="str">
        <f t="shared" si="11"/>
        <v>1.17025119488045-0.00473560050892491i</v>
      </c>
      <c r="ER11" s="14">
        <f t="shared" si="12"/>
        <v>2.2000000000000002</v>
      </c>
      <c r="ES11" s="2">
        <f t="shared" si="13"/>
        <v>1.1702607765072284</v>
      </c>
      <c r="EU11" s="1" t="str">
        <f t="shared" si="14"/>
        <v>-0.170251194880453+0.00473560050892492i</v>
      </c>
      <c r="EV11" s="52">
        <f t="shared" si="15"/>
        <v>2.2000000000000002</v>
      </c>
      <c r="EW11" s="2">
        <f t="shared" si="16"/>
        <v>0.17031704339378992</v>
      </c>
      <c r="EY11" s="96">
        <f>V20</f>
        <v>11</v>
      </c>
      <c r="EZ11" s="1" t="str">
        <f t="shared" si="17"/>
        <v>6.09111385813607+17.1680185017799i</v>
      </c>
      <c r="FA11" s="1" t="str">
        <f t="shared" si="18"/>
        <v>2.25622497052535+6.6229940165871i</v>
      </c>
      <c r="FB11" s="1" t="str">
        <f t="shared" si="19"/>
        <v>0.588911416906604-0.0741454351762503i</v>
      </c>
      <c r="FC11" s="1" t="str">
        <f t="shared" si="20"/>
        <v>0.357978927225738-1.38451395612238i</v>
      </c>
      <c r="FD11" s="1" t="str">
        <f t="shared" si="21"/>
        <v>48255.409187788-828572.376816373i</v>
      </c>
      <c r="FF11" s="96">
        <f>V21</f>
        <v>84.16492706977607</v>
      </c>
      <c r="FG11" s="96"/>
      <c r="FH11" s="98" t="str">
        <f t="shared" si="22"/>
        <v>38.8255085374355-14.2305046895206i</v>
      </c>
      <c r="FI11" s="98">
        <f t="shared" si="23"/>
        <v>41.351268141484432</v>
      </c>
      <c r="FJ11" s="1" t="str">
        <f>IMDIV($FI$11,EZ11)</f>
        <v>0.7590205043027-2.13932596969819i</v>
      </c>
      <c r="FK11" s="1" t="str">
        <f>IMDIV($FI$11,FA11)</f>
        <v>1.90580174492499-5.59435061588759i</v>
      </c>
      <c r="FL11" s="1" t="str">
        <f>IMDIV($FI$11,FB11)</f>
        <v>69.1207840554628+8.7024813348604i</v>
      </c>
      <c r="FM11" s="1" t="str">
        <f>IMDIV($FI$11,FC11)</f>
        <v>7.23847497710659+27.9954177876148i</v>
      </c>
      <c r="FN11" s="1" t="str">
        <f>IMDIV($FI$11,FD11)</f>
        <v>2.89669909638197E-06+0.0000497379443177211i</v>
      </c>
      <c r="FO11" s="1" t="str">
        <f t="shared" si="24"/>
        <v>79.0240841784962+28.9642722748337i</v>
      </c>
      <c r="FP11" s="100">
        <f t="shared" si="25"/>
        <v>84.164927069776226</v>
      </c>
      <c r="FR11" s="12">
        <f t="shared" si="26"/>
        <v>2.2699840815690813</v>
      </c>
      <c r="FS11" s="12">
        <f t="shared" si="27"/>
        <v>5.9100625296557565</v>
      </c>
      <c r="FT11" s="12">
        <f t="shared" si="28"/>
        <v>69.666462303073175</v>
      </c>
      <c r="FU11" s="12">
        <f t="shared" si="29"/>
        <v>28.916067109779942</v>
      </c>
      <c r="FV11" s="12">
        <f t="shared" si="30"/>
        <v>4.9822223661812851E-5</v>
      </c>
      <c r="FX11" s="52">
        <f t="shared" si="31"/>
        <v>11</v>
      </c>
      <c r="FY11" s="1" t="str">
        <f t="shared" si="32"/>
        <v>0.929492337699365-0.255546506240766i</v>
      </c>
      <c r="FZ11" s="1" t="str">
        <f t="shared" si="33"/>
        <v>0.0705076623006356+0.255546506240766i</v>
      </c>
      <c r="GA11" s="121">
        <f t="shared" si="34"/>
        <v>2.1882222953467716</v>
      </c>
      <c r="GB11" s="121">
        <f t="shared" si="35"/>
        <v>0.60176137988193723</v>
      </c>
      <c r="GC11" s="13"/>
      <c r="GD11" s="1" t="str">
        <f t="shared" si="36"/>
        <v>0.962690110778912-0.189066081388467i</v>
      </c>
      <c r="GE11" s="1" t="str">
        <f t="shared" si="37"/>
        <v>0.0373098892210879+0.189066081388467i</v>
      </c>
      <c r="GF11" s="121">
        <f t="shared" si="38"/>
        <v>5.7982449481623695</v>
      </c>
      <c r="GG11" s="121">
        <f t="shared" si="39"/>
        <v>1.1389414425971338</v>
      </c>
      <c r="GI11" s="1" t="str">
        <f t="shared" si="40"/>
        <v>0.984506950961935-0.123049385985471i</v>
      </c>
      <c r="GJ11" s="1" t="str">
        <f t="shared" si="41"/>
        <v>0.0154930490380659+0.123049385985471i</v>
      </c>
      <c r="GK11" s="123">
        <f t="shared" si="42"/>
        <v>69.120755494662149</v>
      </c>
      <c r="GL11" s="123">
        <f t="shared" si="43"/>
        <v>8.6400980071190023</v>
      </c>
      <c r="GN11" s="1" t="str">
        <f t="shared" si="44"/>
        <v>0.988843659715042-0.104579177548942i</v>
      </c>
      <c r="GO11" s="1" t="str">
        <f t="shared" si="45"/>
        <v>0.0111563402849568+0.104579177548942i</v>
      </c>
      <c r="GP11" s="123">
        <f t="shared" si="46"/>
        <v>28.752933645205207</v>
      </c>
      <c r="GQ11" s="123">
        <f t="shared" si="47"/>
        <v>3.0411769306959915</v>
      </c>
      <c r="GS11" s="1" t="str">
        <f t="shared" si="48"/>
        <v>0.993428467273253-0.0803449241967927i</v>
      </c>
      <c r="GT11" s="1" t="str">
        <f t="shared" si="49"/>
        <v>0.00657153272674597+0.0803449241967927i</v>
      </c>
      <c r="GU11" s="123">
        <f t="shared" si="50"/>
        <v>4.9656424070690036E-5</v>
      </c>
      <c r="GV11" s="123">
        <f t="shared" si="51"/>
        <v>4.0163300771217793E-6</v>
      </c>
      <c r="HB11" s="1"/>
      <c r="JO11" s="1"/>
      <c r="JS11" s="1"/>
    </row>
    <row r="12" spans="2:279" ht="18" customHeight="1" x14ac:dyDescent="0.25">
      <c r="B12" s="28"/>
      <c r="C12" s="24"/>
      <c r="D12" s="24"/>
      <c r="E12" s="24"/>
      <c r="F12" s="24"/>
      <c r="G12" s="9" t="s">
        <v>16</v>
      </c>
      <c r="H12" s="234" t="s">
        <v>17</v>
      </c>
      <c r="I12" s="234"/>
      <c r="J12" s="234"/>
      <c r="K12" s="234"/>
      <c r="L12" s="234"/>
      <c r="M12" s="234"/>
      <c r="N12" s="234"/>
      <c r="O12" s="234"/>
      <c r="P12" s="234"/>
      <c r="Q12" s="234"/>
      <c r="R12" s="234"/>
      <c r="S12" s="234"/>
      <c r="T12" s="234"/>
      <c r="U12" s="234"/>
      <c r="V12" s="234"/>
      <c r="W12" s="234"/>
      <c r="X12" s="24"/>
      <c r="Y12" s="24"/>
      <c r="Z12" s="24"/>
      <c r="AA12" s="24"/>
      <c r="AB12" s="24"/>
      <c r="AC12" s="9" t="s">
        <v>18</v>
      </c>
      <c r="AD12" s="24"/>
      <c r="AE12" s="269" t="s">
        <v>267</v>
      </c>
      <c r="AF12" s="270"/>
      <c r="AG12" s="270"/>
      <c r="AH12" s="270"/>
      <c r="AI12" s="270"/>
      <c r="AJ12" s="270"/>
      <c r="AK12" s="270"/>
      <c r="AL12" s="270"/>
      <c r="AM12" s="270"/>
      <c r="AN12" s="271"/>
      <c r="AO12" s="24"/>
      <c r="AP12" s="8"/>
      <c r="AR12" s="6"/>
      <c r="AZ12" s="240" t="s">
        <v>15</v>
      </c>
      <c r="BA12" s="240"/>
      <c r="BB12" s="240"/>
      <c r="BC12" s="240"/>
      <c r="BD12" s="240"/>
      <c r="BE12" s="18"/>
      <c r="BF12" s="240" t="s">
        <v>387</v>
      </c>
      <c r="BG12" s="240"/>
      <c r="BH12" s="240"/>
      <c r="BI12" s="240"/>
      <c r="BJ12" s="240"/>
      <c r="BK12" s="48"/>
      <c r="BL12" s="48"/>
      <c r="BP12" s="208" t="s">
        <v>407</v>
      </c>
      <c r="BQ12" s="208"/>
      <c r="BR12" s="208"/>
      <c r="BS12" s="208"/>
      <c r="BT12" s="208"/>
      <c r="BU12" s="208"/>
      <c r="BV12" s="208"/>
      <c r="BW12" s="208"/>
      <c r="BX12" s="208"/>
      <c r="BY12" s="208"/>
      <c r="BZ12" s="208"/>
      <c r="CA12" s="211">
        <f>AG40/U29</f>
        <v>46.299139469897824</v>
      </c>
      <c r="CB12" s="211"/>
      <c r="CC12" s="211"/>
      <c r="CD12" s="33" t="s">
        <v>39</v>
      </c>
      <c r="CE12" s="38"/>
      <c r="CF12" s="8"/>
      <c r="CO12" s="274" t="s">
        <v>567</v>
      </c>
      <c r="CP12" s="274"/>
      <c r="CQ12" s="274"/>
      <c r="CR12" s="274"/>
      <c r="CS12" s="274"/>
      <c r="EA12" s="1">
        <f t="shared" si="52"/>
        <v>2.4</v>
      </c>
      <c r="EB12" s="1" t="str">
        <f t="shared" si="3"/>
        <v>0.331246415552361-17.3350386909143i</v>
      </c>
      <c r="EC12" s="1" t="str">
        <f t="shared" si="4"/>
        <v>0.121605881083935-19.4612837571481i</v>
      </c>
      <c r="ED12" s="52" t="str">
        <f t="shared" si="5"/>
        <v>0.0325612314042624-20.7416581720832i</v>
      </c>
      <c r="EE12" s="1" t="str">
        <f t="shared" si="6"/>
        <v>0.02015903047196-20.9859587411277i</v>
      </c>
      <c r="EF12" s="1" t="str">
        <f t="shared" si="7"/>
        <v>2825.4558994803-6372176.7048845i</v>
      </c>
      <c r="EH12" s="1" t="str">
        <f t="shared" si="8"/>
        <v>0.0367801502400718-4.87989747158337i</v>
      </c>
      <c r="EI12" s="1" t="str">
        <f t="shared" si="0"/>
        <v>0.0143880322809015+0.863281936854091i</v>
      </c>
      <c r="EJ12" s="1" t="str">
        <f t="shared" si="9"/>
        <v>0.0229344208402545+1.04866472428239i</v>
      </c>
      <c r="EL12" s="52">
        <f t="shared" si="53"/>
        <v>2.4</v>
      </c>
      <c r="EM12" s="14">
        <f t="shared" si="10"/>
        <v>4.8800360769790885</v>
      </c>
      <c r="EN12" s="14">
        <f t="shared" si="1"/>
        <v>0.86340182879784733</v>
      </c>
      <c r="EO12" s="14">
        <f t="shared" si="1"/>
        <v>1.04891548354171</v>
      </c>
      <c r="EQ12" s="1" t="str">
        <f t="shared" si="11"/>
        <v>1.21484719979131-0.00631909447007957i</v>
      </c>
      <c r="ER12" s="14">
        <f t="shared" si="12"/>
        <v>2.4</v>
      </c>
      <c r="ES12" s="2">
        <f t="shared" si="13"/>
        <v>1.2148636342387193</v>
      </c>
      <c r="EU12" s="1" t="str">
        <f t="shared" si="14"/>
        <v>-0.214847199791314+0.00631909447007957i</v>
      </c>
      <c r="EV12" s="52">
        <f t="shared" si="15"/>
        <v>2.4</v>
      </c>
      <c r="EW12" s="2">
        <f t="shared" si="16"/>
        <v>0.2149401084327692</v>
      </c>
      <c r="EY12" s="96">
        <f>X20</f>
        <v>13</v>
      </c>
      <c r="EZ12" s="1" t="str">
        <f t="shared" si="17"/>
        <v>8.26894015697971+21.2294641335626i</v>
      </c>
      <c r="FA12" s="1" t="str">
        <f t="shared" si="18"/>
        <v>3.10144068670015+9.24565126503147i</v>
      </c>
      <c r="FB12" s="1" t="str">
        <f t="shared" si="19"/>
        <v>0.815864113214079+1.47373130885247i</v>
      </c>
      <c r="FC12" s="1" t="str">
        <f t="shared" si="20"/>
        <v>0.49659777664774-0.0624543837664402i</v>
      </c>
      <c r="FD12" s="1" t="str">
        <f t="shared" si="21"/>
        <v>67012.5174554254-504857.06534605i</v>
      </c>
      <c r="FF12" s="96">
        <f>X21</f>
        <v>60.137103297321055</v>
      </c>
      <c r="FG12" s="96"/>
      <c r="FH12" s="98" t="str">
        <f t="shared" si="22"/>
        <v>25.158994823922+4.42949640418447i</v>
      </c>
      <c r="FI12" s="98">
        <f t="shared" si="23"/>
        <v>25.545947994639327</v>
      </c>
      <c r="FJ12" s="1" t="str">
        <f>IMDIV($FI$12,EZ12)</f>
        <v>0.406958096046788-1.04481374152838i</v>
      </c>
      <c r="FK12" s="1" t="str">
        <f>IMDIV($FI$12,FA12)</f>
        <v>0.83310628824296-2.48355876700469i</v>
      </c>
      <c r="FL12" s="1" t="str">
        <f>IMDIV($FI$12,FB12)</f>
        <v>7.34515889478148-13.2678842670156i</v>
      </c>
      <c r="FM12" s="1" t="str">
        <f>IMDIV($FI$12,FC12)</f>
        <v>50.6409562423358+6.36883583492528i</v>
      </c>
      <c r="FN12" s="1" t="str">
        <f>IMDIV($FI$12,FD12)</f>
        <v>6.60018306571076E-06+0.0000497242780875658i</v>
      </c>
      <c r="FO12" s="1" t="str">
        <f t="shared" si="24"/>
        <v>59.2261861215901-10.4273712163453i</v>
      </c>
      <c r="FP12" s="100">
        <f t="shared" si="25"/>
        <v>60.137103297321353</v>
      </c>
      <c r="FR12" s="12">
        <f t="shared" si="26"/>
        <v>1.1212718878240724</v>
      </c>
      <c r="FS12" s="12">
        <f t="shared" si="27"/>
        <v>2.6195668032474031</v>
      </c>
      <c r="FT12" s="12">
        <f t="shared" si="28"/>
        <v>15.165358950994454</v>
      </c>
      <c r="FU12" s="12">
        <f t="shared" si="29"/>
        <v>51.03987185554444</v>
      </c>
      <c r="FV12" s="12">
        <f t="shared" si="30"/>
        <v>5.0160405180086728E-5</v>
      </c>
      <c r="FX12" s="52">
        <f t="shared" si="31"/>
        <v>13</v>
      </c>
      <c r="FY12" s="1" t="str">
        <f t="shared" si="32"/>
        <v>0.904282918731895-0.293818493964375i</v>
      </c>
      <c r="FZ12" s="1" t="str">
        <f t="shared" si="33"/>
        <v>0.0957170812681049+0.293818493964375i</v>
      </c>
      <c r="GA12" s="121">
        <f t="shared" si="34"/>
        <v>1.0661266939695597</v>
      </c>
      <c r="GB12" s="121">
        <f t="shared" si="35"/>
        <v>0.34649127805227409</v>
      </c>
      <c r="GC12" s="13"/>
      <c r="GD12" s="1" t="str">
        <f t="shared" si="36"/>
        <v>0.948713266647513-0.220197687313295i</v>
      </c>
      <c r="GE12" s="1" t="str">
        <f t="shared" si="37"/>
        <v>0.0512867333524874+0.220197687313295i</v>
      </c>
      <c r="GF12" s="121">
        <f t="shared" si="38"/>
        <v>2.5512803973523162</v>
      </c>
      <c r="GG12" s="121">
        <f t="shared" si="39"/>
        <v>0.59226169603920575</v>
      </c>
      <c r="GI12" s="1" t="str">
        <f t="shared" si="40"/>
        <v>0.978536291959122-0.144540072667522i</v>
      </c>
      <c r="GJ12" s="1" t="str">
        <f t="shared" si="41"/>
        <v>0.0214637080408793+0.144540072667522i</v>
      </c>
      <c r="GK12" s="123">
        <f t="shared" si="42"/>
        <v>15.000871416974688</v>
      </c>
      <c r="GL12" s="123">
        <f t="shared" si="43"/>
        <v>2.2160384785945695</v>
      </c>
      <c r="GN12" s="1" t="str">
        <f t="shared" si="44"/>
        <v>0.984523631533367-0.123053621862645i</v>
      </c>
      <c r="GO12" s="1" t="str">
        <f t="shared" si="45"/>
        <v>0.0154763684666319+0.123053621862646i</v>
      </c>
      <c r="GP12" s="123">
        <f t="shared" si="46"/>
        <v>50.640941260371399</v>
      </c>
      <c r="GQ12" s="123">
        <f t="shared" si="47"/>
        <v>6.3301195303620421</v>
      </c>
      <c r="GS12" s="1" t="str">
        <f t="shared" si="48"/>
        <v>0.990874081082884-0.0947089409166788i</v>
      </c>
      <c r="GT12" s="1" t="str">
        <f t="shared" si="49"/>
        <v>0.00912591891711508+0.0947089409166788i</v>
      </c>
      <c r="GU12" s="123">
        <f t="shared" si="50"/>
        <v>4.9929165106269621E-5</v>
      </c>
      <c r="GV12" s="123">
        <f t="shared" si="51"/>
        <v>4.7726421942406364E-6</v>
      </c>
      <c r="HB12" s="1"/>
      <c r="JO12" s="1"/>
      <c r="JS12" s="1"/>
    </row>
    <row r="13" spans="2:279" ht="18" customHeight="1" x14ac:dyDescent="0.25">
      <c r="B13" s="28"/>
      <c r="C13" s="24"/>
      <c r="D13" s="24"/>
      <c r="E13" s="24"/>
      <c r="F13" s="24"/>
      <c r="G13" s="9" t="s">
        <v>22</v>
      </c>
      <c r="H13" s="234" t="s">
        <v>23</v>
      </c>
      <c r="I13" s="234"/>
      <c r="J13" s="234"/>
      <c r="K13" s="234"/>
      <c r="L13" s="234"/>
      <c r="M13" s="234"/>
      <c r="N13" s="234"/>
      <c r="O13" s="234"/>
      <c r="P13" s="234"/>
      <c r="Q13" s="234"/>
      <c r="R13" s="234"/>
      <c r="S13" s="234"/>
      <c r="T13" s="234"/>
      <c r="U13" s="234"/>
      <c r="V13" s="234"/>
      <c r="W13" s="234"/>
      <c r="X13" s="24"/>
      <c r="Y13" s="24"/>
      <c r="Z13" s="24"/>
      <c r="AA13" s="24"/>
      <c r="AB13" s="24"/>
      <c r="AC13" s="9" t="s">
        <v>443</v>
      </c>
      <c r="AD13" s="24"/>
      <c r="AE13" s="269"/>
      <c r="AF13" s="270"/>
      <c r="AG13" s="270"/>
      <c r="AH13" s="270"/>
      <c r="AI13" s="270"/>
      <c r="AJ13" s="270"/>
      <c r="AK13" s="270"/>
      <c r="AL13" s="270"/>
      <c r="AM13" s="270"/>
      <c r="AN13" s="271"/>
      <c r="AO13" s="24"/>
      <c r="AP13" s="8"/>
      <c r="AR13" s="6"/>
      <c r="AS13" s="172" t="s">
        <v>20</v>
      </c>
      <c r="AT13" s="172"/>
      <c r="AU13" s="172"/>
      <c r="AV13" s="172"/>
      <c r="AW13" s="172"/>
      <c r="AX13" s="172"/>
      <c r="AY13" s="172"/>
      <c r="AZ13" s="201"/>
      <c r="BA13" s="201"/>
      <c r="BB13" s="201"/>
      <c r="BC13" s="201"/>
      <c r="BD13" s="201"/>
      <c r="BF13" s="201"/>
      <c r="BG13" s="201"/>
      <c r="BH13" s="201"/>
      <c r="BI13" s="201"/>
      <c r="BJ13" s="201"/>
      <c r="BK13" s="82"/>
      <c r="BL13" s="172" t="s">
        <v>21</v>
      </c>
      <c r="BM13" s="172"/>
      <c r="BN13" s="172"/>
      <c r="BO13" s="172"/>
      <c r="BQ13" s="208" t="s">
        <v>389</v>
      </c>
      <c r="BR13" s="208"/>
      <c r="BS13" s="208"/>
      <c r="BT13" s="208"/>
      <c r="BU13" s="208"/>
      <c r="BV13" s="208"/>
      <c r="BW13" s="208"/>
      <c r="BX13" s="208"/>
      <c r="BY13" s="208"/>
      <c r="BZ13" s="208"/>
      <c r="CA13" s="185">
        <f>1.8*CA12</f>
        <v>83.338451045816086</v>
      </c>
      <c r="CB13" s="185"/>
      <c r="CC13" s="185"/>
      <c r="CD13" s="33" t="s">
        <v>39</v>
      </c>
      <c r="CE13" s="38"/>
      <c r="CF13" s="8"/>
      <c r="CI13" s="265" t="s">
        <v>562</v>
      </c>
      <c r="CJ13" s="265"/>
      <c r="CK13" s="265"/>
      <c r="CL13" s="265"/>
      <c r="CM13" s="265"/>
      <c r="CO13" s="274"/>
      <c r="CP13" s="274"/>
      <c r="CQ13" s="274"/>
      <c r="CR13" s="274"/>
      <c r="CS13" s="274"/>
      <c r="EA13" s="1">
        <f t="shared" si="52"/>
        <v>2.6</v>
      </c>
      <c r="EB13" s="1" t="str">
        <f t="shared" si="3"/>
        <v>0.384779805982578-15.1777776565698i</v>
      </c>
      <c r="EC13" s="1" t="str">
        <f t="shared" si="4"/>
        <v>0.140802213139073-17.5507286379797i</v>
      </c>
      <c r="ED13" s="52" t="str">
        <f t="shared" si="5"/>
        <v>0.0374601248466292-18.9803184619758i</v>
      </c>
      <c r="EE13" s="1" t="str">
        <f t="shared" si="6"/>
        <v>0.0231214140245001-19.253147486695i</v>
      </c>
      <c r="EF13" s="1" t="str">
        <f t="shared" si="7"/>
        <v>3222.10989386417-5861259.68536409i</v>
      </c>
      <c r="EH13" s="1" t="str">
        <f t="shared" si="8"/>
        <v>0.0443150967221173-4.39625715105865i</v>
      </c>
      <c r="EI13" s="1" t="str">
        <f t="shared" si="0"/>
        <v>0.0143880322809015+0.935222098258599i</v>
      </c>
      <c r="EJ13" s="1" t="str">
        <f t="shared" si="9"/>
        <v>0.0264455235913536+1.18766841324856i</v>
      </c>
      <c r="EL13" s="52">
        <f t="shared" si="53"/>
        <v>2.6</v>
      </c>
      <c r="EM13" s="14">
        <f t="shared" si="10"/>
        <v>4.3964804976289624</v>
      </c>
      <c r="EN13" s="14">
        <f t="shared" si="1"/>
        <v>0.93533276888182038</v>
      </c>
      <c r="EO13" s="14">
        <f t="shared" si="1"/>
        <v>1.1879628047823607</v>
      </c>
      <c r="EQ13" s="1" t="str">
        <f t="shared" si="11"/>
        <v>1.27006636708368-0.00873778294811704i</v>
      </c>
      <c r="ER13" s="14">
        <f t="shared" si="12"/>
        <v>2.6</v>
      </c>
      <c r="ES13" s="2">
        <f t="shared" si="13"/>
        <v>1.2700964237600172</v>
      </c>
      <c r="EU13" s="1" t="str">
        <f t="shared" si="14"/>
        <v>-0.270066367083684+0.00873778294811704i</v>
      </c>
      <c r="EV13" s="52">
        <f t="shared" si="15"/>
        <v>2.6</v>
      </c>
      <c r="EW13" s="2">
        <f t="shared" si="16"/>
        <v>0.2702076821273362</v>
      </c>
      <c r="EY13" s="96">
        <f>Z20</f>
        <v>17</v>
      </c>
      <c r="EZ13" s="1" t="str">
        <f t="shared" si="17"/>
        <v>13.2294933116912+27.9091038503718i</v>
      </c>
      <c r="FA13" s="1" t="str">
        <f t="shared" si="18"/>
        <v>5.11086697162892+13.6906725096628i</v>
      </c>
      <c r="FB13" s="1" t="str">
        <f t="shared" si="19"/>
        <v>1.37138238435047+4.00292176810563i</v>
      </c>
      <c r="FC13" s="1" t="str">
        <f t="shared" si="20"/>
        <v>0.837903206055128+2.04042768962934i</v>
      </c>
      <c r="FD13" s="1" t="str">
        <f t="shared" si="21"/>
        <v>113485.972452874-14252.190311509i</v>
      </c>
      <c r="FF13" s="96">
        <f>Z21</f>
        <v>39.622768100151625</v>
      </c>
      <c r="FG13" s="96"/>
      <c r="FH13" s="98" t="str">
        <f t="shared" si="22"/>
        <v>18.1908918970466+46.731329147686i</v>
      </c>
      <c r="FI13" s="98">
        <f t="shared" si="23"/>
        <v>50.147040510077986</v>
      </c>
      <c r="FJ13" s="1" t="str">
        <f>IMDIV($FI$13,EZ13)</f>
        <v>0.695454248985449-1.46713894484263i</v>
      </c>
      <c r="FK13" s="1" t="str">
        <f>IMDIV($FI$13,FA13)</f>
        <v>1.20013243915039-3.21484012083259i</v>
      </c>
      <c r="FL13" s="1" t="str">
        <f>IMDIV($FI$13,FB13)</f>
        <v>3.841068486089-11.2116772325558i</v>
      </c>
      <c r="FM13" s="1" t="str">
        <f>IMDIV($FI$13,FC13)</f>
        <v>8.63611077539113-21.0303044903912i</v>
      </c>
      <c r="FN13" s="1" t="str">
        <f>IMDIV($FI$13,FD13)</f>
        <v>0.00043501778207438+0.0000546319169233818i</v>
      </c>
      <c r="FO13" s="1" t="str">
        <f t="shared" si="24"/>
        <v>14.373200967398-36.9239061567053i</v>
      </c>
      <c r="FP13" s="100">
        <f t="shared" si="25"/>
        <v>39.622768100151582</v>
      </c>
      <c r="FR13" s="12">
        <f t="shared" si="26"/>
        <v>1.6236235080540873</v>
      </c>
      <c r="FS13" s="12">
        <f t="shared" si="27"/>
        <v>3.4315470088599933</v>
      </c>
      <c r="FT13" s="12">
        <f t="shared" si="28"/>
        <v>11.85139289205434</v>
      </c>
      <c r="FU13" s="12">
        <f t="shared" si="29"/>
        <v>22.734469782323824</v>
      </c>
      <c r="FV13" s="12">
        <f t="shared" si="30"/>
        <v>4.3843484928508591E-4</v>
      </c>
      <c r="FX13" s="52">
        <f t="shared" si="31"/>
        <v>17</v>
      </c>
      <c r="FY13" s="1" t="str">
        <f t="shared" si="32"/>
        <v>0.846862056997457-0.359826417619515i</v>
      </c>
      <c r="FZ13" s="1" t="str">
        <f t="shared" si="33"/>
        <v>0.153137943002543+0.359826417619515i</v>
      </c>
      <c r="GA13" s="121">
        <f t="shared" si="34"/>
        <v>1.4939545601103621</v>
      </c>
      <c r="GB13" s="121">
        <f t="shared" si="35"/>
        <v>0.6349307978964952</v>
      </c>
      <c r="GC13" s="13"/>
      <c r="GD13" s="1" t="str">
        <f t="shared" si="36"/>
        <v>0.915484544747862-0.277865332274838i</v>
      </c>
      <c r="GE13" s="1" t="str">
        <f t="shared" si="37"/>
        <v>0.084515455252138+0.277865332274838i</v>
      </c>
      <c r="GF13" s="121">
        <f t="shared" si="38"/>
        <v>3.2830438869138554</v>
      </c>
      <c r="GG13" s="121">
        <f t="shared" si="39"/>
        <v>0.99663849524189674</v>
      </c>
      <c r="GI13" s="1" t="str">
        <f t="shared" si="40"/>
        <v>0.96392174795611-0.186190997787228i</v>
      </c>
      <c r="GJ13" s="1" t="str">
        <f t="shared" si="41"/>
        <v>0.0360782520438913+0.186190997787227i</v>
      </c>
      <c r="GK13" s="123">
        <f t="shared" si="42"/>
        <v>11.634979192052073</v>
      </c>
      <c r="GL13" s="123">
        <f t="shared" si="43"/>
        <v>2.2476668236978301</v>
      </c>
      <c r="GN13" s="1" t="str">
        <f t="shared" si="44"/>
        <v>0.973886917408652-0.159177748254467i</v>
      </c>
      <c r="GO13" s="1" t="str">
        <f t="shared" si="45"/>
        <v>0.0261130825913463+0.159177748254467i</v>
      </c>
      <c r="GP13" s="123">
        <f t="shared" si="46"/>
        <v>22.434594147012842</v>
      </c>
      <c r="GQ13" s="123">
        <f t="shared" si="47"/>
        <v>3.6671939084934002</v>
      </c>
      <c r="GS13" s="1" t="str">
        <f t="shared" si="48"/>
        <v>0.984545218980561-0.123059103909047i</v>
      </c>
      <c r="GT13" s="1" t="str">
        <f t="shared" si="49"/>
        <v>0.0154547810194383+0.123059103909047i</v>
      </c>
      <c r="GU13" s="123">
        <f t="shared" si="50"/>
        <v>4.3501770681345835E-4</v>
      </c>
      <c r="GV13" s="123">
        <f t="shared" si="51"/>
        <v>5.4377222759503685E-5</v>
      </c>
      <c r="HB13" s="1"/>
      <c r="JO13" s="1"/>
      <c r="JS13" s="1"/>
    </row>
    <row r="14" spans="2:279" ht="18" customHeight="1" x14ac:dyDescent="0.25">
      <c r="B14" s="28"/>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8"/>
      <c r="AR14" s="6"/>
      <c r="AY14" s="29" t="s">
        <v>26</v>
      </c>
      <c r="AZ14" s="209">
        <f>CA15/$P$29</f>
        <v>0.76503934431931786</v>
      </c>
      <c r="BA14" s="209"/>
      <c r="BB14" s="209"/>
      <c r="BC14" s="209"/>
      <c r="BD14" s="209"/>
      <c r="BF14" s="209">
        <f>(CI36)/P29</f>
        <v>0.83924899994678392</v>
      </c>
      <c r="BG14" s="209"/>
      <c r="BH14" s="209"/>
      <c r="BI14" s="209"/>
      <c r="BJ14" s="209"/>
      <c r="BK14" s="82"/>
      <c r="BL14" s="210">
        <f>IF(LEFT(C24,2)="SD",1.1,1.25)</f>
        <v>1.1000000000000001</v>
      </c>
      <c r="BM14" s="210"/>
      <c r="BN14" s="210"/>
      <c r="BO14" s="210"/>
      <c r="BQ14" s="23"/>
      <c r="BR14" s="23"/>
      <c r="BS14" s="23"/>
      <c r="BT14" s="23"/>
      <c r="BU14" s="23"/>
      <c r="BV14" s="23"/>
      <c r="BW14" s="23"/>
      <c r="BX14" s="23"/>
      <c r="BY14" s="23"/>
      <c r="BZ14" s="32" t="s">
        <v>51</v>
      </c>
      <c r="CA14" s="211">
        <f>AG40*L40/1000</f>
        <v>7.499539434161079</v>
      </c>
      <c r="CB14" s="211"/>
      <c r="CC14" s="211"/>
      <c r="CD14" s="24" t="s">
        <v>32</v>
      </c>
      <c r="CE14" s="24"/>
      <c r="CF14" s="8"/>
      <c r="CI14" s="18" t="s">
        <v>383</v>
      </c>
      <c r="CJ14" s="18" t="s">
        <v>384</v>
      </c>
      <c r="CK14" s="18" t="s">
        <v>385</v>
      </c>
      <c r="CL14" s="18" t="s">
        <v>386</v>
      </c>
      <c r="CM14" s="18" t="s">
        <v>496</v>
      </c>
      <c r="CO14" s="18" t="s">
        <v>383</v>
      </c>
      <c r="CP14" s="18" t="s">
        <v>384</v>
      </c>
      <c r="CQ14" s="18" t="s">
        <v>385</v>
      </c>
      <c r="CR14" s="18" t="s">
        <v>386</v>
      </c>
      <c r="CS14" s="18" t="s">
        <v>496</v>
      </c>
      <c r="EA14" s="1">
        <f t="shared" si="52"/>
        <v>2.8</v>
      </c>
      <c r="EB14" s="1" t="str">
        <f t="shared" si="3"/>
        <v>0.442521110460527-13.2685686838996i</v>
      </c>
      <c r="EC14" s="1" t="str">
        <f t="shared" si="4"/>
        <v>0.161520540093303-15.8826646307288i</v>
      </c>
      <c r="ED14" s="52" t="str">
        <f t="shared" si="5"/>
        <v>0.0427495104399308-17.4583247053823i</v>
      </c>
      <c r="EE14" s="1" t="str">
        <f t="shared" si="6"/>
        <v>0.0263201735607512-17.7591001735863i</v>
      </c>
      <c r="EF14" s="1" t="str">
        <f t="shared" si="7"/>
        <v>3650.44806035655-5421791.75282929i</v>
      </c>
      <c r="EH14" s="1" t="str">
        <f t="shared" si="8"/>
        <v>0.0532053816903018-3.97028756501303i</v>
      </c>
      <c r="EI14" s="1" t="str">
        <f t="shared" si="0"/>
        <v>0.0143880322809015+1.00716225966311i</v>
      </c>
      <c r="EJ14" s="1" t="str">
        <f t="shared" si="9"/>
        <v>0.0319673765408959+1.34902446579187i</v>
      </c>
      <c r="EL14" s="52">
        <f t="shared" si="53"/>
        <v>2.8</v>
      </c>
      <c r="EM14" s="14">
        <f t="shared" si="10"/>
        <v>3.9706440487077037</v>
      </c>
      <c r="EN14" s="14">
        <f t="shared" si="1"/>
        <v>1.0072650260793423</v>
      </c>
      <c r="EO14" s="14">
        <f t="shared" si="1"/>
        <v>1.3494031726907818</v>
      </c>
      <c r="EQ14" s="1" t="str">
        <f t="shared" si="11"/>
        <v>1.33961115156318-0.0126027439238985i</v>
      </c>
      <c r="ER14" s="14">
        <f t="shared" si="12"/>
        <v>2.8</v>
      </c>
      <c r="ES14" s="2">
        <f t="shared" si="13"/>
        <v>1.3396704320641102</v>
      </c>
      <c r="EU14" s="1" t="str">
        <f t="shared" si="14"/>
        <v>-0.339611151563181+0.0126027439238985i</v>
      </c>
      <c r="EV14" s="52">
        <f t="shared" si="15"/>
        <v>2.8</v>
      </c>
      <c r="EW14" s="2">
        <f t="shared" si="16"/>
        <v>0.33984491083504731</v>
      </c>
      <c r="EY14" s="96">
        <f>AB20</f>
        <v>19</v>
      </c>
      <c r="EZ14" s="1" t="str">
        <f t="shared" si="17"/>
        <v>15.9145336894332+30.6254332089356i</v>
      </c>
      <c r="FA14" s="1" t="str">
        <f t="shared" si="18"/>
        <v>6.25034836852053+15.6086203002194i</v>
      </c>
      <c r="FB14" s="1" t="str">
        <f t="shared" si="19"/>
        <v>1.696799231005+5.08892667009795i</v>
      </c>
      <c r="FC14" s="1" t="str">
        <f t="shared" si="20"/>
        <v>1.03916932408556+2.92741892947602i</v>
      </c>
      <c r="FD14" s="1" t="str">
        <f t="shared" si="21"/>
        <v>141086.173687219+184821.901820395i</v>
      </c>
      <c r="FF14" s="96">
        <f>AB21</f>
        <v>28.104471598900489</v>
      </c>
      <c r="FG14" s="96"/>
      <c r="FH14" s="98" t="str">
        <f t="shared" si="22"/>
        <v>15.9688597214298+44.332353151463i</v>
      </c>
      <c r="FI14" s="98">
        <f t="shared" si="23"/>
        <v>47.120717489748969</v>
      </c>
      <c r="FJ14" s="1" t="str">
        <f>IMDIV($FI$14,EZ14)</f>
        <v>0.629542335332991-1.21147167232046i</v>
      </c>
      <c r="FK14" s="1" t="str">
        <f>IMDIV($FI$14,FA14)</f>
        <v>1.04182946416025-2.60169826782112i</v>
      </c>
      <c r="FL14" s="1" t="str">
        <f>IMDIV($FI$14,FB14)</f>
        <v>2.77848058489223-8.33303297905947i</v>
      </c>
      <c r="FM14" s="1" t="str">
        <f>IMDIV($FI$14,FC14)</f>
        <v>5.07442046576904-14.2950279452146i</v>
      </c>
      <c r="FN14" s="1" t="str">
        <f>IMDIV($FI$14,FD14)</f>
        <v>0.000122965876738484-0.000161084439416459i</v>
      </c>
      <c r="FO14" s="1" t="str">
        <f t="shared" si="24"/>
        <v>9.52439581603125-26.4413919488551i</v>
      </c>
      <c r="FP14" s="100">
        <f t="shared" si="25"/>
        <v>28.104471598900641</v>
      </c>
      <c r="FR14" s="12">
        <f t="shared" si="26"/>
        <v>1.3652791527052071</v>
      </c>
      <c r="FS14" s="12">
        <f t="shared" si="27"/>
        <v>2.8025421511862847</v>
      </c>
      <c r="FT14" s="12">
        <f t="shared" si="28"/>
        <v>8.7840419506464009</v>
      </c>
      <c r="FU14" s="12">
        <f t="shared" si="29"/>
        <v>15.168967236363919</v>
      </c>
      <c r="FV14" s="12">
        <f t="shared" si="30"/>
        <v>2.0265439413982343E-4</v>
      </c>
      <c r="FX14" s="52">
        <f t="shared" si="31"/>
        <v>19</v>
      </c>
      <c r="FY14" s="1" t="str">
        <f t="shared" si="32"/>
        <v>0.815781383638425-0.387399307401401i</v>
      </c>
      <c r="FZ14" s="1" t="str">
        <f t="shared" si="33"/>
        <v>0.184218616361575+0.387399307401401i</v>
      </c>
      <c r="GA14" s="121">
        <f t="shared" si="34"/>
        <v>1.2329744408953385</v>
      </c>
      <c r="GB14" s="121">
        <f t="shared" si="35"/>
        <v>0.58566294054201895</v>
      </c>
      <c r="GC14" s="13"/>
      <c r="GD14" s="1" t="str">
        <f t="shared" si="36"/>
        <v>0.896641599011995-0.304163370491482i</v>
      </c>
      <c r="GE14" s="1" t="str">
        <f t="shared" si="37"/>
        <v>0.103358400988005+0.304163370491482i</v>
      </c>
      <c r="GF14" s="121">
        <f t="shared" si="38"/>
        <v>2.6535227921220264</v>
      </c>
      <c r="GG14" s="121">
        <f t="shared" si="39"/>
        <v>0.90030250059415606</v>
      </c>
      <c r="GI14" s="1" t="str">
        <f t="shared" si="40"/>
        <v>0.95536069952286-0.20624762289438i</v>
      </c>
      <c r="GJ14" s="1" t="str">
        <f t="shared" si="41"/>
        <v>0.0446393004771414+0.206247622894379i</v>
      </c>
      <c r="GK14" s="123">
        <f t="shared" si="42"/>
        <v>8.5852592216976298</v>
      </c>
      <c r="GL14" s="123">
        <f t="shared" si="43"/>
        <v>1.8536357705118236</v>
      </c>
      <c r="GN14" s="1" t="str">
        <f t="shared" si="44"/>
        <v>0.967614499872846-0.176758729906586i</v>
      </c>
      <c r="GO14" s="1" t="str">
        <f t="shared" si="45"/>
        <v>0.0323855001271526+0.176758729906587i</v>
      </c>
      <c r="GP14" s="123">
        <f t="shared" si="46"/>
        <v>14.920601061814098</v>
      </c>
      <c r="GQ14" s="123">
        <f t="shared" si="47"/>
        <v>2.7258794176846668</v>
      </c>
      <c r="GS14" s="1" t="str">
        <f t="shared" si="48"/>
        <v>0.980786560029594-0.13701157738815i</v>
      </c>
      <c r="GT14" s="1" t="str">
        <f t="shared" si="49"/>
        <v>0.0192134399704056+0.137011577388151i</v>
      </c>
      <c r="GU14" s="123">
        <f t="shared" si="50"/>
        <v>2.0069072959913968E-4</v>
      </c>
      <c r="GV14" s="123">
        <f t="shared" si="51"/>
        <v>2.8037679342037827E-5</v>
      </c>
      <c r="HB14" s="1"/>
      <c r="JO14" s="1"/>
      <c r="JS14" s="1"/>
    </row>
    <row r="15" spans="2:279" ht="18" customHeight="1" x14ac:dyDescent="0.3">
      <c r="B15" s="6"/>
      <c r="C15" s="30" t="s">
        <v>28</v>
      </c>
      <c r="D15" s="31"/>
      <c r="E15" s="31"/>
      <c r="F15" s="31"/>
      <c r="G15" s="31"/>
      <c r="H15" s="31"/>
      <c r="I15" s="31"/>
      <c r="J15" s="31"/>
      <c r="K15" s="31"/>
      <c r="AP15" s="8"/>
      <c r="AR15" s="6"/>
      <c r="AY15" s="29" t="s">
        <v>27</v>
      </c>
      <c r="AZ15" s="204">
        <f>CA16/(1.414*$P$29)</f>
        <v>0.90358680478082498</v>
      </c>
      <c r="BA15" s="204"/>
      <c r="BB15" s="204"/>
      <c r="BC15" s="204"/>
      <c r="BD15" s="204"/>
      <c r="BE15" s="79"/>
      <c r="BF15" s="204">
        <f>(CI40/1000)/(P29*1.414)</f>
        <v>0.97888104839661305</v>
      </c>
      <c r="BG15" s="204"/>
      <c r="BH15" s="204"/>
      <c r="BI15" s="204"/>
      <c r="BJ15" s="204"/>
      <c r="BK15" s="82"/>
      <c r="BL15" s="203">
        <f>IF(LEFT(C24,2)="SD",1.2,1.35)</f>
        <v>1.2</v>
      </c>
      <c r="BM15" s="203"/>
      <c r="BN15" s="203"/>
      <c r="BO15" s="203"/>
      <c r="BQ15" s="23"/>
      <c r="BR15" s="23"/>
      <c r="BS15" s="23"/>
      <c r="BT15" s="32"/>
      <c r="BU15" s="23"/>
      <c r="BV15" s="23"/>
      <c r="BW15" s="23"/>
      <c r="BX15" s="23"/>
      <c r="BY15" s="23"/>
      <c r="BZ15" s="32" t="s">
        <v>53</v>
      </c>
      <c r="CA15" s="211">
        <f>BP76/1000</f>
        <v>7.619791869420407</v>
      </c>
      <c r="CB15" s="211"/>
      <c r="CC15" s="211"/>
      <c r="CD15" s="24" t="s">
        <v>32</v>
      </c>
      <c r="CE15" s="24"/>
      <c r="CF15" s="8"/>
      <c r="CI15" s="14">
        <f>(Z74^2*$L$40)/(1000)</f>
        <v>1041.6020053580378</v>
      </c>
      <c r="CJ15" s="14">
        <f>(AB74^2*$L$41)/(1000)</f>
        <v>1020.8386487466399</v>
      </c>
      <c r="CK15" s="14">
        <f>(AD74^2*$L$42)/(1000)</f>
        <v>1008.3612878303614</v>
      </c>
      <c r="CL15" s="14">
        <f>(AF74^2*$L$43)/(1000)</f>
        <v>1005.9828518365071</v>
      </c>
      <c r="CM15" s="14">
        <f>(AH74^2*$L$44)/(1000)</f>
        <v>3.3450154257377361E-3</v>
      </c>
      <c r="CO15" s="56">
        <f>((1.1*Z74)^2*$L$40)/(1000)</f>
        <v>1260.3384264832259</v>
      </c>
      <c r="CP15" s="56">
        <f>((1.1*AB74)^2*$L$41)/(1000)</f>
        <v>1235.2147649834344</v>
      </c>
      <c r="CQ15" s="56">
        <f>((1.1*AD74)^2*$L$42)/(1000)</f>
        <v>1220.1171582747372</v>
      </c>
      <c r="CR15" s="56">
        <f>((1.1*AF74)^2*$L$43)/(1000)</f>
        <v>1217.2392507221737</v>
      </c>
      <c r="CS15" s="56">
        <f>((1.1*AH74)^2*$L$44)/(1000)</f>
        <v>4.0474686651426608E-3</v>
      </c>
      <c r="EA15" s="1">
        <f t="shared" si="52"/>
        <v>3</v>
      </c>
      <c r="EB15" s="1" t="str">
        <f t="shared" si="3"/>
        <v>0.504453251366083-11.5580291190959i</v>
      </c>
      <c r="EC15" s="1" t="str">
        <f t="shared" si="4"/>
        <v>0.183757714049653-14.4086522842485i</v>
      </c>
      <c r="ED15" s="52" t="str">
        <f t="shared" si="5"/>
        <v>0.0484290613336817-16.1278173003039i</v>
      </c>
      <c r="EE15" s="1" t="str">
        <f t="shared" si="6"/>
        <v>0.0297551674395265-16.4560689242367i</v>
      </c>
      <c r="EF15" s="1" t="str">
        <f t="shared" si="7"/>
        <v>4110.45929775874-5039483.59317432i</v>
      </c>
      <c r="EH15" s="1" t="str">
        <f t="shared" si="8"/>
        <v>0.0637914383868524-3.58928731782493i</v>
      </c>
      <c r="EI15" s="1" t="str">
        <f t="shared" si="0"/>
        <v>0.0143880322809015+1.07910242106761i</v>
      </c>
      <c r="EJ15" s="1" t="str">
        <f t="shared" si="9"/>
        <v>0.0411779721917478+1.54208050601303i</v>
      </c>
      <c r="EL15" s="52">
        <f t="shared" si="53"/>
        <v>3</v>
      </c>
      <c r="EM15" s="14">
        <f t="shared" si="10"/>
        <v>3.5898541471082561</v>
      </c>
      <c r="EN15" s="14">
        <f t="shared" si="1"/>
        <v>1.0791983370200742</v>
      </c>
      <c r="EO15" s="14">
        <f t="shared" si="1"/>
        <v>1.5426301930207471</v>
      </c>
      <c r="EQ15" s="1" t="str">
        <f t="shared" si="11"/>
        <v>1.42929467956323-0.0191022036470621i</v>
      </c>
      <c r="ER15" s="14">
        <f t="shared" si="12"/>
        <v>3</v>
      </c>
      <c r="ES15" s="2">
        <f t="shared" si="13"/>
        <v>1.4294223222028994</v>
      </c>
      <c r="EU15" s="1" t="str">
        <f t="shared" si="14"/>
        <v>-0.429294679563231+0.0191022036470621i</v>
      </c>
      <c r="EV15" s="52">
        <f t="shared" si="15"/>
        <v>3</v>
      </c>
      <c r="EW15" s="2">
        <f t="shared" si="16"/>
        <v>0.42971946207435258</v>
      </c>
      <c r="EY15" s="96">
        <f>AD20</f>
        <v>23</v>
      </c>
      <c r="EZ15" s="1" t="str">
        <f t="shared" si="17"/>
        <v>21.4736355382445+34.9696911278572i</v>
      </c>
      <c r="FA15" s="1" t="str">
        <f t="shared" si="18"/>
        <v>8.73508246313515+18.944945319284i</v>
      </c>
      <c r="FB15" s="1" t="str">
        <f t="shared" si="19"/>
        <v>2.43408240080443+7.02512602199602i</v>
      </c>
      <c r="FC15" s="1" t="str">
        <f t="shared" si="20"/>
        <v>1.49885740015901+4.49709201967147i</v>
      </c>
      <c r="FD15" s="1" t="str">
        <f t="shared" si="21"/>
        <v>204674.348717914+528706.253065757i</v>
      </c>
      <c r="FF15" s="96">
        <f>AD21</f>
        <v>17.849471552635197</v>
      </c>
      <c r="FG15" s="96"/>
      <c r="FH15" s="98" t="str">
        <f t="shared" si="22"/>
        <v>14.7355310446278+40.1869330005829i</v>
      </c>
      <c r="FI15" s="98">
        <f t="shared" si="23"/>
        <v>42.803334673370117</v>
      </c>
      <c r="FJ15" s="1" t="str">
        <f>IMDIV($FI$15,EZ15)</f>
        <v>0.545810698776904-0.888849562362862i</v>
      </c>
      <c r="FK15" s="1" t="str">
        <f>IMDIV($FI$15,FA15)</f>
        <v>0.859098844858673-1.86324292969137i</v>
      </c>
      <c r="FL15" s="1" t="str">
        <f>IMDIV($FI$15,FB15)</f>
        <v>1.88480843213377-5.43983916020449i</v>
      </c>
      <c r="FM15" s="1" t="str">
        <f>IMDIV($FI$15,FC15)</f>
        <v>2.85513680118188-8.56640059441493i</v>
      </c>
      <c r="FN15" s="1" t="str">
        <f>IMDIV($FI$15,FD15)</f>
        <v>0.0000272562164901111-0.0000704071232350498i</v>
      </c>
      <c r="FO15" s="1" t="str">
        <f t="shared" si="24"/>
        <v>6.14488203316772-16.7584026537969i</v>
      </c>
      <c r="FP15" s="100">
        <f t="shared" si="25"/>
        <v>17.849471552635233</v>
      </c>
      <c r="FR15" s="12">
        <f t="shared" si="26"/>
        <v>1.0430545831412579</v>
      </c>
      <c r="FS15" s="12">
        <f t="shared" si="27"/>
        <v>2.0517614481908919</v>
      </c>
      <c r="FT15" s="12">
        <f t="shared" si="28"/>
        <v>5.7571132449116238</v>
      </c>
      <c r="FU15" s="12">
        <f t="shared" si="29"/>
        <v>9.0296747060708427</v>
      </c>
      <c r="FV15" s="12">
        <f t="shared" si="30"/>
        <v>7.5498770450857627E-5</v>
      </c>
      <c r="FX15" s="52">
        <f t="shared" si="31"/>
        <v>23</v>
      </c>
      <c r="FY15" s="1" t="str">
        <f t="shared" si="32"/>
        <v>0.751432024066484-0.431965422482608i</v>
      </c>
      <c r="FZ15" s="1" t="str">
        <f t="shared" si="33"/>
        <v>0.248567975933516+0.431965422482608i</v>
      </c>
      <c r="GA15" s="121">
        <f t="shared" si="34"/>
        <v>0.90406073087572869</v>
      </c>
      <c r="GB15" s="121">
        <f t="shared" si="35"/>
        <v>0.51983496938727713</v>
      </c>
      <c r="GC15" s="13"/>
      <c r="GD15" s="1" t="str">
        <f t="shared" si="36"/>
        <v>0.855552986384706-0.351325097069243i</v>
      </c>
      <c r="GE15" s="1" t="str">
        <f t="shared" si="37"/>
        <v>0.144447013615294+0.351325097069243i</v>
      </c>
      <c r="GF15" s="121">
        <f t="shared" si="38"/>
        <v>1.897630046767415</v>
      </c>
      <c r="GG15" s="121">
        <f t="shared" si="39"/>
        <v>0.77938384287380702</v>
      </c>
      <c r="GI15" s="1" t="str">
        <f t="shared" si="40"/>
        <v>0.93596429460233-0.244599236176044i</v>
      </c>
      <c r="GJ15" s="1" t="str">
        <f t="shared" si="41"/>
        <v>0.0640357053976708+0.244599236176044i</v>
      </c>
      <c r="GK15" s="123">
        <f t="shared" si="42"/>
        <v>5.5694170320617928</v>
      </c>
      <c r="GL15" s="123">
        <f t="shared" si="43"/>
        <v>1.4556432255096503</v>
      </c>
      <c r="GN15" s="1" t="str">
        <f t="shared" si="44"/>
        <v>0.953288414699742-0.210803129873032i</v>
      </c>
      <c r="GO15" s="1" t="str">
        <f t="shared" si="45"/>
        <v>0.046711585300257+0.210803129873032i</v>
      </c>
      <c r="GP15" s="123">
        <f t="shared" si="46"/>
        <v>8.8158335984206353</v>
      </c>
      <c r="GQ15" s="123">
        <f t="shared" si="47"/>
        <v>1.9496556916204735</v>
      </c>
      <c r="GS15" s="1" t="str">
        <f t="shared" si="48"/>
        <v>0.972126975948106-0.164391739186872i</v>
      </c>
      <c r="GT15" s="1" t="str">
        <f t="shared" si="49"/>
        <v>0.0278730240518937+0.164391739186872i</v>
      </c>
      <c r="GU15" s="123">
        <f t="shared" si="50"/>
        <v>7.4436408423186063E-5</v>
      </c>
      <c r="GV15" s="123">
        <f t="shared" si="51"/>
        <v>1.2588511437879062E-5</v>
      </c>
      <c r="HB15" s="1"/>
      <c r="JO15" s="1"/>
      <c r="JS15" s="1"/>
    </row>
    <row r="16" spans="2:279" ht="18" customHeight="1" x14ac:dyDescent="0.25">
      <c r="B16" s="6"/>
      <c r="C16" s="178" t="s">
        <v>29</v>
      </c>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8"/>
      <c r="AR16" s="6"/>
      <c r="AY16" s="29" t="str">
        <f>"% "&amp;$AK$17&amp;"HZ AMPS:"</f>
        <v>% 60HZ AMPS:</v>
      </c>
      <c r="AZ16" s="212">
        <f>(CA17/U29)/(Z29/P29)</f>
        <v>1.014181603395661</v>
      </c>
      <c r="BA16" s="212"/>
      <c r="BB16" s="212"/>
      <c r="BC16" s="212"/>
      <c r="BD16" s="212"/>
      <c r="BE16" s="80"/>
      <c r="BF16" s="212">
        <f>CI44/(AE29/P29)</f>
        <v>1.0712693453195319</v>
      </c>
      <c r="BG16" s="212"/>
      <c r="BH16" s="212"/>
      <c r="BI16" s="212"/>
      <c r="BJ16" s="212"/>
      <c r="BK16" s="83"/>
      <c r="BL16" s="213">
        <v>1.35</v>
      </c>
      <c r="BM16" s="213"/>
      <c r="BN16" s="213"/>
      <c r="BO16" s="213"/>
      <c r="BQ16" s="23"/>
      <c r="BR16" s="23"/>
      <c r="BS16" s="23"/>
      <c r="BT16" s="23"/>
      <c r="BU16" s="23"/>
      <c r="BV16" s="23"/>
      <c r="BW16" s="23"/>
      <c r="BX16" s="23"/>
      <c r="BY16" s="23"/>
      <c r="BZ16" s="32" t="s">
        <v>54</v>
      </c>
      <c r="CA16" s="211">
        <f>(1.414*SUM(BP60:BQ75))/1000</f>
        <v>12.725610549922463</v>
      </c>
      <c r="CB16" s="211"/>
      <c r="CC16" s="211"/>
      <c r="CD16" s="24" t="s">
        <v>32</v>
      </c>
      <c r="CE16" s="24"/>
      <c r="CF16" s="8"/>
      <c r="CI16" s="14">
        <f>(Z75^2*$L$40)/(1000*AS61)</f>
        <v>5.7022456515446353E-5</v>
      </c>
      <c r="CJ16" s="14">
        <f>(AB75^2*$L$41)/(1000*AS61)</f>
        <v>4.8725475744416753E-5</v>
      </c>
      <c r="CK16" s="14">
        <f>(AD75^2*$L$42)/(1000*AS61)</f>
        <v>4.4508990084439362E-5</v>
      </c>
      <c r="CL16" s="14">
        <f>(AF75^2*$L$43)/(1000*AS61)</f>
        <v>4.3761422059647827E-5</v>
      </c>
      <c r="CM16" s="14">
        <f>(AH75^2*$L$44)/(1000*AS61)</f>
        <v>1.4333432418857143E-10</v>
      </c>
      <c r="CO16" s="56">
        <f>(Z75^2*$L$40)/(1000*AS61)</f>
        <v>5.7022456515446353E-5</v>
      </c>
      <c r="CP16" s="56">
        <f>(AB75^2*$L$41)/(1000*AS61)</f>
        <v>4.8725475744416753E-5</v>
      </c>
      <c r="CQ16" s="56">
        <f t="shared" ref="CQ16:CQ30" si="54">(AD75^2*$L$42)/(1000*AS61)</f>
        <v>4.4508990084439362E-5</v>
      </c>
      <c r="CR16" s="56">
        <f t="shared" ref="CR16:CR30" si="55">(AF75^2*$L$43)/(1000*AS61)</f>
        <v>4.3761422059647827E-5</v>
      </c>
      <c r="CS16" s="56">
        <f t="shared" ref="CS16:CS30" si="56">(AH75^2*$L$44)/(1000*AS61)</f>
        <v>1.4333432418857143E-10</v>
      </c>
      <c r="EA16" s="1">
        <f t="shared" si="52"/>
        <v>3.2</v>
      </c>
      <c r="EB16" s="1" t="str">
        <f t="shared" si="3"/>
        <v>0.570557949933503-10.0091369898765i</v>
      </c>
      <c r="EC16" s="1" t="str">
        <f t="shared" si="4"/>
        <v>0.207510359954434-13.0923659861309i</v>
      </c>
      <c r="ED16" s="52" t="str">
        <f t="shared" si="5"/>
        <v>0.0544984267198071-14.9529022041496i</v>
      </c>
      <c r="EE16" s="1" t="str">
        <f t="shared" si="6"/>
        <v>0.033426243606396-15.3082431689356i</v>
      </c>
      <c r="EF16" s="1" t="str">
        <f t="shared" si="7"/>
        <v>4602.13168616913-4703618.25561726i</v>
      </c>
      <c r="EH16" s="1" t="str">
        <f t="shared" si="8"/>
        <v>0.0765564802731838-3.24340507290845i</v>
      </c>
      <c r="EI16" s="1" t="str">
        <f t="shared" si="0"/>
        <v>0.0143880322809015+1.15104258247212i</v>
      </c>
      <c r="EJ16" s="1" t="str">
        <f t="shared" si="9"/>
        <v>0.0576545176723355+1.78227028216764i</v>
      </c>
      <c r="EL16" s="52">
        <f t="shared" si="53"/>
        <v>3.2</v>
      </c>
      <c r="EM16" s="14">
        <f t="shared" si="10"/>
        <v>3.2443084566113756</v>
      </c>
      <c r="EN16" s="14">
        <f t="shared" si="1"/>
        <v>1.1511325041614469</v>
      </c>
      <c r="EO16" s="14">
        <f t="shared" si="1"/>
        <v>1.7832025690049769</v>
      </c>
      <c r="EQ16" s="1" t="str">
        <f t="shared" si="11"/>
        <v>1.54878059419397-0.0307291954491142i</v>
      </c>
      <c r="ER16" s="14">
        <f t="shared" si="12"/>
        <v>3.2</v>
      </c>
      <c r="ES16" s="2">
        <f t="shared" si="13"/>
        <v>1.549085411591232</v>
      </c>
      <c r="EU16" s="1" t="str">
        <f t="shared" si="14"/>
        <v>-0.548780594193969+0.0307291954491142i</v>
      </c>
      <c r="EV16" s="52">
        <f t="shared" si="15"/>
        <v>3.2</v>
      </c>
      <c r="EW16" s="2">
        <f t="shared" si="16"/>
        <v>0.54964026782690822</v>
      </c>
      <c r="EY16" s="96">
        <f>AF20</f>
        <v>25</v>
      </c>
      <c r="EZ16" s="1" t="str">
        <f t="shared" si="17"/>
        <v>24.2734881942228+36.6530000282565i</v>
      </c>
      <c r="FA16" s="1" t="str">
        <f t="shared" si="18"/>
        <v>10.0552952380735+20.3871543947132i</v>
      </c>
      <c r="FB16" s="1" t="str">
        <f t="shared" si="19"/>
        <v>2.84209981324818+7.89950043900335i</v>
      </c>
      <c r="FC16" s="1" t="str">
        <f t="shared" si="20"/>
        <v>1.75547611163138+5.20496114530739i</v>
      </c>
      <c r="FD16" s="1" t="str">
        <f t="shared" si="21"/>
        <v>240508.834491234+681363.689221668i</v>
      </c>
      <c r="FF16" s="96">
        <f>AF21</f>
        <v>8.8133192597684893</v>
      </c>
      <c r="FG16" s="96"/>
      <c r="FH16" s="98" t="str">
        <f t="shared" si="22"/>
        <v>8.54084376449157+22.4444661852251i</v>
      </c>
      <c r="FI16" s="98">
        <f t="shared" si="23"/>
        <v>24.014580457488062</v>
      </c>
      <c r="FJ16" s="1" t="str">
        <f>IMDIV($FI$16,EZ16)</f>
        <v>0.301616563698857-0.455441419433406i</v>
      </c>
      <c r="FK16" s="1" t="str">
        <f>IMDIV($FI$16,FA16)</f>
        <v>0.467297572439625-0.94744784037058i</v>
      </c>
      <c r="FL16" s="1" t="str">
        <f>IMDIV($FI$16,FB16)</f>
        <v>0.968390815458912-2.69160274955357i</v>
      </c>
      <c r="FM16" s="1" t="str">
        <f>IMDIV($FI$16,FC16)</f>
        <v>1.3971623491033-4.14256604950949i</v>
      </c>
      <c r="FN16" s="1" t="str">
        <f>IMDIV($FI$16,FD16)</f>
        <v>0.000011062455381349-0.0000313400354977846i</v>
      </c>
      <c r="FO16" s="1" t="str">
        <f t="shared" si="24"/>
        <v>3.13447836315608-8.23708939890254i</v>
      </c>
      <c r="FP16" s="100">
        <f t="shared" si="25"/>
        <v>8.8133192597684928</v>
      </c>
      <c r="FR16" s="12">
        <f t="shared" si="26"/>
        <v>0.54625949697284193</v>
      </c>
      <c r="FS16" s="12">
        <f t="shared" si="27"/>
        <v>1.0564205750698168</v>
      </c>
      <c r="FT16" s="12">
        <f t="shared" si="28"/>
        <v>2.8605080200673294</v>
      </c>
      <c r="FU16" s="12">
        <f t="shared" si="29"/>
        <v>4.3718321221543395</v>
      </c>
      <c r="FV16" s="12">
        <f t="shared" si="30"/>
        <v>3.3235158252470172E-5</v>
      </c>
      <c r="FX16" s="52">
        <f t="shared" si="31"/>
        <v>25</v>
      </c>
      <c r="FY16" s="1" t="str">
        <f t="shared" si="32"/>
        <v>0.7190223416739-0.449276644385091i</v>
      </c>
      <c r="FZ16" s="1" t="str">
        <f t="shared" si="33"/>
        <v>0.280977658326101+0.449276644385091i</v>
      </c>
      <c r="GA16" s="121">
        <f t="shared" si="34"/>
        <v>0.46314386223871867</v>
      </c>
      <c r="GB16" s="121">
        <f t="shared" si="35"/>
        <v>0.28946493705639142</v>
      </c>
      <c r="GC16" s="13"/>
      <c r="GD16" s="1" t="str">
        <f t="shared" si="36"/>
        <v>0.833721390234192-0.372130597319315i</v>
      </c>
      <c r="GE16" s="1" t="str">
        <f t="shared" si="37"/>
        <v>0.166278609765808+0.372130597319315i</v>
      </c>
      <c r="GF16" s="121">
        <f t="shared" si="38"/>
        <v>0.96451403192101293</v>
      </c>
      <c r="GG16" s="121">
        <f t="shared" si="39"/>
        <v>0.43058665584023853</v>
      </c>
      <c r="GI16" s="1" t="str">
        <f t="shared" si="40"/>
        <v>0.925230195045251-0.262819621362701i</v>
      </c>
      <c r="GJ16" s="1" t="str">
        <f t="shared" si="41"/>
        <v>0.0747698049547496+0.2628196213627i</v>
      </c>
      <c r="GK16" s="123">
        <f t="shared" si="42"/>
        <v>2.751334500930116</v>
      </c>
      <c r="GL16" s="123">
        <f t="shared" si="43"/>
        <v>0.7816291821127449</v>
      </c>
      <c r="GN16" s="1" t="str">
        <f t="shared" si="44"/>
        <v>0.945290944874185-0.227211552945434i</v>
      </c>
      <c r="GO16" s="1" t="str">
        <f t="shared" si="45"/>
        <v>0.0547090551258134+0.227211552945434i</v>
      </c>
      <c r="GP16" s="123">
        <f t="shared" si="46"/>
        <v>4.2503563913389053</v>
      </c>
      <c r="GQ16" s="123">
        <f t="shared" si="47"/>
        <v>1.0217203681171627</v>
      </c>
      <c r="GS16" s="1" t="str">
        <f t="shared" si="48"/>
        <v>0.967246953169953-0.177789675974184i</v>
      </c>
      <c r="GT16" s="1" t="str">
        <f t="shared" si="49"/>
        <v>0.0327530468300464+0.177789675974184i</v>
      </c>
      <c r="GU16" s="123">
        <f t="shared" si="50"/>
        <v>3.2685149076125274E-5</v>
      </c>
      <c r="GV16" s="123">
        <f t="shared" si="51"/>
        <v>6.0082999431869529E-6</v>
      </c>
      <c r="HB16" s="1"/>
      <c r="JO16" s="1"/>
      <c r="JS16" s="1"/>
    </row>
    <row r="17" spans="2:279" ht="18" customHeight="1" x14ac:dyDescent="0.25">
      <c r="B17" s="28"/>
      <c r="C17" s="24"/>
      <c r="D17" s="24"/>
      <c r="E17" s="24"/>
      <c r="F17" s="24"/>
      <c r="G17" s="24"/>
      <c r="H17" s="24"/>
      <c r="I17" s="24"/>
      <c r="J17" s="24"/>
      <c r="K17" s="24"/>
      <c r="L17" s="24"/>
      <c r="M17" s="24"/>
      <c r="N17" s="24"/>
      <c r="O17" s="24"/>
      <c r="P17" s="24"/>
      <c r="Q17" s="24"/>
      <c r="R17" s="32" t="s">
        <v>31</v>
      </c>
      <c r="S17" s="260">
        <v>12.47</v>
      </c>
      <c r="T17" s="260"/>
      <c r="U17" s="260"/>
      <c r="V17" s="33" t="s">
        <v>32</v>
      </c>
      <c r="W17" s="177" t="s">
        <v>48</v>
      </c>
      <c r="X17" s="177"/>
      <c r="Y17" s="177"/>
      <c r="Z17" s="177"/>
      <c r="AA17" s="177"/>
      <c r="AB17" s="177"/>
      <c r="AC17" s="177"/>
      <c r="AD17" s="177"/>
      <c r="AE17" s="177"/>
      <c r="AF17" s="177"/>
      <c r="AG17" s="177"/>
      <c r="AH17" s="177"/>
      <c r="AI17" s="177"/>
      <c r="AJ17" s="272"/>
      <c r="AK17" s="260">
        <v>60</v>
      </c>
      <c r="AL17" s="260"/>
      <c r="AM17" s="260"/>
      <c r="AN17" s="33" t="s">
        <v>49</v>
      </c>
      <c r="AO17" s="24"/>
      <c r="AP17" s="8"/>
      <c r="AR17" s="6"/>
      <c r="AY17" s="29" t="str">
        <f>"% "&amp;$AK$17&amp;"HZ KVAR:"</f>
        <v>% 60HZ KVAR:</v>
      </c>
      <c r="AZ17" s="202">
        <f>CA18/AE29</f>
        <v>0.65893883935058806</v>
      </c>
      <c r="BA17" s="202"/>
      <c r="BB17" s="202"/>
      <c r="BC17" s="202"/>
      <c r="BD17" s="202"/>
      <c r="BE17" s="81"/>
      <c r="BF17" s="202">
        <f>CO31/AE29</f>
        <v>0.77799252490573323</v>
      </c>
      <c r="BG17" s="202"/>
      <c r="BH17" s="202"/>
      <c r="BI17" s="202"/>
      <c r="BJ17" s="202"/>
      <c r="BK17" s="79"/>
      <c r="BL17" s="203">
        <v>1.35</v>
      </c>
      <c r="BM17" s="203"/>
      <c r="BN17" s="203"/>
      <c r="BO17" s="203"/>
      <c r="BQ17" s="23"/>
      <c r="BR17" s="23"/>
      <c r="BS17" s="23"/>
      <c r="BT17" s="23"/>
      <c r="BU17" s="23"/>
      <c r="BV17" s="23"/>
      <c r="BW17" s="23"/>
      <c r="BX17" s="23"/>
      <c r="BY17" s="23"/>
      <c r="BZ17" s="32" t="s">
        <v>56</v>
      </c>
      <c r="CA17" s="248">
        <f>Z90</f>
        <v>187.083138792662</v>
      </c>
      <c r="CB17" s="248"/>
      <c r="CC17" s="248"/>
      <c r="CD17" s="24" t="s">
        <v>39</v>
      </c>
      <c r="CE17" s="24"/>
      <c r="CF17" s="8"/>
      <c r="CI17" s="14">
        <f t="shared" ref="CI17:CI30" si="57">(Z76^2*$L$40)/(1000*AS62)</f>
        <v>5.7146115658735506E-4</v>
      </c>
      <c r="CJ17" s="14">
        <f t="shared" ref="CJ17:CJ30" si="58">(AB76^2*$L$41)/(1000*AS62)</f>
        <v>3.6098529602535248E-4</v>
      </c>
      <c r="CK17" s="14">
        <f t="shared" ref="CK17:CK30" si="59">(AD76^2*$L$42)/(1000*AS62)</f>
        <v>2.8464334886366854E-4</v>
      </c>
      <c r="CL17" s="14">
        <f t="shared" ref="CL17:CL30" si="60">(AF76^2*$L$43)/(1000*AS62)</f>
        <v>2.7275695264141928E-4</v>
      </c>
      <c r="CM17" s="14">
        <f t="shared" ref="CM17:CM30" si="61">(AH76^2*$L$44)/(1000*AS62)</f>
        <v>8.7037472621853994E-10</v>
      </c>
      <c r="CO17" s="56">
        <f t="shared" ref="CO17:CO30" si="62">(Z76^2*$L$40)/(1000*AS62)</f>
        <v>5.7146115658735506E-4</v>
      </c>
      <c r="CP17" s="56">
        <f t="shared" ref="CP17:CP30" si="63">(AB76^2*$L$41)/(1000*AS62)</f>
        <v>3.6098529602535248E-4</v>
      </c>
      <c r="CQ17" s="56">
        <f t="shared" si="54"/>
        <v>2.8464334886366854E-4</v>
      </c>
      <c r="CR17" s="56">
        <f t="shared" si="55"/>
        <v>2.7275695264141928E-4</v>
      </c>
      <c r="CS17" s="56">
        <f t="shared" si="56"/>
        <v>8.7037472621853994E-10</v>
      </c>
      <c r="EA17" s="1">
        <f t="shared" si="52"/>
        <v>3.4</v>
      </c>
      <c r="EB17" s="1" t="str">
        <f t="shared" si="3"/>
        <v>0.640815739641536-8.59359535334895i</v>
      </c>
      <c r="EC17" s="1" t="str">
        <f t="shared" si="4"/>
        <v>0.232774876873187-11.906031047941i</v>
      </c>
      <c r="ED17" s="52" t="str">
        <f t="shared" si="5"/>
        <v>0.0609572318867354-13.9061316501581i</v>
      </c>
      <c r="EE17" s="1" t="str">
        <f t="shared" si="6"/>
        <v>0.0373332396104956-14.288238672414i</v>
      </c>
      <c r="EF17" s="1" t="str">
        <f t="shared" si="7"/>
        <v>5125.45248775482-4406000.45757399i</v>
      </c>
      <c r="EH17" s="1" t="str">
        <f t="shared" si="8"/>
        <v>0.0922058411914154-2.92468265487301i</v>
      </c>
      <c r="EI17" s="1" t="str">
        <f t="shared" si="0"/>
        <v>0.0143880322809015+1.22298274387663i</v>
      </c>
      <c r="EJ17" s="1" t="str">
        <f t="shared" si="9"/>
        <v>0.0898215899708319+2.09707282969687i</v>
      </c>
      <c r="EL17" s="52">
        <f t="shared" si="53"/>
        <v>3.4</v>
      </c>
      <c r="EM17" s="14">
        <f t="shared" si="10"/>
        <v>2.9261357707503688</v>
      </c>
      <c r="EN17" s="14">
        <f t="shared" si="1"/>
        <v>1.2230673764322746</v>
      </c>
      <c r="EO17" s="14">
        <f t="shared" si="1"/>
        <v>2.0989955624244963</v>
      </c>
      <c r="EQ17" s="1" t="str">
        <f t="shared" si="11"/>
        <v>1.71534652179048-0.0532641438879939i</v>
      </c>
      <c r="ER17" s="14">
        <f t="shared" si="12"/>
        <v>3.4</v>
      </c>
      <c r="ES17" s="2">
        <f t="shared" si="13"/>
        <v>1.7161732892813648</v>
      </c>
      <c r="EU17" s="1" t="str">
        <f t="shared" si="14"/>
        <v>-0.715346521790475+0.0532641438879938i</v>
      </c>
      <c r="EV17" s="52">
        <f t="shared" si="15"/>
        <v>3.4</v>
      </c>
      <c r="EW17" s="2">
        <f t="shared" si="16"/>
        <v>0.71732678415200102</v>
      </c>
      <c r="EY17" s="96">
        <f>AH20</f>
        <v>29</v>
      </c>
      <c r="EZ17" s="1" t="str">
        <f t="shared" si="17"/>
        <v>29.7682191306529+39.1782477749302i</v>
      </c>
      <c r="FA17" s="1" t="str">
        <f t="shared" si="18"/>
        <v>12.7928022903558+22.8622975815918i</v>
      </c>
      <c r="FB17" s="1" t="str">
        <f t="shared" si="19"/>
        <v>3.72678203004128+9.49477216810491i</v>
      </c>
      <c r="FC17" s="1" t="str">
        <f t="shared" si="20"/>
        <v>2.31741705043928+6.50246571303774i</v>
      </c>
      <c r="FD17" s="1" t="str">
        <f t="shared" si="21"/>
        <v>319835.694643148+959425.464820812i</v>
      </c>
      <c r="FF17" s="96">
        <f>AH21</f>
        <v>6.9447488638995116</v>
      </c>
      <c r="FG17" s="96"/>
      <c r="FH17" s="98" t="str">
        <f t="shared" si="22"/>
        <v>8.8879357449629+21.3526971032791i</v>
      </c>
      <c r="FI17" s="98">
        <f t="shared" si="23"/>
        <v>23.128620265614053</v>
      </c>
      <c r="FJ17" s="1" t="str">
        <f>IMDIV($FI$17,EZ17)</f>
        <v>0.284376095106906-0.374270192867971i</v>
      </c>
      <c r="FK17" s="1" t="str">
        <f>IMDIV($FI$17,FA17)</f>
        <v>0.431097817595037-0.770424365900084i</v>
      </c>
      <c r="FL17" s="1" t="str">
        <f>IMDIV($FI$17,FB17)</f>
        <v>0.828485730877267-2.1107441207444i</v>
      </c>
      <c r="FM17" s="1" t="str">
        <f>IMDIV($FI$17,FC17)</f>
        <v>1.12478210064564-3.15603833272067i</v>
      </c>
      <c r="FN17" s="1" t="str">
        <f>IMDIV($FI$17,FD17)</f>
        <v>7.23251418480574E-06-0.0000216956968837469i</v>
      </c>
      <c r="FO17" s="1" t="str">
        <f t="shared" si="24"/>
        <v>2.66874897673903-6.41149870793001i</v>
      </c>
      <c r="FP17" s="100">
        <f t="shared" si="25"/>
        <v>6.9447488638995294</v>
      </c>
      <c r="FR17" s="12">
        <f t="shared" si="26"/>
        <v>0.47005099801796002</v>
      </c>
      <c r="FS17" s="12">
        <f t="shared" si="27"/>
        <v>0.88283578988832923</v>
      </c>
      <c r="FT17" s="12">
        <f t="shared" si="28"/>
        <v>2.2675161189116806</v>
      </c>
      <c r="FU17" s="12">
        <f t="shared" si="29"/>
        <v>3.3504794778561293</v>
      </c>
      <c r="FV17" s="12">
        <f t="shared" si="30"/>
        <v>2.2869467083971179E-5</v>
      </c>
      <c r="FX17" s="52">
        <f t="shared" si="31"/>
        <v>29</v>
      </c>
      <c r="FY17" s="1" t="str">
        <f t="shared" si="32"/>
        <v>0.655418107321725-0.475059362967509i</v>
      </c>
      <c r="FZ17" s="1" t="str">
        <f t="shared" si="33"/>
        <v>0.344581892678275+0.475059362967509i</v>
      </c>
      <c r="GA17" s="121">
        <f t="shared" si="34"/>
        <v>0.38049584342434967</v>
      </c>
      <c r="GB17" s="121">
        <f t="shared" si="35"/>
        <v>0.27585950288333616</v>
      </c>
      <c r="GC17" s="13"/>
      <c r="GD17" s="1" t="str">
        <f t="shared" si="36"/>
        <v>0.788452817198757-0.408233024437849i</v>
      </c>
      <c r="GE17" s="1" t="str">
        <f t="shared" si="37"/>
        <v>0.211547182801243+0.408233024437849i</v>
      </c>
      <c r="GF17" s="121">
        <f t="shared" si="38"/>
        <v>0.78384287100244776</v>
      </c>
      <c r="GG17" s="121">
        <f t="shared" si="39"/>
        <v>0.40591865375935965</v>
      </c>
      <c r="GI17" s="1" t="str">
        <f t="shared" si="40"/>
        <v>0.901956024135344-0.297201735029258i</v>
      </c>
      <c r="GJ17" s="1" t="str">
        <f t="shared" si="41"/>
        <v>0.0980439758646574+0.297201735029258i</v>
      </c>
      <c r="GK17" s="123">
        <f t="shared" si="42"/>
        <v>2.153368671230921</v>
      </c>
      <c r="GL17" s="123">
        <f t="shared" si="43"/>
        <v>0.70963289975455968</v>
      </c>
      <c r="GN17" s="1" t="str">
        <f t="shared" si="44"/>
        <v>0.927778170080501-0.258682501031963i</v>
      </c>
      <c r="GO17" s="1" t="str">
        <f t="shared" si="45"/>
        <v>0.0722218299194975+0.258682501031964i</v>
      </c>
      <c r="GP17" s="123">
        <f t="shared" si="46"/>
        <v>3.227068309263998</v>
      </c>
      <c r="GQ17" s="123">
        <f t="shared" si="47"/>
        <v>0.89985563973621918</v>
      </c>
      <c r="GS17" s="1" t="str">
        <f t="shared" si="48"/>
        <v>0.956444038711811-0.203932630855396i</v>
      </c>
      <c r="GT17" s="1" t="str">
        <f t="shared" si="49"/>
        <v>0.0435559612881883+0.203932630855397i</v>
      </c>
      <c r="GU17" s="123">
        <f t="shared" si="50"/>
        <v>2.2365049348249838E-5</v>
      </c>
      <c r="GV17" s="123">
        <f t="shared" si="51"/>
        <v>4.769018159262315E-6</v>
      </c>
      <c r="HB17" s="1"/>
      <c r="JO17" s="1"/>
      <c r="JS17" s="1"/>
    </row>
    <row r="18" spans="2:279" ht="18" customHeight="1" x14ac:dyDescent="0.25">
      <c r="B18" s="28"/>
      <c r="C18" s="24"/>
      <c r="AP18" s="8"/>
      <c r="AR18" s="6"/>
      <c r="BQ18" s="23"/>
      <c r="BR18" s="23"/>
      <c r="BS18" s="23"/>
      <c r="BT18" s="23"/>
      <c r="BU18" s="23"/>
      <c r="BV18" s="23"/>
      <c r="BW18" s="23"/>
      <c r="BX18" s="23"/>
      <c r="BY18" s="23"/>
      <c r="BZ18" s="32" t="s">
        <v>58</v>
      </c>
      <c r="CA18" s="248">
        <f>CI31</f>
        <v>1210.6632632819319</v>
      </c>
      <c r="CB18" s="248"/>
      <c r="CC18" s="248"/>
      <c r="CD18" s="24" t="s">
        <v>37</v>
      </c>
      <c r="CE18" s="24"/>
      <c r="CF18" s="8"/>
      <c r="CI18" s="14">
        <f t="shared" si="57"/>
        <v>3.6721712360640361E-2</v>
      </c>
      <c r="CJ18" s="14">
        <f t="shared" si="58"/>
        <v>1.1379908478158793E-2</v>
      </c>
      <c r="CK18" s="14">
        <f t="shared" si="59"/>
        <v>6.9794911801359973E-3</v>
      </c>
      <c r="CL18" s="14">
        <f t="shared" si="60"/>
        <v>6.4300629760806966E-3</v>
      </c>
      <c r="CM18" s="14">
        <f t="shared" si="61"/>
        <v>1.9740239056070593E-8</v>
      </c>
      <c r="CO18" s="56">
        <f t="shared" si="62"/>
        <v>3.6721712360640361E-2</v>
      </c>
      <c r="CP18" s="56">
        <f t="shared" si="63"/>
        <v>1.1379908478158793E-2</v>
      </c>
      <c r="CQ18" s="56">
        <f t="shared" si="54"/>
        <v>6.9794911801359973E-3</v>
      </c>
      <c r="CR18" s="56">
        <f t="shared" si="55"/>
        <v>6.4300629760806966E-3</v>
      </c>
      <c r="CS18" s="56">
        <f t="shared" si="56"/>
        <v>1.9740239056070593E-8</v>
      </c>
      <c r="EA18" s="1">
        <f t="shared" si="52"/>
        <v>3.6</v>
      </c>
      <c r="EB18" s="1" t="str">
        <f t="shared" si="3"/>
        <v>0.715205980426982-7.28940851876694i</v>
      </c>
      <c r="EC18" s="1" t="str">
        <f t="shared" si="4"/>
        <v>0.25954743934977-10.8280484274128i</v>
      </c>
      <c r="ED18" s="52" t="str">
        <f t="shared" si="5"/>
        <v>0.0678050782771363-12.9661579582551i</v>
      </c>
      <c r="EE18" s="1" t="str">
        <f t="shared" si="6"/>
        <v>0.0414759826224767-13.3747568848698i</v>
      </c>
      <c r="EF18" s="1" t="str">
        <f t="shared" si="7"/>
        <v>5680.40814757601-4140256.1212387i</v>
      </c>
      <c r="EH18" s="1" t="str">
        <f t="shared" si="8"/>
        <v>0.111803366730136-2.62636266143617i</v>
      </c>
      <c r="EI18" s="1" t="str">
        <f t="shared" si="0"/>
        <v>0.0143880322809015+1.29492290528114i</v>
      </c>
      <c r="EJ18" s="1" t="str">
        <f t="shared" si="9"/>
        <v>0.160412729422152+2.54033505904992i</v>
      </c>
      <c r="EL18" s="52">
        <f t="shared" si="53"/>
        <v>3.6</v>
      </c>
      <c r="EM18" s="14">
        <f t="shared" si="10"/>
        <v>2.6287412999757653</v>
      </c>
      <c r="EN18" s="14">
        <f t="shared" si="1"/>
        <v>1.29500283632688</v>
      </c>
      <c r="EO18" s="14">
        <f t="shared" si="1"/>
        <v>2.5453947544533886</v>
      </c>
      <c r="EQ18" s="1" t="str">
        <f t="shared" si="11"/>
        <v>1.96289957450578-0.102068213050335i</v>
      </c>
      <c r="ER18" s="14">
        <f t="shared" si="12"/>
        <v>3.6</v>
      </c>
      <c r="ES18" s="2">
        <f t="shared" si="13"/>
        <v>1.9655514899666864</v>
      </c>
      <c r="EU18" s="1" t="str">
        <f t="shared" si="14"/>
        <v>-0.962899574505783+0.102068213050336i</v>
      </c>
      <c r="EV18" s="52">
        <f t="shared" si="15"/>
        <v>3.6</v>
      </c>
      <c r="EW18" s="2">
        <f t="shared" si="16"/>
        <v>0.96829412406494886</v>
      </c>
      <c r="EY18" s="96">
        <f>AJ20</f>
        <v>31</v>
      </c>
      <c r="EZ18" s="1" t="str">
        <f t="shared" si="17"/>
        <v>32.4204714945232+40.0737355661751i</v>
      </c>
      <c r="FA18" s="1" t="str">
        <f t="shared" si="18"/>
        <v>14.1889479015652+23.9098305016129i</v>
      </c>
      <c r="FB18" s="1" t="str">
        <f t="shared" si="19"/>
        <v>4.19930520082767+10.2237147463211i</v>
      </c>
      <c r="FC18" s="1" t="str">
        <f t="shared" si="20"/>
        <v>2.62070121183468+7.10051907434934i</v>
      </c>
      <c r="FD18" s="1" t="str">
        <f t="shared" si="21"/>
        <v>363145.232446289+1087544.15214222i</v>
      </c>
      <c r="FF18" s="96">
        <f>AJ21</f>
        <v>5.1849871106908267</v>
      </c>
      <c r="FG18" s="96"/>
      <c r="FH18" s="98" t="str">
        <f t="shared" si="22"/>
        <v>7.49274358141521+17.1715799946319i</v>
      </c>
      <c r="FI18" s="98">
        <f t="shared" si="23"/>
        <v>18.735110511787255</v>
      </c>
      <c r="FJ18" s="1" t="str">
        <f>IMDIV($FI$18,EZ18)</f>
        <v>0.228604860984885-0.282569941951587i</v>
      </c>
      <c r="FK18" s="1" t="str">
        <f>IMDIV($FI$18,FA18)</f>
        <v>0.343893094517985-0.57949508713702i</v>
      </c>
      <c r="FL18" s="1" t="str">
        <f>IMDIV($FI$18,FB18)</f>
        <v>0.644035758909705-1.56798269490521i</v>
      </c>
      <c r="FM18" s="1" t="str">
        <f>IMDIV($FI$18,FC18)</f>
        <v>0.857096003938912-2.32221303864561i</v>
      </c>
      <c r="FN18" s="1" t="str">
        <f>IMDIV($FI$18,FD18)</f>
        <v>5.17528347833494E-06-0.0000154988934995143i</v>
      </c>
      <c r="FO18" s="1" t="str">
        <f t="shared" si="24"/>
        <v>2.07363489363497-4.75227626153293i</v>
      </c>
      <c r="FP18" s="100">
        <f t="shared" si="25"/>
        <v>5.184987110690817</v>
      </c>
      <c r="FR18" s="12">
        <f t="shared" si="26"/>
        <v>0.36346382840723207</v>
      </c>
      <c r="FS18" s="12">
        <f t="shared" si="27"/>
        <v>0.67385236993951303</v>
      </c>
      <c r="FT18" s="12">
        <f t="shared" si="28"/>
        <v>1.6950963955706484</v>
      </c>
      <c r="FU18" s="12">
        <f t="shared" si="29"/>
        <v>2.475335726083177</v>
      </c>
      <c r="FV18" s="12">
        <f t="shared" si="30"/>
        <v>1.6340111957707431E-5</v>
      </c>
      <c r="FX18" s="52">
        <f t="shared" si="31"/>
        <v>31</v>
      </c>
      <c r="FY18" s="1" t="str">
        <f t="shared" si="32"/>
        <v>0.624716971476424-0.48403464423317i</v>
      </c>
      <c r="FZ18" s="1" t="str">
        <f t="shared" si="33"/>
        <v>0.375283028523576+0.48403464423317i</v>
      </c>
      <c r="GA18" s="121">
        <f t="shared" si="34"/>
        <v>0.28724241468801631</v>
      </c>
      <c r="GB18" s="121">
        <f t="shared" si="35"/>
        <v>0.22261288296556772</v>
      </c>
      <c r="GC18" s="13"/>
      <c r="GD18" s="1" t="str">
        <f t="shared" si="36"/>
        <v>0.765365563590975-0.423608863976436i</v>
      </c>
      <c r="GE18" s="1" t="str">
        <f t="shared" si="37"/>
        <v>0.234634436409025+0.423608863976436i</v>
      </c>
      <c r="GF18" s="121">
        <f t="shared" si="38"/>
        <v>0.58946828829134079</v>
      </c>
      <c r="GG18" s="121">
        <f t="shared" si="39"/>
        <v>0.32631281942476442</v>
      </c>
      <c r="GI18" s="1" t="str">
        <f t="shared" si="40"/>
        <v>0.8895249106496-0.313319761733186i</v>
      </c>
      <c r="GJ18" s="1" t="str">
        <f t="shared" si="41"/>
        <v>0.110475089350401+0.313319761733186i</v>
      </c>
      <c r="GK18" s="123">
        <f t="shared" si="42"/>
        <v>1.5986330355292324</v>
      </c>
      <c r="GL18" s="123">
        <f t="shared" si="43"/>
        <v>0.5631548486346214</v>
      </c>
      <c r="GN18" s="1" t="str">
        <f t="shared" si="44"/>
        <v>0.918326381021892-0.273705584190738i</v>
      </c>
      <c r="GO18" s="1" t="str">
        <f t="shared" si="45"/>
        <v>0.0816736189781067+0.273705584190738i</v>
      </c>
      <c r="GP18" s="123">
        <f t="shared" si="46"/>
        <v>2.3719840356467849</v>
      </c>
      <c r="GQ18" s="123">
        <f t="shared" si="47"/>
        <v>0.70703373971952832</v>
      </c>
      <c r="GS18" s="1" t="str">
        <f t="shared" si="48"/>
        <v>0.950546046137631-0.216652653703893i</v>
      </c>
      <c r="GT18" s="1" t="str">
        <f t="shared" si="49"/>
        <v>0.049453953862368+0.216652653703893i</v>
      </c>
      <c r="GU18" s="123">
        <f t="shared" si="50"/>
        <v>1.5930361883312862E-5</v>
      </c>
      <c r="GV18" s="123">
        <f t="shared" si="51"/>
        <v>3.6311856182119765E-6</v>
      </c>
      <c r="HB18" s="1"/>
      <c r="JO18" s="1"/>
      <c r="JS18" s="1"/>
    </row>
    <row r="19" spans="2:279" ht="18" customHeight="1" x14ac:dyDescent="0.25">
      <c r="B19" s="28"/>
      <c r="C19" s="162" t="s">
        <v>399</v>
      </c>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8"/>
      <c r="AR19" s="6"/>
      <c r="CF19" s="8"/>
      <c r="CI19" s="14">
        <f t="shared" si="57"/>
        <v>167.74729558499203</v>
      </c>
      <c r="CJ19" s="14">
        <f t="shared" si="58"/>
        <v>11.036696727447325</v>
      </c>
      <c r="CK19" s="14">
        <f t="shared" si="59"/>
        <v>4.3610474173812674</v>
      </c>
      <c r="CL19" s="14">
        <f t="shared" si="60"/>
        <v>3.7940941082621626</v>
      </c>
      <c r="CM19" s="14">
        <f t="shared" si="61"/>
        <v>1.1037699466089086E-5</v>
      </c>
      <c r="CO19" s="56">
        <f t="shared" si="62"/>
        <v>167.74729558499203</v>
      </c>
      <c r="CP19" s="56">
        <f t="shared" si="63"/>
        <v>11.036696727447325</v>
      </c>
      <c r="CQ19" s="56">
        <f t="shared" si="54"/>
        <v>4.3610474173812674</v>
      </c>
      <c r="CR19" s="56">
        <f t="shared" si="55"/>
        <v>3.7940941082621626</v>
      </c>
      <c r="CS19" s="56">
        <f t="shared" si="56"/>
        <v>1.1037699466089086E-5</v>
      </c>
      <c r="EA19" s="1">
        <f t="shared" si="52"/>
        <v>3.8</v>
      </c>
      <c r="EB19" s="1" t="str">
        <f t="shared" si="3"/>
        <v>0.793706873702555-6.07922366515931i</v>
      </c>
      <c r="EC19" s="1" t="str">
        <f t="shared" si="4"/>
        <v>0.287823998847604-9.84136953716112i</v>
      </c>
      <c r="ED19" s="52" t="str">
        <f t="shared" si="5"/>
        <v>0.0750415435492875-12.1161282476621i</v>
      </c>
      <c r="EE19" s="1" t="str">
        <f t="shared" si="6"/>
        <v>0.0458542894535962-12.5509834452702i</v>
      </c>
      <c r="EF19" s="1" t="str">
        <f t="shared" si="7"/>
        <v>6266.9842944632-3901353.10913715i</v>
      </c>
      <c r="EH19" s="1" t="str">
        <f t="shared" si="8"/>
        <v>0.137016431651424-2.34233591157104i</v>
      </c>
      <c r="EI19" s="1" t="str">
        <f t="shared" si="0"/>
        <v>0.0143880322809015+1.36686306668564i</v>
      </c>
      <c r="EJ19" s="1" t="str">
        <f t="shared" si="9"/>
        <v>0.344011167476925+3.23078088156435i</v>
      </c>
      <c r="EL19" s="52">
        <f t="shared" si="53"/>
        <v>3.8</v>
      </c>
      <c r="EM19" s="14">
        <f t="shared" si="10"/>
        <v>2.3463399210638309</v>
      </c>
      <c r="EN19" s="14">
        <f t="shared" si="1"/>
        <v>1.3669387910737587</v>
      </c>
      <c r="EO19" s="14">
        <f t="shared" si="1"/>
        <v>3.2490442884070627</v>
      </c>
      <c r="EQ19" s="1" t="str">
        <f t="shared" si="11"/>
        <v>2.36603342922782-0.226773705189879i</v>
      </c>
      <c r="ER19" s="14">
        <f t="shared" si="12"/>
        <v>3.8</v>
      </c>
      <c r="ES19" s="2">
        <f t="shared" si="13"/>
        <v>2.3768762066184896</v>
      </c>
      <c r="EU19" s="1" t="str">
        <f t="shared" si="14"/>
        <v>-1.36603342922782+0.22677370518988i</v>
      </c>
      <c r="EV19" s="52">
        <f t="shared" si="15"/>
        <v>3.8</v>
      </c>
      <c r="EW19" s="2">
        <f t="shared" si="16"/>
        <v>1.3847287254670007</v>
      </c>
      <c r="EY19" s="96">
        <f>AL20</f>
        <v>35</v>
      </c>
      <c r="EZ19" s="1" t="str">
        <f t="shared" si="17"/>
        <v>37.462510452662+41.2576508933303i</v>
      </c>
      <c r="FA19" s="1" t="str">
        <f t="shared" si="18"/>
        <v>16.9900805023512+25.6598909291434i</v>
      </c>
      <c r="FB19" s="1" t="str">
        <f t="shared" si="19"/>
        <v>5.19435743060639+11.5574201108222i</v>
      </c>
      <c r="FC19" s="1" t="str">
        <f t="shared" si="20"/>
        <v>3.26665153875267+8.20861099450202i</v>
      </c>
      <c r="FD19" s="1" t="str">
        <f t="shared" si="21"/>
        <v>456571.195497795+1326306.68431554i</v>
      </c>
      <c r="FF19" s="96">
        <f>AL21</f>
        <v>3.4378393712032778</v>
      </c>
      <c r="FG19" s="96"/>
      <c r="FH19" s="98" t="str">
        <f t="shared" si="22"/>
        <v>6.15767919455569+12.8541183915632i</v>
      </c>
      <c r="FI19" s="98">
        <f t="shared" si="23"/>
        <v>14.252907516973064</v>
      </c>
      <c r="FJ19" s="1" t="str">
        <f>IMDIV($FI$19,EZ19)</f>
        <v>0.17192940055791-0.189346712241325i</v>
      </c>
      <c r="FK19" s="1" t="str">
        <f>IMDIV($FI$19,FA19)</f>
        <v>0.255685648119241-0.386158608370285i</v>
      </c>
      <c r="FL19" s="1" t="str">
        <f>IMDIV($FI$19,FB19)</f>
        <v>0.4611164629303-1.02598189541217i</v>
      </c>
      <c r="FM19" s="1" t="str">
        <f>IMDIV($FI$19,FC19)</f>
        <v>0.596513853591514-1.49895087335632i</v>
      </c>
      <c r="FN19" s="1" t="str">
        <f>IMDIV($FI$19,FD19)</f>
        <v>3.30740159764972E-06-9.60776520712398E-06i</v>
      </c>
      <c r="FO19" s="1" t="str">
        <f t="shared" si="24"/>
        <v>1.48524867260056-3.10044769714531i</v>
      </c>
      <c r="FP19" s="100">
        <f t="shared" si="25"/>
        <v>3.4378393712032826</v>
      </c>
      <c r="FR19" s="12">
        <f t="shared" si="26"/>
        <v>0.25575749492986788</v>
      </c>
      <c r="FS19" s="12">
        <f t="shared" si="27"/>
        <v>0.46313456087041427</v>
      </c>
      <c r="FT19" s="12">
        <f t="shared" si="28"/>
        <v>1.1248409852503152</v>
      </c>
      <c r="FU19" s="12">
        <f t="shared" si="29"/>
        <v>1.6132831426201271</v>
      </c>
      <c r="FV19" s="12">
        <f t="shared" si="30"/>
        <v>1.0161105136910947E-5</v>
      </c>
      <c r="FX19" s="52">
        <f t="shared" si="31"/>
        <v>35</v>
      </c>
      <c r="FY19" s="1" t="str">
        <f t="shared" si="32"/>
        <v>0.566352871174433-0.495434903551741i</v>
      </c>
      <c r="FZ19" s="1" t="str">
        <f t="shared" si="33"/>
        <v>0.433647128825567+0.495434903551741i</v>
      </c>
      <c r="GA19" s="121">
        <f t="shared" si="34"/>
        <v>0.19244987916360606</v>
      </c>
      <c r="GB19" s="121">
        <f t="shared" si="35"/>
        <v>0.16839365114136515</v>
      </c>
      <c r="GC19" s="13"/>
      <c r="GD19" s="1" t="str">
        <f t="shared" si="36"/>
        <v>0.719044851607822-0.44932279604131i</v>
      </c>
      <c r="GE19" s="1" t="str">
        <f t="shared" si="37"/>
        <v>0.280955148392178+0.44932279604131i</v>
      </c>
      <c r="GF19" s="121">
        <f t="shared" si="38"/>
        <v>0.39268689559619191</v>
      </c>
      <c r="GG19" s="121">
        <f t="shared" si="39"/>
        <v>0.24542931976514273</v>
      </c>
      <c r="GI19" s="1" t="str">
        <f t="shared" si="40"/>
        <v>0.863347131532366-0.343337684395329i</v>
      </c>
      <c r="GJ19" s="1" t="str">
        <f t="shared" si="41"/>
        <v>0.136652868467635+0.343337684395329i</v>
      </c>
      <c r="GK19" s="123">
        <f t="shared" si="42"/>
        <v>1.0451032130003504</v>
      </c>
      <c r="GL19" s="123">
        <f t="shared" si="43"/>
        <v>0.41566606759110164</v>
      </c>
      <c r="GN19" s="1" t="str">
        <f t="shared" si="44"/>
        <v>0.898195470774955-0.302248259562767i</v>
      </c>
      <c r="GO19" s="1" t="str">
        <f t="shared" si="45"/>
        <v>0.101804529225044+0.302248259562767i</v>
      </c>
      <c r="GP19" s="123">
        <f t="shared" si="46"/>
        <v>1.5288861543209595</v>
      </c>
      <c r="GQ19" s="123">
        <f t="shared" si="47"/>
        <v>0.51452901524381311</v>
      </c>
      <c r="GS19" s="1" t="str">
        <f t="shared" si="48"/>
        <v>0.937823083384762-0.241333783681101i</v>
      </c>
      <c r="GT19" s="1" t="str">
        <f t="shared" si="49"/>
        <v>0.0621769166152379+0.241333783681101i</v>
      </c>
      <c r="GU19" s="123">
        <f t="shared" si="50"/>
        <v>9.8397811216705043E-6</v>
      </c>
      <c r="GV19" s="123">
        <f t="shared" si="51"/>
        <v>2.532296715553649E-6</v>
      </c>
      <c r="HB19" s="1"/>
      <c r="JO19" s="1"/>
      <c r="JS19" s="1"/>
    </row>
    <row r="20" spans="2:279" ht="18" customHeight="1" x14ac:dyDescent="0.25">
      <c r="B20" s="28"/>
      <c r="C20" s="159" t="s">
        <v>57</v>
      </c>
      <c r="D20" s="159"/>
      <c r="E20" s="159"/>
      <c r="F20" s="159"/>
      <c r="G20" s="159"/>
      <c r="H20" s="159"/>
      <c r="I20" s="160"/>
      <c r="J20" s="165">
        <v>1</v>
      </c>
      <c r="K20" s="166"/>
      <c r="L20" s="169">
        <v>2</v>
      </c>
      <c r="M20" s="170"/>
      <c r="N20" s="169">
        <v>3</v>
      </c>
      <c r="O20" s="170"/>
      <c r="P20" s="169">
        <v>4</v>
      </c>
      <c r="Q20" s="170"/>
      <c r="R20" s="169">
        <v>5</v>
      </c>
      <c r="S20" s="170"/>
      <c r="T20" s="169">
        <v>7</v>
      </c>
      <c r="U20" s="170"/>
      <c r="V20" s="169">
        <v>11</v>
      </c>
      <c r="W20" s="170"/>
      <c r="X20" s="169">
        <v>13</v>
      </c>
      <c r="Y20" s="170"/>
      <c r="Z20" s="169">
        <v>17</v>
      </c>
      <c r="AA20" s="170"/>
      <c r="AB20" s="169">
        <v>19</v>
      </c>
      <c r="AC20" s="170"/>
      <c r="AD20" s="169">
        <v>23</v>
      </c>
      <c r="AE20" s="170"/>
      <c r="AF20" s="169">
        <v>25</v>
      </c>
      <c r="AG20" s="170"/>
      <c r="AH20" s="169">
        <v>29</v>
      </c>
      <c r="AI20" s="170"/>
      <c r="AJ20" s="169">
        <v>31</v>
      </c>
      <c r="AK20" s="170"/>
      <c r="AL20" s="169">
        <v>35</v>
      </c>
      <c r="AM20" s="170"/>
      <c r="AN20" s="169">
        <v>37</v>
      </c>
      <c r="AO20" s="171"/>
      <c r="AP20" s="8"/>
      <c r="AR20" s="6"/>
      <c r="AS20" s="172" t="s">
        <v>384</v>
      </c>
      <c r="AT20" s="172"/>
      <c r="AU20" s="172"/>
      <c r="AV20" s="172"/>
      <c r="AW20" s="172"/>
      <c r="AX20" s="172"/>
      <c r="AY20" s="172"/>
      <c r="AZ20" s="172"/>
      <c r="BA20" s="172"/>
      <c r="BB20" s="172"/>
      <c r="BC20" s="172"/>
      <c r="BD20" s="172"/>
      <c r="BE20" s="172"/>
      <c r="BF20" s="172"/>
      <c r="BG20" s="172"/>
      <c r="BH20" s="172"/>
      <c r="BI20" s="172"/>
      <c r="BJ20" s="172"/>
      <c r="BK20" s="172"/>
      <c r="BL20" s="172"/>
      <c r="BM20" s="172"/>
      <c r="BN20" s="172"/>
      <c r="BO20" s="172"/>
      <c r="BP20" s="172"/>
      <c r="BQ20" s="172"/>
      <c r="BR20" s="172"/>
      <c r="BS20" s="172"/>
      <c r="BT20" s="172"/>
      <c r="BU20" s="172"/>
      <c r="BV20" s="172"/>
      <c r="BW20" s="172"/>
      <c r="BX20" s="172"/>
      <c r="BY20" s="172"/>
      <c r="BZ20" s="172"/>
      <c r="CA20" s="172"/>
      <c r="CB20" s="172"/>
      <c r="CC20" s="172"/>
      <c r="CD20" s="172"/>
      <c r="CE20" s="172"/>
      <c r="CF20" s="8"/>
      <c r="CI20" s="14">
        <f t="shared" si="57"/>
        <v>1.2284810002393047</v>
      </c>
      <c r="CJ20" s="14">
        <f t="shared" si="58"/>
        <v>73.620192689354667</v>
      </c>
      <c r="CK20" s="14">
        <f t="shared" si="59"/>
        <v>3.2728743916301388</v>
      </c>
      <c r="CL20" s="14">
        <f t="shared" si="60"/>
        <v>2.3205317213216068</v>
      </c>
      <c r="CM20" s="14">
        <f t="shared" si="61"/>
        <v>5.6879916053980313E-6</v>
      </c>
      <c r="CO20" s="56">
        <f t="shared" si="62"/>
        <v>1.2284810002393047</v>
      </c>
      <c r="CP20" s="56">
        <f t="shared" si="63"/>
        <v>73.620192689354667</v>
      </c>
      <c r="CQ20" s="56">
        <f t="shared" si="54"/>
        <v>3.2728743916301388</v>
      </c>
      <c r="CR20" s="56">
        <f t="shared" si="55"/>
        <v>2.3205317213216068</v>
      </c>
      <c r="CS20" s="56">
        <f t="shared" si="56"/>
        <v>5.6879916053980313E-6</v>
      </c>
      <c r="EA20" s="1">
        <f t="shared" si="52"/>
        <v>4</v>
      </c>
      <c r="EB20" s="1" t="str">
        <f t="shared" si="3"/>
        <v>0.876295478158783-4.9491699658279i</v>
      </c>
      <c r="EC20" s="1" t="str">
        <f t="shared" si="4"/>
        <v>0.317600285272109-8.93235860964395i</v>
      </c>
      <c r="ED20" s="52" t="str">
        <f t="shared" si="5"/>
        <v>0.0826661816420569-11.3425607356428i</v>
      </c>
      <c r="EE20" s="1" t="str">
        <f t="shared" si="6"/>
        <v>0.0504679665759328-11.8034671336331i</v>
      </c>
      <c r="EF20" s="1" t="str">
        <f t="shared" si="7"/>
        <v>6885.16574194656-3685265.73901224i</v>
      </c>
      <c r="EH20" s="1" t="str">
        <f t="shared" si="8"/>
        <v>0.170578694212473-2.06664510940871i</v>
      </c>
      <c r="EI20" s="1" t="str">
        <f t="shared" si="0"/>
        <v>0.0143880322809015+1.43880322809015i</v>
      </c>
      <c r="EJ20" s="1" t="str">
        <f t="shared" si="9"/>
        <v>0.968794768388285+4.45455334019205i</v>
      </c>
      <c r="EL20" s="52">
        <f t="shared" si="53"/>
        <v>4</v>
      </c>
      <c r="EM20" s="14">
        <f t="shared" si="10"/>
        <v>2.073672852491967</v>
      </c>
      <c r="EN20" s="14">
        <f t="shared" si="1"/>
        <v>1.4388751664531403</v>
      </c>
      <c r="EO20" s="14">
        <f t="shared" si="1"/>
        <v>4.5586849818640305</v>
      </c>
      <c r="EQ20" s="1" t="str">
        <f t="shared" si="11"/>
        <v>3.10243598376567-0.642309386900075i</v>
      </c>
      <c r="ER20" s="14">
        <f t="shared" si="12"/>
        <v>4</v>
      </c>
      <c r="ES20" s="2">
        <f t="shared" si="13"/>
        <v>3.1682282717417967</v>
      </c>
      <c r="EU20" s="1" t="str">
        <f t="shared" si="14"/>
        <v>-2.10243598376567+0.642309386900076i</v>
      </c>
      <c r="EV20" s="52">
        <f t="shared" si="15"/>
        <v>4</v>
      </c>
      <c r="EW20" s="2">
        <f t="shared" si="16"/>
        <v>2.1983626666982574</v>
      </c>
      <c r="EY20" s="96">
        <f>AN20</f>
        <v>37</v>
      </c>
      <c r="EZ20" s="1" t="str">
        <f t="shared" si="17"/>
        <v>39.834882416289+41.5928752305751i</v>
      </c>
      <c r="FA20" s="1" t="str">
        <f t="shared" si="18"/>
        <v>18.379630418622+26.3763479278473i</v>
      </c>
      <c r="FB20" s="1" t="str">
        <f t="shared" si="19"/>
        <v>5.71281805470907+12.1659303623259i</v>
      </c>
      <c r="FC20" s="1" t="str">
        <f t="shared" si="20"/>
        <v>3.60719253099973+8.72219063273475i</v>
      </c>
      <c r="FD20" s="1" t="str">
        <f t="shared" si="21"/>
        <v>506484.314006463+1438092.35674075i</v>
      </c>
      <c r="FF20" s="96">
        <f>AN21</f>
        <v>0.8582075138189027</v>
      </c>
      <c r="FG20" s="96"/>
      <c r="FH20" s="98" t="str">
        <f t="shared" si="22"/>
        <v>1.69094728665608+3.37354561075378i</v>
      </c>
      <c r="FI20" s="98">
        <f t="shared" si="23"/>
        <v>3.773607387379569</v>
      </c>
      <c r="FJ20" s="1" t="str">
        <f>IMDIV($FI$20,EZ20)</f>
        <v>0.0453213581232163-0.0473214800535805i</v>
      </c>
      <c r="FK20" s="1" t="str">
        <f>IMDIV($FI$20,FA20)</f>
        <v>0.0671078821696904-0.0963055735340212i</v>
      </c>
      <c r="FL20" s="1" t="str">
        <f>IMDIV($FI$20,FB20)</f>
        <v>0.11933790014498-0.25414017545216i</v>
      </c>
      <c r="FM20" s="1" t="str">
        <f>IMDIV($FI$20,FC20)</f>
        <v>0.152793418019433-0.369454446342866i</v>
      </c>
      <c r="FN20" s="1" t="str">
        <f>IMDIV($FI$20,FD20)</f>
        <v>8.22181605953673E-07-2.33447127714942E-06i</v>
      </c>
      <c r="FO20" s="1" t="str">
        <f t="shared" si="24"/>
        <v>0.384561380638926-0.767224009853905i</v>
      </c>
      <c r="FP20" s="100">
        <f t="shared" si="25"/>
        <v>0.85820751381890259</v>
      </c>
      <c r="FR20" s="12">
        <f t="shared" si="26"/>
        <v>6.5523644408673129E-2</v>
      </c>
      <c r="FS20" s="12">
        <f t="shared" si="27"/>
        <v>0.11738071111991874</v>
      </c>
      <c r="FT20" s="12">
        <f t="shared" si="28"/>
        <v>0.28076460458873354</v>
      </c>
      <c r="FU20" s="12">
        <f t="shared" si="29"/>
        <v>0.39980297211573462</v>
      </c>
      <c r="FV20" s="12">
        <f t="shared" si="30"/>
        <v>2.4750229770659113E-6</v>
      </c>
      <c r="FX20" s="52">
        <f t="shared" si="31"/>
        <v>37</v>
      </c>
      <c r="FY20" s="1" t="str">
        <f t="shared" si="32"/>
        <v>0.53889148969993-0.49835004046232i</v>
      </c>
      <c r="FZ20" s="1" t="str">
        <f t="shared" si="33"/>
        <v>0.46110851030007+0.498350040462319i</v>
      </c>
      <c r="GA20" s="121">
        <f t="shared" si="34"/>
        <v>4.809439072596957E-2</v>
      </c>
      <c r="GB20" s="121">
        <f t="shared" si="35"/>
        <v>4.4487313046332251E-2</v>
      </c>
      <c r="GC20" s="13"/>
      <c r="GD20" s="1" t="str">
        <f t="shared" si="36"/>
        <v>0.696066667197796-0.459819080277066i</v>
      </c>
      <c r="GE20" s="1" t="str">
        <f t="shared" si="37"/>
        <v>0.303933332802204+0.459819080277066i</v>
      </c>
      <c r="GF20" s="121">
        <f t="shared" si="38"/>
        <v>9.7922700510299263E-2</v>
      </c>
      <c r="GG20" s="121">
        <f t="shared" si="39"/>
        <v>6.4698929485875814E-2</v>
      </c>
      <c r="GI20" s="1" t="str">
        <f t="shared" si="40"/>
        <v>0.849707498061305-0.357222786368234i</v>
      </c>
      <c r="GJ20" s="1" t="str">
        <f t="shared" si="41"/>
        <v>0.150292501938696+0.357222786368233i</v>
      </c>
      <c r="GK20" s="123">
        <f t="shared" si="42"/>
        <v>0.25879292974974444</v>
      </c>
      <c r="GL20" s="123">
        <f t="shared" si="43"/>
        <v>0.10881066761887138</v>
      </c>
      <c r="GN20" s="1" t="str">
        <f t="shared" si="44"/>
        <v>0.887582580178494-0.315744211773909i</v>
      </c>
      <c r="GO20" s="1" t="str">
        <f t="shared" si="45"/>
        <v>0.112417419821504+0.31574421177391i</v>
      </c>
      <c r="GP20" s="123">
        <f t="shared" si="46"/>
        <v>0.37664267431350851</v>
      </c>
      <c r="GQ20" s="123">
        <f t="shared" si="47"/>
        <v>0.13399787940938876</v>
      </c>
      <c r="GS20" s="1" t="str">
        <f t="shared" si="48"/>
        <v>0.931025799985977-0.253275160646138i</v>
      </c>
      <c r="GT20" s="1" t="str">
        <f t="shared" si="49"/>
        <v>0.0689742000140219+0.253275160646138i</v>
      </c>
      <c r="GU20" s="123">
        <f t="shared" si="50"/>
        <v>2.3880539115534766E-6</v>
      </c>
      <c r="GV20" s="123">
        <f t="shared" si="51"/>
        <v>6.4969116143072527E-7</v>
      </c>
      <c r="HB20" s="1"/>
      <c r="JO20" s="1"/>
      <c r="JS20" s="1"/>
    </row>
    <row r="21" spans="2:279" ht="18" customHeight="1" x14ac:dyDescent="0.35">
      <c r="B21" s="28"/>
      <c r="C21" s="159" t="s">
        <v>59</v>
      </c>
      <c r="D21" s="159"/>
      <c r="E21" s="159"/>
      <c r="F21" s="159"/>
      <c r="G21" s="159"/>
      <c r="H21" s="159"/>
      <c r="I21" s="160"/>
      <c r="J21" s="165">
        <f>SUM(AG40:AJ44)</f>
        <v>555.59013663016856</v>
      </c>
      <c r="K21" s="166"/>
      <c r="L21" s="169">
        <v>0.1711122058962033</v>
      </c>
      <c r="M21" s="170"/>
      <c r="N21" s="169">
        <v>0.5742539727342898</v>
      </c>
      <c r="O21" s="170"/>
      <c r="P21" s="169">
        <v>3.9977570149213957</v>
      </c>
      <c r="Q21" s="170"/>
      <c r="R21" s="169">
        <v>154.2431409120035</v>
      </c>
      <c r="S21" s="170"/>
      <c r="T21" s="169">
        <v>111.05356103682382</v>
      </c>
      <c r="U21" s="170"/>
      <c r="V21" s="169">
        <v>84.16492706977607</v>
      </c>
      <c r="W21" s="170"/>
      <c r="X21" s="169">
        <v>60.137103297321055</v>
      </c>
      <c r="Y21" s="170"/>
      <c r="Z21" s="169">
        <v>39.622768100151625</v>
      </c>
      <c r="AA21" s="170"/>
      <c r="AB21" s="169">
        <v>28.104471598900489</v>
      </c>
      <c r="AC21" s="170"/>
      <c r="AD21" s="169">
        <v>17.849471552635197</v>
      </c>
      <c r="AE21" s="170"/>
      <c r="AF21" s="169">
        <v>8.8133192597684893</v>
      </c>
      <c r="AG21" s="170"/>
      <c r="AH21" s="169">
        <v>6.9447488638995116</v>
      </c>
      <c r="AI21" s="170"/>
      <c r="AJ21" s="169">
        <v>5.1849871106908267</v>
      </c>
      <c r="AK21" s="170"/>
      <c r="AL21" s="169">
        <v>3.4378393712032778</v>
      </c>
      <c r="AM21" s="170"/>
      <c r="AN21" s="169">
        <v>0.8582075138189027</v>
      </c>
      <c r="AO21" s="171"/>
      <c r="AP21" s="8"/>
      <c r="AR21" s="6"/>
      <c r="AZ21" s="200" t="s">
        <v>15</v>
      </c>
      <c r="BA21" s="200"/>
      <c r="BB21" s="200"/>
      <c r="BC21" s="200"/>
      <c r="BD21" s="200"/>
      <c r="BE21" s="18"/>
      <c r="BF21" s="200" t="s">
        <v>387</v>
      </c>
      <c r="BG21" s="200"/>
      <c r="BH21" s="200"/>
      <c r="BI21" s="200"/>
      <c r="BJ21" s="200"/>
      <c r="BK21" s="48"/>
      <c r="BL21" s="48"/>
      <c r="BT21" s="245" t="s">
        <v>388</v>
      </c>
      <c r="BU21" s="245"/>
      <c r="BV21" s="245"/>
      <c r="BW21" s="245"/>
      <c r="BX21" s="245"/>
      <c r="BY21" s="245"/>
      <c r="BZ21" s="245"/>
      <c r="CA21" s="253">
        <f>AG41/U30</f>
        <v>46.299139469897824</v>
      </c>
      <c r="CB21" s="253"/>
      <c r="CC21" s="253"/>
      <c r="CD21" s="33" t="s">
        <v>39</v>
      </c>
      <c r="CE21" s="38"/>
      <c r="CF21" s="8"/>
      <c r="CI21" s="14">
        <f t="shared" si="57"/>
        <v>2.5292593107628953E-2</v>
      </c>
      <c r="CJ21" s="14">
        <f t="shared" si="58"/>
        <v>0.16801883201899792</v>
      </c>
      <c r="CK21" s="14">
        <f t="shared" si="59"/>
        <v>23.060600181124013</v>
      </c>
      <c r="CL21" s="14">
        <f t="shared" si="60"/>
        <v>3.9634632709561251</v>
      </c>
      <c r="CM21" s="14">
        <f t="shared" si="61"/>
        <v>3.5212088998226863E-6</v>
      </c>
      <c r="CO21" s="56">
        <f t="shared" si="62"/>
        <v>2.5292593107628953E-2</v>
      </c>
      <c r="CP21" s="56">
        <f t="shared" si="63"/>
        <v>0.16801883201899792</v>
      </c>
      <c r="CQ21" s="56">
        <f t="shared" si="54"/>
        <v>23.060600181124013</v>
      </c>
      <c r="CR21" s="56">
        <f t="shared" si="55"/>
        <v>3.9634632709561251</v>
      </c>
      <c r="CS21" s="56">
        <f t="shared" si="56"/>
        <v>3.5212088998226863E-6</v>
      </c>
      <c r="EA21" s="1">
        <f t="shared" si="52"/>
        <v>4.2</v>
      </c>
      <c r="EB21" s="1" t="str">
        <f t="shared" si="3"/>
        <v>0.962947726328857-3.8880293842921i</v>
      </c>
      <c r="EC21" s="1" t="str">
        <f t="shared" si="4"/>
        <v>0.348871808573231-8.0899800996381i</v>
      </c>
      <c r="ED21" s="52" t="str">
        <f t="shared" si="5"/>
        <v>0.0906785228434759-10.6345420936749i</v>
      </c>
      <c r="EE21" s="1" t="str">
        <f t="shared" si="6"/>
        <v>0.0553168101437371-11.1213191226298i</v>
      </c>
      <c r="EF21" s="1" t="str">
        <f t="shared" si="7"/>
        <v>7534.936489238-3488735.15159758i</v>
      </c>
      <c r="EH21" s="1" t="str">
        <f t="shared" si="8"/>
        <v>0.217214770574388-1.79300219421476i</v>
      </c>
      <c r="EI21" s="1" t="str">
        <f t="shared" si="0"/>
        <v>0.0143880322809015+1.51074338949466i</v>
      </c>
      <c r="EJ21" s="1" t="str">
        <f t="shared" si="9"/>
        <v>4.07125427757107+6.2672185029708i</v>
      </c>
      <c r="EL21" s="52">
        <f t="shared" si="53"/>
        <v>4.2</v>
      </c>
      <c r="EM21" s="14">
        <f t="shared" si="10"/>
        <v>1.8061116036985723</v>
      </c>
      <c r="EN21" s="14">
        <f t="shared" si="10"/>
        <v>1.510811902380548</v>
      </c>
      <c r="EO21" s="14">
        <f t="shared" si="10"/>
        <v>7.4734957788587986</v>
      </c>
      <c r="EQ21" s="1" t="str">
        <f t="shared" si="11"/>
        <v>4.17372035307853-2.65511845512113i</v>
      </c>
      <c r="ER21" s="14">
        <f t="shared" si="12"/>
        <v>4.2</v>
      </c>
      <c r="ES21" s="2">
        <f t="shared" si="13"/>
        <v>4.946675206280152</v>
      </c>
      <c r="EU21" s="1" t="str">
        <f t="shared" si="14"/>
        <v>-3.17372035307853+2.65511845512113i</v>
      </c>
      <c r="EV21" s="52">
        <f t="shared" si="15"/>
        <v>4.2</v>
      </c>
      <c r="EW21" s="2">
        <f t="shared" si="16"/>
        <v>4.1378925663034956</v>
      </c>
      <c r="HB21" s="1"/>
      <c r="JO21" s="1"/>
      <c r="JS21" s="1"/>
    </row>
    <row r="22" spans="2:279" ht="18" customHeight="1" x14ac:dyDescent="0.25">
      <c r="B22" s="6"/>
      <c r="AP22" s="8"/>
      <c r="AR22" s="6"/>
      <c r="AS22" s="172" t="s">
        <v>20</v>
      </c>
      <c r="AT22" s="172"/>
      <c r="AU22" s="172"/>
      <c r="AV22" s="172"/>
      <c r="AW22" s="172"/>
      <c r="AX22" s="172"/>
      <c r="AY22" s="172"/>
      <c r="AZ22" s="201"/>
      <c r="BA22" s="201"/>
      <c r="BB22" s="201"/>
      <c r="BC22" s="201"/>
      <c r="BD22" s="201"/>
      <c r="BF22" s="201"/>
      <c r="BG22" s="201"/>
      <c r="BH22" s="201"/>
      <c r="BI22" s="201"/>
      <c r="BJ22" s="201"/>
      <c r="BK22" s="82"/>
      <c r="BL22" s="172" t="s">
        <v>21</v>
      </c>
      <c r="BM22" s="172"/>
      <c r="BN22" s="172"/>
      <c r="BO22" s="172"/>
      <c r="BQ22" s="208" t="s">
        <v>389</v>
      </c>
      <c r="BR22" s="208"/>
      <c r="BS22" s="208"/>
      <c r="BT22" s="208"/>
      <c r="BU22" s="208"/>
      <c r="BV22" s="208"/>
      <c r="BW22" s="208"/>
      <c r="BX22" s="208"/>
      <c r="BY22" s="208"/>
      <c r="BZ22" s="208"/>
      <c r="CA22" s="185">
        <f>1.8*CA21</f>
        <v>83.338451045816086</v>
      </c>
      <c r="CB22" s="185"/>
      <c r="CC22" s="185"/>
      <c r="CD22" s="33" t="s">
        <v>39</v>
      </c>
      <c r="CE22" s="38"/>
      <c r="CF22" s="8"/>
      <c r="CI22" s="14">
        <f t="shared" si="57"/>
        <v>5.2217843761912597E-3</v>
      </c>
      <c r="CJ22" s="14">
        <f t="shared" si="58"/>
        <v>2.7930717926439551E-2</v>
      </c>
      <c r="CK22" s="14">
        <f t="shared" si="59"/>
        <v>0.9246509335808325</v>
      </c>
      <c r="CL22" s="14">
        <f t="shared" si="60"/>
        <v>10.448762878019089</v>
      </c>
      <c r="CM22" s="14">
        <f t="shared" si="61"/>
        <v>3.0200698069767243E-6</v>
      </c>
      <c r="CO22" s="56">
        <f t="shared" si="62"/>
        <v>5.2217843761912597E-3</v>
      </c>
      <c r="CP22" s="56">
        <f t="shared" si="63"/>
        <v>2.7930717926439551E-2</v>
      </c>
      <c r="CQ22" s="56">
        <f t="shared" si="54"/>
        <v>0.9246509335808325</v>
      </c>
      <c r="CR22" s="56">
        <f t="shared" si="55"/>
        <v>10.448762878019089</v>
      </c>
      <c r="CS22" s="56">
        <f t="shared" si="56"/>
        <v>3.0200698069767243E-6</v>
      </c>
      <c r="EA22" s="1">
        <f t="shared" si="52"/>
        <v>4.4000000000000004</v>
      </c>
      <c r="EB22" s="1" t="str">
        <f t="shared" si="3"/>
        <v>1.05363844189431-2.88663361005753i</v>
      </c>
      <c r="EC22" s="1" t="str">
        <f t="shared" si="4"/>
        <v>0.381633860426965-7.30520770321641i</v>
      </c>
      <c r="ED22" s="52" t="str">
        <f t="shared" si="5"/>
        <v>0.0990780738628892-9.98314370641272i</v>
      </c>
      <c r="EE22" s="1" t="str">
        <f t="shared" si="6"/>
        <v>0.0604006060159087-10.4956306150865i</v>
      </c>
      <c r="EF22" s="1" t="str">
        <f t="shared" si="7"/>
        <v>8216.27972226541-3309095.03263314i</v>
      </c>
      <c r="EH22" s="1" t="str">
        <f t="shared" si="8"/>
        <v>0.285604844206377-1.51440424053866i</v>
      </c>
      <c r="EI22" s="1" t="str">
        <f t="shared" si="0"/>
        <v>0.0143880322809015+1.58268355089917i</v>
      </c>
      <c r="EJ22" s="1" t="str">
        <f t="shared" si="9"/>
        <v>7.91945898722155-0.368350100463689i</v>
      </c>
      <c r="EL22" s="52">
        <f t="shared" si="53"/>
        <v>4.4000000000000004</v>
      </c>
      <c r="EM22" s="14">
        <f t="shared" si="10"/>
        <v>1.541100363634901</v>
      </c>
      <c r="EN22" s="14">
        <f t="shared" si="10"/>
        <v>1.5827489496947145</v>
      </c>
      <c r="EO22" s="14">
        <f t="shared" si="10"/>
        <v>7.92802071432686</v>
      </c>
      <c r="EQ22" s="1" t="str">
        <f t="shared" si="11"/>
        <v>-0.187232961678908-5.00551919972721i</v>
      </c>
      <c r="ER22" s="14">
        <f t="shared" si="12"/>
        <v>4.4000000000000004</v>
      </c>
      <c r="ES22" s="2">
        <f t="shared" si="13"/>
        <v>5.0090197285274085</v>
      </c>
      <c r="EU22" s="1" t="str">
        <f t="shared" si="14"/>
        <v>1.18723296167891+5.00551919972721i</v>
      </c>
      <c r="EV22" s="52">
        <f t="shared" si="15"/>
        <v>4.4000000000000004</v>
      </c>
      <c r="EW22" s="2">
        <f t="shared" si="16"/>
        <v>5.1443896201721158</v>
      </c>
      <c r="HB22" s="1"/>
      <c r="JO22" s="1"/>
      <c r="JS22" s="1"/>
    </row>
    <row r="23" spans="2:279" ht="18" customHeight="1" x14ac:dyDescent="0.25">
      <c r="B23" s="6"/>
      <c r="C23" s="178" t="s">
        <v>400</v>
      </c>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8"/>
      <c r="AR23" s="6"/>
      <c r="AY23" s="29" t="s">
        <v>26</v>
      </c>
      <c r="AZ23" s="209">
        <f>CA24/$P$30</f>
        <v>0.74250183030728067</v>
      </c>
      <c r="BA23" s="209"/>
      <c r="BB23" s="209"/>
      <c r="BC23" s="209"/>
      <c r="BD23" s="209"/>
      <c r="BF23" s="209">
        <f>(CJ36)/P30</f>
        <v>0.8158773321020254</v>
      </c>
      <c r="BG23" s="209"/>
      <c r="BH23" s="209"/>
      <c r="BI23" s="209"/>
      <c r="BJ23" s="209"/>
      <c r="BK23" s="82"/>
      <c r="BL23" s="210">
        <f>IF(LEFT(C24,2)="SD",1.1,1.25)</f>
        <v>1.1000000000000001</v>
      </c>
      <c r="BM23" s="210"/>
      <c r="BN23" s="210"/>
      <c r="BO23" s="210"/>
      <c r="BQ23" s="23"/>
      <c r="BR23" s="23"/>
      <c r="BS23" s="23"/>
      <c r="BT23" s="23"/>
      <c r="BU23" s="23"/>
      <c r="BV23" s="23"/>
      <c r="BW23" s="23"/>
      <c r="BX23" s="23"/>
      <c r="BY23" s="23"/>
      <c r="BZ23" s="32" t="s">
        <v>51</v>
      </c>
      <c r="CA23" s="211">
        <f>AG41*L41/1000</f>
        <v>7.3495486454778556</v>
      </c>
      <c r="CB23" s="211"/>
      <c r="CC23" s="211"/>
      <c r="CD23" s="24" t="s">
        <v>32</v>
      </c>
      <c r="CE23" s="24"/>
      <c r="CF23" s="8"/>
      <c r="CI23" s="14">
        <f t="shared" si="57"/>
        <v>8.3726350092182943E-3</v>
      </c>
      <c r="CJ23" s="14">
        <f t="shared" si="58"/>
        <v>3.6651983203746158E-2</v>
      </c>
      <c r="CK23" s="14">
        <f t="shared" si="59"/>
        <v>0.43182287737302388</v>
      </c>
      <c r="CL23" s="14">
        <f t="shared" si="60"/>
        <v>1.5852939917932736</v>
      </c>
      <c r="CM23" s="14">
        <f t="shared" si="61"/>
        <v>1.7644098542103718E-4</v>
      </c>
      <c r="CO23" s="56">
        <f t="shared" si="62"/>
        <v>8.3726350092182943E-3</v>
      </c>
      <c r="CP23" s="56">
        <f t="shared" si="63"/>
        <v>3.6651983203746158E-2</v>
      </c>
      <c r="CQ23" s="56">
        <f t="shared" si="54"/>
        <v>0.43182287737302388</v>
      </c>
      <c r="CR23" s="56">
        <f t="shared" si="55"/>
        <v>1.5852939917932736</v>
      </c>
      <c r="CS23" s="56">
        <f t="shared" si="56"/>
        <v>1.7644098542103718E-4</v>
      </c>
      <c r="EA23" s="1">
        <f t="shared" si="52"/>
        <v>4.5999999999999996</v>
      </c>
      <c r="EB23" s="1" t="str">
        <f t="shared" si="3"/>
        <v>1.1483413577087-1.9374183092434i</v>
      </c>
      <c r="EC23" s="1" t="str">
        <f t="shared" si="4"/>
        <v>0.415881515994699-6.57058754473993i</v>
      </c>
      <c r="ED23" s="52" t="str">
        <f t="shared" si="5"/>
        <v>0.107864317906656-9.38099021085303i</v>
      </c>
      <c r="EE23" s="1" t="str">
        <f t="shared" si="6"/>
        <v>0.0657191297795839-9.9190424021132i</v>
      </c>
      <c r="EF23" s="1" t="str">
        <f t="shared" si="7"/>
        <v>8929.177814759-3144142.79870125i</v>
      </c>
      <c r="EH23" s="1" t="str">
        <f t="shared" si="8"/>
        <v>0.392814365901857-1.22351332238556i</v>
      </c>
      <c r="EI23" s="1" t="str">
        <f t="shared" si="0"/>
        <v>0.0143880322809015+1.65462371230367i</v>
      </c>
      <c r="EJ23" s="1" t="str">
        <f t="shared" si="9"/>
        <v>3.12588333706199-1.75648466780925i</v>
      </c>
      <c r="EL23" s="52">
        <f t="shared" si="53"/>
        <v>4.5999999999999996</v>
      </c>
      <c r="EM23" s="14">
        <f t="shared" si="10"/>
        <v>1.285024504090809</v>
      </c>
      <c r="EN23" s="14">
        <f t="shared" si="10"/>
        <v>1.6546862677832601</v>
      </c>
      <c r="EO23" s="14">
        <f t="shared" si="10"/>
        <v>3.5855801518263082</v>
      </c>
      <c r="EQ23" s="1" t="str">
        <f t="shared" si="11"/>
        <v>-1.04505472177494-1.89826822544517i</v>
      </c>
      <c r="ER23" s="14">
        <f t="shared" si="12"/>
        <v>4.5999999999999996</v>
      </c>
      <c r="ES23" s="2">
        <f t="shared" si="13"/>
        <v>2.1669244627441104</v>
      </c>
      <c r="EU23" s="1" t="str">
        <f t="shared" si="14"/>
        <v>2.04505472177494+1.89826822544517i</v>
      </c>
      <c r="EV23" s="52">
        <f t="shared" si="15"/>
        <v>4.5999999999999996</v>
      </c>
      <c r="EW23" s="2">
        <f t="shared" si="16"/>
        <v>2.7902815396996647</v>
      </c>
      <c r="EY23" s="128" t="s">
        <v>595</v>
      </c>
      <c r="EZ23" s="72"/>
      <c r="FA23" s="72"/>
      <c r="FB23" s="72"/>
      <c r="FC23" s="72"/>
      <c r="FD23" s="72"/>
      <c r="FF23" s="128" t="s">
        <v>595</v>
      </c>
      <c r="FG23" s="128"/>
      <c r="FH23" s="127"/>
      <c r="FI23" s="127"/>
      <c r="FJ23" s="72"/>
      <c r="FK23" s="72"/>
      <c r="FL23" s="72"/>
      <c r="FM23" s="72"/>
      <c r="FN23" s="72"/>
      <c r="FO23" s="72"/>
      <c r="FP23" s="127"/>
      <c r="FQ23" s="72"/>
      <c r="FR23" s="277" t="s">
        <v>607</v>
      </c>
      <c r="FS23" s="277"/>
      <c r="FT23" s="277"/>
      <c r="FU23" s="277"/>
      <c r="FV23" s="277"/>
      <c r="FW23" s="72"/>
      <c r="FX23" s="72"/>
      <c r="FY23" s="72" t="s">
        <v>611</v>
      </c>
      <c r="FZ23" s="72"/>
      <c r="GA23" s="72"/>
      <c r="GB23" s="72"/>
      <c r="GC23" s="72"/>
      <c r="GD23" s="72"/>
      <c r="GE23" s="72"/>
      <c r="GF23" s="72"/>
      <c r="GG23" s="72"/>
      <c r="GH23" s="72"/>
      <c r="GI23" s="72"/>
      <c r="GJ23" s="72"/>
      <c r="GK23" s="72"/>
      <c r="GL23" s="72"/>
      <c r="GM23" s="72"/>
      <c r="GN23" s="72"/>
      <c r="GO23" s="72"/>
      <c r="GP23" s="72"/>
      <c r="GQ23" s="72"/>
      <c r="GR23" s="72"/>
      <c r="GS23" s="72"/>
      <c r="GT23" s="72"/>
      <c r="GU23" s="72"/>
      <c r="GV23" s="72"/>
      <c r="GX23" s="155" t="s">
        <v>617</v>
      </c>
      <c r="GZ23" s="1" t="s">
        <v>618</v>
      </c>
      <c r="HB23" s="1"/>
      <c r="JO23" s="1"/>
      <c r="JS23" s="1"/>
    </row>
    <row r="24" spans="2:279" ht="18" customHeight="1" x14ac:dyDescent="0.25">
      <c r="B24" s="6"/>
      <c r="C24" s="259" t="s">
        <v>269</v>
      </c>
      <c r="D24" s="259"/>
      <c r="E24" s="259"/>
      <c r="F24" s="259"/>
      <c r="G24" s="259"/>
      <c r="H24" s="259"/>
      <c r="I24" s="259"/>
      <c r="J24" s="259"/>
      <c r="K24" s="259"/>
      <c r="L24" s="259"/>
      <c r="M24" s="259"/>
      <c r="N24" s="259"/>
      <c r="AP24" s="8"/>
      <c r="AR24" s="6"/>
      <c r="AY24" s="29" t="s">
        <v>27</v>
      </c>
      <c r="AZ24" s="204">
        <f>CA25/(1.414*$P$30)</f>
        <v>0.85556277754254362</v>
      </c>
      <c r="BA24" s="204"/>
      <c r="BB24" s="204"/>
      <c r="BC24" s="204"/>
      <c r="BD24" s="204"/>
      <c r="BE24" s="79"/>
      <c r="BF24" s="204">
        <f>(CJ40/1000)/(P30*1.414)</f>
        <v>0.92935361870485045</v>
      </c>
      <c r="BG24" s="204"/>
      <c r="BH24" s="204"/>
      <c r="BI24" s="204"/>
      <c r="BJ24" s="204"/>
      <c r="BK24" s="82"/>
      <c r="BL24" s="203">
        <f>IF(LEFT(C24,2)="SD",1.2,1.35)</f>
        <v>1.2</v>
      </c>
      <c r="BM24" s="203"/>
      <c r="BN24" s="203"/>
      <c r="BO24" s="203"/>
      <c r="BQ24" s="23"/>
      <c r="BR24" s="23"/>
      <c r="BS24" s="23"/>
      <c r="BT24" s="32"/>
      <c r="BU24" s="23"/>
      <c r="BV24" s="23"/>
      <c r="BW24" s="23"/>
      <c r="BX24" s="23"/>
      <c r="BY24" s="23"/>
      <c r="BZ24" s="32" t="s">
        <v>53</v>
      </c>
      <c r="CA24" s="211">
        <f>BR76/1000</f>
        <v>7.395318229860516</v>
      </c>
      <c r="CB24" s="211"/>
      <c r="CC24" s="211"/>
      <c r="CD24" s="24" t="s">
        <v>32</v>
      </c>
      <c r="CE24" s="24"/>
      <c r="CF24" s="8"/>
      <c r="CI24" s="14">
        <f t="shared" si="57"/>
        <v>5.2969971073945276E-3</v>
      </c>
      <c r="CJ24" s="14">
        <f t="shared" si="58"/>
        <v>2.1873445603347964E-2</v>
      </c>
      <c r="CK24" s="14">
        <f t="shared" si="59"/>
        <v>0.21225160255478223</v>
      </c>
      <c r="CL24" s="14">
        <f t="shared" si="60"/>
        <v>0.63146240708922041</v>
      </c>
      <c r="CM24" s="14">
        <f t="shared" si="61"/>
        <v>3.3728475425333501E-5</v>
      </c>
      <c r="CO24" s="56">
        <f t="shared" si="62"/>
        <v>5.2969971073945276E-3</v>
      </c>
      <c r="CP24" s="56">
        <f t="shared" si="63"/>
        <v>2.1873445603347964E-2</v>
      </c>
      <c r="CQ24" s="56">
        <f t="shared" si="54"/>
        <v>0.21225160255478223</v>
      </c>
      <c r="CR24" s="56">
        <f t="shared" si="55"/>
        <v>0.63146240708922041</v>
      </c>
      <c r="CS24" s="56">
        <f t="shared" si="56"/>
        <v>3.3728475425333501E-5</v>
      </c>
      <c r="EA24" s="1">
        <f t="shared" si="52"/>
        <v>4.8</v>
      </c>
      <c r="EB24" s="1" t="str">
        <f t="shared" si="3"/>
        <v>1.24702913451544-1.0340888067671i</v>
      </c>
      <c r="EC24" s="1" t="str">
        <f t="shared" si="4"/>
        <v>0.451609635759171-5.87991056620744i</v>
      </c>
      <c r="ED24" s="52" t="str">
        <f t="shared" si="5"/>
        <v>0.117036714757391-8.82193590064397i</v>
      </c>
      <c r="EE24" s="1" t="str">
        <f t="shared" si="6"/>
        <v>0.0712721467748474-9.38542203167573i</v>
      </c>
      <c r="EF24" s="1" t="str">
        <f t="shared" si="7"/>
        <v>9673.61232938985-2992042.98660225i</v>
      </c>
      <c r="EH24" s="1" t="str">
        <f t="shared" si="8"/>
        <v>0.574578666018784-0.917259329253876i</v>
      </c>
      <c r="EI24" s="1" t="str">
        <f t="shared" si="0"/>
        <v>0.0143880322809015+1.72656387370818i</v>
      </c>
      <c r="EJ24" s="1" t="str">
        <f t="shared" si="9"/>
        <v>1.72660279841975-0.710563571632484i</v>
      </c>
      <c r="EL24" s="52">
        <f t="shared" si="53"/>
        <v>4.8</v>
      </c>
      <c r="EM24" s="14">
        <f t="shared" si="10"/>
        <v>1.0823609936371488</v>
      </c>
      <c r="EN24" s="14">
        <f t="shared" si="10"/>
        <v>1.7266238228019191</v>
      </c>
      <c r="EO24" s="14">
        <f t="shared" si="10"/>
        <v>1.8670987689037837</v>
      </c>
      <c r="EQ24" s="1" t="str">
        <f t="shared" si="11"/>
        <v>-0.403186284293066-1.00338243031383i</v>
      </c>
      <c r="ER24" s="14">
        <f t="shared" si="12"/>
        <v>4.8</v>
      </c>
      <c r="ES24" s="2">
        <f t="shared" si="13"/>
        <v>1.0813581651351862</v>
      </c>
      <c r="EU24" s="1" t="str">
        <f t="shared" si="14"/>
        <v>1.40318628429307+1.00338243031383i</v>
      </c>
      <c r="EV24" s="52">
        <f t="shared" si="15"/>
        <v>4.8</v>
      </c>
      <c r="EW24" s="2">
        <f t="shared" si="16"/>
        <v>1.7250240722641177</v>
      </c>
      <c r="FG24" s="100" t="s">
        <v>499</v>
      </c>
      <c r="FQ24" s="72"/>
      <c r="FR24" s="277"/>
      <c r="FS24" s="277"/>
      <c r="FT24" s="277"/>
      <c r="FU24" s="277"/>
      <c r="FV24" s="277"/>
      <c r="GX24" s="155"/>
      <c r="GY24" s="2" t="s">
        <v>508</v>
      </c>
      <c r="GZ24" s="1" t="s">
        <v>39</v>
      </c>
      <c r="HB24" s="1"/>
      <c r="JO24" s="1"/>
      <c r="JS24" s="1"/>
    </row>
    <row r="25" spans="2:279" ht="18" customHeight="1" x14ac:dyDescent="0.25">
      <c r="B25" s="6"/>
      <c r="C25" s="24"/>
      <c r="D25" s="24"/>
      <c r="E25" s="24"/>
      <c r="F25" s="24"/>
      <c r="G25" s="24"/>
      <c r="H25" s="24"/>
      <c r="I25" s="24"/>
      <c r="J25" s="24"/>
      <c r="K25" s="24"/>
      <c r="L25" s="24"/>
      <c r="M25" s="24"/>
      <c r="N25" s="24"/>
      <c r="O25" s="24"/>
      <c r="P25" s="24"/>
      <c r="Q25" s="24"/>
      <c r="R25" s="24"/>
      <c r="S25" s="24"/>
      <c r="T25" s="24"/>
      <c r="Y25" s="24"/>
      <c r="Z25" s="240" t="s">
        <v>398</v>
      </c>
      <c r="AA25" s="240"/>
      <c r="AB25" s="240"/>
      <c r="AC25" s="240"/>
      <c r="AD25" s="24"/>
      <c r="AI25" s="24"/>
      <c r="AJ25" s="24"/>
      <c r="AK25" s="24"/>
      <c r="AL25" s="24"/>
      <c r="AM25" s="24"/>
      <c r="AN25" s="24"/>
      <c r="AO25" s="24"/>
      <c r="AP25" s="8"/>
      <c r="AR25" s="6"/>
      <c r="AY25" s="29" t="str">
        <f>"% "&amp;$AK$17&amp;"HZ AMPS:"</f>
        <v>% 60HZ AMPS:</v>
      </c>
      <c r="AZ25" s="212">
        <f>(CA26/U30)/(Z30/P30)</f>
        <v>0.92237363911524073</v>
      </c>
      <c r="BA25" s="212"/>
      <c r="BB25" s="212"/>
      <c r="BC25" s="212"/>
      <c r="BD25" s="212"/>
      <c r="BE25" s="80"/>
      <c r="BF25" s="212">
        <f>CJ44/(AE30/P30)</f>
        <v>0.98240520314325941</v>
      </c>
      <c r="BG25" s="212"/>
      <c r="BH25" s="212"/>
      <c r="BI25" s="212"/>
      <c r="BJ25" s="212"/>
      <c r="BK25" s="83"/>
      <c r="BL25" s="213">
        <v>1.35</v>
      </c>
      <c r="BM25" s="213"/>
      <c r="BN25" s="213"/>
      <c r="BO25" s="213"/>
      <c r="BQ25" s="23"/>
      <c r="BR25" s="23"/>
      <c r="BS25" s="23"/>
      <c r="BT25" s="23"/>
      <c r="BU25" s="23"/>
      <c r="BV25" s="23"/>
      <c r="BW25" s="23"/>
      <c r="BX25" s="23"/>
      <c r="BY25" s="23"/>
      <c r="BZ25" s="32" t="s">
        <v>54</v>
      </c>
      <c r="CA25" s="211">
        <f>(1.414*SUM(BR60:BS75))/1000</f>
        <v>12.049267043753762</v>
      </c>
      <c r="CB25" s="211"/>
      <c r="CC25" s="211"/>
      <c r="CD25" s="24" t="s">
        <v>32</v>
      </c>
      <c r="CE25" s="24"/>
      <c r="CF25" s="8"/>
      <c r="CI25" s="14">
        <f t="shared" si="57"/>
        <v>2.5540338832599715E-3</v>
      </c>
      <c r="CJ25" s="14">
        <f t="shared" si="58"/>
        <v>9.6848386453218353E-3</v>
      </c>
      <c r="CK25" s="14">
        <f t="shared" si="59"/>
        <v>7.5317775566094647E-2</v>
      </c>
      <c r="CL25" s="14">
        <f t="shared" si="60"/>
        <v>0.18484403888732151</v>
      </c>
      <c r="CM25" s="14">
        <f t="shared" si="61"/>
        <v>3.8671425720983952E-6</v>
      </c>
      <c r="CN25" s="2"/>
      <c r="CO25" s="56">
        <f t="shared" si="62"/>
        <v>2.5540338832599715E-3</v>
      </c>
      <c r="CP25" s="56">
        <f t="shared" si="63"/>
        <v>9.6848386453218353E-3</v>
      </c>
      <c r="CQ25" s="56">
        <f t="shared" si="54"/>
        <v>7.5317775566094647E-2</v>
      </c>
      <c r="CR25" s="56">
        <f t="shared" si="55"/>
        <v>0.18484403888732151</v>
      </c>
      <c r="CS25" s="56">
        <f t="shared" si="56"/>
        <v>3.8671425720983952E-6</v>
      </c>
      <c r="CT25" s="2"/>
      <c r="CU25" s="2"/>
      <c r="CV25" s="2"/>
      <c r="CW25" s="2"/>
      <c r="CX25" s="2"/>
      <c r="CY25" s="2"/>
      <c r="CZ25" s="2"/>
      <c r="EA25" s="1">
        <f t="shared" si="52"/>
        <v>5</v>
      </c>
      <c r="EB25" s="1" t="str">
        <f t="shared" si="3"/>
        <v>1.34967338033542-0.1713659994448i</v>
      </c>
      <c r="EC25" s="1" t="str">
        <f t="shared" si="4"/>
        <v>0.488812867435751-5.22796354231806i</v>
      </c>
      <c r="ED25" s="52" t="str">
        <f t="shared" si="5"/>
        <v>0.126594700856698-8.30081879329822i</v>
      </c>
      <c r="EE25" s="1" t="str">
        <f t="shared" si="6"/>
        <v>0.0770594121205526-8.88961845668734i</v>
      </c>
      <c r="EF25" s="1" t="str">
        <f t="shared" si="7"/>
        <v>10449.5640189602-2851253.82927846i</v>
      </c>
      <c r="EH25" s="1" t="str">
        <f t="shared" si="8"/>
        <v>0.906081982001469-0.622573378754056i</v>
      </c>
      <c r="EI25" s="1" t="str">
        <f t="shared" si="0"/>
        <v>0.0143880322809015+1.79850403511269i</v>
      </c>
      <c r="EJ25" s="1" t="str">
        <f t="shared" si="9"/>
        <v>1.32210833862666+0.0716229398681014i</v>
      </c>
      <c r="EL25" s="52">
        <f t="shared" si="53"/>
        <v>5</v>
      </c>
      <c r="EM25" s="14">
        <f t="shared" si="10"/>
        <v>1.0993553429355551</v>
      </c>
      <c r="EN25" s="14">
        <f t="shared" si="10"/>
        <v>1.7985615863210092</v>
      </c>
      <c r="EO25" s="14">
        <f t="shared" si="10"/>
        <v>1.3240469419856296</v>
      </c>
      <c r="EQ25" s="1" t="str">
        <f t="shared" si="11"/>
        <v>0.045701618968574-0.734749968005966i</v>
      </c>
      <c r="ER25" s="14">
        <f t="shared" si="12"/>
        <v>5</v>
      </c>
      <c r="ES25" s="2">
        <f t="shared" si="13"/>
        <v>0.73616992159495143</v>
      </c>
      <c r="EU25" s="1" t="str">
        <f t="shared" si="14"/>
        <v>0.954298381031428+0.734749968005968i</v>
      </c>
      <c r="EV25" s="52">
        <f t="shared" si="15"/>
        <v>5</v>
      </c>
      <c r="EW25" s="2">
        <f t="shared" si="16"/>
        <v>1.204384870182275</v>
      </c>
      <c r="EY25" s="96">
        <f>AZ310</f>
        <v>1</v>
      </c>
      <c r="EZ25" s="1" t="str">
        <f>IMSUM(IMDIV(IMPRODUCT(COMPLEX($W$40/100,$W$40*EY25),COMPLEX($AL$40,0)),IMSUM(COMPLEX($W$40/100,$W$40*EY25),COMPLEX($AL$40,0))),COMPLEX(0,-$L$40/EY25))</f>
        <v>0.0755111598403155-51.8360604392335i</v>
      </c>
      <c r="FA25" s="1" t="str">
        <f>IMSUM(IMDIV(IMPRODUCT(COMPLEX($W$41/100,$W$41*EY25),COMPLEX($AL$41,0)),IMSUM(COMPLEX($W$41/100,$W$41*EY25),COMPLEX($AL$41,0))),COMPLEX(0,-$L$41/EY25))</f>
        <v>0.0300636230983922-51.8343628869257i</v>
      </c>
      <c r="FB25" s="1" t="str">
        <f>IMSUM(IMDIV(IMPRODUCT(COMPLEX($W$42/100,$W$42*EY25),COMPLEX($AL$42,0)),IMSUM(COMPLEX($W$42/100,$W$42*EY25),COMPLEX($AL$42,0))),COMPLEX(0,-$L$42/EY25))</f>
        <v>0.00922516028629829-51.8337872320918i</v>
      </c>
      <c r="FC25" s="1" t="str">
        <f>IMSUM(IMDIV(IMPRODUCT(COMPLEX($W$43/100,$W$43*EY25),COMPLEX($AL$43,0)),IMSUM(COMPLEX($W$43/100,$W$43*EY25),COMPLEX($AL$43,0))),COMPLEX(0,-$L$43/EY25))</f>
        <v>0.0060505775203539-51.8337211702033i</v>
      </c>
      <c r="FD25" s="1" t="str">
        <f>IMSUM(IMDIV(IMPRODUCT(COMPLEX($W$44/100,$W$44*EY25),COMPLEX($AL$44,0)),IMSUM(COMPLEX($W$44/100,$W$44*EY25),COMPLEX($AL$44,0))),COMPLEX(0,-$L$44/EY25))</f>
        <v>936.795023234793-15550100.857501i</v>
      </c>
      <c r="FF25" s="96">
        <f>AZ311</f>
        <v>555.59013663016856</v>
      </c>
      <c r="FG25" s="96" t="str">
        <f>COMPLEX((($S$17/1.732)/($T$124))*COS(ATAN($AF$124)),(EY25*($S$17/1.732)/($T$124))*SIN(ATAN($AF$124)))</f>
        <v>0.0143880322809015+0.359700807022538i</v>
      </c>
      <c r="FH25" s="100" t="str">
        <f>IMPRODUCT(IMDIV("1",IMSUM(IMDIV("1",EZ25),IMDIV("1",FA25),IMDIV("1",FB25),IMDIV("1",FC25),IMDIV("1",FD25),IMDIV("1",FG25))),FF25)</f>
        <v>8.46021894984539+205.541918189338i</v>
      </c>
      <c r="FI25" s="98">
        <f>FI5</f>
        <v>7199.6791449222064</v>
      </c>
      <c r="FJ25" s="1" t="str">
        <f>IMDIV($FI$25,EZ25)</f>
        <v>0.202329583130776+138.892959954408i</v>
      </c>
      <c r="FK25" s="1" t="str">
        <f>IMDIV($FI$25,FA25)</f>
        <v>0.0805598752049726+138.897756662048i</v>
      </c>
      <c r="FL25" s="1" t="str">
        <f>IMDIV($FI$25,FB25)</f>
        <v>0.0247207228708572+138.89934155558i</v>
      </c>
      <c r="FM25" s="1" t="str">
        <f>IMDIV($FI$25,FC25)</f>
        <v>0.0162138141140089+138.899521089333i</v>
      </c>
      <c r="FN25" s="1" t="str">
        <f>IMDIV($FI$25,FD25)</f>
        <v>2.78927474976153E-08+0.0004629988695745i</v>
      </c>
      <c r="FO25" s="1" t="str">
        <f>IMSUM(FJ25:FN25)</f>
        <v>0.323824023213362+555.590042260239i</v>
      </c>
      <c r="FP25" s="100">
        <f>IMABS(FO25)</f>
        <v>555.59013663017106</v>
      </c>
      <c r="FR25" s="1">
        <f>IMABS(FJ25)</f>
        <v>138.89310732414691</v>
      </c>
      <c r="FS25" s="1">
        <f t="shared" ref="FS25" si="64">IMABS(FK25)</f>
        <v>138.897780024171</v>
      </c>
      <c r="FT25" s="1">
        <f t="shared" ref="FT25" si="65">IMABS(FL25)</f>
        <v>138.89934375542532</v>
      </c>
      <c r="FU25" s="1">
        <f t="shared" ref="FU25" si="66">IMABS(FM25)</f>
        <v>138.8995220356565</v>
      </c>
      <c r="FV25" s="1">
        <f t="shared" ref="FV25" si="67">IMABS(FN25)</f>
        <v>4.629988704146806E-4</v>
      </c>
      <c r="FX25" s="52">
        <f>EY25</f>
        <v>1</v>
      </c>
      <c r="FY25" s="1" t="str">
        <f>IMDIV(COMPLEX($AL$40,0),IMSUM(COMPLEX($W$40/100,$W$40*FX25),COMPLEX($AL$40,0)))</f>
        <v>0.999125920893625-0.0249719050460791i</v>
      </c>
      <c r="FZ25" s="1" t="str">
        <f>IMDIV(COMPLEX($W$40/100,$W$40*FX25),IMSUM(COMPLEX($W$40/100,$W$40*FX25),COMPLEX($AL$40,0)))</f>
        <v>0.000874079106375382+0.0249719050460791i</v>
      </c>
      <c r="GA25" s="121">
        <f>IMABS(FY25)*FR25</f>
        <v>138.81504147641357</v>
      </c>
      <c r="GB25" s="121">
        <f>IMABS(FZ25)*FR25</f>
        <v>3.4705495513744307</v>
      </c>
      <c r="GC25" s="13"/>
      <c r="GD25" s="1" t="str">
        <f>IMDIV(COMPLEX($AL$41,0),IMSUM(COMPLEX($W$41/100,$W$41*FX25),COMPLEX($AL$41,0)))</f>
        <v>0.999502855228517-0.0178450786507502i</v>
      </c>
      <c r="GE25" s="1" t="str">
        <f>IMDIV(COMPLEX($W$41/100,$W$41*FX25),IMSUM(COMPLEX($W$41/100,$W$41*FX25),COMPLEX($AL$41,0)))</f>
        <v>0.000497144771482774+0.0178450786507502i</v>
      </c>
      <c r="GF25" s="121">
        <f>IMABS(GD25)*FS25</f>
        <v>138.85085273526533</v>
      </c>
      <c r="GG25" s="121">
        <f>IMABS(GE25)*FS25</f>
        <v>2.4796034840062045</v>
      </c>
      <c r="GI25" s="1" t="str">
        <f>IMDIV(COMPLEX($AL$42,0),IMSUM(COMPLEX($W$42/100,$W$42*FX25),COMPLEX($AL$42,0)))</f>
        <v>0.999757304992575-0.011359587603597i</v>
      </c>
      <c r="GJ25" s="1" t="str">
        <f>IMDIV(COMPLEX($W$42/100,$W$42*FX25),IMSUM(COMPLEX($W$42/100,$W$42*FX25),COMPLEX($AL$42,0)))</f>
        <v>0.000242695007426395+0.011359587603597i</v>
      </c>
      <c r="GK25" s="123">
        <f>IMABS(GI25)*FT25</f>
        <v>138.87459726604251</v>
      </c>
      <c r="GL25" s="123">
        <f>IMABS(GJ25)*FT25</f>
        <v>1.578199327526373</v>
      </c>
      <c r="GN25" s="1" t="str">
        <f>IMDIV(COMPLEX($AL$43,0),IMSUM(COMPLEX($W$43/100,$W$43*FX25),COMPLEX($AL$43,0)))</f>
        <v>0.999811434985123-0.00961264719724183i</v>
      </c>
      <c r="GO25" s="1" t="str">
        <f>IMDIV(COMPLEX($W$43/100,$W$43*FX25),IMSUM(COMPLEX($W$43/100,$W$43*FX25),COMPLEX($AL$43,0)))</f>
        <v>0.000188565014875895+0.00961264719724184i</v>
      </c>
      <c r="GP25" s="123">
        <f>IMABS(GN25)*FU25</f>
        <v>138.87974887251792</v>
      </c>
      <c r="GQ25" s="123">
        <f>IMABS(GO25)*FU25</f>
        <v>1.3354489681381794</v>
      </c>
      <c r="GS25" s="1" t="str">
        <f>IMDIV(COMPLEX($AL$44,0),IMSUM(COMPLEX($W$44/100,$W$44*FX25),COMPLEX($AL$44,0)))</f>
        <v>0.999872425096853-0.00735146257699325i</v>
      </c>
      <c r="GT25" s="1" t="str">
        <f>IMDIV(COMPLEX($W$44/100,$W$44*FX25),IMSUM(COMPLEX($W$44/100,$W$44*FX25),COMPLEX($AL$44,0)))</f>
        <v>0.000127574903146778+0.00735146257699326i</v>
      </c>
      <c r="GU25" s="123">
        <f>IMABS(GS25)*FV25</f>
        <v>4.6295231596178927E-4</v>
      </c>
      <c r="GV25" s="123">
        <f>IMABS(GT25)*FV25</f>
        <v>3.4042313455803383E-6</v>
      </c>
      <c r="GY25" s="14">
        <f t="shared" ref="GY25:GY40" si="68">FX25</f>
        <v>1</v>
      </c>
      <c r="HB25" s="1"/>
      <c r="JO25" s="1"/>
      <c r="JS25" s="1"/>
    </row>
    <row r="26" spans="2:279" ht="18" customHeight="1" x14ac:dyDescent="0.25">
      <c r="B26" s="6"/>
      <c r="F26" s="186" t="s">
        <v>405</v>
      </c>
      <c r="G26" s="186"/>
      <c r="H26" s="186"/>
      <c r="I26" s="186"/>
      <c r="J26" s="186"/>
      <c r="K26" s="186"/>
      <c r="L26" s="186"/>
      <c r="M26" s="186"/>
      <c r="N26" s="186"/>
      <c r="O26" s="18"/>
      <c r="P26" s="240" t="s">
        <v>390</v>
      </c>
      <c r="Q26" s="240"/>
      <c r="R26" s="240"/>
      <c r="S26" s="240"/>
      <c r="U26" s="240" t="s">
        <v>391</v>
      </c>
      <c r="V26" s="240"/>
      <c r="W26" s="240"/>
      <c r="X26" s="240"/>
      <c r="Z26" s="240"/>
      <c r="AA26" s="240"/>
      <c r="AB26" s="240"/>
      <c r="AC26" s="240"/>
      <c r="AE26" s="240" t="s">
        <v>397</v>
      </c>
      <c r="AF26" s="240"/>
      <c r="AG26" s="240"/>
      <c r="AH26" s="240"/>
      <c r="AJ26" s="240" t="s">
        <v>487</v>
      </c>
      <c r="AK26" s="240"/>
      <c r="AL26" s="240"/>
      <c r="AM26" s="240"/>
      <c r="AN26" s="240"/>
      <c r="AO26" s="240"/>
      <c r="AP26" s="8"/>
      <c r="AR26" s="6"/>
      <c r="AY26" s="29" t="str">
        <f>"% "&amp;$AK$17&amp;"HZ KVAR:"</f>
        <v>% 60HZ KVAR:</v>
      </c>
      <c r="AZ26" s="202">
        <f>CA27/AE30</f>
        <v>0.58981407381226914</v>
      </c>
      <c r="BA26" s="202"/>
      <c r="BB26" s="202"/>
      <c r="BC26" s="202"/>
      <c r="BD26" s="202"/>
      <c r="BE26" s="81"/>
      <c r="BF26" s="202">
        <f>CP31/AE30</f>
        <v>0.70416092684052611</v>
      </c>
      <c r="BG26" s="202"/>
      <c r="BH26" s="202"/>
      <c r="BI26" s="202"/>
      <c r="BJ26" s="202"/>
      <c r="BK26" s="79"/>
      <c r="BL26" s="203">
        <v>1.35</v>
      </c>
      <c r="BM26" s="203"/>
      <c r="BN26" s="203"/>
      <c r="BO26" s="203"/>
      <c r="BQ26" s="23"/>
      <c r="BR26" s="23"/>
      <c r="BS26" s="23"/>
      <c r="BT26" s="23"/>
      <c r="BU26" s="23"/>
      <c r="BV26" s="23"/>
      <c r="BW26" s="23"/>
      <c r="BX26" s="23"/>
      <c r="BY26" s="23"/>
      <c r="BZ26" s="32" t="s">
        <v>56</v>
      </c>
      <c r="CA26" s="248">
        <f>AB90</f>
        <v>173.61998970051806</v>
      </c>
      <c r="CB26" s="248"/>
      <c r="CC26" s="248"/>
      <c r="CD26" s="24" t="s">
        <v>39</v>
      </c>
      <c r="CE26" s="24"/>
      <c r="CF26" s="27"/>
      <c r="CH26" s="2"/>
      <c r="CI26" s="14">
        <f t="shared" si="57"/>
        <v>6.4446362741151669E-4</v>
      </c>
      <c r="CJ26" s="14">
        <f t="shared" si="58"/>
        <v>2.3621103811013139E-3</v>
      </c>
      <c r="CK26" s="14">
        <f t="shared" si="59"/>
        <v>1.7106537246436022E-2</v>
      </c>
      <c r="CL26" s="14">
        <f t="shared" si="60"/>
        <v>3.9863554431548008E-2</v>
      </c>
      <c r="CM26" s="14">
        <f t="shared" si="61"/>
        <v>6.8943567986997415E-7</v>
      </c>
      <c r="CN26" s="2"/>
      <c r="CO26" s="56">
        <f t="shared" si="62"/>
        <v>6.4446362741151669E-4</v>
      </c>
      <c r="CP26" s="56">
        <f t="shared" si="63"/>
        <v>2.3621103811013139E-3</v>
      </c>
      <c r="CQ26" s="56">
        <f t="shared" si="54"/>
        <v>1.7106537246436022E-2</v>
      </c>
      <c r="CR26" s="56">
        <f t="shared" si="55"/>
        <v>3.9863554431548008E-2</v>
      </c>
      <c r="CS26" s="56">
        <f t="shared" si="56"/>
        <v>6.8943567986997415E-7</v>
      </c>
      <c r="CT26" s="2"/>
      <c r="CU26" s="2"/>
      <c r="CV26" s="2"/>
      <c r="CW26" s="2"/>
      <c r="CX26" s="2"/>
      <c r="CY26" s="2"/>
      <c r="CZ26" s="2"/>
      <c r="DA26" s="2"/>
      <c r="DB26" s="2"/>
      <c r="DC26" s="2"/>
      <c r="DD26" s="2"/>
      <c r="EA26" s="1">
        <f t="shared" si="52"/>
        <v>5.2</v>
      </c>
      <c r="EB26" s="1" t="str">
        <f t="shared" si="3"/>
        <v>1.45624467049928+0.655209100429101i</v>
      </c>
      <c r="EC26" s="1" t="str">
        <f t="shared" si="4"/>
        <v>0.527485647957749-4.6103375527987i</v>
      </c>
      <c r="ED26" s="52" t="str">
        <f t="shared" si="5"/>
        <v>0.136537689391412-7.81327145106747i</v>
      </c>
      <c r="EE26" s="1" t="str">
        <f t="shared" si="6"/>
        <v>0.0830806707412401-8.42727330274975i</v>
      </c>
      <c r="EF26" s="1" t="str">
        <f t="shared" si="7"/>
        <v>11257.0128276455-2720470.77575443i</v>
      </c>
      <c r="EH26" s="1" t="str">
        <f t="shared" si="8"/>
        <v>1.49634062415591-0.508990781243079i</v>
      </c>
      <c r="EI26" s="1" t="str">
        <f t="shared" si="0"/>
        <v>0.0143880322809015+1.8704441965172i</v>
      </c>
      <c r="EJ26" s="1" t="str">
        <f t="shared" si="9"/>
        <v>1.27453462820066+0.699184948749535i</v>
      </c>
      <c r="EL26" s="52">
        <f t="shared" si="53"/>
        <v>5.2</v>
      </c>
      <c r="EM26" s="14">
        <f t="shared" si="10"/>
        <v>1.580540059248654</v>
      </c>
      <c r="EN26" s="14">
        <f t="shared" si="10"/>
        <v>1.870499534284302</v>
      </c>
      <c r="EO26" s="14">
        <f t="shared" si="10"/>
        <v>1.4537187179920621</v>
      </c>
      <c r="EQ26" s="1" t="str">
        <f t="shared" si="11"/>
        <v>0.37902606934812-0.67849187441284i</v>
      </c>
      <c r="ER26" s="14">
        <f t="shared" si="12"/>
        <v>5.2</v>
      </c>
      <c r="ES26" s="2">
        <f t="shared" si="13"/>
        <v>0.77718207962467512</v>
      </c>
      <c r="EU26" s="1" t="str">
        <f t="shared" si="14"/>
        <v>0.620973930651881+0.67849187441284i</v>
      </c>
      <c r="EV26" s="52">
        <f t="shared" si="15"/>
        <v>5.2</v>
      </c>
      <c r="EW26" s="2">
        <f t="shared" si="16"/>
        <v>0.91976075486699049</v>
      </c>
      <c r="EY26" s="96">
        <f>BB310</f>
        <v>2</v>
      </c>
      <c r="EZ26" s="1" t="str">
        <f t="shared" ref="EZ26:EZ40" si="69">IMSUM(IMDIV(IMPRODUCT(COMPLEX($W$40/100,$W$40*EY26),COMPLEX($AL$40,0)),IMSUM(COMPLEX($W$40/100,$W$40*EY26),COMPLEX($AL$40,0))),COMPLEX(0,-$L$40/EY26))</f>
        <v>0.236865607155683-22.6901345010728i</v>
      </c>
      <c r="FA26" s="1" t="str">
        <f t="shared" ref="FA26:FA40" si="70">IMSUM(IMDIV(IMPRODUCT(COMPLEX($W$41/100,$W$41*EY26),COMPLEX($AL$41,0)),IMSUM(COMPLEX($W$41/100,$W$41*EY26),COMPLEX($AL$41,0))),COMPLEX(0,-$L$41/EY26))</f>
        <v>0.087790650408609-24.3005360436402i</v>
      </c>
      <c r="FB26" s="1" t="str">
        <f t="shared" ref="FB26:FB40" si="71">IMSUM(IMDIV(IMPRODUCT(COMPLEX($W$42/100,$W$42*EY26),COMPLEX($AL$42,0)),IMSUM(COMPLEX($W$42/100,$W$42*EY26),COMPLEX($AL$42,0))),COMPLEX(0,-$L$42/EY26))</f>
        <v>0.0239361082874467-25.2695383492554i</v>
      </c>
      <c r="FC26" s="1" t="str">
        <f t="shared" ref="FC26:FC40" si="72">IMSUM(IMDIV(IMPRODUCT(COMPLEX($W$43/100,$W$43*EY26),COMPLEX($AL$43,0)),IMSUM(COMPLEX($W$43/100,$W$43*EY26),COMPLEX($AL$43,0))),COMPLEX(0,-$L$43/EY26))</f>
        <v>0.0149439057237-25.4543630518866i</v>
      </c>
      <c r="FD26" s="1" t="str">
        <f t="shared" ref="FD26:FD40" si="73">IMSUM(IMDIV(IMPRODUCT(COMPLEX($W$44/100,$W$44*EY26),COMPLEX($AL$44,0)),IMSUM(COMPLEX($W$44/100,$W$44*EY26),COMPLEX($AL$44,0))),COMPLEX(0,-$L$44/EY26))</f>
        <v>2127.24073405743-7694094.16818598i</v>
      </c>
      <c r="FF26" s="96">
        <f>BB311</f>
        <v>1</v>
      </c>
      <c r="FG26" s="96" t="str">
        <f t="shared" ref="FG26:FG40" si="74">COMPLEX((($S$17/1.732)/($T$124))*COS(ATAN($AF$124)),(EY26*($S$17/1.732)/($T$124))*SIN(ATAN($AF$124)))</f>
        <v>0.0143880322809015+0.719401614045076i</v>
      </c>
      <c r="FH26" s="100" t="str">
        <f t="shared" ref="FH26:FH40" si="75">IMPRODUCT(IMDIV("1",IMSUM(IMDIV("1",EZ26),IMDIV("1",FA26),IMDIV("1",FB26),IMDIV("1",FC26),IMDIV("1",FD26),IMDIV("1",FG26))),FF26)</f>
        <v>0.0189418361506302+0.815612897940199i</v>
      </c>
      <c r="FI26" s="98">
        <f t="shared" ref="FI26:FI40" si="76">IMABS(FH26)</f>
        <v>0.81583282138141933</v>
      </c>
      <c r="FJ26" s="1" t="str">
        <f>IMDIV($FI$26,EZ26)</f>
        <v>0.000375302721331739+0.0359514803685229i</v>
      </c>
      <c r="FK26" s="1" t="str">
        <f>IMDIV($FI$26,FA26)</f>
        <v>0.00012128638839189+0.033572188370882i</v>
      </c>
      <c r="FL26" s="1" t="str">
        <f>IMDIV($FI$26,FB26)</f>
        <v>0.0000305815651635705+0.0322851995988998i</v>
      </c>
      <c r="FM26" s="1" t="str">
        <f>IMDIV($FI$26,FC26)</f>
        <v>0.0000188165792708507+0.0320507937490019i</v>
      </c>
      <c r="FN26" s="1" t="str">
        <f>IMDIV($FI$26,FD26)</f>
        <v>2.93158699183356E-11+1.0603363322389E-07i</v>
      </c>
      <c r="FO26" s="1" t="str">
        <f t="shared" ref="FO26:FO40" si="77">IMSUM(FJ26:FN26)</f>
        <v>0.00054598728347392+0.13385976812094i</v>
      </c>
      <c r="FP26" s="100">
        <f t="shared" ref="FP26:FP40" si="78">IMABS(FO26)</f>
        <v>0.13386088160289972</v>
      </c>
      <c r="FR26" s="1">
        <f t="shared" ref="FR26:FR40" si="79">IMABS(FJ26)</f>
        <v>3.5953439234945608E-2</v>
      </c>
      <c r="FS26" s="1">
        <f t="shared" ref="FS26:FS40" si="80">IMABS(FK26)</f>
        <v>3.3572407456093967E-2</v>
      </c>
      <c r="FT26" s="1">
        <f t="shared" ref="FT26:FT40" si="81">IMABS(FL26)</f>
        <v>3.2285214082810841E-2</v>
      </c>
      <c r="FU26" s="1">
        <f t="shared" ref="FU26:FU40" si="82">IMABS(FM26)</f>
        <v>3.2050799272478607E-2</v>
      </c>
      <c r="FV26" s="1">
        <f t="shared" ref="FV26:FV40" si="83">IMABS(FN26)</f>
        <v>1.0603363727647308E-7</v>
      </c>
      <c r="FX26" s="52">
        <f t="shared" ref="FX26:FX40" si="84">EY26</f>
        <v>2</v>
      </c>
      <c r="FY26" s="1" t="str">
        <f t="shared" ref="FY26:FY40" si="85">IMDIV(COMPLEX($AL$40,0),IMSUM(COMPLEX($W$40/100,$W$40*FX26),COMPLEX($AL$40,0)))</f>
        <v>0.99725816318182-0.0498504455477041i</v>
      </c>
      <c r="FZ26" s="1" t="str">
        <f t="shared" ref="FZ26:FZ40" si="86">IMDIV(COMPLEX($W$40/100,$W$40*FX26),IMSUM(COMPLEX($W$40/100,$W$40*FX26),COMPLEX($AL$40,0)))</f>
        <v>0.00274183681818066+0.0498504455477041i</v>
      </c>
      <c r="GA26" s="121">
        <f t="shared" ref="GA26:GA40" si="87">IMABS(FY26)*FR26</f>
        <v>3.5899628997879796E-2</v>
      </c>
      <c r="GB26" s="121">
        <f t="shared" ref="GB26:GB40" si="88">IMABS(FZ26)*FR26</f>
        <v>1.7950038870218829E-3</v>
      </c>
      <c r="GD26" s="1" t="str">
        <f t="shared" ref="GD26:GD40" si="89">IMDIV(COMPLEX($AL$41,0),IMSUM(COMPLEX($W$41/100,$W$41*FX26),COMPLEX($AL$41,0)))</f>
        <v>0.998548256718997-0.0356560705845026i</v>
      </c>
      <c r="GE26" s="1" t="str">
        <f t="shared" ref="GE26:GE40" si="90">IMDIV(COMPLEX($W$41/100,$W$41*FX26),IMSUM(COMPLEX($W$41/100,$W$41*FX26),COMPLEX($AL$41,0)))</f>
        <v>0.00145174328100349+0.0356560705845026i</v>
      </c>
      <c r="GF26" s="121">
        <f t="shared" ref="GF26:GF40" si="91">IMABS(GD26)*FS26</f>
        <v>3.3545034388057109E-2</v>
      </c>
      <c r="GG26" s="121">
        <f t="shared" ref="GG26:GG40" si="92">IMABS(GE26)*FS26</f>
        <v>1.1980519177987937E-3</v>
      </c>
      <c r="GI26" s="1" t="str">
        <f t="shared" ref="GI26:GI40" si="93">IMDIV(COMPLEX($AL$42,0),IMSUM(COMPLEX($W$42/100,$W$42*FX26),COMPLEX($AL$42,0)))</f>
        <v>0.999370290184855-0.0227103804155177i</v>
      </c>
      <c r="GJ26" s="1" t="str">
        <f t="shared" ref="GJ26:GJ40" si="94">IMDIV(COMPLEX($W$42/100,$W$42*FX26),IMSUM(COMPLEX($W$42/100,$W$42*FX26),COMPLEX($AL$42,0)))</f>
        <v>0.000629709815146409+0.0227103804155177i</v>
      </c>
      <c r="GK26" s="123">
        <f t="shared" ref="GK26:GK40" si="95">IMABS(GI26)*FT26</f>
        <v>3.2273213670704591E-2</v>
      </c>
      <c r="GL26" s="123">
        <f t="shared" ref="GL26:GL40" si="96">IMABS(GJ26)*FT26</f>
        <v>7.3349129734895933E-4</v>
      </c>
      <c r="GN26" s="1" t="str">
        <f t="shared" ref="GN26:GN40" si="97">IMDIV(COMPLEX($AL$43,0),IMSUM(COMPLEX($W$43/100,$W$43*FX26),COMPLEX($AL$43,0)))</f>
        <v>0.99953427622477-0.0192199649307715i</v>
      </c>
      <c r="GO26" s="1" t="str">
        <f t="shared" ref="GO26:GO40" si="98">IMDIV(COMPLEX($W$43/100,$W$43*FX26),IMSUM(COMPLEX($W$43/100,$W$43*FX26),COMPLEX($AL$43,0)))</f>
        <v>0.000465723775228756+0.0192199649307715i</v>
      </c>
      <c r="GP26" s="123">
        <f t="shared" ref="GP26:GP40" si="99">IMABS(GN26)*FU26</f>
        <v>3.2041794559822659E-2</v>
      </c>
      <c r="GQ26" s="123">
        <f t="shared" ref="GQ26:GQ40" si="100">IMABS(GO26)*FU26</f>
        <v>6.1619605922599017E-4</v>
      </c>
      <c r="GS26" s="1" t="str">
        <f t="shared" ref="GS26:GS40" si="101">IMDIV(COMPLEX($AL$44,0),IMSUM(COMPLEX($W$44/100,$W$44*FX26),COMPLEX($AL$44,0)))</f>
        <v>0.999710307459063-0.0147005412463651i</v>
      </c>
      <c r="GT26" s="1" t="str">
        <f t="shared" ref="GT26:GT40" si="102">IMDIV(COMPLEX($W$44/100,$W$44*FX26),IMSUM(COMPLEX($W$44/100,$W$44*FX26),COMPLEX($AL$44,0)))</f>
        <v>0.000289692540936183+0.0147005412463651i</v>
      </c>
      <c r="GU26" s="123">
        <f t="shared" ref="GU26:GU40" si="103">IMABS(GS26)*FV26</f>
        <v>1.0601438007123346E-7</v>
      </c>
      <c r="GV26" s="123">
        <f t="shared" ref="GV26:GV40" si="104">IMABS(GT26)*FV26</f>
        <v>1.5590544888632591E-9</v>
      </c>
      <c r="GX26" s="1" t="str">
        <f>IMDIV(FH26,FG26)</f>
        <v>1.13381100702495-0.00365376825655704i</v>
      </c>
      <c r="GY26" s="14">
        <f t="shared" si="68"/>
        <v>2</v>
      </c>
      <c r="GZ26" s="52">
        <f>IMABS(GX26)</f>
        <v>1.1338168942441296</v>
      </c>
      <c r="HB26" s="1"/>
      <c r="JO26" s="1"/>
      <c r="JS26" s="1"/>
    </row>
    <row r="27" spans="2:279" ht="18" customHeight="1" x14ac:dyDescent="0.25">
      <c r="B27" s="6"/>
      <c r="F27" s="240" t="s">
        <v>299</v>
      </c>
      <c r="G27" s="240"/>
      <c r="H27" s="240"/>
      <c r="I27" s="240"/>
      <c r="J27" s="18"/>
      <c r="K27" s="240" t="s">
        <v>300</v>
      </c>
      <c r="L27" s="240"/>
      <c r="M27" s="240"/>
      <c r="N27" s="240"/>
      <c r="O27" s="18"/>
      <c r="P27" s="240"/>
      <c r="Q27" s="240"/>
      <c r="R27" s="240"/>
      <c r="S27" s="240"/>
      <c r="U27" s="240"/>
      <c r="V27" s="240"/>
      <c r="W27" s="240"/>
      <c r="X27" s="240"/>
      <c r="Z27" s="240"/>
      <c r="AA27" s="240"/>
      <c r="AB27" s="240"/>
      <c r="AC27" s="240"/>
      <c r="AE27" s="240"/>
      <c r="AF27" s="240"/>
      <c r="AG27" s="240"/>
      <c r="AH27" s="240"/>
      <c r="AJ27" s="240"/>
      <c r="AK27" s="240"/>
      <c r="AL27" s="240"/>
      <c r="AM27" s="240"/>
      <c r="AN27" s="240"/>
      <c r="AO27" s="240"/>
      <c r="AP27" s="8"/>
      <c r="AR27" s="6"/>
      <c r="BQ27" s="23"/>
      <c r="BR27" s="23"/>
      <c r="BS27" s="23"/>
      <c r="BT27" s="23"/>
      <c r="BU27" s="23"/>
      <c r="BV27" s="23"/>
      <c r="BW27" s="23"/>
      <c r="BX27" s="23"/>
      <c r="BY27" s="23"/>
      <c r="BZ27" s="32" t="s">
        <v>58</v>
      </c>
      <c r="CA27" s="248">
        <f>CJ31</f>
        <v>1105.7763908415611</v>
      </c>
      <c r="CB27" s="248"/>
      <c r="CC27" s="248"/>
      <c r="CD27" s="24" t="s">
        <v>37</v>
      </c>
      <c r="CE27" s="24"/>
      <c r="CF27" s="8"/>
      <c r="CH27" s="2"/>
      <c r="CI27" s="14">
        <f t="shared" si="57"/>
        <v>4.1136977535747064E-4</v>
      </c>
      <c r="CJ27" s="14">
        <f t="shared" si="58"/>
        <v>1.4220941798655194E-3</v>
      </c>
      <c r="CK27" s="14">
        <f t="shared" si="59"/>
        <v>9.2665600526255221E-3</v>
      </c>
      <c r="CL27" s="14">
        <f t="shared" si="60"/>
        <v>2.0183896083694759E-2</v>
      </c>
      <c r="CM27" s="14">
        <f t="shared" si="61"/>
        <v>2.8141831165626064E-7</v>
      </c>
      <c r="CN27" s="2"/>
      <c r="CO27" s="56">
        <f t="shared" si="62"/>
        <v>4.1136977535747064E-4</v>
      </c>
      <c r="CP27" s="56">
        <f t="shared" si="63"/>
        <v>1.4220941798655194E-3</v>
      </c>
      <c r="CQ27" s="56">
        <f t="shared" si="54"/>
        <v>9.2665600526255221E-3</v>
      </c>
      <c r="CR27" s="56">
        <f t="shared" si="55"/>
        <v>2.0183896083694759E-2</v>
      </c>
      <c r="CS27" s="56">
        <f t="shared" si="56"/>
        <v>2.8141831165626064E-7</v>
      </c>
      <c r="CT27" s="2"/>
      <c r="CU27" s="2"/>
      <c r="CV27" s="2"/>
      <c r="CW27" s="2"/>
      <c r="CX27" s="2"/>
      <c r="CY27" s="2"/>
      <c r="CZ27" s="2"/>
      <c r="DA27" s="2"/>
      <c r="DB27" s="2"/>
      <c r="DC27" s="2"/>
      <c r="DD27" s="2"/>
      <c r="EA27" s="1">
        <f t="shared" si="52"/>
        <v>5.4</v>
      </c>
      <c r="EB27" s="1" t="str">
        <f t="shared" si="3"/>
        <v>1.56671256829812+1.44942739132648i</v>
      </c>
      <c r="EC27" s="1" t="str">
        <f t="shared" si="4"/>
        <v>0.567622205534397-4.02327901568243i</v>
      </c>
      <c r="ED27" s="52" t="str">
        <f t="shared" si="5"/>
        <v>0.146865070383282-7.35557384156598i</v>
      </c>
      <c r="EE27" s="1" t="str">
        <f t="shared" si="6"/>
        <v>0.089335657395162-7.99467407637489i</v>
      </c>
      <c r="EF27" s="1" t="str">
        <f t="shared" si="7"/>
        <v>12095.9378922881-2598582.56220019i</v>
      </c>
      <c r="EH27" s="1" t="str">
        <f t="shared" si="8"/>
        <v>2.11254864532572-1.03022232657022i</v>
      </c>
      <c r="EI27" s="1" t="str">
        <f t="shared" si="0"/>
        <v>0.0143880322809015+1.94238435792171i</v>
      </c>
      <c r="EJ27" s="1" t="str">
        <f t="shared" si="9"/>
        <v>1.50306486571855+1.27766844184061i</v>
      </c>
      <c r="EL27" s="52">
        <f t="shared" si="53"/>
        <v>5.4</v>
      </c>
      <c r="EM27" s="14">
        <f t="shared" si="10"/>
        <v>2.350365890884075</v>
      </c>
      <c r="EN27" s="14">
        <f t="shared" si="10"/>
        <v>1.9424376461991901</v>
      </c>
      <c r="EO27" s="14">
        <f t="shared" si="10"/>
        <v>1.9727241666875108</v>
      </c>
      <c r="EQ27" s="1" t="str">
        <f t="shared" si="11"/>
        <v>0.66347916060571-0.768909973995089i</v>
      </c>
      <c r="ER27" s="14">
        <f t="shared" si="12"/>
        <v>5.4</v>
      </c>
      <c r="ES27" s="2">
        <f t="shared" si="13"/>
        <v>1.0155920168390384</v>
      </c>
      <c r="EU27" s="1" t="str">
        <f t="shared" si="14"/>
        <v>0.33652083939429+0.768909973995088i</v>
      </c>
      <c r="EV27" s="52">
        <f t="shared" si="15"/>
        <v>5.4</v>
      </c>
      <c r="EW27" s="2">
        <f t="shared" si="16"/>
        <v>0.83932641055537172</v>
      </c>
      <c r="EY27" s="96">
        <f>BD310</f>
        <v>3</v>
      </c>
      <c r="EZ27" s="1" t="str">
        <f t="shared" si="69"/>
        <v>0.504453251366083-11.5580291190959i</v>
      </c>
      <c r="FA27" s="1" t="str">
        <f t="shared" si="70"/>
        <v>0.183757714049653-14.4086522842485i</v>
      </c>
      <c r="FB27" s="1" t="str">
        <f t="shared" si="71"/>
        <v>0.0484290613336817-16.1278173003039i</v>
      </c>
      <c r="FC27" s="1" t="str">
        <f t="shared" si="72"/>
        <v>0.0297551674395265-16.4560689242367i</v>
      </c>
      <c r="FD27" s="1" t="str">
        <f t="shared" si="73"/>
        <v>4110.45929775874-5039483.59317432i</v>
      </c>
      <c r="FF27" s="96">
        <f>BD311</f>
        <v>1</v>
      </c>
      <c r="FG27" s="96" t="str">
        <f t="shared" si="74"/>
        <v>0.0143880322809015+1.07910242106761i</v>
      </c>
      <c r="FH27" s="100" t="str">
        <f t="shared" si="75"/>
        <v>0.0411779721917478+1.54208050601303i</v>
      </c>
      <c r="FI27" s="98">
        <f t="shared" si="76"/>
        <v>1.5426301930207471</v>
      </c>
      <c r="FJ27" s="1" t="str">
        <f>IMDIV($FI$27,EZ27)</f>
        <v>0.00581418276867341+0.133214512072409i</v>
      </c>
      <c r="FK27" s="1" t="str">
        <f>IMDIV($FI$27,FA27)</f>
        <v>0.00136518043126139+0.107045357203294i</v>
      </c>
      <c r="FL27" s="1" t="str">
        <f>IMDIV($FI$27,FB27)</f>
        <v>0.000287218740090574+0.0956494145836895i</v>
      </c>
      <c r="FM27" s="1" t="str">
        <f>IMDIV($FI$27,FC27)</f>
        <v>0.000169500354382732+0.0937420204431281i</v>
      </c>
      <c r="FN27" s="1" t="str">
        <f>IMDIV($FI$27,FD27)</f>
        <v>2.49677736933783E-10+3.06108580017995E-07i</v>
      </c>
      <c r="FO27" s="1" t="str">
        <f t="shared" si="77"/>
        <v>0.00763608254408584+0.429651610411101i</v>
      </c>
      <c r="FP27" s="100">
        <f t="shared" si="78"/>
        <v>0.42971946207435457</v>
      </c>
      <c r="FR27" s="1">
        <f t="shared" si="79"/>
        <v>0.13334133248155855</v>
      </c>
      <c r="FS27" s="1">
        <f t="shared" si="80"/>
        <v>0.10705406211999013</v>
      </c>
      <c r="FT27" s="1">
        <f t="shared" si="81"/>
        <v>9.5649845816954543E-2</v>
      </c>
      <c r="FU27" s="1">
        <f t="shared" si="82"/>
        <v>9.3742173684686778E-2</v>
      </c>
      <c r="FV27" s="1">
        <f t="shared" si="83"/>
        <v>3.0610868184291273E-7</v>
      </c>
      <c r="FX27" s="52">
        <f t="shared" si="84"/>
        <v>3</v>
      </c>
      <c r="FY27" s="1" t="str">
        <f t="shared" si="85"/>
        <v>0.994160703555678-0.0745434169124478i</v>
      </c>
      <c r="FZ27" s="1" t="str">
        <f t="shared" si="86"/>
        <v>0.0058392964443225+0.0745434169124477i</v>
      </c>
      <c r="GA27" s="121">
        <f t="shared" si="87"/>
        <v>0.13293483689185434</v>
      </c>
      <c r="GB27" s="121">
        <f t="shared" si="88"/>
        <v>9.9701681562505817E-3</v>
      </c>
      <c r="GD27" s="1" t="str">
        <f t="shared" si="89"/>
        <v>0.996961304814778-0.0533991057747604i</v>
      </c>
      <c r="GE27" s="1" t="str">
        <f t="shared" si="90"/>
        <v>0.00303869518522195+0.0533991057747604i</v>
      </c>
      <c r="GF27" s="121">
        <f t="shared" si="91"/>
        <v>0.1068817434508039</v>
      </c>
      <c r="GG27" s="121">
        <f t="shared" si="92"/>
        <v>5.7258394948188204E-3</v>
      </c>
      <c r="GI27" s="1" t="str">
        <f t="shared" si="93"/>
        <v>0.998725930928541-0.0340436063263904i</v>
      </c>
      <c r="GJ27" s="1" t="str">
        <f t="shared" si="94"/>
        <v>0.00127406907145973+0.0340436063263904i</v>
      </c>
      <c r="GK27" s="123">
        <f t="shared" si="95"/>
        <v>9.5583463417157455E-2</v>
      </c>
      <c r="GL27" s="123">
        <f t="shared" si="96"/>
        <v>3.2585452648269367E-3</v>
      </c>
      <c r="GN27" s="1" t="str">
        <f t="shared" si="97"/>
        <v>0.999072686273004-0.0288166335815692i</v>
      </c>
      <c r="GO27" s="1" t="str">
        <f t="shared" si="98"/>
        <v>0.000927313726994591+0.0288166335815692i</v>
      </c>
      <c r="GP27" s="123">
        <f t="shared" si="99"/>
        <v>9.369419498121799E-2</v>
      </c>
      <c r="GQ27" s="123">
        <f t="shared" si="100"/>
        <v>2.702732177973391E-3</v>
      </c>
      <c r="GS27" s="1" t="str">
        <f t="shared" si="101"/>
        <v>0.999440228188884-0.0220448546766168i</v>
      </c>
      <c r="GT27" s="1" t="str">
        <f t="shared" si="102"/>
        <v>0.000559771811115731+0.0220448546766168i</v>
      </c>
      <c r="GU27" s="123">
        <f t="shared" si="103"/>
        <v>3.060117441192885E-7</v>
      </c>
      <c r="GV27" s="123">
        <f t="shared" si="104"/>
        <v>6.7502965627899505E-9</v>
      </c>
      <c r="GX27" s="1" t="str">
        <f t="shared" ref="GX27:GX40" si="105">IMDIV(FH27,FG27)</f>
        <v>1.42929467956323-0.0191022036470621i</v>
      </c>
      <c r="GY27" s="14">
        <f t="shared" si="68"/>
        <v>3</v>
      </c>
      <c r="GZ27" s="52">
        <f t="shared" ref="GZ27:GZ40" si="106">IMABS(GX27)</f>
        <v>1.4294223222028994</v>
      </c>
      <c r="HB27" s="1"/>
      <c r="JO27" s="1"/>
      <c r="JS27" s="1"/>
    </row>
    <row r="28" spans="2:279" ht="18" customHeight="1" x14ac:dyDescent="0.25">
      <c r="B28" s="6"/>
      <c r="F28" s="252"/>
      <c r="G28" s="252"/>
      <c r="H28" s="252"/>
      <c r="I28" s="252"/>
      <c r="J28" s="18"/>
      <c r="K28" s="252"/>
      <c r="L28" s="252"/>
      <c r="M28" s="252"/>
      <c r="N28" s="252"/>
      <c r="O28" s="18"/>
      <c r="P28" s="252"/>
      <c r="Q28" s="252"/>
      <c r="R28" s="252"/>
      <c r="S28" s="252"/>
      <c r="U28" s="252"/>
      <c r="V28" s="252"/>
      <c r="W28" s="252"/>
      <c r="X28" s="252"/>
      <c r="Z28" s="252"/>
      <c r="AA28" s="252"/>
      <c r="AB28" s="252"/>
      <c r="AC28" s="252"/>
      <c r="AE28" s="252"/>
      <c r="AF28" s="252"/>
      <c r="AG28" s="252"/>
      <c r="AH28" s="252"/>
      <c r="AJ28" s="252"/>
      <c r="AK28" s="252"/>
      <c r="AL28" s="252"/>
      <c r="AM28" s="252"/>
      <c r="AN28" s="252"/>
      <c r="AO28" s="252"/>
      <c r="AP28" s="8"/>
      <c r="AR28" s="6"/>
      <c r="BP28" s="38"/>
      <c r="CF28" s="8"/>
      <c r="CH28" s="2"/>
      <c r="CI28" s="14">
        <f t="shared" si="57"/>
        <v>2.3009178796491725E-4</v>
      </c>
      <c r="CJ28" s="14">
        <f t="shared" si="58"/>
        <v>7.7505821053163067E-4</v>
      </c>
      <c r="CK28" s="14">
        <f t="shared" si="59"/>
        <v>4.8444322148709145E-3</v>
      </c>
      <c r="CL28" s="14">
        <f t="shared" si="60"/>
        <v>1.0306129642997652E-2</v>
      </c>
      <c r="CM28" s="14">
        <f t="shared" si="61"/>
        <v>1.3439608688305326E-7</v>
      </c>
      <c r="CN28" s="14"/>
      <c r="CO28" s="56">
        <f t="shared" si="62"/>
        <v>2.3009178796491725E-4</v>
      </c>
      <c r="CP28" s="56">
        <f t="shared" si="63"/>
        <v>7.7505821053163067E-4</v>
      </c>
      <c r="CQ28" s="56">
        <f t="shared" si="54"/>
        <v>4.8444322148709145E-3</v>
      </c>
      <c r="CR28" s="56">
        <f t="shared" si="55"/>
        <v>1.0306129642997652E-2</v>
      </c>
      <c r="CS28" s="56">
        <f t="shared" si="56"/>
        <v>1.3439608688305326E-7</v>
      </c>
      <c r="CT28" s="14"/>
      <c r="CU28" s="14"/>
      <c r="CV28" s="14"/>
      <c r="CW28" s="14"/>
      <c r="CX28" s="14"/>
      <c r="CY28" s="14"/>
      <c r="EA28" s="1">
        <f t="shared" si="52"/>
        <v>5.6</v>
      </c>
      <c r="EB28" s="1" t="str">
        <f t="shared" si="3"/>
        <v>1.68104564622673+2.21453113590841i</v>
      </c>
      <c r="EC28" s="1" t="str">
        <f t="shared" si="4"/>
        <v>0.609216561780065-3.46357264131522i</v>
      </c>
      <c r="ED28" s="52" t="str">
        <f t="shared" si="5"/>
        <v>0.157576210782104-6.92453772820642i</v>
      </c>
      <c r="EE28" s="1" t="str">
        <f t="shared" si="6"/>
        <v>0.0958240967034013-7.58863882856687i</v>
      </c>
      <c r="EF28" s="1" t="str">
        <f t="shared" si="7"/>
        <v>12966.3175437424-2484636.69633691i</v>
      </c>
      <c r="EH28" s="1" t="str">
        <f t="shared" si="8"/>
        <v>1.85409131652265-1.84037379170044i</v>
      </c>
      <c r="EI28" s="1" t="str">
        <f t="shared" si="0"/>
        <v>0.0143880322809015+2.01432451932621i</v>
      </c>
      <c r="EJ28" s="1" t="str">
        <f t="shared" si="9"/>
        <v>2.164309192911+1.78315007101198i</v>
      </c>
      <c r="EL28" s="52">
        <f t="shared" si="53"/>
        <v>5.6</v>
      </c>
      <c r="EM28" s="14">
        <f t="shared" si="10"/>
        <v>2.6123993383827342</v>
      </c>
      <c r="EN28" s="14">
        <f t="shared" si="10"/>
        <v>2.0143759045003695</v>
      </c>
      <c r="EO28" s="14">
        <f t="shared" si="10"/>
        <v>2.8042572025884316</v>
      </c>
      <c r="EQ28" s="1" t="str">
        <f t="shared" si="11"/>
        <v>0.892863907493093-1.06808144246152i</v>
      </c>
      <c r="ER28" s="14">
        <f t="shared" si="12"/>
        <v>5.6</v>
      </c>
      <c r="ES28" s="2">
        <f t="shared" si="13"/>
        <v>1.3921220941550045</v>
      </c>
      <c r="EU28" s="1" t="str">
        <f t="shared" si="14"/>
        <v>0.107136092506908+1.06808144246152i</v>
      </c>
      <c r="EV28" s="52">
        <f t="shared" si="15"/>
        <v>5.6</v>
      </c>
      <c r="EW28" s="2">
        <f t="shared" si="16"/>
        <v>1.0734412466680836</v>
      </c>
      <c r="EY28" s="96">
        <f>BF310</f>
        <v>4</v>
      </c>
      <c r="EZ28" s="1" t="str">
        <f t="shared" si="69"/>
        <v>0.876295478158783-4.9491699658279i</v>
      </c>
      <c r="FA28" s="1" t="str">
        <f t="shared" si="70"/>
        <v>0.317600285272109-8.93235860964395i</v>
      </c>
      <c r="FB28" s="1" t="str">
        <f t="shared" si="71"/>
        <v>0.0826661816420569-11.3425607356428i</v>
      </c>
      <c r="FC28" s="1" t="str">
        <f t="shared" si="72"/>
        <v>0.0504679665759328-11.8034671336331i</v>
      </c>
      <c r="FD28" s="1" t="str">
        <f t="shared" si="73"/>
        <v>6885.16574194656-3685265.73901224i</v>
      </c>
      <c r="FF28" s="96">
        <f>BF311</f>
        <v>1</v>
      </c>
      <c r="FG28" s="96" t="str">
        <f t="shared" si="74"/>
        <v>0.0143880322809015+1.43880322809015i</v>
      </c>
      <c r="FH28" s="100" t="str">
        <f t="shared" si="75"/>
        <v>0.968794768388285+4.45455334019204i</v>
      </c>
      <c r="FI28" s="98">
        <f t="shared" si="76"/>
        <v>4.5586849818640207</v>
      </c>
      <c r="FJ28" s="1" t="str">
        <f>IMDIV($FI$28,EZ28)</f>
        <v>0.15813185924803+0.893102233136326i</v>
      </c>
      <c r="FK28" s="1" t="str">
        <f>IMDIV($FI$28,FA28)</f>
        <v>0.0181233909736936+0.509711845066883i</v>
      </c>
      <c r="FL28" s="1" t="str">
        <f>IMDIV($FI$28,FB28)</f>
        <v>0.00292901884261951+0.401888335209519i</v>
      </c>
      <c r="FM28" s="1" t="str">
        <f>IMDIV($FI$28,FC28)</f>
        <v>0.0016513086632527+0.38620869546747i</v>
      </c>
      <c r="FN28" s="1" t="str">
        <f>IMDIV($FI$28,FD28)</f>
        <v>2.31107929234667E-09+1.23699873836558E-06i</v>
      </c>
      <c r="FO28" s="1" t="str">
        <f t="shared" si="77"/>
        <v>0.180835580038675+2.19091234587894i</v>
      </c>
      <c r="FP28" s="100">
        <f t="shared" si="78"/>
        <v>2.1983626666982596</v>
      </c>
      <c r="FR28" s="1">
        <f t="shared" si="79"/>
        <v>0.90699354118005227</v>
      </c>
      <c r="FS28" s="1">
        <f t="shared" si="80"/>
        <v>0.51003394230371724</v>
      </c>
      <c r="FT28" s="1">
        <f t="shared" si="81"/>
        <v>0.40189900861890554</v>
      </c>
      <c r="FU28" s="1">
        <f t="shared" si="82"/>
        <v>0.38621222569331787</v>
      </c>
      <c r="FV28" s="1">
        <f t="shared" si="83"/>
        <v>1.2370008972533255E-6</v>
      </c>
      <c r="FX28" s="52">
        <f t="shared" si="84"/>
        <v>4</v>
      </c>
      <c r="FY28" s="1" t="str">
        <f t="shared" si="85"/>
        <v>0.989856445456677-0.0989609043195878i</v>
      </c>
      <c r="FZ28" s="1" t="str">
        <f t="shared" si="86"/>
        <v>0.010143554543323+0.0989609043195878i</v>
      </c>
      <c r="GA28" s="121">
        <f t="shared" si="87"/>
        <v>0.90226897057446465</v>
      </c>
      <c r="GB28" s="121">
        <f t="shared" si="88"/>
        <v>9.0227179016059228E-2</v>
      </c>
      <c r="GD28" s="1" t="str">
        <f t="shared" si="89"/>
        <v>0.994748027517252-0.0710407446896805i</v>
      </c>
      <c r="GE28" s="1" t="str">
        <f t="shared" si="90"/>
        <v>0.00525197248274811+0.0710407446896805i</v>
      </c>
      <c r="GF28" s="121">
        <f t="shared" si="91"/>
        <v>0.50864742408716912</v>
      </c>
      <c r="GG28" s="121">
        <f t="shared" si="92"/>
        <v>3.6332072400563235E-2</v>
      </c>
      <c r="GI28" s="1" t="str">
        <f t="shared" si="93"/>
        <v>0.997825222657939-0.0453505384687168i</v>
      </c>
      <c r="GJ28" s="1" t="str">
        <f t="shared" si="94"/>
        <v>0.0021747773420619+0.0453505384687168i</v>
      </c>
      <c r="GK28" s="123">
        <f t="shared" si="95"/>
        <v>0.401438941942937</v>
      </c>
      <c r="GL28" s="123">
        <f t="shared" si="96"/>
        <v>1.8247281656257785E-2</v>
      </c>
      <c r="GN28" s="1" t="str">
        <f t="shared" si="97"/>
        <v>0.998427176110687-0.0383973531818359i</v>
      </c>
      <c r="GO28" s="1" t="str">
        <f t="shared" si="98"/>
        <v>0.00157282388931203+0.0383973531818359i</v>
      </c>
      <c r="GP28" s="123">
        <f t="shared" si="99"/>
        <v>0.38588983231674739</v>
      </c>
      <c r="GQ28" s="123">
        <f t="shared" si="100"/>
        <v>1.4841963008484215E-2</v>
      </c>
      <c r="GS28" s="1" t="str">
        <f t="shared" si="101"/>
        <v>0.999062362276813-0.0293820266826501i</v>
      </c>
      <c r="GT28" s="1" t="str">
        <f t="shared" si="102"/>
        <v>0.000937637723186532+0.0293820266826501i</v>
      </c>
      <c r="GU28" s="123">
        <f t="shared" si="103"/>
        <v>1.2363753777546217E-6</v>
      </c>
      <c r="GV28" s="123">
        <f t="shared" si="104"/>
        <v>3.6364095335930482E-8</v>
      </c>
      <c r="GX28" s="1" t="str">
        <f t="shared" si="105"/>
        <v>3.10243598376567-0.642309386900076i</v>
      </c>
      <c r="GY28" s="14">
        <f t="shared" si="68"/>
        <v>4</v>
      </c>
      <c r="GZ28" s="52">
        <f t="shared" si="106"/>
        <v>3.1682282717417971</v>
      </c>
      <c r="HB28" s="1"/>
      <c r="JO28" s="1"/>
      <c r="JS28" s="1"/>
    </row>
    <row r="29" spans="2:279" ht="18" customHeight="1" x14ac:dyDescent="0.25">
      <c r="B29" s="6"/>
      <c r="D29" s="18"/>
      <c r="E29" s="71" t="s">
        <v>393</v>
      </c>
      <c r="F29" s="258">
        <v>3000</v>
      </c>
      <c r="G29" s="258"/>
      <c r="H29" s="258"/>
      <c r="I29" s="258"/>
      <c r="K29" s="156">
        <v>5</v>
      </c>
      <c r="L29" s="156"/>
      <c r="M29" s="156"/>
      <c r="N29" s="156"/>
      <c r="P29" s="156">
        <v>9.9600000000000009</v>
      </c>
      <c r="Q29" s="156"/>
      <c r="R29" s="156"/>
      <c r="S29" s="156"/>
      <c r="U29" s="156">
        <v>3</v>
      </c>
      <c r="V29" s="156"/>
      <c r="W29" s="156"/>
      <c r="X29" s="156"/>
      <c r="Z29" s="255">
        <f>AE29/U29</f>
        <v>612.43077049714827</v>
      </c>
      <c r="AA29" s="255"/>
      <c r="AB29" s="255"/>
      <c r="AC29" s="255"/>
      <c r="AE29" s="255">
        <f>1000*(P29*P29)/L40</f>
        <v>1837.2923114914449</v>
      </c>
      <c r="AF29" s="255"/>
      <c r="AG29" s="255"/>
      <c r="AH29" s="255"/>
      <c r="AJ29" s="156">
        <v>8</v>
      </c>
      <c r="AK29" s="156"/>
      <c r="AL29" s="156"/>
      <c r="AM29" s="156"/>
      <c r="AN29" s="156"/>
      <c r="AO29" s="156"/>
      <c r="AP29" s="8"/>
      <c r="AR29" s="6"/>
      <c r="AS29" s="172" t="s">
        <v>385</v>
      </c>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8"/>
      <c r="CH29" s="2"/>
      <c r="CI29" s="14">
        <f t="shared" si="57"/>
        <v>1.0090881678370248E-4</v>
      </c>
      <c r="CJ29" s="14">
        <f t="shared" si="58"/>
        <v>3.2427452539274254E-4</v>
      </c>
      <c r="CK29" s="14">
        <f t="shared" si="59"/>
        <v>1.8894264747075012E-3</v>
      </c>
      <c r="CL29" s="14">
        <f t="shared" si="60"/>
        <v>3.8774144320346603E-3</v>
      </c>
      <c r="CM29" s="14">
        <f t="shared" si="61"/>
        <v>4.6031179955217184E-8</v>
      </c>
      <c r="CN29" s="14"/>
      <c r="CO29" s="56">
        <f t="shared" si="62"/>
        <v>1.0090881678370248E-4</v>
      </c>
      <c r="CP29" s="56">
        <f t="shared" si="63"/>
        <v>3.2427452539274254E-4</v>
      </c>
      <c r="CQ29" s="56">
        <f t="shared" si="54"/>
        <v>1.8894264747075012E-3</v>
      </c>
      <c r="CR29" s="56">
        <f t="shared" si="55"/>
        <v>3.8774144320346603E-3</v>
      </c>
      <c r="CS29" s="56">
        <f t="shared" si="56"/>
        <v>4.6031179955217184E-8</v>
      </c>
      <c r="CT29" s="14"/>
      <c r="CU29" s="14"/>
      <c r="CV29" s="14"/>
      <c r="CW29" s="14"/>
      <c r="CX29" s="14"/>
      <c r="CY29" s="14"/>
      <c r="CZ29" s="2"/>
      <c r="DA29" s="34"/>
      <c r="DB29" s="34"/>
      <c r="DC29" s="34"/>
      <c r="DD29" s="34"/>
      <c r="EA29" s="1">
        <f t="shared" si="52"/>
        <v>5.8</v>
      </c>
      <c r="EB29" s="1" t="str">
        <f t="shared" si="3"/>
        <v>1.79921150779197+2.95330870384691i</v>
      </c>
      <c r="EC29" s="1" t="str">
        <f t="shared" si="4"/>
        <v>0.65226253391331-2.92844860210038i</v>
      </c>
      <c r="ED29" s="52" t="str">
        <f t="shared" si="5"/>
        <v>0.168670454562258-6.51741497980425i</v>
      </c>
      <c r="EE29" s="1" t="str">
        <f t="shared" si="6"/>
        <v>0.102545703180067-7.20642468109248i</v>
      </c>
      <c r="EF29" s="1" t="str">
        <f t="shared" si="7"/>
        <v>13868.1293082714-2377812.08299881i</v>
      </c>
      <c r="EH29" s="1" t="str">
        <f t="shared" si="8"/>
        <v>1.20694291451492-1.95376429802186i</v>
      </c>
      <c r="EI29" s="1" t="str">
        <f t="shared" si="0"/>
        <v>0.0143880322809015+2.08626468073072i</v>
      </c>
      <c r="EJ29" s="1" t="str">
        <f t="shared" si="9"/>
        <v>3.53122880688546+1.65557287103986i</v>
      </c>
      <c r="EL29" s="52">
        <f t="shared" si="53"/>
        <v>5.8</v>
      </c>
      <c r="EM29" s="14">
        <f t="shared" si="10"/>
        <v>2.2964986677815906</v>
      </c>
      <c r="EN29" s="14">
        <f t="shared" si="10"/>
        <v>2.086314294045212</v>
      </c>
      <c r="EO29" s="14">
        <f t="shared" si="10"/>
        <v>3.9000638992074057</v>
      </c>
      <c r="EQ29" s="1" t="str">
        <f t="shared" si="11"/>
        <v>0.805193267713424-1.68705519135015i</v>
      </c>
      <c r="ER29" s="14">
        <f t="shared" si="12"/>
        <v>5.8</v>
      </c>
      <c r="ES29" s="2">
        <f t="shared" si="13"/>
        <v>1.8693558829266601</v>
      </c>
      <c r="EU29" s="1" t="str">
        <f t="shared" si="14"/>
        <v>0.194806732286578+1.68705519135015i</v>
      </c>
      <c r="EV29" s="52">
        <f t="shared" si="15"/>
        <v>5.8</v>
      </c>
      <c r="EW29" s="2">
        <f t="shared" si="16"/>
        <v>1.6982652565502436</v>
      </c>
      <c r="EY29" s="96">
        <f>BH310</f>
        <v>5</v>
      </c>
      <c r="EZ29" s="1" t="str">
        <f t="shared" si="69"/>
        <v>1.34967338033542-0.1713659994448i</v>
      </c>
      <c r="FA29" s="1" t="str">
        <f t="shared" si="70"/>
        <v>0.488812867435751-5.22796354231806i</v>
      </c>
      <c r="FB29" s="1" t="str">
        <f t="shared" si="71"/>
        <v>0.126594700856698-8.30081879329822i</v>
      </c>
      <c r="FC29" s="1" t="str">
        <f t="shared" si="72"/>
        <v>0.0770594121205526-8.88961845668734i</v>
      </c>
      <c r="FD29" s="1" t="str">
        <f t="shared" si="73"/>
        <v>10449.5640189602-2851253.82927846i</v>
      </c>
      <c r="FF29" s="96">
        <f>BH311</f>
        <v>120</v>
      </c>
      <c r="FG29" s="96" t="str">
        <f t="shared" si="74"/>
        <v>0.0143880322809015+1.79850403511269i</v>
      </c>
      <c r="FH29" s="100" t="str">
        <f t="shared" si="75"/>
        <v>158.653000635199+8.59475278417196i</v>
      </c>
      <c r="FI29" s="98">
        <f t="shared" si="76"/>
        <v>158.88563303827533</v>
      </c>
      <c r="FJ29" s="1" t="str">
        <f>IMDIV($FI$29,EZ29)</f>
        <v>115.853863103905+14.7097907757562i</v>
      </c>
      <c r="FK29" s="1" t="str">
        <f>IMDIV($FI$29,FA29)</f>
        <v>2.81696838626253+30.1281103758562i</v>
      </c>
      <c r="FL29" s="1" t="str">
        <f>IMDIV($FI$29,FB29)</f>
        <v>0.291848381032232+19.1365081608614i</v>
      </c>
      <c r="FM29" s="1" t="str">
        <f>IMDIV($FI$29,FC29)</f>
        <v>0.15492141128501+17.8718238200518i</v>
      </c>
      <c r="FN29" s="1" t="str">
        <f>IMDIV($FI$29,FD29)</f>
        <v>2.04223259459307E-07+0.0000557240808807466i</v>
      </c>
      <c r="FO29" s="1" t="str">
        <f t="shared" si="77"/>
        <v>119.117601486708+81.8462888566065i</v>
      </c>
      <c r="FP29" s="100">
        <f t="shared" si="78"/>
        <v>144.52618442187301</v>
      </c>
      <c r="FR29" s="1">
        <f t="shared" si="79"/>
        <v>116.78396953676854</v>
      </c>
      <c r="FS29" s="1">
        <f t="shared" si="80"/>
        <v>30.259516613934469</v>
      </c>
      <c r="FT29" s="1">
        <f t="shared" si="81"/>
        <v>19.138733502199827</v>
      </c>
      <c r="FU29" s="1">
        <f t="shared" si="82"/>
        <v>17.872495273426303</v>
      </c>
      <c r="FV29" s="1">
        <f t="shared" si="83"/>
        <v>5.572445510854003E-5</v>
      </c>
      <c r="FX29" s="52">
        <f t="shared" si="84"/>
        <v>5</v>
      </c>
      <c r="FY29" s="1" t="str">
        <f t="shared" si="85"/>
        <v>0.984376861583414-0.123016353609524i</v>
      </c>
      <c r="FZ29" s="1" t="str">
        <f t="shared" si="86"/>
        <v>0.0156231384165864+0.123016353609524i</v>
      </c>
      <c r="GA29" s="121">
        <f t="shared" si="87"/>
        <v>115.85363145433655</v>
      </c>
      <c r="GB29" s="121">
        <f t="shared" si="88"/>
        <v>14.481732895170927</v>
      </c>
      <c r="GD29" s="1" t="str">
        <f t="shared" si="89"/>
        <v>0.9919167839324-0.0885481863892521i</v>
      </c>
      <c r="GE29" s="1" t="str">
        <f t="shared" si="90"/>
        <v>0.00808321606759973+0.0885481863892521i</v>
      </c>
      <c r="GF29" s="121">
        <f t="shared" si="91"/>
        <v>30.134280925401697</v>
      </c>
      <c r="GG29" s="121">
        <f t="shared" si="92"/>
        <v>2.6905661780270842</v>
      </c>
      <c r="GI29" s="1" t="str">
        <f t="shared" si="93"/>
        <v>0.996669553600041-0.056622517532101i</v>
      </c>
      <c r="GJ29" s="1" t="str">
        <f t="shared" si="94"/>
        <v>0.00333044639996028+0.0566225175321009i</v>
      </c>
      <c r="GK29" s="123">
        <f t="shared" si="95"/>
        <v>19.10575113611926</v>
      </c>
      <c r="GL29" s="123">
        <f t="shared" si="96"/>
        <v>1.0855562129308698</v>
      </c>
      <c r="GN29" s="1" t="str">
        <f t="shared" si="97"/>
        <v>0.997598459131551-0.0479568531454452i</v>
      </c>
      <c r="GO29" s="1" t="str">
        <f t="shared" si="98"/>
        <v>0.00240154086844752+0.0479568531454452i</v>
      </c>
      <c r="GP29" s="123">
        <f t="shared" si="99"/>
        <v>17.850163448989196</v>
      </c>
      <c r="GQ29" s="123">
        <f t="shared" si="100"/>
        <v>0.85818265140771122</v>
      </c>
      <c r="GS29" s="1" t="str">
        <f t="shared" si="101"/>
        <v>0.998576954312756-0.0367096887843819i</v>
      </c>
      <c r="GT29" s="1" t="str">
        <f t="shared" si="102"/>
        <v>0.00142304568724292+0.0367096887843819i</v>
      </c>
      <c r="GU29" s="123">
        <f t="shared" si="103"/>
        <v>5.5682744647973112E-5</v>
      </c>
      <c r="GV29" s="123">
        <f t="shared" si="104"/>
        <v>2.0471638240202595E-6</v>
      </c>
      <c r="GX29" s="1" t="str">
        <f t="shared" si="105"/>
        <v>5.48419427622874-88.1699961607159i</v>
      </c>
      <c r="GY29" s="14">
        <f t="shared" si="68"/>
        <v>5</v>
      </c>
      <c r="GZ29" s="52">
        <f t="shared" si="106"/>
        <v>88.340390591394126</v>
      </c>
      <c r="HB29" s="1"/>
      <c r="JO29" s="1"/>
      <c r="JS29" s="1"/>
    </row>
    <row r="30" spans="2:279" ht="18" customHeight="1" x14ac:dyDescent="0.25">
      <c r="B30" s="6"/>
      <c r="D30" s="18"/>
      <c r="E30" s="71" t="s">
        <v>394</v>
      </c>
      <c r="F30" s="258">
        <v>3000</v>
      </c>
      <c r="G30" s="258"/>
      <c r="H30" s="258"/>
      <c r="I30" s="258"/>
      <c r="K30" s="156">
        <v>7</v>
      </c>
      <c r="L30" s="156"/>
      <c r="M30" s="156"/>
      <c r="N30" s="156"/>
      <c r="P30" s="156">
        <v>9.9600000000000009</v>
      </c>
      <c r="Q30" s="156"/>
      <c r="R30" s="156"/>
      <c r="S30" s="156"/>
      <c r="U30" s="156">
        <v>3</v>
      </c>
      <c r="V30" s="156"/>
      <c r="W30" s="156"/>
      <c r="X30" s="156"/>
      <c r="Z30" s="255">
        <f>AE30/U30</f>
        <v>624.92935765015147</v>
      </c>
      <c r="AA30" s="255"/>
      <c r="AB30" s="255"/>
      <c r="AC30" s="255"/>
      <c r="AE30" s="255">
        <f>1000*(P30*P30)/L41</f>
        <v>1874.7880729504543</v>
      </c>
      <c r="AF30" s="255"/>
      <c r="AG30" s="255"/>
      <c r="AH30" s="255"/>
      <c r="AJ30" s="156">
        <v>8</v>
      </c>
      <c r="AK30" s="156"/>
      <c r="AL30" s="156"/>
      <c r="AM30" s="156"/>
      <c r="AN30" s="156"/>
      <c r="AO30" s="156"/>
      <c r="AP30" s="8"/>
      <c r="AR30" s="6"/>
      <c r="AZ30" s="200" t="s">
        <v>15</v>
      </c>
      <c r="BA30" s="200"/>
      <c r="BB30" s="200"/>
      <c r="BC30" s="200"/>
      <c r="BD30" s="200"/>
      <c r="BE30" s="18"/>
      <c r="BF30" s="200" t="s">
        <v>387</v>
      </c>
      <c r="BG30" s="200"/>
      <c r="BH30" s="200"/>
      <c r="BI30" s="200"/>
      <c r="BJ30" s="200"/>
      <c r="BK30" s="48"/>
      <c r="BL30" s="48"/>
      <c r="BT30" s="245" t="s">
        <v>388</v>
      </c>
      <c r="BU30" s="245"/>
      <c r="BV30" s="245"/>
      <c r="BW30" s="245"/>
      <c r="BX30" s="245"/>
      <c r="BY30" s="245"/>
      <c r="BZ30" s="245"/>
      <c r="CA30" s="253">
        <f>AG42/U31</f>
        <v>46.299139469897824</v>
      </c>
      <c r="CB30" s="253"/>
      <c r="CC30" s="253"/>
      <c r="CD30" s="33" t="s">
        <v>39</v>
      </c>
      <c r="CE30" s="38"/>
      <c r="CF30" s="8"/>
      <c r="CH30" s="2"/>
      <c r="CI30" s="14">
        <f t="shared" si="57"/>
        <v>6.2651977700223692E-6</v>
      </c>
      <c r="CJ30" s="14">
        <f t="shared" si="58"/>
        <v>1.9704174425324038E-5</v>
      </c>
      <c r="CK30" s="14">
        <f t="shared" si="59"/>
        <v>1.1135219055940472E-4</v>
      </c>
      <c r="CL30" s="14">
        <f t="shared" si="60"/>
        <v>2.252575663220594E-4</v>
      </c>
      <c r="CM30" s="14">
        <f t="shared" si="61"/>
        <v>2.5834199444092163E-9</v>
      </c>
      <c r="CN30" s="14"/>
      <c r="CO30" s="56">
        <f t="shared" si="62"/>
        <v>6.2651977700223692E-6</v>
      </c>
      <c r="CP30" s="56">
        <f t="shared" si="63"/>
        <v>1.9704174425324038E-5</v>
      </c>
      <c r="CQ30" s="56">
        <f t="shared" si="54"/>
        <v>1.1135219055940472E-4</v>
      </c>
      <c r="CR30" s="56">
        <f t="shared" si="55"/>
        <v>2.252575663220594E-4</v>
      </c>
      <c r="CS30" s="56">
        <f t="shared" si="56"/>
        <v>2.5834199444092163E-9</v>
      </c>
      <c r="CT30" s="14"/>
      <c r="CU30" s="14"/>
      <c r="CV30" s="14"/>
      <c r="CW30" s="14"/>
      <c r="CX30" s="14"/>
      <c r="CY30" s="14"/>
      <c r="CZ30" s="2"/>
      <c r="DA30" s="34"/>
      <c r="DB30" s="34"/>
      <c r="DC30" s="34"/>
      <c r="DD30" s="34"/>
      <c r="EA30" s="1">
        <f t="shared" si="52"/>
        <v>6</v>
      </c>
      <c r="EB30" s="1" t="str">
        <f t="shared" si="3"/>
        <v>1.92117680985872+3.66817036966717i</v>
      </c>
      <c r="EC30" s="1" t="str">
        <f t="shared" si="4"/>
        <v>0.696753737024221-2.41550826765669i</v>
      </c>
      <c r="ED30" s="52" t="str">
        <f t="shared" si="5"/>
        <v>0.180147122822624-6.13182421821163i</v>
      </c>
      <c r="EE30" s="1" t="str">
        <f t="shared" si="6"/>
        <v>0.109500181263589-6.84565464747821i</v>
      </c>
      <c r="EF30" s="1" t="str">
        <f t="shared" si="7"/>
        <v>14801.3499089938-2277397.12458147i</v>
      </c>
      <c r="EH30" s="1" t="str">
        <f t="shared" si="8"/>
        <v>0.818185284186307-1.70206308198151i</v>
      </c>
      <c r="EI30" s="1" t="str">
        <f t="shared" si="0"/>
        <v>0.0143880322809015+2.15820484213523i</v>
      </c>
      <c r="EJ30" s="1" t="str">
        <f t="shared" si="9"/>
        <v>4.28570719433667-0.256515450804268i</v>
      </c>
      <c r="EL30" s="52">
        <f t="shared" si="53"/>
        <v>6</v>
      </c>
      <c r="EM30" s="14">
        <f t="shared" si="10"/>
        <v>1.8885036124676657</v>
      </c>
      <c r="EN30" s="14">
        <f t="shared" si="10"/>
        <v>2.1582528017099545</v>
      </c>
      <c r="EO30" s="14">
        <f t="shared" si="10"/>
        <v>4.2933770312063686</v>
      </c>
      <c r="EQ30" s="1" t="str">
        <f t="shared" si="11"/>
        <v>-0.105612745677047-1.98647814620282i</v>
      </c>
      <c r="ER30" s="14">
        <f t="shared" si="12"/>
        <v>6</v>
      </c>
      <c r="ES30" s="2">
        <f t="shared" si="13"/>
        <v>1.9892836593585235</v>
      </c>
      <c r="EU30" s="1" t="str">
        <f t="shared" si="14"/>
        <v>1.10561274567705+1.98647814620282i</v>
      </c>
      <c r="EV30" s="52">
        <f t="shared" si="15"/>
        <v>6</v>
      </c>
      <c r="EW30" s="2">
        <f t="shared" si="16"/>
        <v>2.2734280214567906</v>
      </c>
      <c r="EY30" s="96">
        <f>BJ310</f>
        <v>7</v>
      </c>
      <c r="EZ30" s="1" t="str">
        <f t="shared" si="69"/>
        <v>2.58676457229578+6.94845551330131i</v>
      </c>
      <c r="FA30" s="1" t="str">
        <f t="shared" si="70"/>
        <v>0.940650895925285-0.11890996227022i</v>
      </c>
      <c r="FB30" s="1" t="str">
        <f t="shared" si="71"/>
        <v>0.243241481794331-4.46257296802426i</v>
      </c>
      <c r="FC30" s="1" t="str">
        <f t="shared" si="72"/>
        <v>0.147754599997855-5.29929797033118i</v>
      </c>
      <c r="FD30" s="1" t="str">
        <f t="shared" si="73"/>
        <v>19937.7147376503-1852255.1095919i</v>
      </c>
      <c r="FF30" s="96">
        <f>BJ311</f>
        <v>100</v>
      </c>
      <c r="FG30" s="96" t="str">
        <f t="shared" si="74"/>
        <v>0.0143880322809015+2.51790564915777i</v>
      </c>
      <c r="FH30" s="100" t="str">
        <f t="shared" si="75"/>
        <v>89.8054248559693-1.67111275175346i</v>
      </c>
      <c r="FI30" s="98">
        <f t="shared" si="76"/>
        <v>89.820971668036549</v>
      </c>
      <c r="FJ30" s="1" t="str">
        <f>IMDIV($FI$30,EZ30)</f>
        <v>4.22658954082077-11.3532826728461i</v>
      </c>
      <c r="FK30" s="1" t="str">
        <f>IMDIV($FI$30,FA30)</f>
        <v>93.9861961965971+11.8810231214052i</v>
      </c>
      <c r="FL30" s="1" t="str">
        <f>IMDIV($FI$30,FB30)</f>
        <v>1.0938464123896+20.067997428282i</v>
      </c>
      <c r="FM30" s="1" t="str">
        <f>IMDIV($FI$30,FC30)</f>
        <v>0.472220231474794+16.9364318555228i</v>
      </c>
      <c r="FN30" s="1" t="str">
        <f>IMDIV($FI$30,FD30)</f>
        <v>5.21916717076584E-07+0.0000484871470330036i</v>
      </c>
      <c r="FO30" s="1" t="str">
        <f t="shared" si="77"/>
        <v>99.778852903199+37.5322182195109i</v>
      </c>
      <c r="FP30" s="100">
        <f t="shared" si="78"/>
        <v>106.60434743083984</v>
      </c>
      <c r="FR30" s="1">
        <f t="shared" si="79"/>
        <v>12.114499023736929</v>
      </c>
      <c r="FS30" s="1">
        <f t="shared" si="80"/>
        <v>94.734174329629369</v>
      </c>
      <c r="FT30" s="1">
        <f t="shared" si="81"/>
        <v>20.09778646407187</v>
      </c>
      <c r="FU30" s="1">
        <f t="shared" si="82"/>
        <v>16.943013779838036</v>
      </c>
      <c r="FV30" s="1">
        <f t="shared" si="83"/>
        <v>4.848995591315457E-5</v>
      </c>
      <c r="FX30" s="52">
        <f t="shared" si="84"/>
        <v>7</v>
      </c>
      <c r="FY30" s="1" t="str">
        <f t="shared" si="85"/>
        <v>0.970056917804769-0.169717531233027i</v>
      </c>
      <c r="FZ30" s="1" t="str">
        <f t="shared" si="86"/>
        <v>0.029943082195231+0.169717531233027i</v>
      </c>
      <c r="GA30" s="121">
        <f t="shared" si="87"/>
        <v>11.93025668462224</v>
      </c>
      <c r="GB30" s="121">
        <f t="shared" si="88"/>
        <v>2.087797050210793</v>
      </c>
      <c r="GD30" s="1" t="str">
        <f t="shared" si="89"/>
        <v>0.984444999421083-0.123033654632165i</v>
      </c>
      <c r="GE30" s="1" t="str">
        <f t="shared" si="90"/>
        <v>0.0155550005789173+0.123033654632165i</v>
      </c>
      <c r="GF30" s="121">
        <f t="shared" si="91"/>
        <v>93.986100304706866</v>
      </c>
      <c r="GG30" s="121">
        <f t="shared" si="92"/>
        <v>11.748274526105208</v>
      </c>
      <c r="GI30" s="1" t="str">
        <f t="shared" si="93"/>
        <v>0.993600816528017-0.0790274481956156i</v>
      </c>
      <c r="GJ30" s="1" t="str">
        <f t="shared" si="94"/>
        <v>0.00639918347198397+0.0790274481956155i</v>
      </c>
      <c r="GK30" s="123">
        <f t="shared" si="95"/>
        <v>20.03224038455636</v>
      </c>
      <c r="GL30" s="123">
        <f t="shared" si="96"/>
        <v>1.5934752929460552</v>
      </c>
      <c r="GN30" s="1" t="str">
        <f t="shared" si="97"/>
        <v>0.995395258014155-0.0669913162782335i</v>
      </c>
      <c r="GO30" s="1" t="str">
        <f t="shared" si="98"/>
        <v>0.004604741985844+0.0669913162782336i</v>
      </c>
      <c r="GP30" s="123">
        <f t="shared" si="99"/>
        <v>16.903147034208299</v>
      </c>
      <c r="GQ30" s="123">
        <f t="shared" si="100"/>
        <v>1.1377129805400086</v>
      </c>
      <c r="GS30" s="1" t="str">
        <f t="shared" si="101"/>
        <v>0.997284836102308-0.051327063103567i</v>
      </c>
      <c r="GT30" s="1" t="str">
        <f t="shared" si="102"/>
        <v>0.00271516389769112+0.0513270631035671i</v>
      </c>
      <c r="GU30" s="123">
        <f t="shared" si="103"/>
        <v>4.8422301880386423E-5</v>
      </c>
      <c r="GV30" s="123">
        <f t="shared" si="104"/>
        <v>2.4923269046773062E-6</v>
      </c>
      <c r="GX30" s="1" t="str">
        <f t="shared" si="105"/>
        <v>-0.4598667494971-35.6693434734728i</v>
      </c>
      <c r="GY30" s="14">
        <f t="shared" si="68"/>
        <v>7</v>
      </c>
      <c r="GZ30" s="52">
        <f t="shared" si="106"/>
        <v>35.672307764649453</v>
      </c>
      <c r="HB30" s="1"/>
      <c r="JO30" s="1"/>
      <c r="JS30" s="1"/>
    </row>
    <row r="31" spans="2:279" ht="18" customHeight="1" x14ac:dyDescent="0.25">
      <c r="B31" s="6"/>
      <c r="D31" s="18"/>
      <c r="E31" s="71" t="s">
        <v>395</v>
      </c>
      <c r="F31" s="258">
        <v>3000</v>
      </c>
      <c r="G31" s="258"/>
      <c r="H31" s="258"/>
      <c r="I31" s="258"/>
      <c r="K31" s="156">
        <v>11</v>
      </c>
      <c r="L31" s="156"/>
      <c r="M31" s="156"/>
      <c r="N31" s="156"/>
      <c r="P31" s="156">
        <v>9.9600000000000009</v>
      </c>
      <c r="Q31" s="156"/>
      <c r="R31" s="156"/>
      <c r="S31" s="156"/>
      <c r="U31" s="156">
        <v>3</v>
      </c>
      <c r="V31" s="156"/>
      <c r="W31" s="156"/>
      <c r="X31" s="156"/>
      <c r="Z31" s="255">
        <f>AE31/U31</f>
        <v>632.67641580283919</v>
      </c>
      <c r="AA31" s="255"/>
      <c r="AB31" s="255"/>
      <c r="AC31" s="255"/>
      <c r="AE31" s="255">
        <f>1000*(P31*P31)/L42</f>
        <v>1898.0292474085177</v>
      </c>
      <c r="AF31" s="255"/>
      <c r="AG31" s="255"/>
      <c r="AH31" s="255"/>
      <c r="AJ31" s="156">
        <v>8</v>
      </c>
      <c r="AK31" s="156"/>
      <c r="AL31" s="156"/>
      <c r="AM31" s="156"/>
      <c r="AN31" s="156"/>
      <c r="AO31" s="156"/>
      <c r="AP31" s="8"/>
      <c r="AR31" s="6"/>
      <c r="AS31" s="172" t="s">
        <v>20</v>
      </c>
      <c r="AT31" s="172"/>
      <c r="AU31" s="172"/>
      <c r="AV31" s="172"/>
      <c r="AW31" s="172"/>
      <c r="AX31" s="172"/>
      <c r="AY31" s="172"/>
      <c r="AZ31" s="201"/>
      <c r="BA31" s="201"/>
      <c r="BB31" s="201"/>
      <c r="BC31" s="201"/>
      <c r="BD31" s="201"/>
      <c r="BF31" s="201"/>
      <c r="BG31" s="201"/>
      <c r="BH31" s="201"/>
      <c r="BI31" s="201"/>
      <c r="BJ31" s="201"/>
      <c r="BK31" s="82"/>
      <c r="BL31" s="172" t="s">
        <v>21</v>
      </c>
      <c r="BM31" s="172"/>
      <c r="BN31" s="172"/>
      <c r="BO31" s="172"/>
      <c r="BQ31" s="208" t="s">
        <v>389</v>
      </c>
      <c r="BR31" s="208"/>
      <c r="BS31" s="208"/>
      <c r="BT31" s="208"/>
      <c r="BU31" s="208"/>
      <c r="BV31" s="208"/>
      <c r="BW31" s="208"/>
      <c r="BX31" s="208"/>
      <c r="BY31" s="208"/>
      <c r="BZ31" s="208"/>
      <c r="CA31" s="185">
        <f>1.8*CA30</f>
        <v>83.338451045816086</v>
      </c>
      <c r="CB31" s="185"/>
      <c r="CC31" s="185"/>
      <c r="CD31" s="33" t="s">
        <v>39</v>
      </c>
      <c r="CE31" s="38"/>
      <c r="CF31" s="8"/>
      <c r="CH31" s="2" t="s">
        <v>563</v>
      </c>
      <c r="CI31" s="14">
        <f>SUM(CI15:CI30)</f>
        <v>1210.6632632819319</v>
      </c>
      <c r="CJ31" s="14">
        <f>SUM(CJ15:CJ30)</f>
        <v>1105.7763908415611</v>
      </c>
      <c r="CK31" s="14">
        <f t="shared" ref="CK31:CM31" si="107">SUM(CK15:CK30)</f>
        <v>1040.7403799612698</v>
      </c>
      <c r="CL31" s="14">
        <f t="shared" si="107"/>
        <v>1028.9925070863433</v>
      </c>
      <c r="CM31" s="14">
        <f t="shared" si="107"/>
        <v>3.5834936175609075E-3</v>
      </c>
      <c r="CN31" s="14"/>
      <c r="CO31" s="49">
        <f t="shared" ref="CO31" si="108">SUM(CO15:CO30)</f>
        <v>1429.39968440712</v>
      </c>
      <c r="CP31" s="49">
        <f t="shared" ref="CP31" si="109">SUM(CP15:CP30)</f>
        <v>1320.1525070783557</v>
      </c>
      <c r="CQ31" s="49">
        <f t="shared" ref="CQ31" si="110">SUM(CQ15:CQ30)</f>
        <v>1252.4962504056457</v>
      </c>
      <c r="CR31" s="49">
        <f t="shared" ref="CR31" si="111">SUM(CR15:CR30)</f>
        <v>1240.2489059720101</v>
      </c>
      <c r="CS31" s="49">
        <f t="shared" ref="CS31" si="112">SUM(CS15:CS30)</f>
        <v>4.285946856965833E-3</v>
      </c>
      <c r="CT31" s="14"/>
      <c r="CU31" s="14"/>
      <c r="CV31" s="14"/>
      <c r="CW31" s="14"/>
      <c r="CX31" s="14"/>
      <c r="CY31" s="14"/>
      <c r="CZ31" s="2"/>
      <c r="DA31" s="34"/>
      <c r="DB31" s="34"/>
      <c r="DC31" s="34"/>
      <c r="DD31" s="34"/>
      <c r="EA31" s="1">
        <f t="shared" si="52"/>
        <v>6.2</v>
      </c>
      <c r="EB31" s="1" t="str">
        <f t="shared" si="3"/>
        <v>2.04690728550585+4.36120944332974i</v>
      </c>
      <c r="EC31" s="1" t="str">
        <f t="shared" si="4"/>
        <v>0.74268358640855-1.92266431321352i</v>
      </c>
      <c r="ED31" s="52" t="str">
        <f t="shared" si="5"/>
        <v>0.192005513889861-5.76569166313585i</v>
      </c>
      <c r="EE31" s="1" t="str">
        <f t="shared" si="6"/>
        <v>0.116687225349069-6.50425861766751i</v>
      </c>
      <c r="EF31" s="1" t="str">
        <f t="shared" si="7"/>
        <v>15765.955267383-2182772.06011199i</v>
      </c>
      <c r="EH31" s="1" t="str">
        <f t="shared" si="8"/>
        <v>0.640799433984675-1.39615456067977i</v>
      </c>
      <c r="EI31" s="1" t="str">
        <f t="shared" si="0"/>
        <v>0.0143880322809015+2.23014500353973i</v>
      </c>
      <c r="EJ31" s="1" t="str">
        <f t="shared" si="9"/>
        <v>2.86371081686657-1.49471680048993i</v>
      </c>
      <c r="EL31" s="52">
        <f t="shared" si="53"/>
        <v>6.2</v>
      </c>
      <c r="EM31" s="14">
        <f t="shared" si="10"/>
        <v>1.5361873166713758</v>
      </c>
      <c r="EN31" s="14">
        <f t="shared" si="10"/>
        <v>2.2301914160641321</v>
      </c>
      <c r="EO31" s="14">
        <f t="shared" si="10"/>
        <v>3.2303278403755638</v>
      </c>
      <c r="EQ31" s="1" t="str">
        <f t="shared" si="11"/>
        <v>-0.6619209966175-1.28836221544915i</v>
      </c>
      <c r="ER31" s="14">
        <f t="shared" si="12"/>
        <v>6.2</v>
      </c>
      <c r="ES31" s="2">
        <f t="shared" si="13"/>
        <v>1.4484531763091781</v>
      </c>
      <c r="EU31" s="1" t="str">
        <f t="shared" si="14"/>
        <v>1.6619209966175+1.28836221544915i</v>
      </c>
      <c r="EV31" s="52">
        <f t="shared" si="15"/>
        <v>6.2</v>
      </c>
      <c r="EW31" s="2">
        <f t="shared" si="16"/>
        <v>2.1028215799718115</v>
      </c>
      <c r="EY31" s="96">
        <f>BL310</f>
        <v>11</v>
      </c>
      <c r="EZ31" s="1" t="str">
        <f t="shared" si="69"/>
        <v>6.09111385813607+17.1680185017799i</v>
      </c>
      <c r="FA31" s="1" t="str">
        <f t="shared" si="70"/>
        <v>2.25622497052535+6.6229940165871i</v>
      </c>
      <c r="FB31" s="1" t="str">
        <f t="shared" si="71"/>
        <v>0.588911416906604-0.0741454351762503i</v>
      </c>
      <c r="FC31" s="1" t="str">
        <f t="shared" si="72"/>
        <v>0.357978927225738-1.38451395612238i</v>
      </c>
      <c r="FD31" s="1" t="str">
        <f t="shared" si="73"/>
        <v>48255.409187788-828572.376816373i</v>
      </c>
      <c r="FF31" s="96">
        <f>BL311</f>
        <v>80</v>
      </c>
      <c r="FG31" s="96" t="str">
        <f t="shared" si="74"/>
        <v>0.0143880322809015+3.95670887724792i</v>
      </c>
      <c r="FH31" s="100" t="str">
        <f t="shared" si="75"/>
        <v>39.6667802982106-9.28852733179776i</v>
      </c>
      <c r="FI31" s="98">
        <f t="shared" si="76"/>
        <v>40.739786440530864</v>
      </c>
      <c r="FJ31" s="1" t="str">
        <f>IMDIV($FI$31,EZ31)</f>
        <v>0.74779649183852-2.10769069606235i</v>
      </c>
      <c r="FK31" s="1" t="str">
        <f>IMDIV($FI$31,FA31)</f>
        <v>1.87761970976516-5.51162418005909i</v>
      </c>
      <c r="FL31" s="1" t="str">
        <f>IMDIV($FI$31,FB31)</f>
        <v>68.0986607565869+8.57379342930573i</v>
      </c>
      <c r="FM31" s="1" t="str">
        <f>IMDIV($FI$31,FC31)</f>
        <v>7.1314360593117+27.5814356667013i</v>
      </c>
      <c r="FN31" s="1" t="str">
        <f>IMDIV($FI$31,FD31)</f>
        <v>2.85386417087144E-06+0.0000490024446786467i</v>
      </c>
      <c r="FO31" s="1" t="str">
        <f t="shared" si="77"/>
        <v>77.8555158713664+28.5359632223303i</v>
      </c>
      <c r="FP31" s="100">
        <f t="shared" si="78"/>
        <v>82.920338570357828</v>
      </c>
      <c r="FR31" s="1">
        <f t="shared" si="79"/>
        <v>2.2364167016622352</v>
      </c>
      <c r="FS31" s="1">
        <f t="shared" si="80"/>
        <v>5.8226675052514061</v>
      </c>
      <c r="FT31" s="1">
        <f t="shared" si="81"/>
        <v>68.636269789442338</v>
      </c>
      <c r="FU31" s="1">
        <f t="shared" si="82"/>
        <v>28.48847089094874</v>
      </c>
      <c r="FV31" s="1">
        <f t="shared" si="83"/>
        <v>4.9085477742297811E-5</v>
      </c>
      <c r="FX31" s="52">
        <f t="shared" si="84"/>
        <v>11</v>
      </c>
      <c r="FY31" s="1" t="str">
        <f t="shared" si="85"/>
        <v>0.929492337699365-0.255546506240766i</v>
      </c>
      <c r="FZ31" s="1" t="str">
        <f t="shared" si="86"/>
        <v>0.0705076623006356+0.255546506240766i</v>
      </c>
      <c r="GA31" s="121">
        <f t="shared" si="87"/>
        <v>2.1558639675043301</v>
      </c>
      <c r="GB31" s="121">
        <f t="shared" si="88"/>
        <v>0.59286283604818379</v>
      </c>
      <c r="GD31" s="1" t="str">
        <f t="shared" si="89"/>
        <v>0.962690110778912-0.189066081388467i</v>
      </c>
      <c r="GE31" s="1" t="str">
        <f t="shared" si="90"/>
        <v>0.0373098892210879+0.189066081388467i</v>
      </c>
      <c r="GF31" s="121">
        <f t="shared" si="91"/>
        <v>5.7125034257665703</v>
      </c>
      <c r="GG31" s="121">
        <f t="shared" si="92"/>
        <v>1.1220993508812784</v>
      </c>
      <c r="GI31" s="1" t="str">
        <f t="shared" si="93"/>
        <v>0.984506950961935-0.123049385985471i</v>
      </c>
      <c r="GJ31" s="1" t="str">
        <f t="shared" si="94"/>
        <v>0.0154930490380659+0.123049385985471i</v>
      </c>
      <c r="GK31" s="123">
        <f t="shared" si="95"/>
        <v>68.09863261812896</v>
      </c>
      <c r="GL31" s="123">
        <f t="shared" si="96"/>
        <v>8.5123325947567601</v>
      </c>
      <c r="GN31" s="1" t="str">
        <f t="shared" si="97"/>
        <v>0.988843659715042-0.104579177548942i</v>
      </c>
      <c r="GO31" s="1" t="str">
        <f t="shared" si="98"/>
        <v>0.0111563402849568+0.104579177548942i</v>
      </c>
      <c r="GP31" s="123">
        <f t="shared" si="99"/>
        <v>28.327749761784357</v>
      </c>
      <c r="GQ31" s="123">
        <f t="shared" si="100"/>
        <v>2.9962055398278857</v>
      </c>
      <c r="GS31" s="1" t="str">
        <f t="shared" si="101"/>
        <v>0.993428467273253-0.0803449241967927i</v>
      </c>
      <c r="GT31" s="1" t="str">
        <f t="shared" si="102"/>
        <v>0.00657153272674597+0.0803449241967927i</v>
      </c>
      <c r="GU31" s="123">
        <f t="shared" si="103"/>
        <v>4.8922129911920282E-5</v>
      </c>
      <c r="GV31" s="123">
        <f t="shared" si="104"/>
        <v>3.9569386132676077E-6</v>
      </c>
      <c r="GX31" s="1" t="str">
        <f t="shared" si="105"/>
        <v>-2.31105291379188-10.033599396312i</v>
      </c>
      <c r="GY31" s="14">
        <f t="shared" si="68"/>
        <v>11</v>
      </c>
      <c r="GZ31" s="52">
        <f t="shared" si="106"/>
        <v>10.296314020853213</v>
      </c>
      <c r="HB31" s="1"/>
      <c r="JO31" s="1"/>
      <c r="JS31" s="1"/>
    </row>
    <row r="32" spans="2:279" ht="18" customHeight="1" x14ac:dyDescent="0.25">
      <c r="B32" s="6"/>
      <c r="D32" s="18"/>
      <c r="E32" s="71" t="s">
        <v>396</v>
      </c>
      <c r="F32" s="258">
        <v>3000</v>
      </c>
      <c r="G32" s="258"/>
      <c r="H32" s="258"/>
      <c r="I32" s="258"/>
      <c r="K32" s="156">
        <v>13</v>
      </c>
      <c r="L32" s="156"/>
      <c r="M32" s="156"/>
      <c r="N32" s="156"/>
      <c r="P32" s="156">
        <v>9.9600000000000009</v>
      </c>
      <c r="Q32" s="156"/>
      <c r="R32" s="156"/>
      <c r="S32" s="156"/>
      <c r="U32" s="156">
        <v>3</v>
      </c>
      <c r="V32" s="156"/>
      <c r="W32" s="156"/>
      <c r="X32" s="156"/>
      <c r="Z32" s="255">
        <f>AE32/U32</f>
        <v>634.17387477515365</v>
      </c>
      <c r="AA32" s="255"/>
      <c r="AB32" s="255"/>
      <c r="AC32" s="255"/>
      <c r="AE32" s="255">
        <f>1000*(P32*P32)/L43</f>
        <v>1902.5216243254608</v>
      </c>
      <c r="AF32" s="255"/>
      <c r="AG32" s="255"/>
      <c r="AH32" s="255"/>
      <c r="AJ32" s="156">
        <v>8</v>
      </c>
      <c r="AK32" s="156"/>
      <c r="AL32" s="156"/>
      <c r="AM32" s="156"/>
      <c r="AN32" s="156"/>
      <c r="AO32" s="156"/>
      <c r="AP32" s="8"/>
      <c r="AR32" s="6"/>
      <c r="AY32" s="29" t="s">
        <v>26</v>
      </c>
      <c r="AZ32" s="209">
        <f>CA33/$P$31</f>
        <v>0.73016299742352653</v>
      </c>
      <c r="BA32" s="209"/>
      <c r="BB32" s="209"/>
      <c r="BC32" s="209"/>
      <c r="BD32" s="209"/>
      <c r="BF32" s="209">
        <f>(CK36)/P31</f>
        <v>0.80293473062155829</v>
      </c>
      <c r="BG32" s="209"/>
      <c r="BH32" s="209"/>
      <c r="BI32" s="209"/>
      <c r="BJ32" s="209"/>
      <c r="BK32" s="82"/>
      <c r="BL32" s="210">
        <f>IF(LEFT(C24,2)="SD",1.1,1.25)</f>
        <v>1.1000000000000001</v>
      </c>
      <c r="BM32" s="210"/>
      <c r="BN32" s="210"/>
      <c r="BO32" s="210"/>
      <c r="BQ32" s="23"/>
      <c r="BR32" s="23"/>
      <c r="BS32" s="23"/>
      <c r="BT32" s="23"/>
      <c r="BU32" s="23"/>
      <c r="BV32" s="23"/>
      <c r="BW32" s="23"/>
      <c r="BX32" s="23"/>
      <c r="BY32" s="23"/>
      <c r="BZ32" s="32" t="s">
        <v>51</v>
      </c>
      <c r="CA32" s="211">
        <f>AG42*L42/1000</f>
        <v>7.259554172267924</v>
      </c>
      <c r="CB32" s="211"/>
      <c r="CC32" s="211"/>
      <c r="CD32" s="24" t="s">
        <v>32</v>
      </c>
      <c r="CE32" s="24"/>
      <c r="CF32" s="8"/>
      <c r="CH32" s="2"/>
      <c r="CI32" s="14"/>
      <c r="CJ32" s="77"/>
      <c r="CK32" s="14"/>
      <c r="CL32" s="14"/>
      <c r="CM32" s="14"/>
      <c r="CN32" s="14"/>
      <c r="CO32" s="14"/>
      <c r="CP32" s="14"/>
      <c r="CQ32" s="14"/>
      <c r="CR32" s="14"/>
      <c r="CS32" s="14"/>
      <c r="CT32" s="14"/>
      <c r="CU32" s="14"/>
      <c r="CV32" s="14"/>
      <c r="CW32" s="14"/>
      <c r="CX32" s="14"/>
      <c r="CY32" s="14"/>
      <c r="CZ32" s="2"/>
      <c r="DA32" s="34"/>
      <c r="DB32" s="34"/>
      <c r="DC32" s="34"/>
      <c r="DD32" s="34"/>
      <c r="EA32" s="1">
        <f t="shared" si="52"/>
        <v>6.4</v>
      </c>
      <c r="EB32" s="1" t="str">
        <f t="shared" si="3"/>
        <v>2.17636776736341+5.03425194183844i</v>
      </c>
      <c r="EC32" s="1" t="str">
        <f t="shared" si="4"/>
        <v>0.790045299967075-1.44809205711106i</v>
      </c>
      <c r="ED32" s="52" t="str">
        <f t="shared" si="5"/>
        <v>0.204244903424999-5.41720306850855i</v>
      </c>
      <c r="EE32" s="1" t="str">
        <f t="shared" si="6"/>
        <v>0.12410651982171-6.18042540803737i</v>
      </c>
      <c r="EF32" s="1" t="str">
        <f t="shared" si="7"/>
        <v>16761.9205048159-2093394.61574236i</v>
      </c>
      <c r="EH32" s="1" t="str">
        <f t="shared" si="8"/>
        <v>0.578668288727855-1.10318096138509i</v>
      </c>
      <c r="EI32" s="1" t="str">
        <f t="shared" si="0"/>
        <v>0.0143880322809015+2.30208516494424i</v>
      </c>
      <c r="EJ32" s="1" t="str">
        <f t="shared" si="9"/>
        <v>1.72666624717912-1.27110413558114i</v>
      </c>
      <c r="EL32" s="52">
        <f t="shared" si="53"/>
        <v>6.4</v>
      </c>
      <c r="EM32" s="14">
        <f t="shared" si="10"/>
        <v>1.245738825734253</v>
      </c>
      <c r="EN32" s="14">
        <f t="shared" si="10"/>
        <v>2.3021301271060381</v>
      </c>
      <c r="EO32" s="14">
        <f t="shared" si="10"/>
        <v>2.1440807010556076</v>
      </c>
      <c r="EQ32" s="1" t="str">
        <f t="shared" si="11"/>
        <v>-0.547444230862712-0.753465996331538i</v>
      </c>
      <c r="ER32" s="14">
        <f t="shared" si="12"/>
        <v>6.4</v>
      </c>
      <c r="ES32" s="2">
        <f t="shared" si="13"/>
        <v>0.93134644119830279</v>
      </c>
      <c r="EU32" s="1" t="str">
        <f t="shared" si="14"/>
        <v>1.54744423086271+0.753465996331537i</v>
      </c>
      <c r="EV32" s="52">
        <f t="shared" si="15"/>
        <v>6.4</v>
      </c>
      <c r="EW32" s="2">
        <f t="shared" si="16"/>
        <v>1.7211317948542348</v>
      </c>
      <c r="EY32" s="96">
        <f>BN310</f>
        <v>13</v>
      </c>
      <c r="EZ32" s="1" t="str">
        <f t="shared" si="69"/>
        <v>8.26894015697971+21.2294641335626i</v>
      </c>
      <c r="FA32" s="1" t="str">
        <f t="shared" si="70"/>
        <v>3.10144068670015+9.24565126503147i</v>
      </c>
      <c r="FB32" s="1" t="str">
        <f t="shared" si="71"/>
        <v>0.815864113214079+1.47373130885247i</v>
      </c>
      <c r="FC32" s="1" t="str">
        <f t="shared" si="72"/>
        <v>0.49659777664774-0.0624543837664402i</v>
      </c>
      <c r="FD32" s="1" t="str">
        <f t="shared" si="73"/>
        <v>67012.5174554254-504857.06534605i</v>
      </c>
      <c r="FF32" s="96">
        <f>BN311</f>
        <v>60</v>
      </c>
      <c r="FG32" s="96" t="str">
        <f t="shared" si="74"/>
        <v>0.0143880322809015+4.67611049129299i</v>
      </c>
      <c r="FH32" s="100" t="str">
        <f t="shared" si="75"/>
        <v>24.1359341256866+6.47383781460846i</v>
      </c>
      <c r="FI32" s="98">
        <f t="shared" si="76"/>
        <v>24.989075456473724</v>
      </c>
      <c r="FJ32" s="1" t="str">
        <f>IMDIV($FI$32,EZ32)</f>
        <v>0.398086873576588-1.02203799328536i</v>
      </c>
      <c r="FK32" s="1" t="str">
        <f>IMDIV($FI$32,FA32)</f>
        <v>0.814945521087521-2.42942001769871i</v>
      </c>
      <c r="FL32" s="1" t="str">
        <f>IMDIV($FI$32,FB32)</f>
        <v>7.18504280600588-12.9786595183622i</v>
      </c>
      <c r="FM32" s="1" t="str">
        <f>IMDIV($FI$32,FC32)</f>
        <v>49.5370411383154+6.230002475627i</v>
      </c>
      <c r="FN32" s="1" t="str">
        <f>IMDIV($FI$32,FD32)</f>
        <v>6.45630660056916E-06+0.0000486403455221004i</v>
      </c>
      <c r="FO32" s="1" t="str">
        <f t="shared" si="77"/>
        <v>57.935122795292-10.2000664133737i</v>
      </c>
      <c r="FP32" s="100">
        <f t="shared" si="78"/>
        <v>58.826183015242435</v>
      </c>
      <c r="FR32" s="1">
        <f t="shared" si="79"/>
        <v>1.0968294391712632</v>
      </c>
      <c r="FS32" s="1">
        <f t="shared" si="80"/>
        <v>2.562463233831036</v>
      </c>
      <c r="FT32" s="1">
        <f t="shared" si="81"/>
        <v>14.834771417777578</v>
      </c>
      <c r="FU32" s="1">
        <f t="shared" si="82"/>
        <v>49.927260846009482</v>
      </c>
      <c r="FV32" s="1">
        <f t="shared" si="83"/>
        <v>4.9066965541287203E-5</v>
      </c>
      <c r="FX32" s="52">
        <f t="shared" si="84"/>
        <v>13</v>
      </c>
      <c r="FY32" s="1" t="str">
        <f t="shared" si="85"/>
        <v>0.904282918731895-0.293818493964375i</v>
      </c>
      <c r="FZ32" s="1" t="str">
        <f t="shared" si="86"/>
        <v>0.0957170812681049+0.293818493964375i</v>
      </c>
      <c r="GA32" s="121">
        <f t="shared" si="87"/>
        <v>1.042886347664874</v>
      </c>
      <c r="GB32" s="121">
        <f t="shared" si="88"/>
        <v>0.33893816326860282</v>
      </c>
      <c r="GD32" s="1" t="str">
        <f t="shared" si="89"/>
        <v>0.948713266647513-0.220197687313295i</v>
      </c>
      <c r="GE32" s="1" t="str">
        <f t="shared" si="90"/>
        <v>0.0512867333524874+0.220197687313295i</v>
      </c>
      <c r="GF32" s="121">
        <f t="shared" si="91"/>
        <v>2.4956653937226245</v>
      </c>
      <c r="GG32" s="121">
        <f t="shared" si="92"/>
        <v>0.57935106637688749</v>
      </c>
      <c r="GI32" s="1" t="str">
        <f t="shared" si="93"/>
        <v>0.978536291959122-0.144540072667522i</v>
      </c>
      <c r="GJ32" s="1" t="str">
        <f t="shared" si="94"/>
        <v>0.0214637080408793+0.144540072667522i</v>
      </c>
      <c r="GK32" s="123">
        <f t="shared" si="95"/>
        <v>14.673869524446715</v>
      </c>
      <c r="GL32" s="123">
        <f t="shared" si="96"/>
        <v>2.1677313665427169</v>
      </c>
      <c r="GN32" s="1" t="str">
        <f t="shared" si="97"/>
        <v>0.984523631533367-0.123053621862645i</v>
      </c>
      <c r="GO32" s="1" t="str">
        <f t="shared" si="98"/>
        <v>0.0154763684666319+0.123053621862646i</v>
      </c>
      <c r="GP32" s="123">
        <f t="shared" si="99"/>
        <v>49.537026482940746</v>
      </c>
      <c r="GQ32" s="123">
        <f t="shared" si="100"/>
        <v>6.192130142357966</v>
      </c>
      <c r="GS32" s="1" t="str">
        <f t="shared" si="101"/>
        <v>0.990874081082884-0.0947089409166788i</v>
      </c>
      <c r="GT32" s="1" t="str">
        <f t="shared" si="102"/>
        <v>0.00912591891711508+0.0947089409166788i</v>
      </c>
      <c r="GU32" s="123">
        <f t="shared" si="103"/>
        <v>4.8840766237413695E-5</v>
      </c>
      <c r="GV32" s="123">
        <f t="shared" si="104"/>
        <v>4.6686040362900778E-6</v>
      </c>
      <c r="GX32" s="1" t="str">
        <f t="shared" si="105"/>
        <v>1.40031768843254-5.15723192479861i</v>
      </c>
      <c r="GY32" s="14">
        <f t="shared" si="68"/>
        <v>13</v>
      </c>
      <c r="GZ32" s="52">
        <f t="shared" si="106"/>
        <v>5.3439620839503545</v>
      </c>
      <c r="HB32" s="1"/>
      <c r="JO32" s="1"/>
      <c r="JS32" s="1"/>
    </row>
    <row r="33" spans="2:279" ht="18" customHeight="1" thickBot="1" x14ac:dyDescent="0.3">
      <c r="B33" s="6"/>
      <c r="C33" s="71"/>
      <c r="D33" s="71"/>
      <c r="E33" s="71" t="s">
        <v>485</v>
      </c>
      <c r="F33" s="256">
        <v>0.01</v>
      </c>
      <c r="G33" s="256"/>
      <c r="H33" s="256"/>
      <c r="I33" s="256"/>
      <c r="K33" s="156">
        <v>17</v>
      </c>
      <c r="L33" s="156"/>
      <c r="M33" s="156"/>
      <c r="N33" s="156"/>
      <c r="P33" s="156">
        <v>9.9600000000000009</v>
      </c>
      <c r="Q33" s="156"/>
      <c r="R33" s="156"/>
      <c r="S33" s="156"/>
      <c r="U33" s="156">
        <v>3</v>
      </c>
      <c r="V33" s="156"/>
      <c r="W33" s="156"/>
      <c r="X33" s="156"/>
      <c r="Z33" s="255">
        <f>AE33/U33</f>
        <v>2.1191376141769832E-3</v>
      </c>
      <c r="AA33" s="255"/>
      <c r="AB33" s="255"/>
      <c r="AC33" s="255"/>
      <c r="AE33" s="255">
        <f>1000*(P33*P33)/L44</f>
        <v>6.3574128425309502E-3</v>
      </c>
      <c r="AF33" s="255"/>
      <c r="AG33" s="255"/>
      <c r="AH33" s="255"/>
      <c r="AJ33" s="156">
        <v>8</v>
      </c>
      <c r="AK33" s="156"/>
      <c r="AL33" s="156"/>
      <c r="AM33" s="156"/>
      <c r="AN33" s="156"/>
      <c r="AO33" s="156"/>
      <c r="AP33" s="8"/>
      <c r="AR33" s="6"/>
      <c r="AY33" s="29" t="s">
        <v>27</v>
      </c>
      <c r="AZ33" s="204">
        <f>CA34/(1.414*$P$31)</f>
        <v>0.81556347981679722</v>
      </c>
      <c r="BA33" s="204"/>
      <c r="BB33" s="204"/>
      <c r="BC33" s="204"/>
      <c r="BD33" s="204"/>
      <c r="BE33" s="79"/>
      <c r="BF33" s="204">
        <f>(CK40/1000)/(P31*1.414)</f>
        <v>0.88845158023426529</v>
      </c>
      <c r="BG33" s="204"/>
      <c r="BH33" s="204"/>
      <c r="BI33" s="204"/>
      <c r="BJ33" s="204"/>
      <c r="BK33" s="82"/>
      <c r="BL33" s="203">
        <f>IF(LEFT(C24,2)="SD",1.2,1.35)</f>
        <v>1.2</v>
      </c>
      <c r="BM33" s="203"/>
      <c r="BN33" s="203"/>
      <c r="BO33" s="203"/>
      <c r="BQ33" s="23"/>
      <c r="BR33" s="23"/>
      <c r="BS33" s="23"/>
      <c r="BT33" s="32"/>
      <c r="BU33" s="23"/>
      <c r="BV33" s="23"/>
      <c r="BW33" s="23"/>
      <c r="BX33" s="23"/>
      <c r="BY33" s="23"/>
      <c r="BZ33" s="32" t="s">
        <v>53</v>
      </c>
      <c r="CA33" s="211">
        <f>BT76/1000</f>
        <v>7.272423454338325</v>
      </c>
      <c r="CB33" s="211"/>
      <c r="CC33" s="211"/>
      <c r="CD33" s="24" t="s">
        <v>32</v>
      </c>
      <c r="CE33" s="24"/>
      <c r="CF33" s="8"/>
      <c r="CH33" s="2"/>
      <c r="CI33" s="273" t="s">
        <v>564</v>
      </c>
      <c r="CJ33" s="273"/>
      <c r="CK33" s="273"/>
      <c r="CL33" s="273"/>
      <c r="CM33" s="273"/>
      <c r="CN33" s="14"/>
      <c r="CO33" s="14"/>
      <c r="CP33" s="14"/>
      <c r="CQ33" s="14"/>
      <c r="CR33" s="14"/>
      <c r="CS33" s="14"/>
      <c r="CT33" s="14"/>
      <c r="CU33" s="14"/>
      <c r="CV33" s="14"/>
      <c r="CW33" s="14"/>
      <c r="CX33" s="14"/>
      <c r="CY33" s="14"/>
      <c r="CZ33" s="2"/>
      <c r="DA33" s="34"/>
      <c r="DB33" s="34"/>
      <c r="DC33" s="34"/>
      <c r="DD33" s="34"/>
      <c r="EA33" s="1">
        <f t="shared" si="52"/>
        <v>6.6</v>
      </c>
      <c r="EB33" s="1" t="str">
        <f t="shared" si="3"/>
        <v>2.30952221140276+5.68889723239086i</v>
      </c>
      <c r="EC33" s="1" t="str">
        <f t="shared" si="4"/>
        <v>0.83883190066856-0.990189645487979i</v>
      </c>
      <c r="ED33" s="52" t="str">
        <f t="shared" si="5"/>
        <v>0.21686454453334-5.08476439765299i</v>
      </c>
      <c r="EE33" s="1" t="str">
        <f t="shared" si="6"/>
        <v>0.131757739091311-5.87256352957696i</v>
      </c>
      <c r="EF33" s="1" t="str">
        <f t="shared" si="7"/>
        <v>17789.2199441729-2008788.26424305i</v>
      </c>
      <c r="EH33" s="1" t="str">
        <f t="shared" si="8"/>
        <v>0.587786184708759-0.826396687480547i</v>
      </c>
      <c r="EI33" s="1" t="str">
        <f t="shared" si="0"/>
        <v>0.0143880322809015+2.37402532634875i</v>
      </c>
      <c r="EJ33" s="1" t="str">
        <f t="shared" si="9"/>
        <v>1.20665668092566-0.803633493876923i</v>
      </c>
      <c r="EL33" s="52">
        <f t="shared" si="53"/>
        <v>6.6</v>
      </c>
      <c r="EM33" s="14">
        <f t="shared" si="10"/>
        <v>1.0141124612257264</v>
      </c>
      <c r="EN33" s="14">
        <f t="shared" si="10"/>
        <v>2.3740689260462098</v>
      </c>
      <c r="EO33" s="14">
        <f t="shared" si="10"/>
        <v>1.4497748577290752</v>
      </c>
      <c r="EQ33" s="1" t="str">
        <f t="shared" si="11"/>
        <v>-0.335418146435758-0.510307398408187i</v>
      </c>
      <c r="ER33" s="14">
        <f t="shared" si="12"/>
        <v>6.6</v>
      </c>
      <c r="ES33" s="2">
        <f t="shared" si="13"/>
        <v>0.61067092106021525</v>
      </c>
      <c r="EU33" s="1" t="str">
        <f t="shared" si="14"/>
        <v>1.33541814643576+0.510307398408187i</v>
      </c>
      <c r="EV33" s="52">
        <f t="shared" si="15"/>
        <v>6.6</v>
      </c>
      <c r="EW33" s="2">
        <f t="shared" si="16"/>
        <v>1.4295996875699339</v>
      </c>
      <c r="EY33" s="96">
        <f>BP310</f>
        <v>17</v>
      </c>
      <c r="EZ33" s="1" t="str">
        <f t="shared" si="69"/>
        <v>13.2294933116912+27.9091038503718i</v>
      </c>
      <c r="FA33" s="1" t="str">
        <f t="shared" si="70"/>
        <v>5.11086697162892+13.6906725096628i</v>
      </c>
      <c r="FB33" s="1" t="str">
        <f t="shared" si="71"/>
        <v>1.37138238435047+4.00292176810563i</v>
      </c>
      <c r="FC33" s="1" t="str">
        <f t="shared" si="72"/>
        <v>0.837903206055128+2.04042768962934i</v>
      </c>
      <c r="FD33" s="1" t="str">
        <f t="shared" si="73"/>
        <v>113485.972452874-14252.190311509i</v>
      </c>
      <c r="FF33" s="96">
        <f>BP311</f>
        <v>40</v>
      </c>
      <c r="FG33" s="96" t="str">
        <f t="shared" si="74"/>
        <v>0.0143880322809015+6.11491371938314i</v>
      </c>
      <c r="FH33" s="100" t="str">
        <f t="shared" si="75"/>
        <v>12.8688342458209+40.347514724676i</v>
      </c>
      <c r="FI33" s="98">
        <f t="shared" si="76"/>
        <v>42.350074844141183</v>
      </c>
      <c r="FJ33" s="1" t="str">
        <f>IMDIV($FI$33,EZ33)</f>
        <v>0.587323582720514-1.23902514463147i</v>
      </c>
      <c r="FK33" s="1" t="str">
        <f>IMDIV($FI$33,FA33)</f>
        <v>1.013533363164-2.71499012393057i</v>
      </c>
      <c r="FL33" s="1" t="str">
        <f>IMDIV($FI$33,FB33)</f>
        <v>3.24385120662604-9.46846244758288i</v>
      </c>
      <c r="FM33" s="1" t="str">
        <f>IMDIV($FI$33,FC33)</f>
        <v>7.29335039475772-17.7604692142133i</v>
      </c>
      <c r="FN33" s="1" t="str">
        <f>IMDIV($FI$33,FD33)</f>
        <v>0.000367380316804136+0.000046137633388737i</v>
      </c>
      <c r="FO33" s="1" t="str">
        <f t="shared" si="77"/>
        <v>12.1384259275851-31.1829007927248i</v>
      </c>
      <c r="FP33" s="100">
        <f t="shared" si="78"/>
        <v>33.462138094395392</v>
      </c>
      <c r="FR33" s="1">
        <f t="shared" si="79"/>
        <v>1.3711791640222279</v>
      </c>
      <c r="FS33" s="1">
        <f t="shared" si="80"/>
        <v>2.898002976411008</v>
      </c>
      <c r="FT33" s="1">
        <f t="shared" si="81"/>
        <v>10.008713792092188</v>
      </c>
      <c r="FU33" s="1">
        <f t="shared" si="82"/>
        <v>19.199667358830229</v>
      </c>
      <c r="FV33" s="1">
        <f t="shared" si="83"/>
        <v>3.7026609133138403E-4</v>
      </c>
      <c r="FX33" s="52">
        <f t="shared" si="84"/>
        <v>17</v>
      </c>
      <c r="FY33" s="1" t="str">
        <f t="shared" si="85"/>
        <v>0.846862056997457-0.359826417619515i</v>
      </c>
      <c r="FZ33" s="1" t="str">
        <f t="shared" si="86"/>
        <v>0.153137943002543+0.359826417619515i</v>
      </c>
      <c r="GA33" s="121">
        <f t="shared" si="87"/>
        <v>1.2616714125274178</v>
      </c>
      <c r="GB33" s="121">
        <f t="shared" si="88"/>
        <v>0.53621044309410204</v>
      </c>
      <c r="GD33" s="1" t="str">
        <f t="shared" si="89"/>
        <v>0.915484544747862-0.277865332274838i</v>
      </c>
      <c r="GE33" s="1" t="str">
        <f t="shared" si="90"/>
        <v>0.084515455252138+0.277865332274838i</v>
      </c>
      <c r="GF33" s="121">
        <f t="shared" si="91"/>
        <v>2.7725894272755678</v>
      </c>
      <c r="GG33" s="121">
        <f t="shared" si="92"/>
        <v>0.84167907889926441</v>
      </c>
      <c r="GI33" s="1" t="str">
        <f t="shared" si="93"/>
        <v>0.96392174795611-0.186190997787228i</v>
      </c>
      <c r="GJ33" s="1" t="str">
        <f t="shared" si="94"/>
        <v>0.0360782520438913+0.186190997787227i</v>
      </c>
      <c r="GK33" s="123">
        <f t="shared" si="95"/>
        <v>9.825948542155821</v>
      </c>
      <c r="GL33" s="123">
        <f t="shared" si="96"/>
        <v>1.8981949331419874</v>
      </c>
      <c r="GN33" s="1" t="str">
        <f t="shared" si="97"/>
        <v>0.973886917408652-0.159177748254467i</v>
      </c>
      <c r="GO33" s="1" t="str">
        <f t="shared" si="98"/>
        <v>0.0261130825913463+0.159177748254467i</v>
      </c>
      <c r="GP33" s="123">
        <f t="shared" si="99"/>
        <v>18.946417008058237</v>
      </c>
      <c r="GQ33" s="123">
        <f t="shared" si="100"/>
        <v>3.097011008285977</v>
      </c>
      <c r="GS33" s="1" t="str">
        <f t="shared" si="101"/>
        <v>0.984545218980561-0.123059103909047i</v>
      </c>
      <c r="GT33" s="1" t="str">
        <f t="shared" si="102"/>
        <v>0.0154547810194383+0.123059103909047i</v>
      </c>
      <c r="GU33" s="123">
        <f t="shared" si="103"/>
        <v>3.6738025324493831E-4</v>
      </c>
      <c r="GV33" s="123">
        <f t="shared" si="104"/>
        <v>4.5922539600691127E-5</v>
      </c>
      <c r="GX33" s="1" t="str">
        <f t="shared" si="105"/>
        <v>6.60313009209472-2.08896294912718i</v>
      </c>
      <c r="GY33" s="14">
        <f t="shared" si="68"/>
        <v>17</v>
      </c>
      <c r="GZ33" s="52">
        <f t="shared" si="106"/>
        <v>6.9256835919606488</v>
      </c>
      <c r="HB33" s="1"/>
      <c r="JO33" s="1"/>
      <c r="JS33" s="1"/>
    </row>
    <row r="34" spans="2:279" ht="18" customHeight="1" thickTop="1" x14ac:dyDescent="0.25">
      <c r="B34" s="6"/>
      <c r="E34" s="71" t="s">
        <v>401</v>
      </c>
      <c r="F34" s="195">
        <f>SUM(F29:I32)</f>
        <v>12000</v>
      </c>
      <c r="G34" s="195"/>
      <c r="H34" s="195"/>
      <c r="I34" s="195"/>
      <c r="J34" s="18" t="s">
        <v>37</v>
      </c>
      <c r="K34" s="18"/>
      <c r="AP34" s="8"/>
      <c r="AR34" s="6"/>
      <c r="AY34" s="29" t="str">
        <f>"% "&amp;$AK$17&amp;"HZ AMPS:"</f>
        <v>% 60HZ AMPS:</v>
      </c>
      <c r="AZ34" s="212">
        <f>(CA35/U31)/(Z31/P31)</f>
        <v>0.83797982404870319</v>
      </c>
      <c r="BA34" s="212"/>
      <c r="BB34" s="212"/>
      <c r="BC34" s="212"/>
      <c r="BD34" s="212"/>
      <c r="BE34" s="80"/>
      <c r="BF34" s="212">
        <f>CK44/(AE31/P31)</f>
        <v>0.90209554058564168</v>
      </c>
      <c r="BG34" s="212"/>
      <c r="BH34" s="212"/>
      <c r="BI34" s="212"/>
      <c r="BJ34" s="212"/>
      <c r="BK34" s="83"/>
      <c r="BL34" s="213">
        <v>1.35</v>
      </c>
      <c r="BM34" s="213"/>
      <c r="BN34" s="213"/>
      <c r="BO34" s="213"/>
      <c r="BQ34" s="23"/>
      <c r="BR34" s="23"/>
      <c r="BS34" s="23"/>
      <c r="BT34" s="23"/>
      <c r="BU34" s="23"/>
      <c r="BV34" s="23"/>
      <c r="BW34" s="23"/>
      <c r="BX34" s="23"/>
      <c r="BY34" s="23"/>
      <c r="BZ34" s="32" t="s">
        <v>54</v>
      </c>
      <c r="CA34" s="211">
        <f>(1.414*SUM(BT60:BU75))/1000</f>
        <v>11.485939334191075</v>
      </c>
      <c r="CB34" s="211"/>
      <c r="CC34" s="211"/>
      <c r="CD34" s="24" t="s">
        <v>32</v>
      </c>
      <c r="CE34" s="24"/>
      <c r="CF34" s="8"/>
      <c r="CH34" s="2"/>
      <c r="CI34" s="273"/>
      <c r="CJ34" s="273"/>
      <c r="CK34" s="273"/>
      <c r="CL34" s="273"/>
      <c r="CM34" s="273"/>
      <c r="CN34" s="14"/>
      <c r="CO34" s="14"/>
      <c r="CP34" s="14"/>
      <c r="CQ34" s="14"/>
      <c r="CR34" s="14"/>
      <c r="CS34" s="14"/>
      <c r="CT34" s="14"/>
      <c r="CU34" s="14"/>
      <c r="CV34" s="14"/>
      <c r="CW34" s="14"/>
      <c r="CX34" s="14"/>
      <c r="CY34" s="14"/>
      <c r="CZ34" s="2"/>
      <c r="DA34" s="34"/>
      <c r="DB34" s="34"/>
      <c r="DC34" s="34"/>
      <c r="DD34" s="34"/>
      <c r="EA34" s="1">
        <f t="shared" si="52"/>
        <v>6.8</v>
      </c>
      <c r="EB34" s="1" t="str">
        <f t="shared" si="3"/>
        <v>2.44633372115023+6.32655150570238i</v>
      </c>
      <c r="EC34" s="1" t="str">
        <f t="shared" si="4"/>
        <v>0.88903621907469-0.54754526269019i</v>
      </c>
      <c r="ED34" s="52" t="str">
        <f t="shared" si="5"/>
        <v>0.229863667877605-4.76696943808543i</v>
      </c>
      <c r="EE34" s="1" t="str">
        <f t="shared" si="6"/>
        <v>0.139640547627806-5.57926887931282i</v>
      </c>
      <c r="EF34" s="1" t="str">
        <f t="shared" si="7"/>
        <v>18847.8271114883-1928532.55634964i</v>
      </c>
      <c r="EH34" s="1" t="str">
        <f t="shared" si="8"/>
        <v>0.655536247577796-0.558994001334288i</v>
      </c>
      <c r="EI34" s="1" t="str">
        <f t="shared" si="0"/>
        <v>0.0143880322809015+2.44596548775326i</v>
      </c>
      <c r="EJ34" s="1" t="str">
        <f t="shared" si="9"/>
        <v>0.980860821420014-0.381356813054158i</v>
      </c>
      <c r="EL34" s="52">
        <f t="shared" si="53"/>
        <v>6.8</v>
      </c>
      <c r="EM34" s="14">
        <f t="shared" si="10"/>
        <v>0.86151150045492464</v>
      </c>
      <c r="EN34" s="14">
        <f t="shared" si="10"/>
        <v>2.4460078051291987</v>
      </c>
      <c r="EO34" s="14">
        <f t="shared" si="10"/>
        <v>1.0523882220262486</v>
      </c>
      <c r="EQ34" s="1" t="str">
        <f t="shared" si="11"/>
        <v>-0.153548383963333-0.401914943382196i</v>
      </c>
      <c r="ER34" s="14">
        <f t="shared" si="12"/>
        <v>6.8</v>
      </c>
      <c r="ES34" s="2">
        <f t="shared" si="13"/>
        <v>0.43024728695445019</v>
      </c>
      <c r="EU34" s="1" t="str">
        <f t="shared" si="14"/>
        <v>1.15354838396333+0.401914943382197i</v>
      </c>
      <c r="EV34" s="52">
        <f t="shared" si="15"/>
        <v>6.8</v>
      </c>
      <c r="EW34" s="2">
        <f t="shared" si="16"/>
        <v>1.2215602710707012</v>
      </c>
      <c r="EY34" s="96">
        <f>BR310</f>
        <v>19</v>
      </c>
      <c r="EZ34" s="1" t="str">
        <f t="shared" si="69"/>
        <v>15.9145336894332+30.6254332089356i</v>
      </c>
      <c r="FA34" s="1" t="str">
        <f t="shared" si="70"/>
        <v>6.25034836852053+15.6086203002194i</v>
      </c>
      <c r="FB34" s="1" t="str">
        <f t="shared" si="71"/>
        <v>1.696799231005+5.08892667009795i</v>
      </c>
      <c r="FC34" s="1" t="str">
        <f t="shared" si="72"/>
        <v>1.03916932408556+2.92741892947602i</v>
      </c>
      <c r="FD34" s="1" t="str">
        <f t="shared" si="73"/>
        <v>141086.173687219+184821.901820395i</v>
      </c>
      <c r="FF34" s="96">
        <f>BR311</f>
        <v>30</v>
      </c>
      <c r="FG34" s="96" t="str">
        <f t="shared" si="74"/>
        <v>0.0143880322809015+6.83431533342822i</v>
      </c>
      <c r="FH34" s="100" t="str">
        <f t="shared" si="75"/>
        <v>11.2156479460895+39.1958577295653i</v>
      </c>
      <c r="FI34" s="98">
        <f t="shared" si="76"/>
        <v>40.76893452136008</v>
      </c>
      <c r="FJ34" s="1" t="str">
        <f>IMDIV($FI$34,EZ34)</f>
        <v>0.544681227597996-1.04816759834058i</v>
      </c>
      <c r="FK34" s="1" t="str">
        <f>IMDIV($FI$34,FA34)</f>
        <v>0.901392836728625-2.25099429668511i</v>
      </c>
      <c r="FL34" s="1" t="str">
        <f>IMDIV($FI$34,FB34)</f>
        <v>2.4039466941263-7.20975600512698i</v>
      </c>
      <c r="FM34" s="1" t="str">
        <f>IMDIV($FI$34,FC34)</f>
        <v>4.39039825205959-12.3680854054536i</v>
      </c>
      <c r="FN34" s="1" t="str">
        <f>IMDIV($FI$34,FD34)</f>
        <v>0.000106390310763063-0.000139370563795178i</v>
      </c>
      <c r="FO34" s="1" t="str">
        <f t="shared" si="77"/>
        <v>8.24052540082327-22.8771426761701i</v>
      </c>
      <c r="FP34" s="100">
        <f t="shared" si="78"/>
        <v>24.316042357000793</v>
      </c>
      <c r="FR34" s="1">
        <f t="shared" si="79"/>
        <v>1.1812421233213448</v>
      </c>
      <c r="FS34" s="1">
        <f t="shared" si="80"/>
        <v>2.4247648071131707</v>
      </c>
      <c r="FT34" s="1">
        <f t="shared" si="81"/>
        <v>7.5999698263654523</v>
      </c>
      <c r="FU34" s="1">
        <f t="shared" si="82"/>
        <v>13.12421934471846</v>
      </c>
      <c r="FV34" s="1">
        <f t="shared" si="83"/>
        <v>1.7533696779871297E-4</v>
      </c>
      <c r="FX34" s="52">
        <f t="shared" si="84"/>
        <v>19</v>
      </c>
      <c r="FY34" s="1" t="str">
        <f t="shared" si="85"/>
        <v>0.815781383638425-0.387399307401401i</v>
      </c>
      <c r="FZ34" s="1" t="str">
        <f t="shared" si="86"/>
        <v>0.184218616361575+0.387399307401401i</v>
      </c>
      <c r="GA34" s="121">
        <f t="shared" si="87"/>
        <v>1.0667718346671586</v>
      </c>
      <c r="GB34" s="121">
        <f t="shared" si="88"/>
        <v>0.50671669164925237</v>
      </c>
      <c r="GD34" s="1" t="str">
        <f t="shared" si="89"/>
        <v>0.896641599011995-0.304163370491482i</v>
      </c>
      <c r="GE34" s="1" t="str">
        <f t="shared" si="90"/>
        <v>0.103358400988005+0.304163370491482i</v>
      </c>
      <c r="GF34" s="121">
        <f t="shared" si="91"/>
        <v>2.2958329738186656</v>
      </c>
      <c r="GG34" s="121">
        <f t="shared" si="92"/>
        <v>0.77894343828964185</v>
      </c>
      <c r="GI34" s="1" t="str">
        <f t="shared" si="93"/>
        <v>0.95536069952286-0.20624762289438i</v>
      </c>
      <c r="GJ34" s="1" t="str">
        <f t="shared" si="94"/>
        <v>0.0446393004771414+0.206247622894379i</v>
      </c>
      <c r="GK34" s="123">
        <f t="shared" si="95"/>
        <v>7.4279826306642676</v>
      </c>
      <c r="GL34" s="123">
        <f t="shared" si="96"/>
        <v>1.6037691992038878</v>
      </c>
      <c r="GN34" s="1" t="str">
        <f t="shared" si="97"/>
        <v>0.967614499872846-0.176758729906586i</v>
      </c>
      <c r="GO34" s="1" t="str">
        <f t="shared" si="98"/>
        <v>0.0323855001271526+0.176758729906587i</v>
      </c>
      <c r="GP34" s="123">
        <f t="shared" si="99"/>
        <v>12.909332457443343</v>
      </c>
      <c r="GQ34" s="123">
        <f t="shared" si="100"/>
        <v>2.358436064070665</v>
      </c>
      <c r="GS34" s="1" t="str">
        <f t="shared" si="101"/>
        <v>0.980786560029594-0.13701157738815i</v>
      </c>
      <c r="GT34" s="1" t="str">
        <f t="shared" si="102"/>
        <v>0.0192134399704056+0.137011577388151i</v>
      </c>
      <c r="GU34" s="123">
        <f t="shared" si="103"/>
        <v>1.7363800149798828E-4</v>
      </c>
      <c r="GV34" s="123">
        <f t="shared" si="104"/>
        <v>2.425825356914617E-5</v>
      </c>
      <c r="GX34" s="1" t="str">
        <f t="shared" si="105"/>
        <v>5.73858446405213-1.62899726811251i</v>
      </c>
      <c r="GY34" s="14">
        <f t="shared" si="68"/>
        <v>19</v>
      </c>
      <c r="GZ34" s="52">
        <f t="shared" si="106"/>
        <v>5.965315058785956</v>
      </c>
      <c r="HB34" s="1"/>
      <c r="JO34" s="1"/>
      <c r="JS34" s="1"/>
    </row>
    <row r="35" spans="2:279" ht="18" customHeight="1" x14ac:dyDescent="0.25">
      <c r="B35" s="6"/>
      <c r="C35" s="178" t="s">
        <v>403</v>
      </c>
      <c r="D35" s="178"/>
      <c r="E35" s="178"/>
      <c r="F35" s="178"/>
      <c r="G35" s="178"/>
      <c r="H35" s="178"/>
      <c r="I35" s="178"/>
      <c r="J35" s="178"/>
      <c r="K35" s="178"/>
      <c r="L35" s="178"/>
      <c r="M35" s="178"/>
      <c r="N35" s="178"/>
      <c r="O35" s="178"/>
      <c r="P35" s="178"/>
      <c r="Q35" s="178"/>
      <c r="R35" s="178"/>
      <c r="S35" s="178"/>
      <c r="T35" s="178"/>
      <c r="U35" s="178"/>
      <c r="V35" s="178"/>
      <c r="W35" s="178"/>
      <c r="X35" s="178"/>
      <c r="Y35" s="178"/>
      <c r="Z35" s="178"/>
      <c r="AA35" s="178"/>
      <c r="AB35" s="178"/>
      <c r="AC35" s="178"/>
      <c r="AD35" s="178"/>
      <c r="AE35" s="178"/>
      <c r="AF35" s="178"/>
      <c r="AG35" s="178"/>
      <c r="AH35" s="178"/>
      <c r="AI35" s="178"/>
      <c r="AJ35" s="178"/>
      <c r="AK35" s="178"/>
      <c r="AL35" s="178"/>
      <c r="AM35" s="178"/>
      <c r="AN35" s="178"/>
      <c r="AO35" s="178"/>
      <c r="AP35" s="8"/>
      <c r="AR35" s="6"/>
      <c r="AY35" s="29" t="str">
        <f>"% "&amp;$AK$17&amp;"HZ KVAR:"</f>
        <v>% 60HZ KVAR:</v>
      </c>
      <c r="AZ35" s="202">
        <f>CA36/AE31</f>
        <v>0.54832684026457923</v>
      </c>
      <c r="BA35" s="202"/>
      <c r="BB35" s="202"/>
      <c r="BC35" s="202"/>
      <c r="BD35" s="202"/>
      <c r="BE35" s="81"/>
      <c r="BF35" s="202">
        <f>CQ31/AE31</f>
        <v>0.65989301909638476</v>
      </c>
      <c r="BG35" s="202"/>
      <c r="BH35" s="202"/>
      <c r="BI35" s="202"/>
      <c r="BJ35" s="202"/>
      <c r="BK35" s="79"/>
      <c r="BL35" s="203">
        <v>1.35</v>
      </c>
      <c r="BM35" s="203"/>
      <c r="BN35" s="203"/>
      <c r="BO35" s="203"/>
      <c r="BQ35" s="23"/>
      <c r="BR35" s="23"/>
      <c r="BS35" s="23"/>
      <c r="BT35" s="23"/>
      <c r="BU35" s="23"/>
      <c r="BV35" s="23"/>
      <c r="BW35" s="23"/>
      <c r="BX35" s="23"/>
      <c r="BY35" s="23"/>
      <c r="BZ35" s="32" t="s">
        <v>56</v>
      </c>
      <c r="CA35" s="248">
        <f>AD90</f>
        <v>159.68978060067087</v>
      </c>
      <c r="CB35" s="248"/>
      <c r="CC35" s="248"/>
      <c r="CD35" s="24" t="s">
        <v>39</v>
      </c>
      <c r="CE35" s="24"/>
      <c r="CF35" s="8"/>
      <c r="CH35" s="2"/>
      <c r="CI35" s="18" t="s">
        <v>383</v>
      </c>
      <c r="CJ35" s="18" t="s">
        <v>384</v>
      </c>
      <c r="CK35" s="18" t="s">
        <v>385</v>
      </c>
      <c r="CL35" s="18" t="s">
        <v>386</v>
      </c>
      <c r="CM35" s="18" t="s">
        <v>496</v>
      </c>
      <c r="CN35" s="14"/>
      <c r="CO35" s="14"/>
      <c r="CP35" s="14"/>
      <c r="CQ35" s="14"/>
      <c r="CR35" s="14"/>
      <c r="CS35" s="14"/>
      <c r="CT35" s="14"/>
      <c r="CU35" s="14"/>
      <c r="CV35" s="14"/>
      <c r="CW35" s="14"/>
      <c r="CX35" s="14"/>
      <c r="CY35" s="14"/>
      <c r="CZ35" s="2"/>
      <c r="DA35" s="34"/>
      <c r="DB35" s="34"/>
      <c r="DC35" s="34"/>
      <c r="DD35" s="34"/>
      <c r="EA35" s="1">
        <f t="shared" si="52"/>
        <v>7</v>
      </c>
      <c r="EB35" s="1" t="str">
        <f t="shared" si="3"/>
        <v>2.58676457229578+6.94845551330131i</v>
      </c>
      <c r="EC35" s="1" t="str">
        <f t="shared" si="4"/>
        <v>0.940650895925285-0.11890996227022i</v>
      </c>
      <c r="ED35" s="52" t="str">
        <f t="shared" si="5"/>
        <v>0.243241481794331-4.46257296802426i</v>
      </c>
      <c r="EE35" s="1" t="str">
        <f t="shared" si="6"/>
        <v>0.147754599997855-5.29929797033118i</v>
      </c>
      <c r="EF35" s="1" t="str">
        <f t="shared" si="7"/>
        <v>19937.7147376503-1852255.1095919i</v>
      </c>
      <c r="EH35" s="1" t="str">
        <f t="shared" si="8"/>
        <v>0.788617524532722-0.29664166465421i</v>
      </c>
      <c r="EI35" s="1" t="str">
        <f t="shared" si="0"/>
        <v>0.0143880322809015+2.51790564915777i</v>
      </c>
      <c r="EJ35" s="1" t="str">
        <f t="shared" si="9"/>
        <v>0.898054248559692-0.0167111275175346i</v>
      </c>
      <c r="EL35" s="52">
        <f t="shared" si="53"/>
        <v>7</v>
      </c>
      <c r="EM35" s="14">
        <f t="shared" si="10"/>
        <v>0.84256387129341082</v>
      </c>
      <c r="EN35" s="14">
        <f t="shared" si="10"/>
        <v>2.5179467574858538</v>
      </c>
      <c r="EO35" s="14">
        <f t="shared" si="10"/>
        <v>0.89820971668036431</v>
      </c>
      <c r="EQ35" s="1" t="str">
        <f t="shared" si="11"/>
        <v>-0.00459866749497083-0.356693434734728i</v>
      </c>
      <c r="ER35" s="14">
        <f t="shared" si="12"/>
        <v>7</v>
      </c>
      <c r="ES35" s="2">
        <f t="shared" si="13"/>
        <v>0.35672307764649452</v>
      </c>
      <c r="EU35" s="1" t="str">
        <f t="shared" si="14"/>
        <v>1.00459866749497+0.356693434734728i</v>
      </c>
      <c r="EV35" s="52">
        <f t="shared" si="15"/>
        <v>7</v>
      </c>
      <c r="EW35" s="2">
        <f t="shared" si="16"/>
        <v>1.0660434743084013</v>
      </c>
      <c r="EY35" s="96">
        <f>BT310</f>
        <v>23</v>
      </c>
      <c r="EZ35" s="1" t="str">
        <f t="shared" si="69"/>
        <v>21.4736355382445+34.9696911278572i</v>
      </c>
      <c r="FA35" s="1" t="str">
        <f t="shared" si="70"/>
        <v>8.73508246313515+18.944945319284i</v>
      </c>
      <c r="FB35" s="1" t="str">
        <f t="shared" si="71"/>
        <v>2.43408240080443+7.02512602199602i</v>
      </c>
      <c r="FC35" s="1" t="str">
        <f t="shared" si="72"/>
        <v>1.49885740015901+4.49709201967147i</v>
      </c>
      <c r="FD35" s="1" t="str">
        <f t="shared" si="73"/>
        <v>204674.348717914+528706.253065757i</v>
      </c>
      <c r="FF35" s="96">
        <f>BT311</f>
        <v>20</v>
      </c>
      <c r="FG35" s="96" t="str">
        <f t="shared" si="74"/>
        <v>0.0143880322809015+8.27311856151837i</v>
      </c>
      <c r="FH35" s="100" t="str">
        <f t="shared" si="75"/>
        <v>10.1526866839492+36.1837526977374i</v>
      </c>
      <c r="FI35" s="98">
        <f t="shared" si="76"/>
        <v>37.581125664267397</v>
      </c>
      <c r="FJ35" s="1" t="str">
        <f>IMDIV($FI$35,EZ35)</f>
        <v>0.479219215422437-0.780405717327671i</v>
      </c>
      <c r="FK35" s="1" t="str">
        <f>IMDIV($FI$35,FA35)</f>
        <v>0.754284727884701-1.63591849135421i</v>
      </c>
      <c r="FL35" s="1" t="str">
        <f>IMDIV($FI$35,FB35)</f>
        <v>1.6548529006353-4.77615308790967i</v>
      </c>
      <c r="FM35" s="1" t="str">
        <f>IMDIV($FI$35,FC35)</f>
        <v>2.50679662537242-7.5212592590234i</v>
      </c>
      <c r="FN35" s="1" t="str">
        <f>IMDIV($FI$35,FD35)</f>
        <v>0.0000239308293352344-0.0000618171216366035i</v>
      </c>
      <c r="FO35" s="1" t="str">
        <f t="shared" si="77"/>
        <v>5.39517740014419-14.7137983727366i</v>
      </c>
      <c r="FP35" s="100">
        <f t="shared" si="78"/>
        <v>15.671751712318978</v>
      </c>
      <c r="FR35" s="1">
        <f t="shared" si="79"/>
        <v>0.91579699719305285</v>
      </c>
      <c r="FS35" s="1">
        <f t="shared" si="80"/>
        <v>1.8014368601410187</v>
      </c>
      <c r="FT35" s="1">
        <f t="shared" si="81"/>
        <v>5.0547182356576661</v>
      </c>
      <c r="FU35" s="1">
        <f t="shared" si="82"/>
        <v>7.9280117408101622</v>
      </c>
      <c r="FV35" s="1">
        <f t="shared" si="83"/>
        <v>6.6287563841996392E-5</v>
      </c>
      <c r="FX35" s="52">
        <f t="shared" si="84"/>
        <v>23</v>
      </c>
      <c r="FY35" s="1" t="str">
        <f t="shared" si="85"/>
        <v>0.751432024066484-0.431965422482608i</v>
      </c>
      <c r="FZ35" s="1" t="str">
        <f t="shared" si="86"/>
        <v>0.248567975933516+0.431965422482608i</v>
      </c>
      <c r="GA35" s="121">
        <f t="shared" si="87"/>
        <v>0.79376105143293729</v>
      </c>
      <c r="GB35" s="121">
        <f t="shared" si="88"/>
        <v>0.45641264771312462</v>
      </c>
      <c r="GD35" s="1" t="str">
        <f t="shared" si="89"/>
        <v>0.855552986384706-0.351325097069243i</v>
      </c>
      <c r="GE35" s="1" t="str">
        <f t="shared" si="90"/>
        <v>0.144447013615294+0.351325097069243i</v>
      </c>
      <c r="GF35" s="121">
        <f t="shared" si="91"/>
        <v>1.6661102177215192</v>
      </c>
      <c r="GG35" s="121">
        <f t="shared" si="92"/>
        <v>0.68429533267095755</v>
      </c>
      <c r="GI35" s="1" t="str">
        <f t="shared" si="93"/>
        <v>0.93596429460233-0.244599236176044i</v>
      </c>
      <c r="GJ35" s="1" t="str">
        <f t="shared" si="94"/>
        <v>0.0640357053976708+0.244599236176044i</v>
      </c>
      <c r="GK35" s="123">
        <f t="shared" si="95"/>
        <v>4.8899218473471757</v>
      </c>
      <c r="GL35" s="123">
        <f t="shared" si="96"/>
        <v>1.2780478763551095</v>
      </c>
      <c r="GN35" s="1" t="str">
        <f t="shared" si="97"/>
        <v>0.953288414699742-0.210803129873032i</v>
      </c>
      <c r="GO35" s="1" t="str">
        <f t="shared" si="98"/>
        <v>0.046711585300257+0.210803129873032i</v>
      </c>
      <c r="GP35" s="123">
        <f t="shared" si="99"/>
        <v>7.740260258358763</v>
      </c>
      <c r="GQ35" s="123">
        <f t="shared" si="100"/>
        <v>1.7117884881625329</v>
      </c>
      <c r="GS35" s="1" t="str">
        <f t="shared" si="101"/>
        <v>0.972126975948106-0.164391739186872i</v>
      </c>
      <c r="GT35" s="1" t="str">
        <f t="shared" si="102"/>
        <v>0.0278730240518937+0.164391739186872i</v>
      </c>
      <c r="GU35" s="123">
        <f t="shared" si="103"/>
        <v>6.5354814999703261E-5</v>
      </c>
      <c r="GV35" s="123">
        <f t="shared" si="104"/>
        <v>1.1052653581388636E-5</v>
      </c>
      <c r="GX35" s="1" t="str">
        <f t="shared" si="105"/>
        <v>4.37577435660067-1.219579754143i</v>
      </c>
      <c r="GY35" s="14">
        <f t="shared" si="68"/>
        <v>23</v>
      </c>
      <c r="GZ35" s="52">
        <f t="shared" si="106"/>
        <v>4.5425517054404017</v>
      </c>
      <c r="HB35" s="1"/>
      <c r="JO35" s="1"/>
      <c r="JS35" s="1"/>
    </row>
    <row r="36" spans="2:279" ht="18" customHeight="1" x14ac:dyDescent="0.25">
      <c r="B36" s="6"/>
      <c r="W36" s="252" t="s">
        <v>68</v>
      </c>
      <c r="X36" s="252"/>
      <c r="Y36" s="252"/>
      <c r="Z36" s="252"/>
      <c r="AA36" s="252"/>
      <c r="AB36" s="252"/>
      <c r="AC36" s="252"/>
      <c r="AD36" s="252"/>
      <c r="AE36" s="252"/>
      <c r="AL36" s="257" t="s">
        <v>486</v>
      </c>
      <c r="AM36" s="257"/>
      <c r="AN36" s="257"/>
      <c r="AO36" s="257"/>
      <c r="AP36" s="8"/>
      <c r="AR36" s="6"/>
      <c r="BQ36" s="23"/>
      <c r="BR36" s="23"/>
      <c r="BS36" s="23"/>
      <c r="BT36" s="23"/>
      <c r="BU36" s="23"/>
      <c r="BV36" s="23"/>
      <c r="BW36" s="23"/>
      <c r="BX36" s="23"/>
      <c r="BY36" s="23"/>
      <c r="BZ36" s="32" t="s">
        <v>58</v>
      </c>
      <c r="CA36" s="248">
        <f>CK31</f>
        <v>1040.7403799612698</v>
      </c>
      <c r="CB36" s="248"/>
      <c r="CC36" s="248"/>
      <c r="CD36" s="24" t="s">
        <v>37</v>
      </c>
      <c r="CE36" s="24"/>
      <c r="CF36" s="8"/>
      <c r="CH36" s="2"/>
      <c r="CI36" s="61">
        <f>SQRT(SUM((1.1*BP60)^2,BP61^2,BP62^2,BP63^2,BP64^2,BP65^2,BP66^2,BP67^2,BP68^2,BP69^2,BP70^2,BP71^2,BP72^2,BP73^2,BP74^2,BP75^2))/1000</f>
        <v>8.3589200394699681</v>
      </c>
      <c r="CJ36" s="126">
        <f>SQRT(SUM((1.1*BR60)^2,BR61^2,BR62^2,BR63^2,BR64^2,BR65^2,BR66^2,BR67^2,BR68^2,BR69^2,BR70^2,BR71^2,BR72^2,BR73^2,BR74^2,BR75^2))/1000</f>
        <v>8.126138227736174</v>
      </c>
      <c r="CK36" s="61">
        <f>SQRT(SUM((1.1*BT60)^2,BT61^2,BT62^2,BT63^2,BT64^2,BT65^2,BT66^2,BT67^2,BT68^2,BT69^2,BT70^2,BT71^2,BT72^2,BT73^2,BT74^2,BT75^2))/1000</f>
        <v>7.9972299169907215</v>
      </c>
      <c r="CL36" s="61">
        <f>SQRT(SUM((1.1*BV60)^2,BV61^2,BV62^2,BV63^2,BV64^2,BV65^2,BV66^2,BV67^2,BV68^2,BV69^2,BV70^2,BV71^2,BV72^2,BV73^2,BV74^2,BV75^2))/1000</f>
        <v>7.974602673935915</v>
      </c>
      <c r="CM36" s="61">
        <f>SQRT(SUM((1.1*BX60)^2,BX61^2,BX62^2,BX63^2,BX64^2,BX65^2,BX66^2,BX67^2,BX68^2,BX69^2,BX70^2,BX71^2,BX72^2,BX73^2,BX74^2,BX75^2))/1000</f>
        <v>7.9627768331244742</v>
      </c>
      <c r="CN36" s="14"/>
      <c r="CO36" s="14"/>
      <c r="CP36" s="14"/>
      <c r="CQ36" s="14"/>
      <c r="CR36" s="14"/>
      <c r="CS36" s="14"/>
      <c r="CT36" s="14"/>
      <c r="CU36" s="14"/>
      <c r="CV36" s="14"/>
      <c r="CW36" s="14"/>
      <c r="CX36" s="14"/>
      <c r="CY36" s="14"/>
      <c r="CZ36" s="2"/>
      <c r="DA36" s="34"/>
      <c r="DB36" s="34"/>
      <c r="DC36" s="34"/>
      <c r="DD36" s="34"/>
      <c r="EA36" s="1">
        <f t="shared" si="52"/>
        <v>7.2</v>
      </c>
      <c r="EB36" s="1" t="str">
        <f t="shared" si="3"/>
        <v>2.73077623766629+7.55570768396996i</v>
      </c>
      <c r="EC36" s="1" t="str">
        <f t="shared" si="4"/>
        <v>0.993668384782134+0.296824974302861i</v>
      </c>
      <c r="ED36" s="52" t="str">
        <f t="shared" si="5"/>
        <v>0.256997172413459-4.17046839510839i</v>
      </c>
      <c r="EE36" s="1" t="str">
        <f t="shared" si="6"/>
        <v>0.156099540902482-5.03154562344834i</v>
      </c>
      <c r="EF36" s="1" t="str">
        <f t="shared" si="7"/>
        <v>21058.8547601515-1779624.93231707i</v>
      </c>
      <c r="EH36" s="1" t="str">
        <f t="shared" si="8"/>
        <v>1.0110085992765-0.0454517270517953i</v>
      </c>
      <c r="EI36" s="1" t="str">
        <f t="shared" si="0"/>
        <v>0.0143880322809015+2.58984581056227i</v>
      </c>
      <c r="EJ36" s="1" t="str">
        <f t="shared" si="9"/>
        <v>0.903088660095417+0.311966092812873i</v>
      </c>
      <c r="EL36" s="52">
        <f t="shared" si="53"/>
        <v>7.2</v>
      </c>
      <c r="EM36" s="14">
        <f t="shared" si="10"/>
        <v>1.0120297660163073</v>
      </c>
      <c r="EN36" s="14">
        <f t="shared" si="10"/>
        <v>2.5898857770102248</v>
      </c>
      <c r="EO36" s="14">
        <f t="shared" si="10"/>
        <v>0.95545380372777089</v>
      </c>
      <c r="EQ36" s="1" t="str">
        <f t="shared" si="11"/>
        <v>0.122390864973947-0.348023690330661i</v>
      </c>
      <c r="ER36" s="14">
        <f t="shared" si="12"/>
        <v>7.2</v>
      </c>
      <c r="ES36" s="2">
        <f t="shared" si="13"/>
        <v>0.36891735234391287</v>
      </c>
      <c r="EU36" s="1" t="str">
        <f t="shared" si="14"/>
        <v>0.877609135026052+0.34802369033066i</v>
      </c>
      <c r="EV36" s="52">
        <f t="shared" si="15"/>
        <v>7.2</v>
      </c>
      <c r="EW36" s="2">
        <f t="shared" si="16"/>
        <v>0.94409654321607728</v>
      </c>
      <c r="EY36" s="96">
        <f>BV310</f>
        <v>25</v>
      </c>
      <c r="EZ36" s="1" t="str">
        <f t="shared" si="69"/>
        <v>24.2734881942228+36.6530000282565i</v>
      </c>
      <c r="FA36" s="1" t="str">
        <f t="shared" si="70"/>
        <v>10.0552952380735+20.3871543947132i</v>
      </c>
      <c r="FB36" s="1" t="str">
        <f t="shared" si="71"/>
        <v>2.84209981324818+7.89950043900335i</v>
      </c>
      <c r="FC36" s="1" t="str">
        <f t="shared" si="72"/>
        <v>1.75547611163138+5.20496114530739i</v>
      </c>
      <c r="FD36" s="1" t="str">
        <f t="shared" si="73"/>
        <v>240508.834491234+681363.689221668i</v>
      </c>
      <c r="FF36" s="96">
        <f>BV311</f>
        <v>10</v>
      </c>
      <c r="FG36" s="96" t="str">
        <f t="shared" si="74"/>
        <v>0.0143880322809015+8.99252017556345i</v>
      </c>
      <c r="FH36" s="100" t="str">
        <f t="shared" si="75"/>
        <v>5.8509198994744+20.3327452778747i</v>
      </c>
      <c r="FI36" s="98">
        <f t="shared" si="76"/>
        <v>21.157830564710586</v>
      </c>
      <c r="FJ36" s="1" t="str">
        <f>IMDIV($FI$36,EZ36)</f>
        <v>0.265736566230988-0.401262574692143i</v>
      </c>
      <c r="FK36" s="1" t="str">
        <f>IMDIV($FI$36,FA36)</f>
        <v>0.411708331881154-0.83474041576317i</v>
      </c>
      <c r="FL36" s="1" t="str">
        <f>IMDIV($FI$36,FB36)</f>
        <v>0.853192035987154-2.37141244351018i</v>
      </c>
      <c r="FM36" s="1" t="str">
        <f>IMDIV($FI$36,FC36)</f>
        <v>1.23095734718543-3.64977063554382i</v>
      </c>
      <c r="FN36" s="1" t="str">
        <f>IMDIV($FI$36,FD36)</f>
        <v>9.74647702059985E-06-0.0000276118569769717i</v>
      </c>
      <c r="FO36" s="1" t="str">
        <f t="shared" si="77"/>
        <v>2.76160402776175-7.25721368136629i</v>
      </c>
      <c r="FP36" s="100">
        <f t="shared" si="78"/>
        <v>7.7648958282233247</v>
      </c>
      <c r="FR36" s="1">
        <f t="shared" si="79"/>
        <v>0.48127702675361922</v>
      </c>
      <c r="FS36" s="1">
        <f t="shared" si="80"/>
        <v>0.93074986556476724</v>
      </c>
      <c r="FT36" s="1">
        <f t="shared" si="81"/>
        <v>2.5202249160554753</v>
      </c>
      <c r="FU36" s="1">
        <f t="shared" si="82"/>
        <v>3.8517634510270393</v>
      </c>
      <c r="FV36" s="1">
        <f t="shared" si="83"/>
        <v>2.9281537869958635E-5</v>
      </c>
      <c r="FX36" s="52">
        <f t="shared" si="84"/>
        <v>25</v>
      </c>
      <c r="FY36" s="1" t="str">
        <f t="shared" si="85"/>
        <v>0.7190223416739-0.449276644385091i</v>
      </c>
      <c r="FZ36" s="1" t="str">
        <f t="shared" si="86"/>
        <v>0.280977658326101+0.449276644385091i</v>
      </c>
      <c r="GA36" s="121">
        <f t="shared" si="87"/>
        <v>0.4080487427910478</v>
      </c>
      <c r="GB36" s="121">
        <f t="shared" si="88"/>
        <v>0.2550304846468413</v>
      </c>
      <c r="GD36" s="1" t="str">
        <f t="shared" si="89"/>
        <v>0.833721390234192-0.372130597319315i</v>
      </c>
      <c r="GE36" s="1" t="str">
        <f t="shared" si="90"/>
        <v>0.166278609765808+0.372130597319315i</v>
      </c>
      <c r="GF36" s="121">
        <f t="shared" si="91"/>
        <v>0.84977643064788444</v>
      </c>
      <c r="GG36" s="121">
        <f t="shared" si="92"/>
        <v>0.37936450831696333</v>
      </c>
      <c r="GI36" s="1" t="str">
        <f t="shared" si="93"/>
        <v>0.925230195045251-0.262819621362701i</v>
      </c>
      <c r="GJ36" s="1" t="str">
        <f t="shared" si="94"/>
        <v>0.0747698049547496+0.2628196213627i</v>
      </c>
      <c r="GK36" s="123">
        <f t="shared" si="95"/>
        <v>2.4240385669269773</v>
      </c>
      <c r="GL36" s="123">
        <f t="shared" si="96"/>
        <v>0.68864737524149156</v>
      </c>
      <c r="GN36" s="1" t="str">
        <f t="shared" si="97"/>
        <v>0.945290944874185-0.227211552945434i</v>
      </c>
      <c r="GO36" s="1" t="str">
        <f t="shared" si="98"/>
        <v>0.0547090551258134+0.227211552945434i</v>
      </c>
      <c r="GP36" s="123">
        <f t="shared" si="99"/>
        <v>3.7447383487202472</v>
      </c>
      <c r="GQ36" s="123">
        <f t="shared" si="100"/>
        <v>0.90017755968733115</v>
      </c>
      <c r="GS36" s="1" t="str">
        <f t="shared" si="101"/>
        <v>0.967246953169953-0.177789675974184i</v>
      </c>
      <c r="GT36" s="1" t="str">
        <f t="shared" si="102"/>
        <v>0.0327530468300464+0.177789675974184i</v>
      </c>
      <c r="GU36" s="123">
        <f t="shared" si="103"/>
        <v>2.8796957221850216E-5</v>
      </c>
      <c r="GV36" s="123">
        <f t="shared" si="104"/>
        <v>5.2935587363247489E-6</v>
      </c>
      <c r="GX36" s="1" t="str">
        <f t="shared" si="105"/>
        <v>2.26210831634629-0.647023581643657i</v>
      </c>
      <c r="GY36" s="14">
        <f t="shared" si="68"/>
        <v>25</v>
      </c>
      <c r="GZ36" s="52">
        <f t="shared" si="106"/>
        <v>2.35282246463392</v>
      </c>
      <c r="HB36" s="1"/>
      <c r="JO36" s="1"/>
      <c r="JS36" s="1"/>
    </row>
    <row r="37" spans="2:279" ht="18" customHeight="1" x14ac:dyDescent="0.25">
      <c r="B37" s="6"/>
      <c r="G37" s="240" t="s">
        <v>301</v>
      </c>
      <c r="H37" s="240"/>
      <c r="I37" s="240"/>
      <c r="J37" s="240"/>
      <c r="L37" s="240" t="s">
        <v>304</v>
      </c>
      <c r="M37" s="240"/>
      <c r="N37" s="240"/>
      <c r="O37" s="240"/>
      <c r="Q37" s="240" t="s">
        <v>392</v>
      </c>
      <c r="R37" s="240"/>
      <c r="S37" s="240"/>
      <c r="T37" s="240"/>
      <c r="U37" s="240"/>
      <c r="W37" s="240" t="s">
        <v>402</v>
      </c>
      <c r="X37" s="240"/>
      <c r="Y37" s="240"/>
      <c r="Z37" s="240"/>
      <c r="AA37" s="18"/>
      <c r="AB37" s="240" t="s">
        <v>303</v>
      </c>
      <c r="AC37" s="195"/>
      <c r="AD37" s="195"/>
      <c r="AE37" s="195"/>
      <c r="AF37" s="18"/>
      <c r="AG37" s="240" t="s">
        <v>302</v>
      </c>
      <c r="AH37" s="240"/>
      <c r="AI37" s="240"/>
      <c r="AJ37" s="240"/>
      <c r="AL37" s="240"/>
      <c r="AM37" s="240"/>
      <c r="AN37" s="240"/>
      <c r="AO37" s="240"/>
      <c r="AP37" s="8"/>
      <c r="AR37" s="6"/>
      <c r="CF37" s="8"/>
      <c r="CH37" s="2"/>
      <c r="CI37" s="14"/>
      <c r="CJ37" s="77"/>
      <c r="CK37" s="14"/>
      <c r="CL37" s="14"/>
      <c r="CM37" s="14"/>
      <c r="CN37" s="14"/>
      <c r="CO37" s="14"/>
      <c r="CP37" s="14"/>
      <c r="CQ37" s="14"/>
      <c r="CR37" s="14"/>
      <c r="CS37" s="14"/>
      <c r="CT37" s="14"/>
      <c r="CU37" s="14"/>
      <c r="CV37" s="14"/>
      <c r="CW37" s="14"/>
      <c r="CX37" s="14"/>
      <c r="CY37" s="14"/>
      <c r="CZ37" s="2"/>
      <c r="DA37" s="34"/>
      <c r="DB37" s="34"/>
      <c r="DC37" s="34"/>
      <c r="DD37" s="34"/>
      <c r="EA37" s="1">
        <f t="shared" si="52"/>
        <v>7.4</v>
      </c>
      <c r="EB37" s="1" t="str">
        <f t="shared" si="3"/>
        <v>2.87832941253536+8.14928349339131i</v>
      </c>
      <c r="EC37" s="1" t="str">
        <f t="shared" si="4"/>
        <v>1.04808095472965+0.700647007802799i</v>
      </c>
      <c r="ED37" s="52" t="str">
        <f t="shared" si="5"/>
        <v>0.271129903781076-3.88966902123195i</v>
      </c>
      <c r="EE37" s="1" t="str">
        <f t="shared" si="6"/>
        <v>0.164675005215731-4.7750262764334i</v>
      </c>
      <c r="EF37" s="1" t="str">
        <f t="shared" si="7"/>
        <v>22211.218324889-1710346.8303031i</v>
      </c>
      <c r="EH37" s="1" t="str">
        <f t="shared" si="8"/>
        <v>1.36429264157316+0.160217244691698i</v>
      </c>
      <c r="EI37" s="1" t="str">
        <f t="shared" si="0"/>
        <v>0.0143880322809015+2.66178597196678i</v>
      </c>
      <c r="EJ37" s="1" t="str">
        <f t="shared" si="9"/>
        <v>0.982677778005733+0.624249249109034i</v>
      </c>
      <c r="EL37" s="52">
        <f t="shared" si="53"/>
        <v>7.4</v>
      </c>
      <c r="EM37" s="14">
        <f t="shared" si="10"/>
        <v>1.3736680739346279</v>
      </c>
      <c r="EN37" s="14">
        <f t="shared" si="10"/>
        <v>2.6618248582564656</v>
      </c>
      <c r="EO37" s="14">
        <f t="shared" si="10"/>
        <v>1.164191882981271</v>
      </c>
      <c r="EQ37" s="1" t="str">
        <f t="shared" si="11"/>
        <v>0.236511362400714-0.367901422278941i</v>
      </c>
      <c r="ER37" s="14">
        <f t="shared" si="12"/>
        <v>7.4</v>
      </c>
      <c r="ES37" s="2">
        <f t="shared" si="13"/>
        <v>0.43736607214038625</v>
      </c>
      <c r="EU37" s="1" t="str">
        <f t="shared" si="14"/>
        <v>0.763488637599285+0.36790142227894i</v>
      </c>
      <c r="EV37" s="52">
        <f t="shared" si="15"/>
        <v>7.4</v>
      </c>
      <c r="EW37" s="2">
        <f t="shared" si="16"/>
        <v>0.84750596237317366</v>
      </c>
      <c r="EY37" s="96">
        <f>BX310</f>
        <v>29</v>
      </c>
      <c r="EZ37" s="1" t="str">
        <f t="shared" si="69"/>
        <v>29.7682191306529+39.1782477749302i</v>
      </c>
      <c r="FA37" s="1" t="str">
        <f t="shared" si="70"/>
        <v>12.7928022903558+22.8622975815918i</v>
      </c>
      <c r="FB37" s="1" t="str">
        <f t="shared" si="71"/>
        <v>3.72678203004128+9.49477216810491i</v>
      </c>
      <c r="FC37" s="1" t="str">
        <f t="shared" si="72"/>
        <v>2.31741705043928+6.50246571303774i</v>
      </c>
      <c r="FD37" s="1" t="str">
        <f t="shared" si="73"/>
        <v>319835.694643148+959425.464820812i</v>
      </c>
      <c r="FF37" s="96">
        <f>BX311</f>
        <v>8</v>
      </c>
      <c r="FG37" s="96" t="str">
        <f t="shared" si="74"/>
        <v>0.0143880322809015+10.4313234036536i</v>
      </c>
      <c r="FH37" s="100" t="str">
        <f t="shared" si="75"/>
        <v>6.05884425602782+19.5673116605822i</v>
      </c>
      <c r="FI37" s="98">
        <f t="shared" si="76"/>
        <v>20.483878522905702</v>
      </c>
      <c r="FJ37" s="1" t="str">
        <f>IMDIV($FI$37,EZ37)</f>
        <v>0.251857885169593-0.331472654979338i</v>
      </c>
      <c r="FK37" s="1" t="str">
        <f>IMDIV($FI$37,FA37)</f>
        <v>0.381802080093602-0.682326872115516i</v>
      </c>
      <c r="FL37" s="1" t="str">
        <f>IMDIV($FI$37,FB37)</f>
        <v>0.73374896013496-1.86938198931591i</v>
      </c>
      <c r="FM37" s="1" t="str">
        <f>IMDIV($FI$37,FC37)</f>
        <v>0.996164044796828-2.79514753057699i</v>
      </c>
      <c r="FN37" s="1" t="str">
        <f>IMDIV($FI$37,FD37)</f>
        <v>6.40548118631234E-06-0.0000192148089394323i</v>
      </c>
      <c r="FO37" s="1" t="str">
        <f t="shared" si="77"/>
        <v>2.36357937567617-5.67834826179669i</v>
      </c>
      <c r="FP37" s="100">
        <f t="shared" si="78"/>
        <v>6.1506216309712336</v>
      </c>
      <c r="FR37" s="1">
        <f t="shared" si="79"/>
        <v>0.41630099125650799</v>
      </c>
      <c r="FS37" s="1">
        <f t="shared" si="80"/>
        <v>0.78188412746054969</v>
      </c>
      <c r="FT37" s="1">
        <f t="shared" si="81"/>
        <v>2.0082272178411098</v>
      </c>
      <c r="FU37" s="1">
        <f t="shared" si="82"/>
        <v>2.9673544651484796</v>
      </c>
      <c r="FV37" s="1">
        <f t="shared" si="83"/>
        <v>2.0254359328477634E-5</v>
      </c>
      <c r="FX37" s="52">
        <f t="shared" si="84"/>
        <v>29</v>
      </c>
      <c r="FY37" s="1" t="str">
        <f t="shared" si="85"/>
        <v>0.655418107321725-0.475059362967509i</v>
      </c>
      <c r="FZ37" s="1" t="str">
        <f t="shared" si="86"/>
        <v>0.344581892678275+0.475059362967509i</v>
      </c>
      <c r="GA37" s="121">
        <f t="shared" si="87"/>
        <v>0.33698640669726976</v>
      </c>
      <c r="GB37" s="121">
        <f t="shared" si="88"/>
        <v>0.24431515938079648</v>
      </c>
      <c r="GD37" s="1" t="str">
        <f t="shared" si="89"/>
        <v>0.788452817198757-0.408233024437849i</v>
      </c>
      <c r="GE37" s="1" t="str">
        <f t="shared" si="90"/>
        <v>0.211547182801243+0.408233024437849i</v>
      </c>
      <c r="GF37" s="121">
        <f t="shared" si="91"/>
        <v>0.69421098043322882</v>
      </c>
      <c r="GG37" s="121">
        <f t="shared" si="92"/>
        <v>0.35950213624069743</v>
      </c>
      <c r="GI37" s="1" t="str">
        <f t="shared" si="93"/>
        <v>0.901956024135344-0.297201735029258i</v>
      </c>
      <c r="GJ37" s="1" t="str">
        <f t="shared" si="94"/>
        <v>0.0980439758646574+0.297201735029258i</v>
      </c>
      <c r="GK37" s="123">
        <f t="shared" si="95"/>
        <v>1.9071324519129984</v>
      </c>
      <c r="GL37" s="123">
        <f t="shared" si="96"/>
        <v>0.62848686810950349</v>
      </c>
      <c r="GN37" s="1" t="str">
        <f t="shared" si="97"/>
        <v>0.927778170080501-0.258682501031963i</v>
      </c>
      <c r="GO37" s="1" t="str">
        <f t="shared" si="98"/>
        <v>0.0722218299194975+0.258682501031964i</v>
      </c>
      <c r="GP37" s="123">
        <f t="shared" si="99"/>
        <v>2.8580552783928646</v>
      </c>
      <c r="GQ37" s="123">
        <f t="shared" si="100"/>
        <v>0.79695776924110162</v>
      </c>
      <c r="GS37" s="1" t="str">
        <f t="shared" si="101"/>
        <v>0.956444038711811-0.203932630855396i</v>
      </c>
      <c r="GT37" s="1" t="str">
        <f t="shared" si="102"/>
        <v>0.0435559612881883+0.203932630855397i</v>
      </c>
      <c r="GU37" s="123">
        <f t="shared" si="103"/>
        <v>1.9807621412222567E-5</v>
      </c>
      <c r="GV37" s="123">
        <f t="shared" si="104"/>
        <v>4.2236842287170996E-6</v>
      </c>
      <c r="GX37" s="1" t="str">
        <f t="shared" si="105"/>
        <v>1.87662012642664-0.57824334954059i</v>
      </c>
      <c r="GY37" s="14">
        <f t="shared" si="68"/>
        <v>29</v>
      </c>
      <c r="GZ37" s="52">
        <f t="shared" si="106"/>
        <v>1.9636874675460603</v>
      </c>
      <c r="HB37" s="1"/>
      <c r="JO37" s="1"/>
      <c r="JS37" s="1"/>
    </row>
    <row r="38" spans="2:279" ht="18" customHeight="1" x14ac:dyDescent="0.25">
      <c r="B38" s="6"/>
      <c r="G38" s="240"/>
      <c r="H38" s="240"/>
      <c r="I38" s="240"/>
      <c r="J38" s="240"/>
      <c r="L38" s="240"/>
      <c r="M38" s="240"/>
      <c r="N38" s="240"/>
      <c r="O38" s="240"/>
      <c r="Q38" s="240"/>
      <c r="R38" s="240"/>
      <c r="S38" s="240"/>
      <c r="T38" s="240"/>
      <c r="U38" s="240"/>
      <c r="W38" s="240"/>
      <c r="X38" s="240"/>
      <c r="Y38" s="240"/>
      <c r="Z38" s="240"/>
      <c r="AA38" s="18"/>
      <c r="AB38" s="195"/>
      <c r="AC38" s="195"/>
      <c r="AD38" s="195"/>
      <c r="AE38" s="195"/>
      <c r="AF38" s="18"/>
      <c r="AG38" s="240"/>
      <c r="AH38" s="240"/>
      <c r="AI38" s="240"/>
      <c r="AJ38" s="240"/>
      <c r="AL38" s="240"/>
      <c r="AM38" s="240"/>
      <c r="AN38" s="240"/>
      <c r="AO38" s="240"/>
      <c r="AP38" s="8"/>
      <c r="AR38" s="6"/>
      <c r="AS38" s="172" t="s">
        <v>386</v>
      </c>
      <c r="AT38" s="172"/>
      <c r="AU38" s="172"/>
      <c r="AV38" s="172"/>
      <c r="AW38" s="172"/>
      <c r="AX38" s="172"/>
      <c r="AY38" s="172"/>
      <c r="AZ38" s="172"/>
      <c r="BA38" s="172"/>
      <c r="BB38" s="172"/>
      <c r="BC38" s="172"/>
      <c r="BD38" s="172"/>
      <c r="BE38" s="172"/>
      <c r="BF38" s="172"/>
      <c r="BG38" s="172"/>
      <c r="BH38" s="172"/>
      <c r="BI38" s="172"/>
      <c r="BJ38" s="172"/>
      <c r="BK38" s="172"/>
      <c r="BL38" s="172"/>
      <c r="BM38" s="172"/>
      <c r="BN38" s="172"/>
      <c r="BO38" s="172"/>
      <c r="BP38" s="172"/>
      <c r="BQ38" s="172"/>
      <c r="BR38" s="172"/>
      <c r="BS38" s="172"/>
      <c r="BT38" s="172"/>
      <c r="BU38" s="172"/>
      <c r="BV38" s="172"/>
      <c r="BW38" s="172"/>
      <c r="BX38" s="172"/>
      <c r="BY38" s="172"/>
      <c r="BZ38" s="172"/>
      <c r="CA38" s="172"/>
      <c r="CB38" s="172"/>
      <c r="CC38" s="172"/>
      <c r="CD38" s="172"/>
      <c r="CE38" s="172"/>
      <c r="CF38" s="8"/>
      <c r="CH38" s="2"/>
      <c r="CI38" s="265" t="s">
        <v>566</v>
      </c>
      <c r="CJ38" s="265"/>
      <c r="CK38" s="265"/>
      <c r="CL38" s="265"/>
      <c r="CM38" s="265"/>
      <c r="CN38" s="14"/>
      <c r="CO38" s="14"/>
      <c r="CP38" s="14"/>
      <c r="CQ38" s="14"/>
      <c r="CR38" s="14"/>
      <c r="CS38" s="14"/>
      <c r="CT38" s="14"/>
      <c r="CU38" s="14"/>
      <c r="CV38" s="14"/>
      <c r="CW38" s="14"/>
      <c r="CX38" s="14"/>
      <c r="CY38" s="14"/>
      <c r="CZ38" s="2"/>
      <c r="DA38" s="34"/>
      <c r="DB38" s="34"/>
      <c r="DC38" s="34"/>
      <c r="DD38" s="34"/>
      <c r="EA38" s="1">
        <f t="shared" si="52"/>
        <v>7.6</v>
      </c>
      <c r="EB38" s="1" t="str">
        <f t="shared" si="3"/>
        <v>3.02938404023868+8.73005177704017i</v>
      </c>
      <c r="EC38" s="1" t="str">
        <f t="shared" si="4"/>
        <v>1.10388069313062+1.09343831652359i</v>
      </c>
      <c r="ED38" s="52" t="str">
        <f t="shared" si="5"/>
        <v>0.285638817985319-3.61929226552645i</v>
      </c>
      <c r="EE38" s="1" t="str">
        <f t="shared" si="6"/>
        <v>0.173480618024354-4.52885824439239i</v>
      </c>
      <c r="EF38" s="1" t="str">
        <f t="shared" si="7"/>
        <v>23394.7757880143-1644156.69653728i</v>
      </c>
      <c r="EH38" s="1" t="str">
        <f t="shared" si="8"/>
        <v>1.88767437619675+0.21695947322019i</v>
      </c>
      <c r="EI38" s="1" t="str">
        <f t="shared" si="0"/>
        <v>0.0143880322809015+2.73372613337129i</v>
      </c>
      <c r="EJ38" s="1" t="str">
        <f t="shared" si="9"/>
        <v>1.14889413106151+0.932398963085311i</v>
      </c>
      <c r="EL38" s="52">
        <f t="shared" si="53"/>
        <v>7.6</v>
      </c>
      <c r="EM38" s="14">
        <f t="shared" si="10"/>
        <v>1.9001015666457863</v>
      </c>
      <c r="EN38" s="14">
        <f t="shared" si="10"/>
        <v>2.7337639963519274</v>
      </c>
      <c r="EO38" s="14">
        <f t="shared" si="10"/>
        <v>1.4796369658636355</v>
      </c>
      <c r="EQ38" s="1" t="str">
        <f t="shared" si="11"/>
        <v>0.343274978366764-0.418460015298166i</v>
      </c>
      <c r="ER38" s="14">
        <f t="shared" si="12"/>
        <v>7.6</v>
      </c>
      <c r="ES38" s="2">
        <f t="shared" si="13"/>
        <v>0.54124531884908134</v>
      </c>
      <c r="EU38" s="1" t="str">
        <f t="shared" si="14"/>
        <v>0.656725021633236+0.418460015298165i</v>
      </c>
      <c r="EV38" s="52">
        <f t="shared" si="15"/>
        <v>7.6</v>
      </c>
      <c r="EW38" s="2">
        <f t="shared" si="16"/>
        <v>0.77871467075079226</v>
      </c>
      <c r="EY38" s="96">
        <f>BZ310</f>
        <v>31</v>
      </c>
      <c r="EZ38" s="1" t="str">
        <f t="shared" si="69"/>
        <v>32.4204714945232+40.0737355661751i</v>
      </c>
      <c r="FA38" s="1" t="str">
        <f t="shared" si="70"/>
        <v>14.1889479015652+23.9098305016129i</v>
      </c>
      <c r="FB38" s="1" t="str">
        <f t="shared" si="71"/>
        <v>4.19930520082767+10.2237147463211i</v>
      </c>
      <c r="FC38" s="1" t="str">
        <f t="shared" si="72"/>
        <v>2.62070121183468+7.10051907434934i</v>
      </c>
      <c r="FD38" s="1" t="str">
        <f t="shared" si="73"/>
        <v>363145.232446289+1087544.15214222i</v>
      </c>
      <c r="FF38" s="96">
        <f>BZ311</f>
        <v>6</v>
      </c>
      <c r="FG38" s="96" t="str">
        <f t="shared" si="74"/>
        <v>0.0143880322809015+11.1507250176987i</v>
      </c>
      <c r="FH38" s="100" t="str">
        <f t="shared" si="75"/>
        <v>5.10760491613685+15.8273115418726i</v>
      </c>
      <c r="FI38" s="98">
        <f t="shared" si="76"/>
        <v>16.63103780955473</v>
      </c>
      <c r="FJ38" s="1" t="str">
        <f>IMDIV($FI$38,EZ38)</f>
        <v>0.202931073403364-0.250835530726326i</v>
      </c>
      <c r="FK38" s="1" t="str">
        <f>IMDIV($FI$38,FA38)</f>
        <v>0.30527170116104-0.51441408357658i</v>
      </c>
      <c r="FL38" s="1" t="str">
        <f>IMDIV($FI$38,FB38)</f>
        <v>0.57170642523799-1.39188821263102i</v>
      </c>
      <c r="FM38" s="1" t="str">
        <f>IMDIV($FI$38,FC38)</f>
        <v>0.760838642449326-2.0614136662422i</v>
      </c>
      <c r="FN38" s="1" t="str">
        <f>IMDIV($FI$38,FD38)</f>
        <v>4.59406605310392E-06-0.0000137582686600387i</v>
      </c>
      <c r="FO38" s="1" t="str">
        <f t="shared" si="77"/>
        <v>1.84075243631777-4.21856525144479i</v>
      </c>
      <c r="FP38" s="100">
        <f t="shared" si="78"/>
        <v>4.6026799055014944</v>
      </c>
      <c r="FR38" s="1">
        <f t="shared" si="79"/>
        <v>0.32264451649981457</v>
      </c>
      <c r="FS38" s="1">
        <f t="shared" si="80"/>
        <v>0.59817444020259514</v>
      </c>
      <c r="FT38" s="1">
        <f t="shared" si="81"/>
        <v>1.504726231950376</v>
      </c>
      <c r="FU38" s="1">
        <f t="shared" si="82"/>
        <v>2.1973396968184598</v>
      </c>
      <c r="FV38" s="1">
        <f t="shared" si="83"/>
        <v>1.4505012906650066E-5</v>
      </c>
      <c r="FX38" s="52">
        <f t="shared" si="84"/>
        <v>31</v>
      </c>
      <c r="FY38" s="1" t="str">
        <f t="shared" si="85"/>
        <v>0.624716971476424-0.48403464423317i</v>
      </c>
      <c r="FZ38" s="1" t="str">
        <f t="shared" si="86"/>
        <v>0.375283028523576+0.48403464423317i</v>
      </c>
      <c r="GA38" s="121">
        <f t="shared" si="87"/>
        <v>0.25498325489879808</v>
      </c>
      <c r="GB38" s="121">
        <f t="shared" si="88"/>
        <v>0.19761203282815104</v>
      </c>
      <c r="GD38" s="1" t="str">
        <f t="shared" si="89"/>
        <v>0.765365563590975-0.423608863976436i</v>
      </c>
      <c r="GE38" s="1" t="str">
        <f t="shared" si="90"/>
        <v>0.234634436409025+0.423608863976436i</v>
      </c>
      <c r="GF38" s="121">
        <f t="shared" si="91"/>
        <v>0.52326723047290846</v>
      </c>
      <c r="GG38" s="121">
        <f t="shared" si="92"/>
        <v>0.28966580336856274</v>
      </c>
      <c r="GI38" s="1" t="str">
        <f t="shared" si="93"/>
        <v>0.8895249106496-0.313319761733186i</v>
      </c>
      <c r="GJ38" s="1" t="str">
        <f t="shared" si="94"/>
        <v>0.110475089350401+0.313319761733186i</v>
      </c>
      <c r="GK38" s="123">
        <f t="shared" si="95"/>
        <v>1.4190963240255658</v>
      </c>
      <c r="GL38" s="123">
        <f t="shared" si="96"/>
        <v>0.49990895833701887</v>
      </c>
      <c r="GN38" s="1" t="str">
        <f t="shared" si="97"/>
        <v>0.918326381021892-0.273705584190738i</v>
      </c>
      <c r="GO38" s="1" t="str">
        <f t="shared" si="98"/>
        <v>0.0816736189781067+0.273705584190738i</v>
      </c>
      <c r="GP38" s="123">
        <f t="shared" si="99"/>
        <v>2.1055950620458166</v>
      </c>
      <c r="GQ38" s="123">
        <f t="shared" si="100"/>
        <v>0.6276293299955894</v>
      </c>
      <c r="GS38" s="1" t="str">
        <f t="shared" si="101"/>
        <v>0.950546046137631-0.216652653703893i</v>
      </c>
      <c r="GT38" s="1" t="str">
        <f t="shared" si="102"/>
        <v>0.049453953862368+0.216652653703893i</v>
      </c>
      <c r="GU38" s="123">
        <f t="shared" si="103"/>
        <v>1.4141280385540222E-5</v>
      </c>
      <c r="GV38" s="123">
        <f t="shared" si="104"/>
        <v>3.2233802555901609E-6</v>
      </c>
      <c r="GX38" s="1" t="str">
        <f t="shared" si="105"/>
        <v>1.41998619931574-0.45621913380414i</v>
      </c>
      <c r="GY38" s="14">
        <f t="shared" si="68"/>
        <v>31</v>
      </c>
      <c r="GZ38" s="52">
        <f t="shared" si="106"/>
        <v>1.4914746743730383</v>
      </c>
      <c r="HB38" s="1"/>
      <c r="JO38" s="1"/>
      <c r="JS38" s="1"/>
    </row>
    <row r="39" spans="2:279" ht="18" customHeight="1" x14ac:dyDescent="0.25">
      <c r="B39" s="6"/>
      <c r="G39" s="252"/>
      <c r="H39" s="252"/>
      <c r="I39" s="252"/>
      <c r="J39" s="252"/>
      <c r="L39" s="252"/>
      <c r="M39" s="252"/>
      <c r="N39" s="252"/>
      <c r="O39" s="252"/>
      <c r="Q39" s="252"/>
      <c r="R39" s="252"/>
      <c r="S39" s="252"/>
      <c r="T39" s="252"/>
      <c r="U39" s="252"/>
      <c r="W39" s="252"/>
      <c r="X39" s="252"/>
      <c r="Y39" s="252"/>
      <c r="Z39" s="252"/>
      <c r="AA39" s="18"/>
      <c r="AB39" s="186"/>
      <c r="AC39" s="186"/>
      <c r="AD39" s="186"/>
      <c r="AE39" s="186"/>
      <c r="AF39" s="18"/>
      <c r="AG39" s="252"/>
      <c r="AH39" s="252"/>
      <c r="AI39" s="252"/>
      <c r="AJ39" s="252"/>
      <c r="AL39" s="252"/>
      <c r="AM39" s="252"/>
      <c r="AN39" s="252"/>
      <c r="AO39" s="252"/>
      <c r="AP39" s="8"/>
      <c r="AR39" s="6"/>
      <c r="AZ39" s="200" t="s">
        <v>15</v>
      </c>
      <c r="BA39" s="200"/>
      <c r="BB39" s="200"/>
      <c r="BC39" s="200"/>
      <c r="BD39" s="200"/>
      <c r="BE39" s="18"/>
      <c r="BF39" s="200" t="s">
        <v>387</v>
      </c>
      <c r="BG39" s="200"/>
      <c r="BH39" s="200"/>
      <c r="BI39" s="200"/>
      <c r="BJ39" s="200"/>
      <c r="BK39" s="48"/>
      <c r="BL39" s="48"/>
      <c r="BT39" s="245" t="s">
        <v>388</v>
      </c>
      <c r="BU39" s="245"/>
      <c r="BV39" s="245"/>
      <c r="BW39" s="245"/>
      <c r="BX39" s="245"/>
      <c r="BY39" s="245"/>
      <c r="BZ39" s="245"/>
      <c r="CA39" s="253">
        <f>AG43/U32</f>
        <v>46.299139469897824</v>
      </c>
      <c r="CB39" s="253"/>
      <c r="CC39" s="253"/>
      <c r="CD39" s="33" t="s">
        <v>39</v>
      </c>
      <c r="CE39" s="38"/>
      <c r="CF39" s="8"/>
      <c r="CH39" s="2"/>
      <c r="CI39" s="18" t="s">
        <v>383</v>
      </c>
      <c r="CJ39" s="18" t="s">
        <v>384</v>
      </c>
      <c r="CK39" s="18" t="s">
        <v>385</v>
      </c>
      <c r="CL39" s="18" t="s">
        <v>386</v>
      </c>
      <c r="CM39" s="18" t="s">
        <v>496</v>
      </c>
      <c r="CN39" s="14"/>
      <c r="CO39" s="14"/>
      <c r="CP39" s="14"/>
      <c r="CQ39" s="14"/>
      <c r="CR39" s="14"/>
      <c r="CS39" s="14"/>
      <c r="CT39" s="14"/>
      <c r="CU39" s="14"/>
      <c r="CV39" s="14"/>
      <c r="CW39" s="14"/>
      <c r="CX39" s="14"/>
      <c r="CY39" s="14"/>
      <c r="CZ39" s="2"/>
      <c r="DA39" s="34"/>
      <c r="DB39" s="34"/>
      <c r="DC39" s="34"/>
      <c r="DD39" s="34"/>
      <c r="EA39" s="1">
        <f t="shared" si="52"/>
        <v>7.8</v>
      </c>
      <c r="EB39" s="1" t="str">
        <f t="shared" si="3"/>
        <v>3.18389933806629+9.29878853481903i</v>
      </c>
      <c r="EC39" s="1" t="str">
        <f t="shared" si="4"/>
        <v>1.16105950843529+1.47598931420434i</v>
      </c>
      <c r="ED39" s="52" t="str">
        <f t="shared" si="5"/>
        <v>0.300523035285348-3.35854631454173i</v>
      </c>
      <c r="EE39" s="1" t="str">
        <f t="shared" si="6"/>
        <v>0.182515994668529-4.29225040161815i</v>
      </c>
      <c r="EF39" s="1" t="str">
        <f t="shared" si="7"/>
        <v>24609.4967178322-1580817.52564343i</v>
      </c>
      <c r="EH39" s="1" t="str">
        <f t="shared" si="8"/>
        <v>2.50663735500338-0.0827455357712499i</v>
      </c>
      <c r="EI39" s="1" t="str">
        <f t="shared" si="0"/>
        <v>0.0143880322809015+2.8056662947758i</v>
      </c>
      <c r="EJ39" s="1" t="str">
        <f t="shared" si="9"/>
        <v>1.43956928617275+1.23432485728599i</v>
      </c>
      <c r="EL39" s="52">
        <f t="shared" si="53"/>
        <v>7.8</v>
      </c>
      <c r="EM39" s="14">
        <f t="shared" si="10"/>
        <v>2.5080027219260375</v>
      </c>
      <c r="EN39" s="14">
        <f t="shared" si="10"/>
        <v>2.8057031869237141</v>
      </c>
      <c r="EO39" s="14">
        <f t="shared" si="10"/>
        <v>1.8962904795958873</v>
      </c>
      <c r="EQ39" s="1" t="str">
        <f t="shared" si="11"/>
        <v>0.442559620161936-0.510824015935282i</v>
      </c>
      <c r="ER39" s="14">
        <f t="shared" si="12"/>
        <v>7.8</v>
      </c>
      <c r="ES39" s="2">
        <f t="shared" si="13"/>
        <v>0.67586995247172099</v>
      </c>
      <c r="EU39" s="1" t="str">
        <f t="shared" si="14"/>
        <v>0.557440379838064+0.510824015935282i</v>
      </c>
      <c r="EV39" s="52">
        <f t="shared" si="15"/>
        <v>7.8</v>
      </c>
      <c r="EW39" s="2">
        <f t="shared" si="16"/>
        <v>0.75609586186558009</v>
      </c>
      <c r="EY39" s="96">
        <f>CB310</f>
        <v>35</v>
      </c>
      <c r="EZ39" s="1" t="str">
        <f t="shared" si="69"/>
        <v>37.462510452662+41.2576508933303i</v>
      </c>
      <c r="FA39" s="1" t="str">
        <f t="shared" si="70"/>
        <v>16.9900805023512+25.6598909291434i</v>
      </c>
      <c r="FB39" s="1" t="str">
        <f t="shared" si="71"/>
        <v>5.19435743060639+11.5574201108222i</v>
      </c>
      <c r="FC39" s="1" t="str">
        <f t="shared" si="72"/>
        <v>3.26665153875267+8.20861099450202i</v>
      </c>
      <c r="FD39" s="1" t="str">
        <f t="shared" si="73"/>
        <v>456571.195497795+1326306.68431554i</v>
      </c>
      <c r="FF39" s="96">
        <f>CB311</f>
        <v>4</v>
      </c>
      <c r="FG39" s="96" t="str">
        <f t="shared" si="74"/>
        <v>0.0143880322809015+12.5895282457888i</v>
      </c>
      <c r="FH39" s="100" t="str">
        <f t="shared" si="75"/>
        <v>4.21130376480652+11.9906687634071i</v>
      </c>
      <c r="FI39" s="98">
        <f t="shared" si="76"/>
        <v>12.708706338302902</v>
      </c>
      <c r="FJ39" s="1" t="str">
        <f>IMDIV($FI$39,EZ39)</f>
        <v>0.153302072577748-0.168832342392774i</v>
      </c>
      <c r="FK39" s="1" t="str">
        <f>IMDIV($FI$39,FA39)</f>
        <v>0.227983926296897-0.344321069083027i</v>
      </c>
      <c r="FL39" s="1" t="str">
        <f>IMDIV($FI$39,FB39)</f>
        <v>0.411157773118187-0.914824052684081i</v>
      </c>
      <c r="FM39" s="1" t="str">
        <f>IMDIV($FI$39,FC39)</f>
        <v>0.531885819296605-1.33655020509624i</v>
      </c>
      <c r="FN39" s="1" t="str">
        <f>IMDIV($FI$39,FD39)</f>
        <v>2.94906815309854E-06-8.56683216665072E-06i</v>
      </c>
      <c r="FO39" s="1" t="str">
        <f t="shared" si="77"/>
        <v>1.32433254035759-2.76453623608829i</v>
      </c>
      <c r="FP39" s="100">
        <f t="shared" si="78"/>
        <v>3.0653739214156559</v>
      </c>
      <c r="FR39" s="1">
        <f t="shared" si="79"/>
        <v>0.22804798901648746</v>
      </c>
      <c r="FS39" s="1">
        <f t="shared" si="80"/>
        <v>0.41295722449695399</v>
      </c>
      <c r="FT39" s="1">
        <f t="shared" si="81"/>
        <v>1.0029724631139345</v>
      </c>
      <c r="FU39" s="1">
        <f t="shared" si="82"/>
        <v>1.4384953859889931</v>
      </c>
      <c r="FV39" s="1">
        <f t="shared" si="83"/>
        <v>9.0602216497821665E-6</v>
      </c>
      <c r="FX39" s="52">
        <f t="shared" si="84"/>
        <v>35</v>
      </c>
      <c r="FY39" s="1" t="str">
        <f t="shared" si="85"/>
        <v>0.566352871174433-0.495434903551741i</v>
      </c>
      <c r="FZ39" s="1" t="str">
        <f t="shared" si="86"/>
        <v>0.433647128825567+0.495434903551741i</v>
      </c>
      <c r="GA39" s="121">
        <f t="shared" si="87"/>
        <v>0.17159930324529099</v>
      </c>
      <c r="GB39" s="121">
        <f t="shared" si="88"/>
        <v>0.15014939646817604</v>
      </c>
      <c r="GD39" s="1" t="str">
        <f t="shared" si="89"/>
        <v>0.719044851607822-0.44932279604131i</v>
      </c>
      <c r="GE39" s="1" t="str">
        <f t="shared" si="90"/>
        <v>0.280955148392178+0.44932279604131i</v>
      </c>
      <c r="GF39" s="121">
        <f t="shared" si="91"/>
        <v>0.35014206280990973</v>
      </c>
      <c r="GG39" s="121">
        <f t="shared" si="92"/>
        <v>0.21883879818838903</v>
      </c>
      <c r="GI39" s="1" t="str">
        <f t="shared" si="93"/>
        <v>0.863347131532366-0.343337684395329i</v>
      </c>
      <c r="GJ39" s="1" t="str">
        <f t="shared" si="94"/>
        <v>0.136652868467635+0.343337684395329i</v>
      </c>
      <c r="GK39" s="123">
        <f t="shared" si="95"/>
        <v>0.93187371148108222</v>
      </c>
      <c r="GL39" s="123">
        <f t="shared" si="96"/>
        <v>0.3706316049214331</v>
      </c>
      <c r="GN39" s="1" t="str">
        <f t="shared" si="97"/>
        <v>0.898195470774955-0.302248259562767i</v>
      </c>
      <c r="GO39" s="1" t="str">
        <f t="shared" si="98"/>
        <v>0.101804529225044+0.302248259562767i</v>
      </c>
      <c r="GP39" s="123">
        <f t="shared" si="99"/>
        <v>1.3632422112347173</v>
      </c>
      <c r="GQ39" s="123">
        <f t="shared" si="100"/>
        <v>0.45878345519907587</v>
      </c>
      <c r="GS39" s="1" t="str">
        <f t="shared" si="101"/>
        <v>0.937823083384762-0.241333783681101i</v>
      </c>
      <c r="GT39" s="1" t="str">
        <f t="shared" si="102"/>
        <v>0.0621769166152379+0.241333783681101i</v>
      </c>
      <c r="GU39" s="123">
        <f t="shared" si="103"/>
        <v>8.7737108066947339E-6</v>
      </c>
      <c r="GV39" s="123">
        <f t="shared" si="104"/>
        <v>2.2579403732954919E-6</v>
      </c>
      <c r="GX39" s="1" t="str">
        <f t="shared" si="105"/>
        <v>0.952812987131626-0.333419535572678i</v>
      </c>
      <c r="GY39" s="14">
        <f t="shared" si="68"/>
        <v>35</v>
      </c>
      <c r="GZ39" s="52">
        <f t="shared" si="106"/>
        <v>1.0094657870122159</v>
      </c>
      <c r="HB39" s="1"/>
      <c r="JO39" s="1"/>
      <c r="JS39" s="1"/>
    </row>
    <row r="40" spans="2:279" ht="18" customHeight="1" x14ac:dyDescent="0.25">
      <c r="B40" s="6"/>
      <c r="F40" s="35" t="s">
        <v>393</v>
      </c>
      <c r="G40" s="219">
        <f>($S$17*$S$17)*1000/F29</f>
        <v>51.833633333333339</v>
      </c>
      <c r="H40" s="219"/>
      <c r="I40" s="219"/>
      <c r="J40" s="219"/>
      <c r="L40" s="219">
        <f>(K29^2/(K29^2-1))*G40</f>
        <v>53.993368055555564</v>
      </c>
      <c r="M40" s="219"/>
      <c r="N40" s="219"/>
      <c r="O40" s="219"/>
      <c r="Q40" s="254">
        <f>ROUND(1000*1000/(2*3.1415*L40*$AK$17),2)</f>
        <v>49.13</v>
      </c>
      <c r="R40" s="254"/>
      <c r="S40" s="254"/>
      <c r="T40" s="254"/>
      <c r="U40" s="254"/>
      <c r="W40" s="219">
        <f>L40/K29^2</f>
        <v>2.1597347222222227</v>
      </c>
      <c r="X40" s="219"/>
      <c r="Y40" s="219"/>
      <c r="Z40" s="219"/>
      <c r="AB40" s="219">
        <f>1000*W40/(2*PI()*$AK$17)</f>
        <v>5.7288742801478048</v>
      </c>
      <c r="AC40" s="219"/>
      <c r="AD40" s="219"/>
      <c r="AE40" s="219"/>
      <c r="AG40" s="249">
        <f>F29/($S$17*SQRT(3))</f>
        <v>138.89741840969347</v>
      </c>
      <c r="AH40" s="249"/>
      <c r="AI40" s="249"/>
      <c r="AJ40" s="249"/>
      <c r="AL40" s="219">
        <f>AJ29*W40*K29</f>
        <v>86.389388888888902</v>
      </c>
      <c r="AM40" s="219"/>
      <c r="AN40" s="219"/>
      <c r="AO40" s="219"/>
      <c r="AP40" s="8"/>
      <c r="AR40" s="6"/>
      <c r="AS40" s="172" t="s">
        <v>20</v>
      </c>
      <c r="AT40" s="172"/>
      <c r="AU40" s="172"/>
      <c r="AV40" s="172"/>
      <c r="AW40" s="172"/>
      <c r="AX40" s="172"/>
      <c r="AY40" s="172"/>
      <c r="AZ40" s="201"/>
      <c r="BA40" s="201"/>
      <c r="BB40" s="201"/>
      <c r="BC40" s="201"/>
      <c r="BD40" s="201"/>
      <c r="BF40" s="201"/>
      <c r="BG40" s="201"/>
      <c r="BH40" s="201"/>
      <c r="BI40" s="201"/>
      <c r="BJ40" s="201"/>
      <c r="BK40" s="82"/>
      <c r="BL40" s="172" t="s">
        <v>21</v>
      </c>
      <c r="BM40" s="172"/>
      <c r="BN40" s="172"/>
      <c r="BO40" s="172"/>
      <c r="BQ40" s="208" t="s">
        <v>389</v>
      </c>
      <c r="BR40" s="208"/>
      <c r="BS40" s="208"/>
      <c r="BT40" s="208"/>
      <c r="BU40" s="208"/>
      <c r="BV40" s="208"/>
      <c r="BW40" s="208"/>
      <c r="BX40" s="208"/>
      <c r="BY40" s="208"/>
      <c r="BZ40" s="208"/>
      <c r="CA40" s="185">
        <f>1.8*CA39</f>
        <v>83.338451045816086</v>
      </c>
      <c r="CB40" s="185"/>
      <c r="CC40" s="185"/>
      <c r="CD40" s="33" t="s">
        <v>39</v>
      </c>
      <c r="CE40" s="38"/>
      <c r="CF40" s="8"/>
      <c r="CH40" s="2"/>
      <c r="CI40" s="14">
        <f>SUM(1.414*1.1*BP60,1.414*SUM(BP61:BQ75))</f>
        <v>13786.012512230798</v>
      </c>
      <c r="CJ40" s="78" cm="1">
        <f t="array" ref="CJ40">SUM(1.1*1.414*BR60,1.414*BR61:BS75)</f>
        <v>13088.495927812641</v>
      </c>
      <c r="CK40" s="14" cm="1">
        <f t="array" ref="CK40">SUM(1.1*1.414*BT60,1.414*BT61:BU75)</f>
        <v>12512.454523134462</v>
      </c>
      <c r="CL40" s="14" cm="1">
        <f t="array" ref="CL40">SUM(1.1*1.414*BV60,1.414*BV61:BW75)</f>
        <v>12450.907018326141</v>
      </c>
      <c r="CM40" s="14" cm="1">
        <f t="array" ref="CM40">SUM(1.1*1.414*BX60,1.414*BX61:BY75)</f>
        <v>12803.943130956708</v>
      </c>
      <c r="CN40" s="14"/>
      <c r="CO40" s="14"/>
      <c r="CP40" s="14"/>
      <c r="CQ40" s="14"/>
      <c r="CR40" s="14"/>
      <c r="CS40" s="14"/>
      <c r="CT40" s="14"/>
      <c r="CU40" s="14"/>
      <c r="CV40" s="14"/>
      <c r="CW40" s="14"/>
      <c r="CX40" s="14"/>
      <c r="CY40" s="14"/>
      <c r="CZ40" s="2"/>
      <c r="DA40" s="34"/>
      <c r="DB40" s="34"/>
      <c r="DC40" s="34"/>
      <c r="DD40" s="34"/>
      <c r="EA40" s="1">
        <f t="shared" si="52"/>
        <v>8</v>
      </c>
      <c r="EB40" s="1" t="str">
        <f t="shared" si="3"/>
        <v>3.3418338234022+9.85618866623465i</v>
      </c>
      <c r="EC40" s="1" t="str">
        <f t="shared" si="4"/>
        <v>1.21960913304187+1.84901014062602i</v>
      </c>
      <c r="ED40" s="52" t="str">
        <f t="shared" si="5"/>
        <v>0.315781654243388-3.10671877486604i</v>
      </c>
      <c r="EE40" s="1" t="str">
        <f t="shared" si="6"/>
        <v>0.191780740783553-4.06449086114973i</v>
      </c>
      <c r="EF40" s="1" t="str">
        <f t="shared" si="7"/>
        <v>25855.3498967491-1520116.02614428i</v>
      </c>
      <c r="EH40" s="1" t="str">
        <f t="shared" si="8"/>
        <v>2.84069847830363-0.845138926433567i</v>
      </c>
      <c r="EI40" s="1" t="str">
        <f t="shared" si="0"/>
        <v>0.0143880322809015+2.8776064561803i</v>
      </c>
      <c r="EJ40" s="1" t="str">
        <f t="shared" si="9"/>
        <v>1.92548918431951+1.48813639562709i</v>
      </c>
      <c r="EL40" s="52">
        <f t="shared" si="53"/>
        <v>8</v>
      </c>
      <c r="EM40" s="14">
        <f t="shared" si="10"/>
        <v>2.9637522922150294</v>
      </c>
      <c r="EN40" s="14">
        <f t="shared" si="10"/>
        <v>2.8776424260361919</v>
      </c>
      <c r="EO40" s="14">
        <f t="shared" si="10"/>
        <v>2.4335280008500826</v>
      </c>
      <c r="EQ40" s="1" t="str">
        <f t="shared" si="11"/>
        <v>0.520476451938737-0.666526358463033i</v>
      </c>
      <c r="ER40" s="14">
        <f t="shared" si="12"/>
        <v>8</v>
      </c>
      <c r="ES40" s="2">
        <f t="shared" si="13"/>
        <v>0.84566726526969693</v>
      </c>
      <c r="EU40" s="1" t="str">
        <f t="shared" si="14"/>
        <v>0.479523548061264+0.666526358463033i</v>
      </c>
      <c r="EV40" s="52">
        <f t="shared" si="15"/>
        <v>8</v>
      </c>
      <c r="EW40" s="2">
        <f t="shared" si="16"/>
        <v>0.82109696118744391</v>
      </c>
      <c r="EY40" s="96">
        <f>CD310</f>
        <v>37</v>
      </c>
      <c r="EZ40" s="1" t="str">
        <f t="shared" si="69"/>
        <v>39.834882416289+41.5928752305751i</v>
      </c>
      <c r="FA40" s="1" t="str">
        <f t="shared" si="70"/>
        <v>18.379630418622+26.3763479278473i</v>
      </c>
      <c r="FB40" s="1" t="str">
        <f t="shared" si="71"/>
        <v>5.71281805470907+12.1659303623259i</v>
      </c>
      <c r="FC40" s="1" t="str">
        <f t="shared" si="72"/>
        <v>3.60719253099973+8.72219063273475i</v>
      </c>
      <c r="FD40" s="1" t="str">
        <f t="shared" si="73"/>
        <v>506484.314006463+1438092.35674075i</v>
      </c>
      <c r="FF40" s="96">
        <f>CD311</f>
        <v>1</v>
      </c>
      <c r="FG40" s="96" t="str">
        <f t="shared" si="74"/>
        <v>0.0143880322809015+13.3089298598339i</v>
      </c>
      <c r="FH40" s="100" t="str">
        <f t="shared" si="75"/>
        <v>1.15980639149219+3.16649381873206i</v>
      </c>
      <c r="FI40" s="98">
        <f t="shared" si="76"/>
        <v>3.3722149946013937</v>
      </c>
      <c r="FJ40" s="1" t="str">
        <f>IMDIV($FI$40,EZ40)</f>
        <v>0.0405006000226586-0.0422879722827307i</v>
      </c>
      <c r="FK40" s="1" t="str">
        <f>IMDIV($FI$40,FA40)</f>
        <v>0.0599697274457903-0.0860617085447864i</v>
      </c>
      <c r="FL40" s="1" t="str">
        <f>IMDIV($FI$40,FB40)</f>
        <v>0.106644124568719-0.227107704223974i</v>
      </c>
      <c r="FM40" s="1" t="str">
        <f>IMDIV($FI$40,FC40)</f>
        <v>0.136541034195751-0.330156186344738i</v>
      </c>
      <c r="FN40" s="1" t="str">
        <f>IMDIV($FI$40,FD40)</f>
        <v>7.34727504815421E-07-2.08615741838903E-06i</v>
      </c>
      <c r="FO40" s="1" t="str">
        <f t="shared" si="77"/>
        <v>0.343656220960424-0.685615657553647i</v>
      </c>
      <c r="FP40" s="100">
        <f t="shared" si="78"/>
        <v>0.76692139629007583</v>
      </c>
      <c r="FR40" s="1">
        <f t="shared" si="79"/>
        <v>5.8554002442022475E-2</v>
      </c>
      <c r="FS40" s="1">
        <f t="shared" si="80"/>
        <v>0.10489511851163587</v>
      </c>
      <c r="FT40" s="1">
        <f t="shared" si="81"/>
        <v>0.25090013675347517</v>
      </c>
      <c r="FU40" s="1">
        <f t="shared" si="82"/>
        <v>0.35727658949467511</v>
      </c>
      <c r="FV40" s="1">
        <f t="shared" si="83"/>
        <v>2.2117588658422679E-6</v>
      </c>
      <c r="FX40" s="52">
        <f t="shared" si="84"/>
        <v>37</v>
      </c>
      <c r="FY40" s="1" t="str">
        <f t="shared" si="85"/>
        <v>0.53889148969993-0.49835004046232i</v>
      </c>
      <c r="FZ40" s="1" t="str">
        <f t="shared" si="86"/>
        <v>0.46110851030007+0.498350040462319i</v>
      </c>
      <c r="GA40" s="121">
        <f t="shared" si="87"/>
        <v>4.2978669721906455E-2</v>
      </c>
      <c r="GB40" s="121">
        <f t="shared" si="88"/>
        <v>3.9755270944745472E-2</v>
      </c>
      <c r="GD40" s="1" t="str">
        <f t="shared" si="89"/>
        <v>0.696066667197796-0.459819080277066i</v>
      </c>
      <c r="GE40" s="1" t="str">
        <f t="shared" si="90"/>
        <v>0.303933332802204+0.459819080277066i</v>
      </c>
      <c r="GF40" s="121">
        <f t="shared" si="91"/>
        <v>8.750682439224243E-2</v>
      </c>
      <c r="GG40" s="121">
        <f t="shared" si="92"/>
        <v>5.7817011085097042E-2</v>
      </c>
      <c r="GI40" s="1" t="str">
        <f t="shared" si="93"/>
        <v>0.849707498061305-0.357222786368234i</v>
      </c>
      <c r="GJ40" s="1" t="str">
        <f t="shared" si="94"/>
        <v>0.150292501938696+0.357222786368233i</v>
      </c>
      <c r="GK40" s="123">
        <f t="shared" si="95"/>
        <v>0.2312655527221999</v>
      </c>
      <c r="GL40" s="123">
        <f t="shared" si="96"/>
        <v>9.7236656400481597E-2</v>
      </c>
      <c r="GN40" s="1" t="str">
        <f t="shared" si="97"/>
        <v>0.887582580178494-0.315744211773909i</v>
      </c>
      <c r="GO40" s="1" t="str">
        <f t="shared" si="98"/>
        <v>0.112417419821504+0.31574421177391i</v>
      </c>
      <c r="GP40" s="123">
        <f t="shared" si="99"/>
        <v>0.33657981436398643</v>
      </c>
      <c r="GQ40" s="123">
        <f t="shared" si="100"/>
        <v>0.11974474602216451</v>
      </c>
      <c r="GS40" s="1" t="str">
        <f t="shared" si="101"/>
        <v>0.931025799985977-0.253275160646138i</v>
      </c>
      <c r="GT40" s="1" t="str">
        <f t="shared" si="102"/>
        <v>0.0689742000140219+0.253275160646138i</v>
      </c>
      <c r="GU40" s="123">
        <f t="shared" si="103"/>
        <v>2.1340405563625E-6</v>
      </c>
      <c r="GV40" s="123">
        <f t="shared" si="104"/>
        <v>5.8058458433272945E-7</v>
      </c>
      <c r="GX40" s="1" t="str">
        <f t="shared" si="105"/>
        <v>0.238016429163283-0.0868876623143039i</v>
      </c>
      <c r="GY40" s="14">
        <f t="shared" si="68"/>
        <v>37</v>
      </c>
      <c r="GZ40" s="52">
        <f t="shared" si="106"/>
        <v>0.25337972770938999</v>
      </c>
      <c r="HB40" s="1"/>
      <c r="JO40" s="1"/>
      <c r="JS40" s="1"/>
    </row>
    <row r="41" spans="2:279" ht="18" x14ac:dyDescent="0.25">
      <c r="B41" s="6"/>
      <c r="F41" s="35" t="s">
        <v>394</v>
      </c>
      <c r="G41" s="219">
        <f>($S$17*$S$17)*1000/F30</f>
        <v>51.833633333333339</v>
      </c>
      <c r="H41" s="219"/>
      <c r="I41" s="219"/>
      <c r="J41" s="219"/>
      <c r="L41" s="219">
        <f>(K30^2/(K30^2-1))*G41</f>
        <v>52.913500694444444</v>
      </c>
      <c r="M41" s="219"/>
      <c r="N41" s="219"/>
      <c r="O41" s="219"/>
      <c r="Q41" s="158">
        <f t="shared" ref="Q41:Q43" si="113">ROUND(1000*1000/(2*3.1415*L41*$AK$17),2)</f>
        <v>50.13</v>
      </c>
      <c r="R41" s="158"/>
      <c r="S41" s="158"/>
      <c r="T41" s="158"/>
      <c r="U41" s="158"/>
      <c r="W41" s="219">
        <f>L41/K30^2</f>
        <v>1.0798673611111111</v>
      </c>
      <c r="X41" s="219"/>
      <c r="Y41" s="219"/>
      <c r="Z41" s="219"/>
      <c r="AB41" s="219">
        <f>1000*W41/(2*PI()*$AK$17)</f>
        <v>2.8644371400739019</v>
      </c>
      <c r="AC41" s="219"/>
      <c r="AD41" s="219"/>
      <c r="AE41" s="219"/>
      <c r="AG41" s="249">
        <f>F30/($S$17*SQRT(3))</f>
        <v>138.89741840969347</v>
      </c>
      <c r="AH41" s="249"/>
      <c r="AI41" s="249"/>
      <c r="AJ41" s="249"/>
      <c r="AL41" s="219">
        <f>AJ30*W41*K30</f>
        <v>60.472572222222226</v>
      </c>
      <c r="AM41" s="219"/>
      <c r="AN41" s="219"/>
      <c r="AO41" s="219"/>
      <c r="AP41" s="8"/>
      <c r="AR41" s="6"/>
      <c r="AY41" s="29" t="s">
        <v>26</v>
      </c>
      <c r="AZ41" s="209">
        <f>CA42/$P$32</f>
        <v>0.72802534360028703</v>
      </c>
      <c r="BA41" s="209"/>
      <c r="BB41" s="209"/>
      <c r="BC41" s="209"/>
      <c r="BD41" s="209"/>
      <c r="BF41" s="209">
        <f>(CL36)/P32</f>
        <v>0.80066291906987097</v>
      </c>
      <c r="BG41" s="209"/>
      <c r="BH41" s="209"/>
      <c r="BI41" s="209"/>
      <c r="BJ41" s="209"/>
      <c r="BK41" s="82"/>
      <c r="BL41" s="210">
        <f>IF(LEFT(C24,2)="SD",1.1,1.25)</f>
        <v>1.1000000000000001</v>
      </c>
      <c r="BM41" s="210"/>
      <c r="BN41" s="210"/>
      <c r="BO41" s="210"/>
      <c r="BQ41" s="23"/>
      <c r="BR41" s="23"/>
      <c r="BS41" s="23"/>
      <c r="BT41" s="23"/>
      <c r="BU41" s="23"/>
      <c r="BV41" s="23"/>
      <c r="BW41" s="23"/>
      <c r="BX41" s="23"/>
      <c r="BY41" s="23"/>
      <c r="BZ41" s="32" t="s">
        <v>51</v>
      </c>
      <c r="CA41" s="211">
        <f>AG43*L43/1000</f>
        <v>7.2424123678469838</v>
      </c>
      <c r="CB41" s="211"/>
      <c r="CC41" s="211"/>
      <c r="CD41" s="24" t="s">
        <v>32</v>
      </c>
      <c r="CE41" s="24"/>
      <c r="CF41" s="8"/>
      <c r="CH41" s="2"/>
      <c r="CI41" s="14"/>
      <c r="CJ41" s="77"/>
      <c r="CK41" s="14"/>
      <c r="CL41" s="14"/>
      <c r="CM41" s="14"/>
      <c r="CN41" s="14"/>
      <c r="CO41" s="14"/>
      <c r="CP41" s="14"/>
      <c r="CQ41" s="14"/>
      <c r="CR41" s="14"/>
      <c r="CS41" s="14"/>
      <c r="CT41" s="14"/>
      <c r="CU41" s="14"/>
      <c r="CV41" s="14"/>
      <c r="CW41" s="14"/>
      <c r="CX41" s="14"/>
      <c r="CY41" s="14"/>
      <c r="CZ41" s="2"/>
      <c r="DA41" s="34"/>
      <c r="DB41" s="34"/>
      <c r="DC41" s="34"/>
      <c r="DD41" s="34"/>
      <c r="EA41" s="1">
        <f t="shared" si="52"/>
        <v>8.1999999999999993</v>
      </c>
      <c r="EB41" s="1" t="str">
        <f t="shared" si="3"/>
        <v>3.50314534008104+10.4028759892925i</v>
      </c>
      <c r="EC41" s="1" t="str">
        <f t="shared" si="4"/>
        <v>1.27952112620672+2.21314047099658i</v>
      </c>
      <c r="ED41" s="52" t="str">
        <f t="shared" si="5"/>
        <v>0.331413751859801-2.86316698630582i</v>
      </c>
      <c r="EE41" s="1" t="str">
        <f t="shared" si="6"/>
        <v>0.201274452342573-3.8449373109688i</v>
      </c>
      <c r="EF41" s="1" t="str">
        <f t="shared" si="7"/>
        <v>27132.3033232694-1461859.72848942i</v>
      </c>
      <c r="EH41" s="1" t="str">
        <f t="shared" si="8"/>
        <v>2.5413580503838-1.63465259131894i</v>
      </c>
      <c r="EI41" s="1" t="str">
        <f t="shared" si="0"/>
        <v>0.0143880322809015+2.94954661758481i</v>
      </c>
      <c r="EJ41" s="1" t="str">
        <f t="shared" si="9"/>
        <v>2.69239182894417+1.53854277690373i</v>
      </c>
      <c r="EL41" s="52">
        <f t="shared" si="53"/>
        <v>8.1999999999999993</v>
      </c>
      <c r="EM41" s="14">
        <f t="shared" si="10"/>
        <v>3.021686587744711</v>
      </c>
      <c r="EN41" s="14">
        <f t="shared" si="10"/>
        <v>2.949581710137712</v>
      </c>
      <c r="EO41" s="14">
        <f t="shared" si="10"/>
        <v>3.1009817214759545</v>
      </c>
      <c r="EQ41" s="1" t="str">
        <f t="shared" si="11"/>
        <v>0.526060332293485-0.910249337947352i</v>
      </c>
      <c r="ER41" s="14">
        <f t="shared" si="12"/>
        <v>8.1999999999999993</v>
      </c>
      <c r="ES41" s="2">
        <f t="shared" si="13"/>
        <v>1.0513293158883776</v>
      </c>
      <c r="EU41" s="1" t="str">
        <f t="shared" si="14"/>
        <v>0.473939667706516+0.910249337947352i</v>
      </c>
      <c r="EV41" s="52">
        <f t="shared" si="15"/>
        <v>8.1999999999999993</v>
      </c>
      <c r="EW41" s="2">
        <f t="shared" si="16"/>
        <v>1.0262420113498352</v>
      </c>
      <c r="HB41" s="1"/>
      <c r="JO41" s="1"/>
      <c r="JS41" s="1"/>
    </row>
    <row r="42" spans="2:279" ht="18" x14ac:dyDescent="0.25">
      <c r="B42" s="6"/>
      <c r="F42" s="35" t="s">
        <v>395</v>
      </c>
      <c r="G42" s="219">
        <f>($S$17*$S$17)*1000/F31</f>
        <v>51.833633333333339</v>
      </c>
      <c r="H42" s="219"/>
      <c r="I42" s="219"/>
      <c r="J42" s="219"/>
      <c r="L42" s="219">
        <f>(K31^2/(K31^2-1))*G42</f>
        <v>52.265580277777779</v>
      </c>
      <c r="M42" s="219"/>
      <c r="N42" s="219"/>
      <c r="O42" s="219"/>
      <c r="Q42" s="158">
        <f t="shared" si="113"/>
        <v>50.75</v>
      </c>
      <c r="R42" s="158"/>
      <c r="S42" s="158"/>
      <c r="T42" s="158"/>
      <c r="U42" s="158"/>
      <c r="W42" s="219">
        <f>L42/K31^2</f>
        <v>0.43194694444444448</v>
      </c>
      <c r="X42" s="219"/>
      <c r="Y42" s="219"/>
      <c r="Z42" s="219"/>
      <c r="AB42" s="219">
        <f>1000*W42/(2*PI()*$AK$17)</f>
        <v>1.1457748560295606</v>
      </c>
      <c r="AC42" s="219"/>
      <c r="AD42" s="219"/>
      <c r="AE42" s="219"/>
      <c r="AG42" s="249">
        <f>F31/($S$17*SQRT(3))</f>
        <v>138.89741840969347</v>
      </c>
      <c r="AH42" s="249"/>
      <c r="AI42" s="249"/>
      <c r="AJ42" s="249"/>
      <c r="AL42" s="219">
        <f t="shared" ref="AL42:AL44" si="114">AJ31*W42*K31</f>
        <v>38.011331111111112</v>
      </c>
      <c r="AM42" s="219"/>
      <c r="AN42" s="219"/>
      <c r="AO42" s="219"/>
      <c r="AP42" s="8"/>
      <c r="AR42" s="6"/>
      <c r="AY42" s="29" t="s">
        <v>27</v>
      </c>
      <c r="AZ42" s="204">
        <f>CA43/(1.414*$P$32)</f>
        <v>0.8113652914120183</v>
      </c>
      <c r="BA42" s="204"/>
      <c r="BB42" s="204"/>
      <c r="BC42" s="204"/>
      <c r="BD42" s="204"/>
      <c r="BE42" s="79"/>
      <c r="BF42" s="204">
        <f>(CL40/1000)/(P32*1.414)</f>
        <v>0.88408137630622496</v>
      </c>
      <c r="BG42" s="204"/>
      <c r="BH42" s="204"/>
      <c r="BI42" s="204"/>
      <c r="BJ42" s="204"/>
      <c r="BK42" s="82"/>
      <c r="BL42" s="203">
        <f>IF(LEFT(C24,2)="SD",1.2,1.35)</f>
        <v>1.2</v>
      </c>
      <c r="BM42" s="203"/>
      <c r="BN42" s="203"/>
      <c r="BO42" s="203"/>
      <c r="BQ42" s="23"/>
      <c r="BR42" s="23"/>
      <c r="BS42" s="23"/>
      <c r="BT42" s="32"/>
      <c r="BU42" s="23"/>
      <c r="BV42" s="23"/>
      <c r="BW42" s="23"/>
      <c r="BX42" s="23"/>
      <c r="BY42" s="23"/>
      <c r="BZ42" s="32" t="s">
        <v>53</v>
      </c>
      <c r="CA42" s="211">
        <f>BV76/1000</f>
        <v>7.25113242225886</v>
      </c>
      <c r="CB42" s="211"/>
      <c r="CC42" s="211"/>
      <c r="CD42" s="24" t="s">
        <v>32</v>
      </c>
      <c r="CE42" s="24"/>
      <c r="CF42" s="8"/>
      <c r="CH42" s="2"/>
      <c r="CI42" s="265" t="s">
        <v>565</v>
      </c>
      <c r="CJ42" s="265"/>
      <c r="CK42" s="265"/>
      <c r="CL42" s="265"/>
      <c r="CM42" s="265"/>
      <c r="CN42" s="14"/>
      <c r="CO42" s="14"/>
      <c r="CP42" s="14"/>
      <c r="CQ42" s="14"/>
      <c r="CR42" s="14"/>
      <c r="CS42" s="14"/>
      <c r="CT42" s="14"/>
      <c r="CU42" s="14"/>
      <c r="CV42" s="14"/>
      <c r="CW42" s="14"/>
      <c r="CX42" s="14"/>
      <c r="CY42" s="14"/>
      <c r="CZ42" s="2"/>
      <c r="DA42" s="34"/>
      <c r="DB42" s="34"/>
      <c r="DC42" s="34"/>
      <c r="DD42" s="34"/>
      <c r="EA42" s="1">
        <f>ROUND(EA41+0.2,1)</f>
        <v>8.4</v>
      </c>
      <c r="EB42" s="1" t="str">
        <f t="shared" si="3"/>
        <v>3.66779108493405+10.9394118290198i</v>
      </c>
      <c r="EC42" s="1" t="str">
        <f t="shared" si="4"/>
        <v>1.34078687700237+2.56895792431385i</v>
      </c>
      <c r="ED42" s="52" t="str">
        <f t="shared" si="5"/>
        <v>0.347418383711139-2.62730971886566i</v>
      </c>
      <c r="EE42" s="1" t="str">
        <f t="shared" si="6"/>
        <v>0.210996715700281-3.63300873072726i</v>
      </c>
      <c r="EF42" s="1" t="str">
        <f t="shared" si="7"/>
        <v>28440.3242140422-1405874.50622134i</v>
      </c>
      <c r="EH42" s="1" t="str">
        <f t="shared" si="8"/>
        <v>1.91997991911851-1.97837471286845i</v>
      </c>
      <c r="EI42" s="1" t="str">
        <f t="shared" si="0"/>
        <v>0.0143880322809015+3.02148677898932i</v>
      </c>
      <c r="EJ42" s="1" t="str">
        <f t="shared" si="9"/>
        <v>3.65186022073586+1.01502382773259i</v>
      </c>
      <c r="EL42" s="52">
        <f>ROUND(EL41+0.2,1)</f>
        <v>8.4</v>
      </c>
      <c r="EM42" s="14">
        <f t="shared" si="10"/>
        <v>2.7568622370977556</v>
      </c>
      <c r="EN42" s="14">
        <f t="shared" si="10"/>
        <v>3.0215210360148372</v>
      </c>
      <c r="EO42" s="14">
        <f t="shared" si="10"/>
        <v>3.7902976720381583</v>
      </c>
      <c r="EQ42" s="1" t="str">
        <f t="shared" si="11"/>
        <v>0.341682854704929-1.20700315558304i</v>
      </c>
      <c r="ER42" s="14">
        <f t="shared" si="12"/>
        <v>8.4</v>
      </c>
      <c r="ES42" s="2">
        <f t="shared" si="13"/>
        <v>1.2544336534016958</v>
      </c>
      <c r="EU42" s="1" t="str">
        <f t="shared" si="14"/>
        <v>0.658317145295071+1.20700315558304i</v>
      </c>
      <c r="EV42" s="52">
        <f t="shared" si="15"/>
        <v>8.4</v>
      </c>
      <c r="EW42" s="2">
        <f t="shared" si="16"/>
        <v>1.3748592951196381</v>
      </c>
      <c r="HB42" s="1"/>
      <c r="JO42" s="1"/>
      <c r="JS42" s="1"/>
    </row>
    <row r="43" spans="2:279" ht="18" x14ac:dyDescent="0.25">
      <c r="B43" s="6"/>
      <c r="F43" s="35" t="s">
        <v>396</v>
      </c>
      <c r="G43" s="219">
        <f>($S$17*$S$17)*1000/F32</f>
        <v>51.833633333333339</v>
      </c>
      <c r="H43" s="219"/>
      <c r="I43" s="219"/>
      <c r="J43" s="219"/>
      <c r="L43" s="219">
        <f>(K32^2/(K32^2-1))*G43</f>
        <v>52.142166865079368</v>
      </c>
      <c r="M43" s="219"/>
      <c r="N43" s="219"/>
      <c r="O43" s="219"/>
      <c r="Q43" s="158">
        <f t="shared" si="113"/>
        <v>50.87</v>
      </c>
      <c r="R43" s="158"/>
      <c r="S43" s="158"/>
      <c r="T43" s="158"/>
      <c r="U43" s="158"/>
      <c r="W43" s="219">
        <f>L43/K32^2</f>
        <v>0.30853353174603176</v>
      </c>
      <c r="X43" s="219"/>
      <c r="Y43" s="219"/>
      <c r="Z43" s="219"/>
      <c r="AB43" s="219">
        <f>1000*W43/(2*PI()*$AK$17)</f>
        <v>0.8184106114496863</v>
      </c>
      <c r="AC43" s="219"/>
      <c r="AD43" s="219"/>
      <c r="AE43" s="219"/>
      <c r="AG43" s="249">
        <f>F32/($S$17*SQRT(3))</f>
        <v>138.89741840969347</v>
      </c>
      <c r="AH43" s="249"/>
      <c r="AI43" s="249"/>
      <c r="AJ43" s="249"/>
      <c r="AL43" s="219">
        <f t="shared" si="114"/>
        <v>32.087487301587302</v>
      </c>
      <c r="AM43" s="219"/>
      <c r="AN43" s="219"/>
      <c r="AO43" s="219"/>
      <c r="AP43" s="8"/>
      <c r="AR43" s="6"/>
      <c r="AY43" s="29" t="str">
        <f>"% "&amp;$AK$17&amp;"HZ AMPS:"</f>
        <v>% 60HZ AMPS:</v>
      </c>
      <c r="AZ43" s="212">
        <f>(CA44/U32)/(Z32/P32)</f>
        <v>0.81570844159337108</v>
      </c>
      <c r="BA43" s="212"/>
      <c r="BB43" s="212"/>
      <c r="BC43" s="212"/>
      <c r="BD43" s="212"/>
      <c r="BE43" s="80"/>
      <c r="BF43" s="212">
        <f>CL44/(AE32/P32)</f>
        <v>0.88114724690931001</v>
      </c>
      <c r="BG43" s="212"/>
      <c r="BH43" s="212"/>
      <c r="BI43" s="212"/>
      <c r="BJ43" s="212"/>
      <c r="BK43" s="83"/>
      <c r="BL43" s="213">
        <v>1.35</v>
      </c>
      <c r="BM43" s="213"/>
      <c r="BN43" s="213"/>
      <c r="BO43" s="213"/>
      <c r="BQ43" s="23"/>
      <c r="BR43" s="23"/>
      <c r="BS43" s="23"/>
      <c r="BT43" s="23"/>
      <c r="BU43" s="23"/>
      <c r="BV43" s="23"/>
      <c r="BW43" s="23"/>
      <c r="BX43" s="23"/>
      <c r="BY43" s="23"/>
      <c r="BZ43" s="32" t="s">
        <v>54</v>
      </c>
      <c r="CA43" s="211">
        <f>(1.414*SUM(BV60:BW75))/1000</f>
        <v>11.426814399683677</v>
      </c>
      <c r="CB43" s="211"/>
      <c r="CC43" s="211"/>
      <c r="CD43" s="24" t="s">
        <v>32</v>
      </c>
      <c r="CE43" s="24"/>
      <c r="CF43" s="8"/>
      <c r="CH43" s="2"/>
      <c r="CI43" s="97" t="s">
        <v>383</v>
      </c>
      <c r="CJ43" s="97" t="s">
        <v>384</v>
      </c>
      <c r="CK43" s="97" t="s">
        <v>385</v>
      </c>
      <c r="CL43" s="97" t="s">
        <v>386</v>
      </c>
      <c r="CM43" s="97" t="s">
        <v>496</v>
      </c>
      <c r="EA43" s="1">
        <f>ROUND(EA42+0.2,1)</f>
        <v>8.6</v>
      </c>
      <c r="EB43" s="1" t="str">
        <f t="shared" si="3"/>
        <v>3.83572763449324+11.4663024083291i</v>
      </c>
      <c r="EC43" s="1" t="str">
        <f t="shared" si="4"/>
        <v>1.40339760732136+2.91698529876774i</v>
      </c>
      <c r="ED43" s="52" t="str">
        <f t="shared" si="5"/>
        <v>0.363794584091145-2.39862002825898i</v>
      </c>
      <c r="EE43" s="1" t="str">
        <f t="shared" si="6"/>
        <v>0.220947107637601-3.42817826426841i</v>
      </c>
      <c r="EF43" s="1" t="str">
        <f t="shared" si="7"/>
        <v>29779.3790059545-1352002.44302456i</v>
      </c>
      <c r="EH43" s="1" t="str">
        <f t="shared" si="8"/>
        <v>1.3804863334928-1.95690338724745i</v>
      </c>
      <c r="EI43" s="1" t="str">
        <f t="shared" si="0"/>
        <v>0.0143880322809015+3.09342694039383i</v>
      </c>
      <c r="EJ43" s="1" t="str">
        <f t="shared" si="9"/>
        <v>4.10614743065178-0.304296682394041i</v>
      </c>
      <c r="EL43" s="52">
        <f>ROUND(EL42+0.2,1)</f>
        <v>8.6</v>
      </c>
      <c r="EM43" s="14">
        <f t="shared" si="10"/>
        <v>2.3948305543359298</v>
      </c>
      <c r="EN43" s="14">
        <f t="shared" si="10"/>
        <v>3.0934604007530546</v>
      </c>
      <c r="EO43" s="14">
        <f t="shared" si="10"/>
        <v>4.1174073387465846</v>
      </c>
      <c r="EQ43" s="1" t="str">
        <f t="shared" si="11"/>
        <v>-0.0921929491450695-1.32780698717818i</v>
      </c>
      <c r="ER43" s="14">
        <f t="shared" si="12"/>
        <v>8.6</v>
      </c>
      <c r="ES43" s="2">
        <f t="shared" si="13"/>
        <v>1.3310037321778103</v>
      </c>
      <c r="EU43" s="1" t="str">
        <f t="shared" si="14"/>
        <v>1.09219294914507+1.32780698717818i</v>
      </c>
      <c r="EV43" s="52">
        <f t="shared" si="15"/>
        <v>8.6</v>
      </c>
      <c r="EW43" s="2">
        <f t="shared" si="16"/>
        <v>1.7192896304466565</v>
      </c>
      <c r="HB43" s="1"/>
      <c r="JO43" s="1"/>
      <c r="JS43" s="1"/>
    </row>
    <row r="44" spans="2:279" ht="18" customHeight="1" thickBot="1" x14ac:dyDescent="0.3">
      <c r="B44" s="218" t="s">
        <v>485</v>
      </c>
      <c r="C44" s="180"/>
      <c r="D44" s="180"/>
      <c r="E44" s="180"/>
      <c r="F44" s="180"/>
      <c r="G44" s="219">
        <f>($S$17*$S$17)*1000/F33</f>
        <v>15550090.000000002</v>
      </c>
      <c r="H44" s="219"/>
      <c r="I44" s="219"/>
      <c r="J44" s="219"/>
      <c r="L44" s="219">
        <f>(K33^2/(K33^2-1))*G44</f>
        <v>15604083.36805556</v>
      </c>
      <c r="M44" s="219"/>
      <c r="N44" s="219"/>
      <c r="O44" s="219"/>
      <c r="Q44" s="158">
        <f t="shared" ref="Q44" si="115">ROUND(1000*1000/(2*3.1415*L44*$AK$17),2)</f>
        <v>0</v>
      </c>
      <c r="R44" s="158"/>
      <c r="S44" s="158"/>
      <c r="T44" s="158"/>
      <c r="U44" s="158"/>
      <c r="W44" s="219">
        <f>L44/K33^2</f>
        <v>53993.368055555569</v>
      </c>
      <c r="X44" s="219"/>
      <c r="Y44" s="219"/>
      <c r="Z44" s="219"/>
      <c r="AB44" s="219">
        <f>1000*W44/(2*PI()*$AK$17)</f>
        <v>143221.8570036951</v>
      </c>
      <c r="AC44" s="219"/>
      <c r="AD44" s="219"/>
      <c r="AE44" s="219"/>
      <c r="AG44" s="220">
        <f>F33/($S$17*SQRT(3))</f>
        <v>4.629913946989782E-4</v>
      </c>
      <c r="AH44" s="220"/>
      <c r="AI44" s="220"/>
      <c r="AJ44" s="220"/>
      <c r="AL44" s="219">
        <f t="shared" si="114"/>
        <v>7343098.0555555578</v>
      </c>
      <c r="AM44" s="219"/>
      <c r="AN44" s="219"/>
      <c r="AO44" s="219"/>
      <c r="AP44" s="42"/>
      <c r="AR44" s="6"/>
      <c r="AY44" s="29" t="str">
        <f>"% "&amp;$AK$17&amp;"HZ KVAR:"</f>
        <v>% 60HZ KVAR:</v>
      </c>
      <c r="AZ44" s="202">
        <f>CA45/AE32</f>
        <v>0.54085719391030451</v>
      </c>
      <c r="BA44" s="202"/>
      <c r="BB44" s="202"/>
      <c r="BC44" s="202"/>
      <c r="BD44" s="202"/>
      <c r="BE44" s="81"/>
      <c r="BF44" s="202">
        <f>CR31/AE32</f>
        <v>0.65189740295947518</v>
      </c>
      <c r="BG44" s="202"/>
      <c r="BH44" s="202"/>
      <c r="BI44" s="202"/>
      <c r="BJ44" s="202"/>
      <c r="BK44" s="79"/>
      <c r="BL44" s="203">
        <v>1.35</v>
      </c>
      <c r="BM44" s="203"/>
      <c r="BN44" s="203"/>
      <c r="BO44" s="203"/>
      <c r="BQ44" s="23"/>
      <c r="BR44" s="23"/>
      <c r="BS44" s="23"/>
      <c r="BT44" s="23"/>
      <c r="BU44" s="23"/>
      <c r="BV44" s="23"/>
      <c r="BW44" s="23"/>
      <c r="BX44" s="23"/>
      <c r="BY44" s="23"/>
      <c r="BZ44" s="32" t="s">
        <v>56</v>
      </c>
      <c r="CA44" s="248">
        <f>AF90</f>
        <v>155.81354912411751</v>
      </c>
      <c r="CB44" s="248"/>
      <c r="CC44" s="248"/>
      <c r="CD44" s="24" t="s">
        <v>39</v>
      </c>
      <c r="CE44" s="24"/>
      <c r="CF44" s="8"/>
      <c r="CH44" s="2"/>
      <c r="CI44" s="14">
        <f>SQRT(SUM((1.1*Z74)^2,Z75^2,Z76^2,Z77^2,Z78^2,Z79^2,Z80^2,Z81^2,Z82^2,Z83^2,Z84^2,Z85^2,Z86^2,Z87^2,Z88^2,Z89^2))</f>
        <v>197.61394896506522</v>
      </c>
      <c r="CJ44" s="14">
        <f>SQRT(SUM((1.1*AB74)^2,AB75^2,AB76^2,AB77^2,AB78^2,AB79^2,AB80^2,AB81^2,AB82^2,AB83^2,AB84^2,AB85^2,AB86^2,AB87^2,AB88^2,AB89^2))</f>
        <v>184.91983510616976</v>
      </c>
      <c r="CK44" s="78">
        <f>SQRT(SUM((1.1*AD74)^2,AD75^2,AD76^2,AD77^2,AD78^2,AD79^2,AD80^2,AD81^2,AD82^2,AD83^2,AD84^2,AD85^2,AD86^2,AD87^2,AD88^2,AD89^2))</f>
        <v>171.90800401489409</v>
      </c>
      <c r="CL44" s="78">
        <f>SQRT(SUM((1.1*AF74)^2,AF75^2,AF76^2,AF77^2,AF78^2,AF79^2,AF80^2,AF81^2,AF82^2,AF83^2,AF84^2,AF85^2,AF86^2,AF87^2,AF88^2,AF89^2))</f>
        <v>168.31342283733014</v>
      </c>
      <c r="CM44" s="78">
        <f>SQRT(SUM((1.1*AH74)^2,AH75^2,AH76^2,AH77^2,AH78^2,AH79^2,AH80^2,AH81^2,AH82^2,AH83^2,AH84^2,AH85^2,AH86^2,AH87^2,AH88^2,AH89^2))</f>
        <v>7.1517492348497941E-4</v>
      </c>
      <c r="CN44" s="78"/>
      <c r="CO44" s="78"/>
      <c r="CP44" s="78"/>
      <c r="CQ44" s="78"/>
      <c r="CR44" s="78"/>
      <c r="CS44" s="78"/>
      <c r="CT44" s="78"/>
      <c r="CU44" s="78"/>
      <c r="CV44" s="78"/>
      <c r="CW44" s="78"/>
      <c r="CX44" s="78"/>
      <c r="CY44" s="78"/>
      <c r="CZ44" s="78"/>
      <c r="DA44" s="78"/>
      <c r="DB44" s="78"/>
      <c r="DC44" s="78"/>
      <c r="DD44" s="78"/>
      <c r="DE44" s="2"/>
      <c r="EA44" s="1">
        <f>ROUND(EA43+0.2,1)</f>
        <v>8.8000000000000007</v>
      </c>
      <c r="EB44" s="1" t="str">
        <f t="shared" si="3"/>
        <v>4.00691097182699+11.984005231631i</v>
      </c>
      <c r="EC44" s="1" t="str">
        <f t="shared" si="4"/>
        <v>1.46734437492413+3.25769682077659i</v>
      </c>
      <c r="ED44" s="52" t="str">
        <f t="shared" si="5"/>
        <v>0.380541366154668-2.17661908563825i</v>
      </c>
      <c r="EE44" s="1" t="str">
        <f t="shared" si="6"/>
        <v>0.231125195407358-3.22996706406544i</v>
      </c>
      <c r="EF44" s="1" t="str">
        <f t="shared" si="7"/>
        <v>31149.4333582742-1300099.99063094i</v>
      </c>
      <c r="EH44" s="1" t="str">
        <f t="shared" si="8"/>
        <v>1.01261558874725-1.78703214365252i</v>
      </c>
      <c r="EI44" s="1" t="str">
        <f t="shared" si="0"/>
        <v>0.0143880322809015+3.16536710179833i</v>
      </c>
      <c r="EJ44" s="1" t="str">
        <f t="shared" si="9"/>
        <v>3.45463238265651-1.54045453486852i</v>
      </c>
      <c r="EL44" s="52">
        <f>ROUND(EL43+0.2,1)</f>
        <v>8.8000000000000007</v>
      </c>
      <c r="EM44" s="14">
        <f t="shared" si="10"/>
        <v>2.0539898278767743</v>
      </c>
      <c r="EN44" s="14">
        <f t="shared" si="10"/>
        <v>3.165399801702792</v>
      </c>
      <c r="EO44" s="14">
        <f t="shared" si="10"/>
        <v>3.7825236381675111</v>
      </c>
      <c r="EQ44" s="1" t="str">
        <f t="shared" si="11"/>
        <v>-0.481688255701233-1.09357392602655i</v>
      </c>
      <c r="ER44" s="14">
        <f t="shared" si="12"/>
        <v>8.8000000000000007</v>
      </c>
      <c r="ES44" s="2">
        <f t="shared" si="13"/>
        <v>1.1949592074065201</v>
      </c>
      <c r="EU44" s="1" t="str">
        <f t="shared" si="14"/>
        <v>1.48168825570123+1.09357392602655i</v>
      </c>
      <c r="EV44" s="52">
        <f t="shared" si="15"/>
        <v>8.8000000000000007</v>
      </c>
      <c r="EW44" s="2">
        <f t="shared" si="16"/>
        <v>1.8415493527918485</v>
      </c>
      <c r="HB44" s="1"/>
      <c r="JO44" s="1"/>
      <c r="JS44" s="1"/>
    </row>
    <row r="45" spans="2:279" ht="18" customHeight="1" thickTop="1" x14ac:dyDescent="0.25">
      <c r="B45" s="28"/>
      <c r="D45" s="24"/>
      <c r="E45" s="24"/>
      <c r="F45" s="24"/>
      <c r="G45" s="24"/>
      <c r="H45" s="24"/>
      <c r="I45" s="24"/>
      <c r="J45" s="24"/>
      <c r="K45" s="24"/>
      <c r="L45" s="24"/>
      <c r="M45" s="24"/>
      <c r="N45" s="24"/>
      <c r="O45" s="24"/>
      <c r="P45" s="24"/>
      <c r="Q45" s="41"/>
      <c r="S45" s="32" t="s">
        <v>580</v>
      </c>
      <c r="T45" s="247">
        <v>1.5</v>
      </c>
      <c r="U45" s="247"/>
      <c r="V45" s="247"/>
      <c r="AF45" s="35" t="s">
        <v>401</v>
      </c>
      <c r="AG45" s="250">
        <f>SUM(AG40:AJ44)</f>
        <v>555.59013663016856</v>
      </c>
      <c r="AH45" s="195"/>
      <c r="AI45" s="195"/>
      <c r="AJ45" s="195"/>
      <c r="AK45" s="18" t="s">
        <v>39</v>
      </c>
      <c r="AL45" s="18"/>
      <c r="AP45" s="42"/>
      <c r="AR45" s="6"/>
      <c r="BQ45" s="23"/>
      <c r="BR45" s="23"/>
      <c r="BS45" s="23"/>
      <c r="BT45" s="23"/>
      <c r="BU45" s="23"/>
      <c r="BV45" s="23"/>
      <c r="BW45" s="23"/>
      <c r="BX45" s="23"/>
      <c r="BY45" s="23"/>
      <c r="BZ45" s="32" t="s">
        <v>58</v>
      </c>
      <c r="CA45" s="248">
        <f>CL31</f>
        <v>1028.9925070863433</v>
      </c>
      <c r="CB45" s="248"/>
      <c r="CC45" s="248"/>
      <c r="CD45" s="24" t="s">
        <v>37</v>
      </c>
      <c r="CE45" s="24"/>
      <c r="CF45" s="8"/>
      <c r="EA45" s="1">
        <f>ROUND(EA44+0.2,1)</f>
        <v>9</v>
      </c>
      <c r="EB45" s="1" t="str">
        <f t="shared" si="3"/>
        <v>4.18129651347652+12.4929346177502i</v>
      </c>
      <c r="EC45" s="1" t="str">
        <f t="shared" si="4"/>
        <v>1.53261807652911+3.59152356108097i</v>
      </c>
      <c r="ED45" s="52" t="str">
        <f t="shared" si="5"/>
        <v>0.397657722064445-1.96087082999968i</v>
      </c>
      <c r="EE45" s="1" t="str">
        <f t="shared" si="6"/>
        <v>0.241530536780893-3.0379389563905i</v>
      </c>
      <c r="EF45" s="1" t="str">
        <f t="shared" si="7"/>
        <v>32550.4521548395-1250036.37233682i</v>
      </c>
      <c r="EH45" s="1" t="str">
        <f t="shared" si="8"/>
        <v>0.776293571744559-1.58214929714986i</v>
      </c>
      <c r="EI45" s="1" t="str">
        <f t="shared" si="0"/>
        <v>0.0143880322809015+3.23730726320284i</v>
      </c>
      <c r="EJ45" s="1" t="str">
        <f t="shared" si="9"/>
        <v>2.43126147989528-1.93982634118715i</v>
      </c>
      <c r="EL45" s="52">
        <f>ROUND(EL44+0.2,1)</f>
        <v>9</v>
      </c>
      <c r="EM45" s="14">
        <f t="shared" si="10"/>
        <v>1.7623359804542722</v>
      </c>
      <c r="EN45" s="14">
        <f t="shared" si="10"/>
        <v>3.2373392364500164</v>
      </c>
      <c r="EO45" s="14">
        <f t="shared" si="10"/>
        <v>3.110298798762928</v>
      </c>
      <c r="EQ45" s="1" t="str">
        <f t="shared" si="11"/>
        <v>-0.595860224074242-0.753661774329171i</v>
      </c>
      <c r="ER45" s="14">
        <f t="shared" si="12"/>
        <v>9</v>
      </c>
      <c r="ES45" s="2">
        <f t="shared" si="13"/>
        <v>0.96075776172706528</v>
      </c>
      <c r="EU45" s="1" t="str">
        <f t="shared" si="14"/>
        <v>1.59586022407424+0.753661774329172i</v>
      </c>
      <c r="EV45" s="52">
        <f t="shared" si="15"/>
        <v>9</v>
      </c>
      <c r="EW45" s="2">
        <f t="shared" si="16"/>
        <v>1.7648727786634593</v>
      </c>
      <c r="HB45" s="1"/>
      <c r="JO45" s="1"/>
      <c r="JS45" s="1"/>
    </row>
    <row r="46" spans="2:279" ht="18" customHeight="1" x14ac:dyDescent="0.25">
      <c r="B46" s="6"/>
      <c r="D46" s="24"/>
      <c r="E46" s="24"/>
      <c r="F46" s="24"/>
      <c r="G46" s="24"/>
      <c r="H46" s="24"/>
      <c r="I46" s="24"/>
      <c r="J46" s="24"/>
      <c r="K46" s="24"/>
      <c r="L46" s="24"/>
      <c r="M46" s="24"/>
      <c r="N46" s="24"/>
      <c r="O46" s="24"/>
      <c r="P46" s="24"/>
      <c r="Q46" s="24"/>
      <c r="S46" s="32" t="s">
        <v>581</v>
      </c>
      <c r="T46" s="247">
        <v>1.5</v>
      </c>
      <c r="U46" s="247"/>
      <c r="V46" s="247"/>
      <c r="AL46" s="29" t="s">
        <v>582</v>
      </c>
      <c r="AM46" s="247">
        <v>1.5</v>
      </c>
      <c r="AN46" s="247"/>
      <c r="AO46" s="247"/>
      <c r="AP46" s="42"/>
      <c r="AR46" s="6"/>
      <c r="CF46" s="8"/>
      <c r="CN46" s="29"/>
      <c r="CX46" s="281"/>
      <c r="CY46" s="281"/>
      <c r="CZ46" s="281"/>
      <c r="EA46" s="1">
        <f>ROUND(EA45+0.2,1)</f>
        <v>9.1999999999999993</v>
      </c>
      <c r="EB46" s="1" t="str">
        <f t="shared" si="3"/>
        <v>4.35883913646647+12.9934665114761i</v>
      </c>
      <c r="EC46" s="1" t="str">
        <f t="shared" si="4"/>
        <v>1.59920945094284+3.91885814463499i</v>
      </c>
      <c r="ED46" s="52" t="str">
        <f t="shared" si="5"/>
        <v>0.41514262314072-1.75097731807328i</v>
      </c>
      <c r="EE46" s="1" t="str">
        <f t="shared" si="6"/>
        <v>0.252162680095651-2.85169580232028i</v>
      </c>
      <c r="EF46" s="1" t="str">
        <f t="shared" si="7"/>
        <v>33982.3995062972-1201692.19475648i</v>
      </c>
      <c r="EH46" s="1" t="str">
        <f t="shared" si="8"/>
        <v>0.624622788387703-1.38238660871364i</v>
      </c>
      <c r="EI46" s="1" t="str">
        <f t="shared" si="0"/>
        <v>0.0143880322809015+3.30924742460735i</v>
      </c>
      <c r="EJ46" s="1" t="str">
        <f t="shared" si="9"/>
        <v>1.66788253241848-1.82569047162278i</v>
      </c>
      <c r="EL46" s="52">
        <f>ROUND(EL45+0.2,1)</f>
        <v>9.1999999999999993</v>
      </c>
      <c r="EM46" s="14">
        <f t="shared" si="10"/>
        <v>1.5169529866558251</v>
      </c>
      <c r="EN46" s="14">
        <f t="shared" si="10"/>
        <v>3.309278702790579</v>
      </c>
      <c r="EO46" s="14">
        <f t="shared" si="10"/>
        <v>2.4728481231407824</v>
      </c>
      <c r="EQ46" s="1" t="str">
        <f t="shared" si="11"/>
        <v>-0.549491833261509-0.506395691719054i</v>
      </c>
      <c r="ER46" s="14">
        <f t="shared" si="12"/>
        <v>9.1999999999999993</v>
      </c>
      <c r="ES46" s="2">
        <f t="shared" si="13"/>
        <v>0.74724686109257976</v>
      </c>
      <c r="EU46" s="1" t="str">
        <f t="shared" si="14"/>
        <v>1.54949183326151+0.506395691719054i</v>
      </c>
      <c r="EV46" s="52">
        <f t="shared" si="15"/>
        <v>9.1999999999999993</v>
      </c>
      <c r="EW46" s="2">
        <f t="shared" si="16"/>
        <v>1.6301415699060418</v>
      </c>
      <c r="HB46" s="1"/>
      <c r="JO46" s="1"/>
      <c r="JS46" s="1"/>
    </row>
    <row r="47" spans="2:279"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CI47" s="1" t="s">
        <v>584</v>
      </c>
      <c r="CZ47" s="29"/>
      <c r="EA47" s="1">
        <f t="shared" ref="EA47:EA110" si="116">ROUND(EA46+0.2,1)</f>
        <v>9.4</v>
      </c>
      <c r="EB47" s="1" t="str">
        <f t="shared" si="3"/>
        <v>4.53949320536088+13.4859426810685i</v>
      </c>
      <c r="EC47" s="1" t="str">
        <f t="shared" si="4"/>
        <v>1.66710908222847+4.24005885946278i</v>
      </c>
      <c r="ED47" s="52" t="str">
        <f t="shared" si="5"/>
        <v>0.432995020013631-1.54657466781801i</v>
      </c>
      <c r="EE47" s="1" t="str">
        <f t="shared" si="6"/>
        <v>0.263021164303706-2.67087345094327i</v>
      </c>
      <c r="EF47" s="1" t="str">
        <f t="shared" si="7"/>
        <v>35445.2387523874-1154958.23679775i</v>
      </c>
      <c r="EH47" s="1" t="str">
        <f t="shared" si="8"/>
        <v>0.526185973649094-1.19851020022641i</v>
      </c>
      <c r="EI47" s="1" t="str">
        <f t="shared" si="0"/>
        <v>0.0143880322809015+3.38118758601186i</v>
      </c>
      <c r="EJ47" s="1" t="str">
        <f t="shared" si="9"/>
        <v>1.19461720570747-1.56421631766618i</v>
      </c>
      <c r="EL47" s="52">
        <f t="shared" ref="EL47:EL110" si="117">ROUND(EL46+0.2,1)</f>
        <v>9.4</v>
      </c>
      <c r="EM47" s="14">
        <f t="shared" si="10"/>
        <v>1.3089302421870292</v>
      </c>
      <c r="EN47" s="14">
        <f t="shared" si="10"/>
        <v>3.3812181987079191</v>
      </c>
      <c r="EO47" s="14">
        <f t="shared" si="10"/>
        <v>1.9682182187515358</v>
      </c>
      <c r="EQ47" s="1" t="str">
        <f t="shared" si="11"/>
        <v>-0.461111538082846-0.355275080972183i</v>
      </c>
      <c r="ER47" s="14">
        <f t="shared" si="12"/>
        <v>9.4</v>
      </c>
      <c r="ES47" s="2">
        <f t="shared" si="13"/>
        <v>0.58210328440313674</v>
      </c>
      <c r="EU47" s="1" t="str">
        <f t="shared" si="14"/>
        <v>1.46111153808285+0.355275080972183i</v>
      </c>
      <c r="EV47" s="52">
        <f t="shared" si="15"/>
        <v>9.4</v>
      </c>
      <c r="EW47" s="2">
        <f t="shared" si="16"/>
        <v>1.5036845779213883</v>
      </c>
      <c r="HB47" s="1"/>
      <c r="JO47" s="1"/>
      <c r="JS47" s="1"/>
    </row>
    <row r="48" spans="2:279" ht="18" customHeight="1" x14ac:dyDescent="0.25">
      <c r="B48" s="6"/>
      <c r="D48" s="43" t="s">
        <v>84</v>
      </c>
      <c r="AO48" s="44" t="s">
        <v>662</v>
      </c>
      <c r="AP48" s="8"/>
      <c r="AR48" s="6"/>
      <c r="AT48" s="43" t="s">
        <v>84</v>
      </c>
      <c r="CE48" s="29" t="s">
        <v>86</v>
      </c>
      <c r="CF48" s="8"/>
      <c r="CJ48" s="18"/>
      <c r="CK48" s="18"/>
      <c r="CL48" s="18"/>
      <c r="CM48" s="18"/>
      <c r="CZ48" s="29"/>
      <c r="EA48" s="1">
        <f t="shared" si="116"/>
        <v>9.6</v>
      </c>
      <c r="EB48" s="1" t="str">
        <f t="shared" si="3"/>
        <v>4.72321259933676+13.9706743911479i</v>
      </c>
      <c r="EC48" s="1" t="str">
        <f t="shared" si="4"/>
        <v>1.73630740291055+4.55545325212007i</v>
      </c>
      <c r="ED48" s="52" t="str">
        <f t="shared" si="5"/>
        <v>0.45121384277838-1.34732950895456i</v>
      </c>
      <c r="EE48" s="1" t="str">
        <f t="shared" si="6"/>
        <v>0.274105519021222-2.49513819840602i</v>
      </c>
      <c r="EF48" s="1" t="str">
        <f t="shared" si="7"/>
        <v>36938.9324642764-1109734.39001509i</v>
      </c>
      <c r="EH48" s="1" t="str">
        <f t="shared" si="8"/>
        <v>0.462114835172058-1.03141460437857i</v>
      </c>
      <c r="EI48" s="1" t="str">
        <f t="shared" si="0"/>
        <v>0.0143880322809015+3.45312774741636i</v>
      </c>
      <c r="EJ48" s="1" t="str">
        <f t="shared" si="9"/>
        <v>0.90758391854206-1.29486391978822i</v>
      </c>
      <c r="EL48" s="52">
        <f t="shared" si="117"/>
        <v>9.6</v>
      </c>
      <c r="EM48" s="14">
        <f t="shared" si="10"/>
        <v>1.1302062674624929</v>
      </c>
      <c r="EN48" s="14">
        <f t="shared" si="10"/>
        <v>3.453157722353513</v>
      </c>
      <c r="EO48" s="14">
        <f t="shared" si="10"/>
        <v>1.5812593525305942</v>
      </c>
      <c r="EQ48" s="1" t="str">
        <f t="shared" si="11"/>
        <v>-0.373881304234726-0.264387361718574i</v>
      </c>
      <c r="ER48" s="14">
        <f t="shared" si="12"/>
        <v>9.6</v>
      </c>
      <c r="ES48" s="2">
        <f t="shared" si="13"/>
        <v>0.45791692116885985</v>
      </c>
      <c r="EU48" s="1" t="str">
        <f t="shared" si="14"/>
        <v>1.37388130423473+0.264387361718574i</v>
      </c>
      <c r="EV48" s="52">
        <f t="shared" si="15"/>
        <v>9.6</v>
      </c>
      <c r="EW48" s="2">
        <f t="shared" si="16"/>
        <v>1.3990891734132713</v>
      </c>
      <c r="HB48" s="1"/>
      <c r="JO48" s="1"/>
      <c r="JS48" s="1"/>
    </row>
    <row r="49" spans="2:279"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EA49" s="1">
        <f t="shared" si="116"/>
        <v>9.8000000000000007</v>
      </c>
      <c r="EB49" s="1" t="str">
        <f t="shared" si="3"/>
        <v>4.90995073924958+14.4479456258093i</v>
      </c>
      <c r="EC49" s="1" t="str">
        <f t="shared" si="4"/>
        <v>1.80679469721401+4.86534128309074i</v>
      </c>
      <c r="ED49" s="52" t="str">
        <f t="shared" si="5"/>
        <v>0.469798001153079-1.1529358681027i</v>
      </c>
      <c r="EE49" s="1" t="str">
        <f t="shared" si="6"/>
        <v>0.285415264578847-2.32418368053564i</v>
      </c>
      <c r="EF49" s="1" t="str">
        <f t="shared" si="7"/>
        <v>38463.4424469352-1065928.72871464i</v>
      </c>
      <c r="EH49" s="1" t="str">
        <f t="shared" si="8"/>
        <v>0.421314079531089-0.879126426094213i</v>
      </c>
      <c r="EI49" s="1" t="str">
        <f t="shared" si="0"/>
        <v>0.0143880322809015+3.52506790882087i</v>
      </c>
      <c r="EJ49" s="1" t="str">
        <f t="shared" si="9"/>
        <v>0.729963631865501-1.05330958951368i</v>
      </c>
      <c r="EL49" s="52">
        <f t="shared" si="117"/>
        <v>9.8000000000000007</v>
      </c>
      <c r="EM49" s="14">
        <f t="shared" si="10"/>
        <v>0.97486862020905807</v>
      </c>
      <c r="EN49" s="14">
        <f t="shared" si="10"/>
        <v>3.5250972720297606</v>
      </c>
      <c r="EO49" s="14">
        <f t="shared" si="10"/>
        <v>1.2815256514045084</v>
      </c>
      <c r="EQ49" s="1" t="str">
        <f t="shared" si="11"/>
        <v>-0.297955294866826-0.208294036103241i</v>
      </c>
      <c r="ER49" s="14">
        <f t="shared" si="12"/>
        <v>9.8000000000000007</v>
      </c>
      <c r="ES49" s="2">
        <f t="shared" si="13"/>
        <v>0.36354334434198554</v>
      </c>
      <c r="EU49" s="1" t="str">
        <f t="shared" si="14"/>
        <v>1.29795529486682+0.208294036103241i</v>
      </c>
      <c r="EV49" s="52">
        <f t="shared" si="15"/>
        <v>9.8000000000000007</v>
      </c>
      <c r="EW49" s="2">
        <f t="shared" si="16"/>
        <v>1.3145624188105303</v>
      </c>
      <c r="HB49" s="1"/>
      <c r="JO49" s="1"/>
      <c r="JS49" s="1"/>
    </row>
    <row r="50" spans="2:279" ht="18" customHeight="1" x14ac:dyDescent="0.25">
      <c r="EA50" s="1">
        <f t="shared" si="116"/>
        <v>10</v>
      </c>
      <c r="EB50" s="1" t="str">
        <f t="shared" si="3"/>
        <v>5.09966061466208+14.9180159248185i</v>
      </c>
      <c r="EC50" s="1" t="str">
        <f t="shared" si="4"/>
        <v>1.87856110433588+5.16999810371866i</v>
      </c>
      <c r="ED50" s="52" t="str">
        <f t="shared" si="5"/>
        <v>0.488746384639266-0.96311242767871i</v>
      </c>
      <c r="EE50" s="1" t="str">
        <f t="shared" si="6"/>
        <v>0.296949912073012-2.15772813833812i</v>
      </c>
      <c r="EF50" s="1" t="str">
        <f t="shared" si="7"/>
        <v>40018.7297415652-1023456.69164609i</v>
      </c>
      <c r="EH50" s="1" t="str">
        <f t="shared" si="8"/>
        <v>0.397313339818345-0.739155835209074i</v>
      </c>
      <c r="EI50" s="1" t="str">
        <f t="shared" si="0"/>
        <v>0.0143880322809015+3.59700807022538i</v>
      </c>
      <c r="EJ50" s="1" t="str">
        <f t="shared" si="9"/>
        <v>0.617842485482745-0.843325429151151i</v>
      </c>
      <c r="EL50" s="52">
        <f t="shared" si="117"/>
        <v>10</v>
      </c>
      <c r="EM50" s="14">
        <f t="shared" si="10"/>
        <v>0.83917175758078955</v>
      </c>
      <c r="EN50" s="14">
        <f t="shared" si="10"/>
        <v>3.5970368461748383</v>
      </c>
      <c r="EO50" s="14">
        <f t="shared" si="10"/>
        <v>1.0454315454971066</v>
      </c>
      <c r="EQ50" s="1" t="str">
        <f t="shared" si="11"/>
        <v>-0.2337611118306-0.172700710083995i</v>
      </c>
      <c r="ER50" s="14">
        <f t="shared" si="12"/>
        <v>10</v>
      </c>
      <c r="ES50" s="2">
        <f t="shared" si="13"/>
        <v>0.2906368742396504</v>
      </c>
      <c r="EU50" s="1" t="str">
        <f t="shared" si="14"/>
        <v>1.2337611118306+0.172700710083995i</v>
      </c>
      <c r="EV50" s="52">
        <f t="shared" si="15"/>
        <v>10</v>
      </c>
      <c r="EW50" s="2">
        <f t="shared" si="16"/>
        <v>1.2457897159348339</v>
      </c>
      <c r="HB50" s="1"/>
      <c r="JO50" s="1"/>
      <c r="JS50" s="1"/>
    </row>
    <row r="51" spans="2:279"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EA51" s="1">
        <f t="shared" si="116"/>
        <v>10.199999999999999</v>
      </c>
      <c r="EB51" s="1" t="str">
        <f t="shared" si="3"/>
        <v>5.29229481081215+15.381122885897i</v>
      </c>
      <c r="EC51" s="1" t="str">
        <f t="shared" si="4"/>
        <v>1.95159662174714+5.46967650660692i</v>
      </c>
      <c r="ED51" s="52" t="str">
        <f t="shared" si="5"/>
        <v>0.50805786268505-0.77760010725271i</v>
      </c>
      <c r="EE51" s="1" t="str">
        <f t="shared" si="6"/>
        <v>0.308708963418148-1.99551200519349i</v>
      </c>
      <c r="EF51" s="1" t="str">
        <f t="shared" si="7"/>
        <v>41604.7546280705-982240.359965418i</v>
      </c>
      <c r="EH51" s="1" t="str">
        <f t="shared" si="8"/>
        <v>0.386490088811839-0.609256452156301i</v>
      </c>
      <c r="EI51" s="1" t="str">
        <f t="shared" si="0"/>
        <v>0.0143880322809015+3.66894823162989i</v>
      </c>
      <c r="EJ51" s="1" t="str">
        <f t="shared" si="9"/>
        <v>0.547149218382731-0.660704152477476i</v>
      </c>
      <c r="EL51" s="52">
        <f t="shared" si="117"/>
        <v>10.199999999999999</v>
      </c>
      <c r="EM51" s="14">
        <f t="shared" si="10"/>
        <v>0.72150399392093889</v>
      </c>
      <c r="EN51" s="14">
        <f t="shared" si="10"/>
        <v>3.6689764433494272</v>
      </c>
      <c r="EO51" s="14">
        <f t="shared" si="10"/>
        <v>0.85784744813854474</v>
      </c>
      <c r="EQ51" s="1" t="str">
        <f t="shared" si="11"/>
        <v>-0.179492404927684-0.149833610667981i</v>
      </c>
      <c r="ER51" s="14">
        <f t="shared" si="12"/>
        <v>10.199999999999999</v>
      </c>
      <c r="ES51" s="2">
        <f t="shared" si="13"/>
        <v>0.23381110818891346</v>
      </c>
      <c r="EU51" s="1" t="str">
        <f t="shared" si="14"/>
        <v>1.17949240492768+0.149833610667981i</v>
      </c>
      <c r="EV51" s="52">
        <f t="shared" si="15"/>
        <v>10.199999999999999</v>
      </c>
      <c r="EW51" s="2">
        <f t="shared" si="16"/>
        <v>1.1889711704527939</v>
      </c>
      <c r="HB51" s="1"/>
      <c r="JO51" s="1"/>
      <c r="JS51" s="1"/>
    </row>
    <row r="52" spans="2:279" ht="18" customHeight="1" x14ac:dyDescent="0.25">
      <c r="B52" s="6"/>
      <c r="AN52" s="7"/>
      <c r="AP52" s="8"/>
      <c r="AR52" s="6"/>
      <c r="CD52" s="7"/>
      <c r="CF52" s="8"/>
      <c r="EA52" s="1">
        <f t="shared" si="116"/>
        <v>10.4</v>
      </c>
      <c r="EB52" s="1" t="str">
        <f t="shared" si="3"/>
        <v>5.48780553549301+15.8374843779452i</v>
      </c>
      <c r="EC52" s="1" t="str">
        <f t="shared" si="4"/>
        <v>2.0258911085232+5.76460909343436i</v>
      </c>
      <c r="ED52" s="52" t="str">
        <f t="shared" si="5"/>
        <v>0.527731284850819-0.59615992395849i</v>
      </c>
      <c r="EE52" s="1" t="str">
        <f t="shared" si="6"/>
        <v>0.320691911399793-1.83729577244257i</v>
      </c>
      <c r="EF52" s="1" t="str">
        <f t="shared" si="7"/>
        <v>43221.4766275755-942207.818509089i</v>
      </c>
      <c r="EH52" s="1" t="str">
        <f t="shared" si="8"/>
        <v>0.387130904941757-0.48769271047179i</v>
      </c>
      <c r="EI52" s="1" t="str">
        <f t="shared" si="0"/>
        <v>0.0143880322809015+3.74088839303439i</v>
      </c>
      <c r="EJ52" s="1" t="str">
        <f t="shared" si="9"/>
        <v>0.504747907856543-0.500218359787955i</v>
      </c>
      <c r="EL52" s="52">
        <f t="shared" si="117"/>
        <v>10.4</v>
      </c>
      <c r="EM52" s="14">
        <f t="shared" si="10"/>
        <v>0.62266726058814503</v>
      </c>
      <c r="EN52" s="14">
        <f t="shared" si="10"/>
        <v>3.7409160622249114</v>
      </c>
      <c r="EO52" s="14">
        <f t="shared" si="10"/>
        <v>0.71062568061850195</v>
      </c>
      <c r="EQ52" s="1" t="str">
        <f t="shared" si="11"/>
        <v>-0.133195540330949-0.135439573801217i</v>
      </c>
      <c r="ER52" s="14">
        <f t="shared" si="12"/>
        <v>10.4</v>
      </c>
      <c r="ES52" s="2">
        <f t="shared" si="13"/>
        <v>0.18996033826962083</v>
      </c>
      <c r="EU52" s="1" t="str">
        <f t="shared" si="14"/>
        <v>1.13319554033095+0.135439573801217i</v>
      </c>
      <c r="EV52" s="52">
        <f t="shared" si="15"/>
        <v>10.4</v>
      </c>
      <c r="EW52" s="2">
        <f t="shared" si="16"/>
        <v>1.1412607111337045</v>
      </c>
      <c r="HB52" s="1"/>
      <c r="JO52" s="1"/>
      <c r="JS52" s="1"/>
    </row>
    <row r="53" spans="2:279" ht="18" customHeight="1" x14ac:dyDescent="0.25">
      <c r="B53" s="6"/>
      <c r="AN53" s="9"/>
      <c r="AP53" s="8"/>
      <c r="AR53" s="6"/>
      <c r="CD53" s="9"/>
      <c r="CF53" s="8"/>
      <c r="EA53" s="1">
        <f t="shared" si="116"/>
        <v>10.6</v>
      </c>
      <c r="EB53" s="1" t="str">
        <f t="shared" si="3"/>
        <v>5.68614464582151+16.28730050329i</v>
      </c>
      <c r="EC53" s="1" t="str">
        <f t="shared" si="4"/>
        <v>2.1014342887007+6.05501019749616i</v>
      </c>
      <c r="ED53" s="52" t="str">
        <f t="shared" si="5"/>
        <v>0.547765480977484-0.418571095100051i</v>
      </c>
      <c r="EE53" s="1" t="str">
        <f t="shared" si="6"/>
        <v>0.332898239728585-1.6828580965967i</v>
      </c>
      <c r="EF53" s="1" t="str">
        <f t="shared" si="7"/>
        <v>44868.8545049882-903292.5893762i</v>
      </c>
      <c r="EH53" s="1" t="str">
        <f t="shared" si="8"/>
        <v>0.398977896462218-0.373442636265571i</v>
      </c>
      <c r="EI53" s="1" t="str">
        <f t="shared" si="0"/>
        <v>0.0143880322809015+3.8128285544389i</v>
      </c>
      <c r="EJ53" s="1" t="str">
        <f t="shared" si="9"/>
        <v>0.483705474625237-0.357524837383895i</v>
      </c>
      <c r="EL53" s="52">
        <f t="shared" si="117"/>
        <v>10.6</v>
      </c>
      <c r="EM53" s="14">
        <f t="shared" si="10"/>
        <v>0.54648217212128325</v>
      </c>
      <c r="EN53" s="14">
        <f t="shared" si="10"/>
        <v>3.8128557015729756</v>
      </c>
      <c r="EO53" s="14">
        <f t="shared" si="10"/>
        <v>0.60149396965290203</v>
      </c>
      <c r="EQ53" s="1" t="str">
        <f t="shared" si="11"/>
        <v>-0.0932888703382668-0.127214667792607i</v>
      </c>
      <c r="ER53" s="14">
        <f t="shared" si="12"/>
        <v>10.6</v>
      </c>
      <c r="ES53" s="2">
        <f t="shared" si="13"/>
        <v>0.15775419180032371</v>
      </c>
      <c r="EU53" s="1" t="str">
        <f t="shared" si="14"/>
        <v>1.09328887033827+0.127214667792608i</v>
      </c>
      <c r="EV53" s="52">
        <f t="shared" si="15"/>
        <v>10.6</v>
      </c>
      <c r="EW53" s="2">
        <f t="shared" si="16"/>
        <v>1.1006653104859414</v>
      </c>
      <c r="HB53" s="1"/>
      <c r="JO53" s="1"/>
      <c r="JS53" s="1"/>
    </row>
    <row r="54" spans="2:279" ht="18" customHeight="1" thickBot="1" x14ac:dyDescent="0.3">
      <c r="B54" s="6"/>
      <c r="C54" s="104" t="s">
        <v>489</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1"/>
      <c r="AO54" s="10"/>
      <c r="AP54" s="8"/>
      <c r="AR54" s="6"/>
      <c r="AS54" s="251" t="s">
        <v>489</v>
      </c>
      <c r="AT54" s="251"/>
      <c r="AU54" s="251"/>
      <c r="AV54" s="251"/>
      <c r="AW54" s="251"/>
      <c r="AX54" s="251"/>
      <c r="AY54" s="251"/>
      <c r="AZ54" s="251"/>
      <c r="BA54" s="251"/>
      <c r="BB54" s="251"/>
      <c r="BC54" s="251"/>
      <c r="BD54" s="251"/>
      <c r="BE54" s="251"/>
      <c r="BF54" s="251"/>
      <c r="BG54" s="251"/>
      <c r="BH54" s="10"/>
      <c r="BI54" s="10"/>
      <c r="BJ54" s="10"/>
      <c r="BK54" s="10"/>
      <c r="BL54" s="10"/>
      <c r="BM54" s="10"/>
      <c r="BN54" s="10"/>
      <c r="BO54" s="10"/>
      <c r="BP54" s="10"/>
      <c r="BQ54" s="10"/>
      <c r="BR54" s="10"/>
      <c r="BS54" s="10"/>
      <c r="BT54" s="10"/>
      <c r="BU54" s="10"/>
      <c r="BV54" s="10"/>
      <c r="BW54" s="10"/>
      <c r="BX54" s="10"/>
      <c r="BY54" s="10"/>
      <c r="BZ54" s="10"/>
      <c r="CA54" s="10"/>
      <c r="CB54" s="10"/>
      <c r="CC54" s="10"/>
      <c r="CD54" s="11"/>
      <c r="CE54" s="10"/>
      <c r="CF54" s="8"/>
      <c r="EA54" s="1">
        <f t="shared" si="116"/>
        <v>10.8</v>
      </c>
      <c r="EB54" s="1" t="str">
        <f t="shared" si="3"/>
        <v>5.88726367486961+16.7307553413971i</v>
      </c>
      <c r="EC54" s="1" t="str">
        <f t="shared" si="4"/>
        <v>2.17821575465925+6.34107759275904i</v>
      </c>
      <c r="ED54" s="52" t="str">
        <f t="shared" si="5"/>
        <v>0.568159261357215-0.244629351559301i</v>
      </c>
      <c r="EE54" s="1" t="str">
        <f t="shared" si="6"/>
        <v>0.345327423095127-1.53199411684916i</v>
      </c>
      <c r="EF54" s="1" t="str">
        <f t="shared" si="7"/>
        <v>46546.8462716098-865433.128445322i</v>
      </c>
      <c r="EH54" s="1" t="str">
        <f t="shared" si="8"/>
        <v>0.423027148076696-0.266579148017183i</v>
      </c>
      <c r="EI54" s="1" t="str">
        <f t="shared" si="0"/>
        <v>0.0143880322809015+3.88476871584341i</v>
      </c>
      <c r="EJ54" s="1" t="str">
        <f t="shared" si="9"/>
        <v>0.480911507562118-0.229763215380308i</v>
      </c>
      <c r="EL54" s="52">
        <f t="shared" si="117"/>
        <v>10.8</v>
      </c>
      <c r="EM54" s="14">
        <f t="shared" si="10"/>
        <v>0.5000164098981853</v>
      </c>
      <c r="EN54" s="14">
        <f t="shared" si="10"/>
        <v>3.8847953602562613</v>
      </c>
      <c r="EO54" s="14">
        <f t="shared" si="10"/>
        <v>0.53297937412958751</v>
      </c>
      <c r="EQ54" s="1" t="str">
        <f t="shared" si="11"/>
        <v>-0.0586853300778937-0.124011468693343i</v>
      </c>
      <c r="ER54" s="14">
        <f t="shared" si="12"/>
        <v>10.8</v>
      </c>
      <c r="ES54" s="2">
        <f t="shared" si="13"/>
        <v>0.13719625480978451</v>
      </c>
      <c r="EU54" s="1" t="str">
        <f t="shared" si="14"/>
        <v>1.05868533007789+0.124011468693343i</v>
      </c>
      <c r="EV54" s="52">
        <f t="shared" si="15"/>
        <v>10.8</v>
      </c>
      <c r="EW54" s="2">
        <f t="shared" si="16"/>
        <v>1.0659237648582616</v>
      </c>
      <c r="HB54" s="1"/>
      <c r="JO54" s="1"/>
      <c r="JS54" s="1"/>
    </row>
    <row r="55" spans="2:279" ht="18" customHeight="1" x14ac:dyDescent="0.25">
      <c r="B55" s="6"/>
      <c r="AN55" s="9"/>
      <c r="AP55" s="8"/>
      <c r="AR55" s="6"/>
      <c r="CD55" s="9"/>
      <c r="CF55" s="8"/>
      <c r="EA55" s="1">
        <f t="shared" si="116"/>
        <v>11</v>
      </c>
      <c r="EB55" s="1" t="str">
        <f t="shared" si="3"/>
        <v>6.09111385813607+17.1680185017799i</v>
      </c>
      <c r="EC55" s="1" t="str">
        <f t="shared" si="4"/>
        <v>2.25622497052535+6.6229940165871i</v>
      </c>
      <c r="ED55" s="52" t="str">
        <f t="shared" si="5"/>
        <v>0.588911416906604-0.0741454351762503i</v>
      </c>
      <c r="EE55" s="1" t="str">
        <f t="shared" si="6"/>
        <v>0.357978927225738-1.38451395612238i</v>
      </c>
      <c r="EF55" s="1" t="str">
        <f t="shared" si="7"/>
        <v>48255.409187788-828572.376816373i</v>
      </c>
      <c r="EH55" s="1" t="str">
        <f t="shared" si="8"/>
        <v>0.461302705166578-0.169078797843227i</v>
      </c>
      <c r="EI55" s="1" t="str">
        <f t="shared" si="0"/>
        <v>0.0143880322809015+3.95670887724792i</v>
      </c>
      <c r="EJ55" s="1" t="str">
        <f t="shared" si="9"/>
        <v>0.49583475372763-0.116106591647472i</v>
      </c>
      <c r="EL55" s="52">
        <f t="shared" si="117"/>
        <v>11</v>
      </c>
      <c r="EM55" s="14">
        <f t="shared" si="10"/>
        <v>0.49131235041886911</v>
      </c>
      <c r="EN55" s="14">
        <f t="shared" si="10"/>
        <v>3.9567350372201338</v>
      </c>
      <c r="EO55" s="14">
        <f t="shared" si="10"/>
        <v>0.5092473305066334</v>
      </c>
      <c r="EQ55" s="1" t="str">
        <f t="shared" si="11"/>
        <v>-0.0288881614223983-0.1254199924539i</v>
      </c>
      <c r="ER55" s="14">
        <f t="shared" si="12"/>
        <v>11</v>
      </c>
      <c r="ES55" s="2">
        <f t="shared" si="13"/>
        <v>0.12870392526066515</v>
      </c>
      <c r="EU55" s="1" t="str">
        <f t="shared" si="14"/>
        <v>1.0288881614224+0.1254199924539i</v>
      </c>
      <c r="EV55" s="52">
        <f t="shared" si="15"/>
        <v>11</v>
      </c>
      <c r="EW55" s="2">
        <f t="shared" si="16"/>
        <v>1.0365042321294702</v>
      </c>
      <c r="HB55" s="1"/>
      <c r="JO55" s="1"/>
      <c r="JS55" s="1"/>
    </row>
    <row r="56" spans="2:279" ht="18" customHeight="1" x14ac:dyDescent="0.25">
      <c r="B56" s="6"/>
      <c r="C56" s="172" t="s">
        <v>496</v>
      </c>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172"/>
      <c r="AK56" s="172"/>
      <c r="AL56" s="172"/>
      <c r="AM56" s="172"/>
      <c r="AN56" s="172"/>
      <c r="AO56" s="172"/>
      <c r="AP56" s="8"/>
      <c r="AR56" s="6"/>
      <c r="AS56" s="178" t="s">
        <v>569</v>
      </c>
      <c r="AT56" s="178"/>
      <c r="AU56" s="178"/>
      <c r="AV56" s="178"/>
      <c r="AW56" s="178"/>
      <c r="AX56" s="178"/>
      <c r="AY56" s="178"/>
      <c r="AZ56" s="178"/>
      <c r="BA56" s="178"/>
      <c r="BB56" s="178"/>
      <c r="BC56" s="178"/>
      <c r="BD56" s="178"/>
      <c r="BE56" s="178"/>
      <c r="BF56" s="178"/>
      <c r="BG56" s="178"/>
      <c r="BH56" s="178"/>
      <c r="BI56" s="178"/>
      <c r="BJ56" s="178"/>
      <c r="BK56" s="178"/>
      <c r="BL56" s="178"/>
      <c r="BM56" s="178"/>
      <c r="BN56" s="178"/>
      <c r="BO56" s="178"/>
      <c r="BP56" s="178"/>
      <c r="BQ56" s="178"/>
      <c r="BR56" s="178"/>
      <c r="BS56" s="178"/>
      <c r="BT56" s="178"/>
      <c r="BU56" s="178"/>
      <c r="BV56" s="178"/>
      <c r="BW56" s="178"/>
      <c r="BX56" s="178"/>
      <c r="BY56" s="178"/>
      <c r="BZ56" s="178"/>
      <c r="CA56" s="178"/>
      <c r="CB56" s="178"/>
      <c r="CC56" s="178"/>
      <c r="CD56" s="178"/>
      <c r="CE56" s="178"/>
      <c r="CF56" s="8"/>
      <c r="EA56" s="1">
        <f t="shared" si="116"/>
        <v>11.2</v>
      </c>
      <c r="EB56" s="1" t="str">
        <f t="shared" si="3"/>
        <v>6.29764615983412+17.5992465098678i</v>
      </c>
      <c r="EC56" s="1" t="str">
        <f t="shared" si="4"/>
        <v>2.33545127559709+6.90092852942209i</v>
      </c>
      <c r="ED56" s="52" t="str">
        <f t="shared" si="5"/>
        <v>0.610020719342238+0.0930562428947699i</v>
      </c>
      <c r="EE56" s="1" t="str">
        <f t="shared" si="6"/>
        <v>0.370852208939015-1.24024138270967i</v>
      </c>
      <c r="EF56" s="1" t="str">
        <f t="shared" si="7"/>
        <v>49994.4997656162-792657.360311581i</v>
      </c>
      <c r="EH56" s="1" t="str">
        <f t="shared" si="8"/>
        <v>0.51597173085355-0.0863044217952876i</v>
      </c>
      <c r="EI56" s="1" t="str">
        <f t="shared" si="0"/>
        <v>0.0143880322809015+4.02864903865242i</v>
      </c>
      <c r="EJ56" s="1" t="str">
        <f t="shared" si="9"/>
        <v>0.529487482319586-0.0188454321809513i</v>
      </c>
      <c r="EL56" s="52">
        <f t="shared" si="117"/>
        <v>11.2</v>
      </c>
      <c r="EM56" s="14">
        <f t="shared" si="10"/>
        <v>0.52313982859406449</v>
      </c>
      <c r="EN56" s="14">
        <f t="shared" si="10"/>
        <v>4.0286747314852791</v>
      </c>
      <c r="EO56" s="14">
        <f t="shared" si="10"/>
        <v>0.52982274795182283</v>
      </c>
      <c r="EQ56" s="1" t="str">
        <f t="shared" si="11"/>
        <v>-0.0042084056077615-0.131445561009319i</v>
      </c>
      <c r="ER56" s="14">
        <f t="shared" si="12"/>
        <v>11.2</v>
      </c>
      <c r="ES56" s="2">
        <f t="shared" si="13"/>
        <v>0.13151291262387144</v>
      </c>
      <c r="EU56" s="1" t="str">
        <f t="shared" si="14"/>
        <v>1.00420840560776+0.131445561009319i</v>
      </c>
      <c r="EV56" s="52">
        <f t="shared" si="15"/>
        <v>11.2</v>
      </c>
      <c r="EW56" s="2">
        <f t="shared" si="16"/>
        <v>1.0127746330760532</v>
      </c>
      <c r="HB56" s="1"/>
      <c r="JO56" s="1"/>
      <c r="JS56" s="1"/>
    </row>
    <row r="57" spans="2:279" ht="18" customHeight="1" x14ac:dyDescent="0.25">
      <c r="B57" s="6"/>
      <c r="J57" s="200" t="s">
        <v>15</v>
      </c>
      <c r="K57" s="200"/>
      <c r="L57" s="200"/>
      <c r="M57" s="200"/>
      <c r="N57" s="200"/>
      <c r="O57" s="18"/>
      <c r="P57" s="200" t="s">
        <v>387</v>
      </c>
      <c r="Q57" s="200"/>
      <c r="R57" s="200"/>
      <c r="S57" s="200"/>
      <c r="T57" s="200"/>
      <c r="U57" s="48"/>
      <c r="V57" s="48"/>
      <c r="AD57" s="245" t="s">
        <v>388</v>
      </c>
      <c r="AE57" s="245"/>
      <c r="AF57" s="245"/>
      <c r="AG57" s="245"/>
      <c r="AH57" s="245"/>
      <c r="AI57" s="245"/>
      <c r="AJ57" s="245"/>
      <c r="AK57" s="253">
        <f>AG44/U33</f>
        <v>1.543304648996594E-4</v>
      </c>
      <c r="AL57" s="253"/>
      <c r="AM57" s="253"/>
      <c r="AN57" s="33" t="s">
        <v>39</v>
      </c>
      <c r="AO57" s="38"/>
      <c r="AP57" s="8"/>
      <c r="AR57" s="6"/>
      <c r="AS57" s="2"/>
      <c r="BZ57" s="284" t="s">
        <v>550</v>
      </c>
      <c r="CA57" s="284"/>
      <c r="CB57" s="284"/>
      <c r="CC57" s="284"/>
      <c r="CD57" s="284"/>
      <c r="CE57" s="284"/>
      <c r="CF57" s="8"/>
      <c r="EA57" s="1">
        <f t="shared" si="116"/>
        <v>11.4</v>
      </c>
      <c r="EB57" s="1" t="str">
        <f t="shared" si="3"/>
        <v>6.50681129897462+18.0245840462746i</v>
      </c>
      <c r="EC57" s="1" t="str">
        <f t="shared" si="4"/>
        <v>2.41588388778767+7.17503773143162i</v>
      </c>
      <c r="ED57" s="52" t="str">
        <f t="shared" si="5"/>
        <v>0.631485921358596+0.257138802621149i</v>
      </c>
      <c r="EE57" s="1" t="str">
        <f t="shared" si="6"/>
        <v>0.383946716203263-1.09901261278893i</v>
      </c>
      <c r="EF57" s="1" t="str">
        <f t="shared" si="7"/>
        <v>51764.0737716763-757638.831133806i</v>
      </c>
      <c r="EH57" s="1" t="str">
        <f t="shared" si="8"/>
        <v>0.586297914343219-0.0287924555160882i</v>
      </c>
      <c r="EI57" s="1" t="str">
        <f t="shared" si="0"/>
        <v>0.0143880322809015+4.10058920005693i</v>
      </c>
      <c r="EJ57" s="1" t="str">
        <f t="shared" si="9"/>
        <v>0.582253528736691+0.0548283277974433i</v>
      </c>
      <c r="EL57" s="52">
        <f t="shared" si="117"/>
        <v>11.4</v>
      </c>
      <c r="EM57" s="14">
        <f t="shared" si="10"/>
        <v>0.58700447175286019</v>
      </c>
      <c r="EN57" s="14">
        <f t="shared" si="10"/>
        <v>4.1006144421411355</v>
      </c>
      <c r="EO57" s="14">
        <f t="shared" si="10"/>
        <v>0.58482930608459816</v>
      </c>
      <c r="EQ57" s="1" t="str">
        <f t="shared" si="11"/>
        <v>0.0138688904689036-0.141943987631056i</v>
      </c>
      <c r="ER57" s="14">
        <f t="shared" si="12"/>
        <v>11.4</v>
      </c>
      <c r="ES57" s="2">
        <f t="shared" si="13"/>
        <v>0.14261992058420109</v>
      </c>
      <c r="EU57" s="1" t="str">
        <f t="shared" si="14"/>
        <v>0.986131109531097+0.141943987631056i</v>
      </c>
      <c r="EV57" s="52">
        <f t="shared" si="15"/>
        <v>11.4</v>
      </c>
      <c r="EW57" s="2">
        <f t="shared" si="16"/>
        <v>0.996294464909666</v>
      </c>
      <c r="HB57" s="1"/>
      <c r="JO57" s="1"/>
      <c r="JS57" s="1"/>
    </row>
    <row r="58" spans="2:279" ht="18" customHeight="1" x14ac:dyDescent="0.35">
      <c r="B58" s="6"/>
      <c r="C58" s="172" t="s">
        <v>20</v>
      </c>
      <c r="D58" s="172"/>
      <c r="E58" s="172"/>
      <c r="F58" s="172"/>
      <c r="G58" s="172"/>
      <c r="H58" s="172"/>
      <c r="I58" s="172"/>
      <c r="J58" s="201"/>
      <c r="K58" s="201"/>
      <c r="L58" s="201"/>
      <c r="M58" s="201"/>
      <c r="N58" s="201"/>
      <c r="P58" s="201"/>
      <c r="Q58" s="201"/>
      <c r="R58" s="201"/>
      <c r="S58" s="201"/>
      <c r="T58" s="201"/>
      <c r="U58" s="82"/>
      <c r="V58" s="172" t="s">
        <v>21</v>
      </c>
      <c r="W58" s="172"/>
      <c r="X58" s="172"/>
      <c r="Y58" s="172"/>
      <c r="AA58" s="208" t="s">
        <v>389</v>
      </c>
      <c r="AB58" s="208"/>
      <c r="AC58" s="208"/>
      <c r="AD58" s="208"/>
      <c r="AE58" s="208"/>
      <c r="AF58" s="208"/>
      <c r="AG58" s="208"/>
      <c r="AH58" s="208"/>
      <c r="AI58" s="208"/>
      <c r="AJ58" s="208"/>
      <c r="AK58" s="185">
        <f>1.8*AK57</f>
        <v>2.7779483681938694E-4</v>
      </c>
      <c r="AL58" s="185"/>
      <c r="AM58" s="185"/>
      <c r="AN58" s="33" t="s">
        <v>39</v>
      </c>
      <c r="AO58" s="38"/>
      <c r="AP58" s="8"/>
      <c r="AR58" s="6"/>
      <c r="AS58" s="242" t="s">
        <v>495</v>
      </c>
      <c r="AT58" s="242"/>
      <c r="AU58" s="242"/>
      <c r="AV58" s="214" t="s">
        <v>552</v>
      </c>
      <c r="AW58" s="214"/>
      <c r="AX58" s="214" t="s">
        <v>553</v>
      </c>
      <c r="AY58" s="214"/>
      <c r="AZ58" s="214" t="s">
        <v>554</v>
      </c>
      <c r="BA58" s="214"/>
      <c r="BB58" s="214" t="s">
        <v>555</v>
      </c>
      <c r="BC58" s="214"/>
      <c r="BD58" s="214" t="s">
        <v>556</v>
      </c>
      <c r="BE58" s="214"/>
      <c r="BF58" s="214" t="s">
        <v>557</v>
      </c>
      <c r="BG58" s="214"/>
      <c r="BH58" s="214" t="s">
        <v>558</v>
      </c>
      <c r="BI58" s="214"/>
      <c r="BJ58" s="214" t="s">
        <v>559</v>
      </c>
      <c r="BK58" s="214"/>
      <c r="BL58" s="214" t="s">
        <v>560</v>
      </c>
      <c r="BM58" s="214"/>
      <c r="BN58" s="214" t="s">
        <v>561</v>
      </c>
      <c r="BO58" s="214"/>
      <c r="BP58" s="214" t="s">
        <v>451</v>
      </c>
      <c r="BQ58" s="214"/>
      <c r="BR58" s="214" t="s">
        <v>453</v>
      </c>
      <c r="BS58" s="214"/>
      <c r="BT58" s="214" t="s">
        <v>455</v>
      </c>
      <c r="BU58" s="214"/>
      <c r="BV58" s="214" t="s">
        <v>457</v>
      </c>
      <c r="BW58" s="214"/>
      <c r="BX58" s="214" t="s">
        <v>551</v>
      </c>
      <c r="BY58" s="214"/>
      <c r="BZ58" s="243"/>
      <c r="CA58" s="243"/>
      <c r="CB58" s="243"/>
      <c r="CC58" s="243"/>
      <c r="CD58" s="243"/>
      <c r="CE58" s="243"/>
      <c r="CF58" s="8"/>
      <c r="EA58" s="1">
        <f t="shared" si="116"/>
        <v>11.6</v>
      </c>
      <c r="EB58" s="1" t="str">
        <f t="shared" si="3"/>
        <v>6.71855977522093+18.4441650570814i</v>
      </c>
      <c r="EC58" s="1" t="str">
        <f t="shared" si="4"/>
        <v>2.49751190708526+7.44546685337744i</v>
      </c>
      <c r="ED58" s="52" t="str">
        <f t="shared" si="5"/>
        <v>0.653305756808283+0.41825397136276i</v>
      </c>
      <c r="EE58" s="1" t="str">
        <f t="shared" si="6"/>
        <v>0.397261888194788-0.960675236806499i</v>
      </c>
      <c r="EF58" s="1" t="str">
        <f t="shared" si="7"/>
        <v>53564.0862298268-723470.946594165i</v>
      </c>
      <c r="EH58" s="1" t="str">
        <f t="shared" si="8"/>
        <v>0.661536332134583-0.0110607048119347i</v>
      </c>
      <c r="EI58" s="1" t="str">
        <f t="shared" si="0"/>
        <v>0.0143880322809015+4.17252936146144i</v>
      </c>
      <c r="EJ58" s="1" t="str">
        <f t="shared" si="9"/>
        <v>0.648325253941267+0.0919265636917617i</v>
      </c>
      <c r="EL58" s="52">
        <f t="shared" si="117"/>
        <v>11.6</v>
      </c>
      <c r="EM58" s="14">
        <f t="shared" si="10"/>
        <v>0.6616287916384942</v>
      </c>
      <c r="EN58" s="14">
        <f t="shared" si="10"/>
        <v>4.1725541683399063</v>
      </c>
      <c r="EO58" s="14">
        <f t="shared" si="10"/>
        <v>0.65480999382277594</v>
      </c>
      <c r="EQ58" s="1" t="str">
        <f t="shared" si="11"/>
        <v>0.0225668989302811-0.155301617924149i</v>
      </c>
      <c r="ER58" s="14">
        <f t="shared" si="12"/>
        <v>11.6</v>
      </c>
      <c r="ES58" s="2">
        <f t="shared" si="13"/>
        <v>0.15693265261629868</v>
      </c>
      <c r="EU58" s="1" t="str">
        <f t="shared" si="14"/>
        <v>0.977433101069718+0.155301617924149i</v>
      </c>
      <c r="EV58" s="52">
        <f t="shared" si="15"/>
        <v>11.6</v>
      </c>
      <c r="EW58" s="2">
        <f t="shared" si="16"/>
        <v>0.98969392217827845</v>
      </c>
      <c r="HB58" s="1"/>
      <c r="JO58" s="1"/>
      <c r="JS58" s="1"/>
    </row>
    <row r="59" spans="2:279" ht="18" customHeight="1" x14ac:dyDescent="0.25">
      <c r="B59" s="6"/>
      <c r="I59" s="29" t="s">
        <v>26</v>
      </c>
      <c r="J59" s="209">
        <f>AK60/$P$33</f>
        <v>0.7270953460855073</v>
      </c>
      <c r="K59" s="209"/>
      <c r="L59" s="209"/>
      <c r="M59" s="209"/>
      <c r="N59" s="209"/>
      <c r="P59" s="209">
        <f>(CM36)/P33</f>
        <v>0.7994755856550676</v>
      </c>
      <c r="Q59" s="209"/>
      <c r="R59" s="209"/>
      <c r="S59" s="209"/>
      <c r="T59" s="209"/>
      <c r="U59" s="82"/>
      <c r="V59" s="210">
        <f>IF(LEFT(C24,2)="SD",1.1,1.25)</f>
        <v>1.1000000000000001</v>
      </c>
      <c r="W59" s="210"/>
      <c r="X59" s="210"/>
      <c r="Y59" s="210"/>
      <c r="AA59" s="23"/>
      <c r="AB59" s="23"/>
      <c r="AC59" s="23"/>
      <c r="AD59" s="23"/>
      <c r="AE59" s="23"/>
      <c r="AF59" s="23"/>
      <c r="AG59" s="23"/>
      <c r="AH59" s="23"/>
      <c r="AI59" s="23"/>
      <c r="AJ59" s="32" t="s">
        <v>51</v>
      </c>
      <c r="AK59" s="211">
        <f>AG44*L44/1000</f>
        <v>7.2245563215751725</v>
      </c>
      <c r="AL59" s="211"/>
      <c r="AM59" s="211"/>
      <c r="AN59" s="24" t="s">
        <v>32</v>
      </c>
      <c r="AO59" s="24"/>
      <c r="AP59" s="8"/>
      <c r="AR59" s="6"/>
      <c r="AS59" s="243"/>
      <c r="AT59" s="243"/>
      <c r="AU59" s="243"/>
      <c r="AV59" s="241" t="s">
        <v>39</v>
      </c>
      <c r="AW59" s="241"/>
      <c r="AX59" s="241" t="s">
        <v>39</v>
      </c>
      <c r="AY59" s="241"/>
      <c r="AZ59" s="241" t="s">
        <v>39</v>
      </c>
      <c r="BA59" s="241"/>
      <c r="BB59" s="241" t="s">
        <v>39</v>
      </c>
      <c r="BC59" s="241"/>
      <c r="BD59" s="241" t="s">
        <v>39</v>
      </c>
      <c r="BE59" s="241"/>
      <c r="BF59" s="241" t="s">
        <v>418</v>
      </c>
      <c r="BG59" s="241"/>
      <c r="BH59" s="241" t="s">
        <v>39</v>
      </c>
      <c r="BI59" s="241"/>
      <c r="BJ59" s="241" t="s">
        <v>418</v>
      </c>
      <c r="BK59" s="241"/>
      <c r="BL59" s="241" t="s">
        <v>39</v>
      </c>
      <c r="BM59" s="241"/>
      <c r="BN59" s="241" t="s">
        <v>418</v>
      </c>
      <c r="BO59" s="241"/>
      <c r="BP59" s="241" t="s">
        <v>39</v>
      </c>
      <c r="BQ59" s="241"/>
      <c r="BR59" s="241" t="s">
        <v>418</v>
      </c>
      <c r="BS59" s="241"/>
      <c r="BT59" s="241" t="s">
        <v>39</v>
      </c>
      <c r="BU59" s="241"/>
      <c r="BV59" s="241" t="s">
        <v>39</v>
      </c>
      <c r="BW59" s="241"/>
      <c r="BX59" s="241" t="s">
        <v>39</v>
      </c>
      <c r="BY59" s="241"/>
      <c r="BZ59" s="241" t="s">
        <v>608</v>
      </c>
      <c r="CA59" s="241"/>
      <c r="CB59" s="241"/>
      <c r="CC59" s="243" t="s">
        <v>609</v>
      </c>
      <c r="CD59" s="243"/>
      <c r="CE59" s="243"/>
      <c r="CF59" s="8"/>
      <c r="EA59" s="1">
        <f>ROUND(EA58+0.2,1)</f>
        <v>11.8</v>
      </c>
      <c r="EB59" s="1" t="str">
        <f t="shared" si="3"/>
        <v>6.93284189449617+18.8581137503684i</v>
      </c>
      <c r="EC59" s="1" t="str">
        <f t="shared" si="4"/>
        <v>2.58032431902827+7.71235073661924i</v>
      </c>
      <c r="ED59" s="52" t="str">
        <f t="shared" si="5"/>
        <v>0.675478940884481+0.576543050707969i</v>
      </c>
      <c r="EE59" s="1" t="str">
        <f t="shared" si="6"/>
        <v>0.410797155356937-0.82508725503561i</v>
      </c>
      <c r="EF59" s="1" t="str">
        <f t="shared" si="7"/>
        <v>55394.4914240328-690110.980510886i</v>
      </c>
      <c r="EH59" s="1" t="str">
        <f t="shared" si="8"/>
        <v>0.714052122891157-0.039320338632227i</v>
      </c>
      <c r="EI59" s="1" t="str">
        <f t="shared" si="0"/>
        <v>0.0143880322809015+4.24446952286595i</v>
      </c>
      <c r="EJ59" s="1" t="str">
        <f t="shared" si="9"/>
        <v>0.706686879507088+0.0802852173436177i</v>
      </c>
      <c r="EL59" s="52">
        <f>ROUND(EL58+0.2,1)</f>
        <v>11.8</v>
      </c>
      <c r="EM59" s="14">
        <f t="shared" si="10"/>
        <v>0.71513391979091645</v>
      </c>
      <c r="EN59" s="14">
        <f t="shared" si="10"/>
        <v>4.2444939092912852</v>
      </c>
      <c r="EO59" s="14">
        <f t="shared" si="10"/>
        <v>0.7112327760947027</v>
      </c>
      <c r="EQ59" s="1" t="str">
        <f t="shared" si="11"/>
        <v>0.0194794227105625-0.166429893097061i</v>
      </c>
      <c r="ER59" s="14">
        <f t="shared" si="12"/>
        <v>11.8</v>
      </c>
      <c r="ES59" s="2">
        <f t="shared" si="13"/>
        <v>0.16756597872311649</v>
      </c>
      <c r="EU59" s="1" t="str">
        <f t="shared" si="14"/>
        <v>0.980520577289438+0.166429893097062i</v>
      </c>
      <c r="EV59" s="52">
        <f t="shared" si="15"/>
        <v>11.8</v>
      </c>
      <c r="EW59" s="2">
        <f t="shared" si="16"/>
        <v>0.99454487671714065</v>
      </c>
      <c r="HB59" s="1"/>
      <c r="JO59" s="1"/>
      <c r="JS59" s="1"/>
    </row>
    <row r="60" spans="2:279" ht="18" x14ac:dyDescent="0.25">
      <c r="B60" s="6"/>
      <c r="I60" s="29" t="s">
        <v>27</v>
      </c>
      <c r="J60" s="204">
        <f>AK61/(1.414*$P$33)</f>
        <v>0.83661196217237099</v>
      </c>
      <c r="K60" s="204"/>
      <c r="L60" s="204"/>
      <c r="M60" s="204"/>
      <c r="N60" s="204"/>
      <c r="O60" s="79"/>
      <c r="P60" s="204">
        <f>(CM40/1000)/(P33*1.414)</f>
        <v>0.90914883941400026</v>
      </c>
      <c r="Q60" s="204"/>
      <c r="R60" s="204"/>
      <c r="S60" s="204"/>
      <c r="T60" s="204"/>
      <c r="U60" s="82"/>
      <c r="V60" s="203">
        <f>IF(LEFT(C24,2)="SD",1.2,1.35)</f>
        <v>1.2</v>
      </c>
      <c r="W60" s="203"/>
      <c r="X60" s="203"/>
      <c r="Y60" s="203"/>
      <c r="AA60" s="23"/>
      <c r="AB60" s="23"/>
      <c r="AC60" s="23"/>
      <c r="AD60" s="32"/>
      <c r="AE60" s="23"/>
      <c r="AF60" s="23"/>
      <c r="AG60" s="23"/>
      <c r="AH60" s="23"/>
      <c r="AI60" s="23"/>
      <c r="AJ60" s="32" t="s">
        <v>53</v>
      </c>
      <c r="AK60" s="211">
        <f>BX76/1000</f>
        <v>7.2418696470116535</v>
      </c>
      <c r="AL60" s="211"/>
      <c r="AM60" s="211"/>
      <c r="AN60" s="24" t="s">
        <v>32</v>
      </c>
      <c r="AO60" s="24"/>
      <c r="AP60" s="8"/>
      <c r="AR60" s="6"/>
      <c r="AS60" s="244">
        <v>1</v>
      </c>
      <c r="AT60" s="244"/>
      <c r="AU60" s="244"/>
      <c r="AV60" s="191">
        <f>F74*$W$40</f>
        <v>299.80366504332841</v>
      </c>
      <c r="AW60" s="190"/>
      <c r="AX60" s="191">
        <f>H74*$W$41</f>
        <v>149.94050393125849</v>
      </c>
      <c r="AY60" s="190"/>
      <c r="AZ60" s="191">
        <f>J74*$W$42</f>
        <v>59.986457950019869</v>
      </c>
      <c r="BA60" s="190"/>
      <c r="BB60" s="191">
        <f>L74*$W$43</f>
        <v>42.849059407639928</v>
      </c>
      <c r="BC60" s="190"/>
      <c r="BD60" s="191">
        <f>N74*$W$44</f>
        <v>24.996354787896742</v>
      </c>
      <c r="BE60" s="190"/>
      <c r="BF60" s="191">
        <f t="shared" ref="BF60:BF75" si="118">P74*$AL$40</f>
        <v>299.8186548518446</v>
      </c>
      <c r="BG60" s="191"/>
      <c r="BH60" s="191">
        <f t="shared" ref="BH60:BH75" si="119">R74*$AL$41</f>
        <v>149.94800076903906</v>
      </c>
      <c r="BI60" s="191"/>
      <c r="BJ60" s="191">
        <f t="shared" ref="BJ60:BJ75" si="120">T74*$AL$42</f>
        <v>59.98945719793786</v>
      </c>
      <c r="BK60" s="191"/>
      <c r="BL60" s="191">
        <f t="shared" ref="BL60:BL75" si="121">V74*$AL$43</f>
        <v>42.851201807051694</v>
      </c>
      <c r="BM60" s="191"/>
      <c r="BN60" s="191">
        <f t="shared" ref="BN60:BN75" si="122">X74*$AL$44</f>
        <v>24.997604574392263</v>
      </c>
      <c r="BO60" s="191"/>
      <c r="BP60" s="191">
        <f t="shared" ref="BP60:BP75" si="123">Z74*$L$40/AS60</f>
        <v>7499.306664132444</v>
      </c>
      <c r="BQ60" s="190"/>
      <c r="BR60" s="191">
        <f t="shared" ref="BR60:BR75" si="124">AB74*$L$41/AS60</f>
        <v>7349.5677797657636</v>
      </c>
      <c r="BS60" s="190"/>
      <c r="BT60" s="191">
        <f t="shared" ref="BT60:BT75" si="125">AD74*$L$42/AS60</f>
        <v>7259.6548015798335</v>
      </c>
      <c r="BU60" s="190"/>
      <c r="BV60" s="191">
        <f t="shared" ref="BV60:BV75" si="126">AF74*$L$43/AS60</f>
        <v>7242.5220554629695</v>
      </c>
      <c r="BW60" s="190"/>
      <c r="BX60" s="191">
        <f t="shared" ref="BX60:BX75" si="127">AH74*$L$44/AS60</f>
        <v>7224.6729732662288</v>
      </c>
      <c r="BY60" s="190"/>
      <c r="BZ60" s="246">
        <f>S17*1000/SQRT(3)</f>
        <v>7199.5578567946341</v>
      </c>
      <c r="CA60" s="246"/>
      <c r="CB60" s="246"/>
      <c r="CC60" s="285" t="s">
        <v>610</v>
      </c>
      <c r="CD60" s="285"/>
      <c r="CE60" s="285"/>
      <c r="CF60" s="8"/>
      <c r="EA60" s="1">
        <f t="shared" si="116"/>
        <v>12</v>
      </c>
      <c r="EB60" s="1" t="str">
        <f t="shared" si="3"/>
        <v>7.1496077943224+19.2665454921995i</v>
      </c>
      <c r="EC60" s="1" t="str">
        <f t="shared" si="4"/>
        <v>2.66430999819288+7.9758147151764i</v>
      </c>
      <c r="ED60" s="52" t="str">
        <f t="shared" si="5"/>
        <v>0.698004170305622+0.7321377866424i</v>
      </c>
      <c r="EE60" s="1" t="str">
        <f t="shared" si="6"/>
        <v>0.424551939460006-0.69211620957167i</v>
      </c>
      <c r="EF60" s="1" t="str">
        <f t="shared" si="7"/>
        <v>57255.2429012416-657519.063467773i</v>
      </c>
      <c r="EH60" s="1" t="str">
        <f t="shared" si="8"/>
        <v>0.712685240657017-0.0907924730492633i</v>
      </c>
      <c r="EI60" s="1" t="str">
        <f t="shared" si="0"/>
        <v>0.0143880322809015+4.31640968427045i</v>
      </c>
      <c r="EJ60" s="1" t="str">
        <f t="shared" si="9"/>
        <v>0.72266907940915+0.0291748444019652i</v>
      </c>
      <c r="EL60" s="52">
        <f t="shared" si="117"/>
        <v>12</v>
      </c>
      <c r="EM60" s="14">
        <f t="shared" si="10"/>
        <v>0.7184452139257046</v>
      </c>
      <c r="EN60" s="14">
        <f t="shared" si="10"/>
        <v>4.3164336642576409</v>
      </c>
      <c r="EO60" s="14">
        <f t="shared" si="10"/>
        <v>0.72325774788794861</v>
      </c>
      <c r="EQ60" s="1" t="str">
        <f t="shared" si="11"/>
        <v>0.00731705114133692-0.167399263344775i</v>
      </c>
      <c r="ER60" s="14">
        <f t="shared" si="12"/>
        <v>12</v>
      </c>
      <c r="ES60" s="2">
        <f t="shared" si="13"/>
        <v>0.16755910182911063</v>
      </c>
      <c r="EU60" s="1" t="str">
        <f t="shared" si="14"/>
        <v>0.992682948858662+0.167399263344775i</v>
      </c>
      <c r="EV60" s="52">
        <f t="shared" si="15"/>
        <v>12</v>
      </c>
      <c r="EW60" s="2">
        <f t="shared" si="16"/>
        <v>1.0066985399428681</v>
      </c>
      <c r="HB60" s="1"/>
      <c r="JO60" s="1"/>
      <c r="JS60" s="1"/>
    </row>
    <row r="61" spans="2:279" ht="18" x14ac:dyDescent="0.25">
      <c r="B61" s="6"/>
      <c r="I61" s="29" t="str">
        <f>"% "&amp;$AK$17&amp;"HZ AMPS:"</f>
        <v>% 60HZ AMPS:</v>
      </c>
      <c r="J61" s="212">
        <f>(AK62/U33)/(Z33/P33)</f>
        <v>1.0700033817993981</v>
      </c>
      <c r="K61" s="212"/>
      <c r="L61" s="212"/>
      <c r="M61" s="212"/>
      <c r="N61" s="212"/>
      <c r="O61" s="80"/>
      <c r="P61" s="212">
        <f>CM44/(AE33/P33)</f>
        <v>1.1204466996789533</v>
      </c>
      <c r="Q61" s="212"/>
      <c r="R61" s="212"/>
      <c r="S61" s="212"/>
      <c r="T61" s="212"/>
      <c r="U61" s="83"/>
      <c r="V61" s="213">
        <v>1.35</v>
      </c>
      <c r="W61" s="213"/>
      <c r="X61" s="213"/>
      <c r="Y61" s="213"/>
      <c r="AA61" s="23"/>
      <c r="AB61" s="23"/>
      <c r="AC61" s="23"/>
      <c r="AD61" s="23"/>
      <c r="AE61" s="23"/>
      <c r="AF61" s="23"/>
      <c r="AG61" s="23"/>
      <c r="AH61" s="23"/>
      <c r="AI61" s="23"/>
      <c r="AJ61" s="32" t="s">
        <v>54</v>
      </c>
      <c r="AK61" s="211">
        <f>(1.414*SUM(BX60:BY75))/1000</f>
        <v>11.782374372536857</v>
      </c>
      <c r="AL61" s="211"/>
      <c r="AM61" s="211"/>
      <c r="AN61" s="24" t="s">
        <v>32</v>
      </c>
      <c r="AO61" s="24"/>
      <c r="AP61" s="8"/>
      <c r="AR61" s="6"/>
      <c r="AS61" s="206">
        <f t="shared" ref="AS61:AS75" si="128">C75</f>
        <v>2</v>
      </c>
      <c r="AT61" s="207"/>
      <c r="AU61" s="207"/>
      <c r="AV61" s="192">
        <f t="shared" ref="AV61:AV75" si="129">F75*$W$40*AS61</f>
        <v>0.19822009307561186</v>
      </c>
      <c r="AW61" s="193"/>
      <c r="AX61" s="192">
        <f t="shared" ref="AX61:AX75" si="130">H75*$W$41*AS61</f>
        <v>9.260958990715451E-2</v>
      </c>
      <c r="AY61" s="193"/>
      <c r="AZ61" s="192">
        <f t="shared" ref="AZ61:AZ75" si="131">J75*$W$42*AS61</f>
        <v>3.5639362278835782E-2</v>
      </c>
      <c r="BA61" s="193"/>
      <c r="BB61" s="192">
        <f t="shared" ref="BB61:BB75" si="132">L75*$W$43*AS61</f>
        <v>2.5274146984848846E-2</v>
      </c>
      <c r="BC61" s="193"/>
      <c r="BD61" s="192">
        <f t="shared" ref="BD61:BD75" si="133">N75*$W$44*AS61</f>
        <v>1.4633981514345444E-2</v>
      </c>
      <c r="BE61" s="193"/>
      <c r="BF61" s="192">
        <f t="shared" si="118"/>
        <v>0.19822257081128963</v>
      </c>
      <c r="BG61" s="192"/>
      <c r="BH61" s="192">
        <f t="shared" si="119"/>
        <v>9.2610747519793132E-2</v>
      </c>
      <c r="BI61" s="192"/>
      <c r="BJ61" s="192">
        <f t="shared" si="120"/>
        <v>3.5639807768080026E-2</v>
      </c>
      <c r="BK61" s="192"/>
      <c r="BL61" s="192">
        <f t="shared" si="121"/>
        <v>2.5274462909711685E-2</v>
      </c>
      <c r="BM61" s="192"/>
      <c r="BN61" s="192">
        <f t="shared" si="122"/>
        <v>1.4634164437971046E-2</v>
      </c>
      <c r="BO61" s="192"/>
      <c r="BP61" s="192">
        <f t="shared" si="123"/>
        <v>1.2407325421037378</v>
      </c>
      <c r="BQ61" s="193"/>
      <c r="BR61" s="192">
        <f t="shared" si="124"/>
        <v>1.1353932126447057</v>
      </c>
      <c r="BS61" s="193"/>
      <c r="BT61" s="192">
        <f t="shared" si="125"/>
        <v>1.0784915841908735</v>
      </c>
      <c r="BU61" s="193"/>
      <c r="BV61" s="192">
        <f t="shared" si="126"/>
        <v>1.0681328033740285</v>
      </c>
      <c r="BW61" s="193"/>
      <c r="BX61" s="192">
        <f t="shared" si="127"/>
        <v>1.0574972208337881</v>
      </c>
      <c r="BY61" s="193"/>
      <c r="BZ61" s="192">
        <f t="shared" ref="BZ61:BZ75" si="134">FI6</f>
        <v>1.0428659369151632</v>
      </c>
      <c r="CA61" s="192"/>
      <c r="CB61" s="192"/>
      <c r="CC61" s="275">
        <f>BZ61/$BZ$60</f>
        <v>1.4485138638492236E-4</v>
      </c>
      <c r="CD61" s="275"/>
      <c r="CE61" s="275"/>
      <c r="CF61" s="8"/>
      <c r="EA61" s="1">
        <f t="shared" si="116"/>
        <v>12.2</v>
      </c>
      <c r="EB61" s="1" t="str">
        <f t="shared" si="3"/>
        <v>7.36880746887126+19.6695676135323i</v>
      </c>
      <c r="EC61" s="1" t="str">
        <f t="shared" si="4"/>
        <v>2.74945771169202+8.23597541108218i</v>
      </c>
      <c r="ED61" s="52" t="str">
        <f t="shared" si="5"/>
        <v>0.720880123502225+0.88516115414278i</v>
      </c>
      <c r="EE61" s="1" t="str">
        <f t="shared" si="6"/>
        <v>0.438525653661927-0.56163840169821i</v>
      </c>
      <c r="EF61" s="1" t="str">
        <f t="shared" si="7"/>
        <v>59146.2934743001-625657.948620619i</v>
      </c>
      <c r="EH61" s="1" t="str">
        <f t="shared" si="8"/>
        <v>0.657569113564208-0.12215890178123i</v>
      </c>
      <c r="EI61" s="1" t="str">
        <f t="shared" si="0"/>
        <v>0.0143880322809015+4.38834984567496i</v>
      </c>
      <c r="EJ61" s="1" t="str">
        <f t="shared" si="9"/>
        <v>0.679275394302296-0.020883539763195i</v>
      </c>
      <c r="EL61" s="52">
        <f t="shared" si="117"/>
        <v>12.2</v>
      </c>
      <c r="EM61" s="14">
        <f t="shared" si="10"/>
        <v>0.66881980861665147</v>
      </c>
      <c r="EN61" s="14">
        <f t="shared" si="10"/>
        <v>4.388373432549737</v>
      </c>
      <c r="EO61" s="14">
        <f t="shared" si="10"/>
        <v>0.67959633867287772</v>
      </c>
      <c r="EQ61" s="1" t="str">
        <f t="shared" si="11"/>
        <v>-0.00425130343488542-0.154804558907921i</v>
      </c>
      <c r="ER61" s="14">
        <f t="shared" si="12"/>
        <v>12.2</v>
      </c>
      <c r="ES61" s="2">
        <f t="shared" si="13"/>
        <v>0.15486292338572025</v>
      </c>
      <c r="EU61" s="1" t="str">
        <f t="shared" si="14"/>
        <v>1.00425130343489+0.154804558907921i</v>
      </c>
      <c r="EV61" s="52">
        <f t="shared" si="15"/>
        <v>12.2</v>
      </c>
      <c r="EW61" s="2">
        <f t="shared" si="16"/>
        <v>1.0161127555096197</v>
      </c>
      <c r="HB61" s="1"/>
      <c r="JO61" s="1"/>
      <c r="JS61" s="1"/>
    </row>
    <row r="62" spans="2:279" ht="18" x14ac:dyDescent="0.25">
      <c r="B62" s="6"/>
      <c r="I62" s="29" t="str">
        <f>"% "&amp;$AK$17&amp;"HZ KVAR:"</f>
        <v>% 60HZ KVAR:</v>
      </c>
      <c r="J62" s="202">
        <f>AK63/AE33</f>
        <v>0.5636716863167065</v>
      </c>
      <c r="K62" s="202"/>
      <c r="L62" s="202"/>
      <c r="M62" s="202"/>
      <c r="N62" s="202"/>
      <c r="O62" s="81"/>
      <c r="P62" s="202">
        <f>CS31/AE33</f>
        <v>0.67416525607601641</v>
      </c>
      <c r="Q62" s="202"/>
      <c r="R62" s="202"/>
      <c r="S62" s="202"/>
      <c r="T62" s="202"/>
      <c r="U62" s="79"/>
      <c r="V62" s="203">
        <v>1.35</v>
      </c>
      <c r="W62" s="203"/>
      <c r="X62" s="203"/>
      <c r="Y62" s="203"/>
      <c r="AA62" s="23"/>
      <c r="AB62" s="23"/>
      <c r="AC62" s="23"/>
      <c r="AD62" s="23"/>
      <c r="AE62" s="23"/>
      <c r="AF62" s="23"/>
      <c r="AG62" s="23"/>
      <c r="AH62" s="23"/>
      <c r="AI62" s="23"/>
      <c r="AJ62" s="32" t="s">
        <v>56</v>
      </c>
      <c r="AK62" s="248">
        <f>AH90</f>
        <v>6.8297723303243371E-4</v>
      </c>
      <c r="AL62" s="248"/>
      <c r="AM62" s="248"/>
      <c r="AN62" s="24" t="s">
        <v>39</v>
      </c>
      <c r="AO62" s="24"/>
      <c r="AP62" s="8"/>
      <c r="AR62" s="6"/>
      <c r="AS62" s="221">
        <f t="shared" si="128"/>
        <v>3</v>
      </c>
      <c r="AT62" s="222"/>
      <c r="AU62" s="222"/>
      <c r="AV62" s="191">
        <f t="shared" si="129"/>
        <v>1.1510109552355121</v>
      </c>
      <c r="AW62" s="190"/>
      <c r="AX62" s="191">
        <f t="shared" si="130"/>
        <v>0.4627156451345692</v>
      </c>
      <c r="AY62" s="190"/>
      <c r="AZ62" s="191">
        <f t="shared" si="131"/>
        <v>0.1655211171199667</v>
      </c>
      <c r="BA62" s="190"/>
      <c r="BB62" s="191">
        <f t="shared" si="132"/>
        <v>0.11589249008529254</v>
      </c>
      <c r="BC62" s="190"/>
      <c r="BD62" s="191">
        <f t="shared" si="133"/>
        <v>6.6239760424607386E-2</v>
      </c>
      <c r="BE62" s="190"/>
      <c r="BF62" s="191">
        <f t="shared" si="118"/>
        <v>1.1510173497230556</v>
      </c>
      <c r="BG62" s="191"/>
      <c r="BH62" s="191">
        <f t="shared" si="119"/>
        <v>0.46271821576990102</v>
      </c>
      <c r="BI62" s="191"/>
      <c r="BJ62" s="191">
        <f t="shared" si="120"/>
        <v>0.1655220366791739</v>
      </c>
      <c r="BK62" s="191"/>
      <c r="BL62" s="191">
        <f t="shared" si="121"/>
        <v>0.11589313393067123</v>
      </c>
      <c r="BM62" s="191"/>
      <c r="BN62" s="191">
        <f t="shared" si="122"/>
        <v>6.6240128422254171E-2</v>
      </c>
      <c r="BO62" s="191"/>
      <c r="BP62" s="191">
        <f t="shared" si="123"/>
        <v>3.2070293916683776</v>
      </c>
      <c r="BQ62" s="190"/>
      <c r="BR62" s="191">
        <f t="shared" si="124"/>
        <v>2.5232912179612907</v>
      </c>
      <c r="BS62" s="190"/>
      <c r="BT62" s="191">
        <f t="shared" si="125"/>
        <v>2.2268849544127458</v>
      </c>
      <c r="BU62" s="190"/>
      <c r="BV62" s="191">
        <f t="shared" si="126"/>
        <v>2.1773178100773007</v>
      </c>
      <c r="BW62" s="190"/>
      <c r="BX62" s="191">
        <f t="shared" si="127"/>
        <v>2.1277061035586837</v>
      </c>
      <c r="BY62" s="190"/>
      <c r="BZ62" s="191">
        <f t="shared" si="134"/>
        <v>2.0614880055135822</v>
      </c>
      <c r="CA62" s="191"/>
      <c r="CB62" s="191"/>
      <c r="CC62" s="276">
        <f t="shared" ref="CC62:CC75" si="135">BZ62/$BZ$60</f>
        <v>2.8633536204838441E-4</v>
      </c>
      <c r="CD62" s="276"/>
      <c r="CE62" s="276"/>
      <c r="CF62" s="8"/>
      <c r="EA62" s="1">
        <f t="shared" si="116"/>
        <v>12.4</v>
      </c>
      <c r="EB62" s="1" t="str">
        <f t="shared" si="3"/>
        <v>7.5903907937095+20.0672801380542i</v>
      </c>
      <c r="EC62" s="1" t="str">
        <f t="shared" si="4"/>
        <v>2.83575612268298+8.49294145280703i</v>
      </c>
      <c r="ED62" s="52" t="str">
        <f t="shared" si="5"/>
        <v>0.744105460805821+1.03572806585737i</v>
      </c>
      <c r="EE62" s="1" t="str">
        <f t="shared" si="6"/>
        <v>0.452717702569729-0.43353818498529i</v>
      </c>
      <c r="EF62" s="1" t="str">
        <f t="shared" si="7"/>
        <v>61067.595224915-594492.800166968i</v>
      </c>
      <c r="EH62" s="1" t="str">
        <f t="shared" si="8"/>
        <v>0.580688123829318-0.110807430185652i</v>
      </c>
      <c r="EI62" s="1" t="str">
        <f t="shared" si="0"/>
        <v>0.0143880322809015+4.46029000707947i</v>
      </c>
      <c r="EJ62" s="1" t="str">
        <f t="shared" si="9"/>
        <v>0.59969894326028-0.033503224460182i</v>
      </c>
      <c r="EL62" s="52">
        <f t="shared" si="117"/>
        <v>12.4</v>
      </c>
      <c r="EM62" s="14">
        <f t="shared" si="10"/>
        <v>0.59116578363498129</v>
      </c>
      <c r="EN62" s="14">
        <f t="shared" si="10"/>
        <v>4.4603132135227783</v>
      </c>
      <c r="EO62" s="14">
        <f t="shared" si="10"/>
        <v>0.60063407212438913</v>
      </c>
      <c r="EQ62" s="1" t="str">
        <f t="shared" si="11"/>
        <v>-0.00707765261782048-0.134475734941585i</v>
      </c>
      <c r="ER62" s="14">
        <f t="shared" si="12"/>
        <v>12.4</v>
      </c>
      <c r="ES62" s="2">
        <f t="shared" si="13"/>
        <v>0.1346618596881016</v>
      </c>
      <c r="EU62" s="1" t="str">
        <f t="shared" si="14"/>
        <v>1.00707765261782+0.134475734941585i</v>
      </c>
      <c r="EV62" s="52">
        <f t="shared" si="15"/>
        <v>12.4</v>
      </c>
      <c r="EW62" s="2">
        <f t="shared" si="16"/>
        <v>1.0160162999136864</v>
      </c>
      <c r="HB62" s="1"/>
      <c r="JO62" s="1"/>
      <c r="JS62" s="1"/>
    </row>
    <row r="63" spans="2:279" ht="18" x14ac:dyDescent="0.25">
      <c r="B63" s="6"/>
      <c r="AE63" s="23"/>
      <c r="AF63" s="23"/>
      <c r="AG63" s="23"/>
      <c r="AH63" s="23"/>
      <c r="AI63" s="23"/>
      <c r="AJ63" s="32" t="s">
        <v>58</v>
      </c>
      <c r="AK63" s="248">
        <f>CM31</f>
        <v>3.5834936175609075E-3</v>
      </c>
      <c r="AL63" s="248"/>
      <c r="AM63" s="248"/>
      <c r="AN63" s="24" t="s">
        <v>37</v>
      </c>
      <c r="AO63" s="24"/>
      <c r="AP63" s="8"/>
      <c r="AR63" s="6"/>
      <c r="AS63" s="206">
        <f t="shared" si="128"/>
        <v>4</v>
      </c>
      <c r="AT63" s="207"/>
      <c r="AU63" s="207"/>
      <c r="AV63" s="192">
        <f t="shared" si="129"/>
        <v>14.174687001734268</v>
      </c>
      <c r="AW63" s="193"/>
      <c r="AX63" s="192">
        <f t="shared" si="130"/>
        <v>3.9954372065369448</v>
      </c>
      <c r="AY63" s="193"/>
      <c r="AZ63" s="192">
        <f t="shared" si="131"/>
        <v>1.2613248461211222</v>
      </c>
      <c r="BA63" s="193"/>
      <c r="BB63" s="192">
        <f t="shared" si="132"/>
        <v>0.86604957194891241</v>
      </c>
      <c r="BC63" s="193"/>
      <c r="BD63" s="192">
        <f t="shared" si="133"/>
        <v>0.48558785040464775</v>
      </c>
      <c r="BE63" s="193"/>
      <c r="BF63" s="192">
        <f t="shared" si="118"/>
        <v>14.174731297561936</v>
      </c>
      <c r="BG63" s="192"/>
      <c r="BH63" s="192">
        <f t="shared" si="119"/>
        <v>3.9954496922587031</v>
      </c>
      <c r="BI63" s="192"/>
      <c r="BJ63" s="192">
        <f t="shared" si="120"/>
        <v>1.26132878775511</v>
      </c>
      <c r="BK63" s="192"/>
      <c r="BL63" s="192">
        <f t="shared" si="121"/>
        <v>0.86605227834959697</v>
      </c>
      <c r="BM63" s="192"/>
      <c r="BN63" s="192">
        <f t="shared" si="122"/>
        <v>0.48558936786430779</v>
      </c>
      <c r="BO63" s="192"/>
      <c r="BP63" s="192">
        <f t="shared" si="123"/>
        <v>22.263922223623911</v>
      </c>
      <c r="BQ63" s="193"/>
      <c r="BR63" s="192">
        <f t="shared" si="124"/>
        <v>12.269380538170717</v>
      </c>
      <c r="BS63" s="193"/>
      <c r="BT63" s="192">
        <f t="shared" si="125"/>
        <v>9.5497009975893992</v>
      </c>
      <c r="BU63" s="193"/>
      <c r="BV63" s="192">
        <f t="shared" si="126"/>
        <v>9.1552910474185438</v>
      </c>
      <c r="BW63" s="193"/>
      <c r="BX63" s="192">
        <f t="shared" si="127"/>
        <v>8.7753680255626882</v>
      </c>
      <c r="BY63" s="193"/>
      <c r="BZ63" s="192">
        <f t="shared" si="134"/>
        <v>8.2900401927018148</v>
      </c>
      <c r="CA63" s="192"/>
      <c r="CB63" s="192"/>
      <c r="CC63" s="275">
        <f t="shared" si="135"/>
        <v>1.1514651812788794E-3</v>
      </c>
      <c r="CD63" s="275"/>
      <c r="CE63" s="275"/>
      <c r="CF63" s="8"/>
      <c r="EA63" s="1">
        <f t="shared" si="116"/>
        <v>12.6</v>
      </c>
      <c r="EB63" s="1" t="str">
        <f t="shared" si="3"/>
        <v>7.8143075502192+20.4597764396687i</v>
      </c>
      <c r="EC63" s="1" t="str">
        <f t="shared" si="4"/>
        <v>2.92319379388275+8.74681412529413i</v>
      </c>
      <c r="ED63" s="52" t="str">
        <f t="shared" si="5"/>
        <v>0.767678824639955+1.18394601330742i</v>
      </c>
      <c r="EE63" s="1" t="str">
        <f t="shared" si="6"/>
        <v>0.467127482301794-0.30770732570521i</v>
      </c>
      <c r="EF63" s="1" t="str">
        <f t="shared" si="7"/>
        <v>63019.0995066563-563991.001961168i</v>
      </c>
      <c r="EH63" s="1" t="str">
        <f t="shared" si="8"/>
        <v>0.510244328293969-0.0643519532662436i</v>
      </c>
      <c r="EI63" s="1" t="str">
        <f t="shared" si="0"/>
        <v>0.0143880322809015+4.53223016848398i</v>
      </c>
      <c r="EJ63" s="1" t="str">
        <f t="shared" si="9"/>
        <v>0.518100783618496-0.00608495519030031i</v>
      </c>
      <c r="EL63" s="52">
        <f t="shared" si="117"/>
        <v>12.6</v>
      </c>
      <c r="EM63" s="14">
        <f t="shared" si="10"/>
        <v>0.51428634868655076</v>
      </c>
      <c r="EN63" s="14">
        <f t="shared" si="10"/>
        <v>4.5322530065729163</v>
      </c>
      <c r="EO63" s="14">
        <f t="shared" si="10"/>
        <v>0.518136515472291</v>
      </c>
      <c r="EQ63" s="1" t="str">
        <f t="shared" si="11"/>
        <v>-0.000979682382522607-0.114317865611302i</v>
      </c>
      <c r="ER63" s="14">
        <f t="shared" si="12"/>
        <v>12.6</v>
      </c>
      <c r="ES63" s="2">
        <f t="shared" si="13"/>
        <v>0.11432206338014692</v>
      </c>
      <c r="EU63" s="1" t="str">
        <f t="shared" si="14"/>
        <v>1.00097968238252+0.114317865611302i</v>
      </c>
      <c r="EV63" s="52">
        <f t="shared" si="15"/>
        <v>12.6</v>
      </c>
      <c r="EW63" s="2">
        <f t="shared" si="16"/>
        <v>1.0074864261817795</v>
      </c>
      <c r="HB63" s="1"/>
      <c r="JO63" s="1"/>
      <c r="JS63" s="1"/>
    </row>
    <row r="64" spans="2:279" ht="18" customHeight="1" x14ac:dyDescent="0.25">
      <c r="B64" s="6"/>
      <c r="AP64" s="8"/>
      <c r="AR64" s="6"/>
      <c r="AS64" s="221">
        <f t="shared" si="128"/>
        <v>5</v>
      </c>
      <c r="AT64" s="222"/>
      <c r="AU64" s="222"/>
      <c r="AV64" s="191">
        <f t="shared" si="129"/>
        <v>1335.1786813781964</v>
      </c>
      <c r="AW64" s="190"/>
      <c r="AX64" s="191">
        <f t="shared" si="130"/>
        <v>173.6443172526549</v>
      </c>
      <c r="AY64" s="190"/>
      <c r="AZ64" s="191">
        <f t="shared" si="131"/>
        <v>44.037621071408893</v>
      </c>
      <c r="BA64" s="190"/>
      <c r="BB64" s="191">
        <f t="shared" si="132"/>
        <v>29.388261472716863</v>
      </c>
      <c r="BC64" s="190"/>
      <c r="BD64" s="191">
        <f t="shared" si="133"/>
        <v>16.043177205865838</v>
      </c>
      <c r="BE64" s="190"/>
      <c r="BF64" s="191">
        <f t="shared" si="118"/>
        <v>1335.1813517328849</v>
      </c>
      <c r="BG64" s="191"/>
      <c r="BH64" s="191">
        <f t="shared" si="119"/>
        <v>173.6446645409425</v>
      </c>
      <c r="BI64" s="191"/>
      <c r="BJ64" s="191">
        <f t="shared" si="120"/>
        <v>44.037709146562932</v>
      </c>
      <c r="BK64" s="191"/>
      <c r="BL64" s="191">
        <f t="shared" si="121"/>
        <v>29.388320249181028</v>
      </c>
      <c r="BM64" s="191"/>
      <c r="BN64" s="191">
        <f t="shared" si="122"/>
        <v>16.043209292188166</v>
      </c>
      <c r="BO64" s="191"/>
      <c r="BP64" s="191">
        <f t="shared" si="123"/>
        <v>1345.9005513665968</v>
      </c>
      <c r="BQ64" s="190"/>
      <c r="BR64" s="191">
        <f t="shared" si="124"/>
        <v>341.7572998348848</v>
      </c>
      <c r="BS64" s="190"/>
      <c r="BT64" s="191">
        <f t="shared" si="125"/>
        <v>213.5100343723152</v>
      </c>
      <c r="BU64" s="190"/>
      <c r="BV64" s="191">
        <f t="shared" si="126"/>
        <v>198.91319116379395</v>
      </c>
      <c r="BW64" s="190"/>
      <c r="BX64" s="191">
        <f t="shared" si="127"/>
        <v>185.5980509921354</v>
      </c>
      <c r="BY64" s="190"/>
      <c r="BZ64" s="191">
        <f t="shared" si="134"/>
        <v>169.56802107277275</v>
      </c>
      <c r="CA64" s="191"/>
      <c r="CB64" s="191"/>
      <c r="CC64" s="276">
        <f t="shared" si="135"/>
        <v>2.3552560371848628E-2</v>
      </c>
      <c r="CD64" s="276"/>
      <c r="CE64" s="276"/>
      <c r="CF64" s="8"/>
      <c r="EA64" s="1">
        <f t="shared" si="116"/>
        <v>12.8</v>
      </c>
      <c r="EB64" s="1" t="str">
        <f t="shared" si="3"/>
        <v>8.04050744967772+20.8471438372781i</v>
      </c>
      <c r="EC64" s="1" t="str">
        <f t="shared" si="4"/>
        <v>3.01175919108823+8.99768795907703i</v>
      </c>
      <c r="ED64" s="52" t="str">
        <f t="shared" si="5"/>
        <v>0.791598839713191+1.32991564798976i</v>
      </c>
      <c r="EE64" s="1" t="str">
        <f t="shared" si="6"/>
        <v>0.481754380550851-0.18404442320322i</v>
      </c>
      <c r="EF64" s="1" t="str">
        <f t="shared" si="7"/>
        <v>65000.756948002-534121.984071355i</v>
      </c>
      <c r="EH64" s="1" t="str">
        <f t="shared" si="8"/>
        <v>0.456322933322025+0.00102310474395278i</v>
      </c>
      <c r="EI64" s="1" t="str">
        <f t="shared" si="0"/>
        <v>0.0143880322809015+4.60417032988849i</v>
      </c>
      <c r="EJ64" s="1" t="str">
        <f t="shared" si="9"/>
        <v>0.451548367598722+0.0457513306510998i</v>
      </c>
      <c r="EL64" s="52">
        <f t="shared" si="117"/>
        <v>12.8</v>
      </c>
      <c r="EM64" s="14">
        <f t="shared" si="10"/>
        <v>0.45632408025320598</v>
      </c>
      <c r="EN64" s="14">
        <f t="shared" si="10"/>
        <v>4.6041928111340429</v>
      </c>
      <c r="EO64" s="14">
        <f t="shared" si="10"/>
        <v>0.45386023458485203</v>
      </c>
      <c r="EQ64" s="1" t="str">
        <f t="shared" si="11"/>
        <v>0.0102433132040501-0.0980417652117168i</v>
      </c>
      <c r="ER64" s="14">
        <f t="shared" si="12"/>
        <v>12.8</v>
      </c>
      <c r="ES64" s="2">
        <f t="shared" si="13"/>
        <v>9.8575418798124662E-2</v>
      </c>
      <c r="EU64" s="1" t="str">
        <f t="shared" si="14"/>
        <v>0.98975668679595+0.098041765211717i</v>
      </c>
      <c r="EV64" s="52">
        <f t="shared" si="15"/>
        <v>12.8</v>
      </c>
      <c r="EW64" s="2">
        <f t="shared" si="16"/>
        <v>0.99460066699310301</v>
      </c>
      <c r="HB64" s="1"/>
      <c r="JO64" s="1"/>
      <c r="JS64" s="1"/>
    </row>
    <row r="65" spans="2:279" ht="18" customHeight="1" x14ac:dyDescent="0.25">
      <c r="B65" s="6"/>
      <c r="AP65" s="8"/>
      <c r="AR65" s="6"/>
      <c r="AS65" s="206">
        <f t="shared" si="128"/>
        <v>7</v>
      </c>
      <c r="AT65" s="207"/>
      <c r="AU65" s="207"/>
      <c r="AV65" s="192">
        <f t="shared" si="129"/>
        <v>187.89092803454653</v>
      </c>
      <c r="AW65" s="193"/>
      <c r="AX65" s="192">
        <f t="shared" si="130"/>
        <v>740.0987286116615</v>
      </c>
      <c r="AY65" s="193"/>
      <c r="AZ65" s="192">
        <f t="shared" si="131"/>
        <v>63.097992540545292</v>
      </c>
      <c r="BA65" s="193"/>
      <c r="BB65" s="192">
        <f t="shared" si="132"/>
        <v>38.029932356245297</v>
      </c>
      <c r="BC65" s="193"/>
      <c r="BD65" s="192">
        <f t="shared" si="133"/>
        <v>19.06520429187832</v>
      </c>
      <c r="BE65" s="193"/>
      <c r="BF65" s="192">
        <f t="shared" si="118"/>
        <v>187.89111975988624</v>
      </c>
      <c r="BG65" s="192"/>
      <c r="BH65" s="192">
        <f t="shared" si="119"/>
        <v>740.09948381405843</v>
      </c>
      <c r="BI65" s="192"/>
      <c r="BJ65" s="192">
        <f t="shared" si="120"/>
        <v>63.098056926219115</v>
      </c>
      <c r="BK65" s="192"/>
      <c r="BL65" s="192">
        <f t="shared" si="121"/>
        <v>38.029971162278883</v>
      </c>
      <c r="BM65" s="192"/>
      <c r="BN65" s="192">
        <f t="shared" si="122"/>
        <v>19.065223746158502</v>
      </c>
      <c r="BO65" s="192"/>
      <c r="BP65" s="192">
        <f t="shared" si="123"/>
        <v>97.34315354542538</v>
      </c>
      <c r="BQ65" s="193"/>
      <c r="BR65" s="192">
        <f t="shared" si="124"/>
        <v>745.98947876469049</v>
      </c>
      <c r="BS65" s="193"/>
      <c r="BT65" s="192">
        <f t="shared" si="125"/>
        <v>156.32323621029971</v>
      </c>
      <c r="BU65" s="193"/>
      <c r="BV65" s="192">
        <f t="shared" si="126"/>
        <v>131.47381718092393</v>
      </c>
      <c r="BW65" s="193"/>
      <c r="BX65" s="192">
        <f t="shared" si="127"/>
        <v>112.60290227636933</v>
      </c>
      <c r="BY65" s="193"/>
      <c r="BZ65" s="192">
        <f t="shared" si="134"/>
        <v>93.569718308105394</v>
      </c>
      <c r="CA65" s="192"/>
      <c r="CB65" s="192"/>
      <c r="CC65" s="275">
        <f t="shared" si="135"/>
        <v>1.2996592314318066E-2</v>
      </c>
      <c r="CD65" s="275"/>
      <c r="CE65" s="275"/>
      <c r="CF65" s="8"/>
      <c r="EA65" s="1">
        <f t="shared" si="116"/>
        <v>13</v>
      </c>
      <c r="EB65" s="1" t="str">
        <f t="shared" si="3"/>
        <v>8.26894015697971+21.2294641335626i</v>
      </c>
      <c r="EC65" s="1" t="str">
        <f t="shared" si="4"/>
        <v>3.10144068670015+9.24565126503147i</v>
      </c>
      <c r="ED65" s="52" t="str">
        <f t="shared" si="5"/>
        <v>0.815864113214079+1.47373130885247i</v>
      </c>
      <c r="EE65" s="1" t="str">
        <f t="shared" si="6"/>
        <v>0.49659777664774-0.0624543837664402i</v>
      </c>
      <c r="EF65" s="1" t="str">
        <f t="shared" si="7"/>
        <v>67012.5174554254-504857.06534605i</v>
      </c>
      <c r="EH65" s="1" t="str">
        <f t="shared" si="8"/>
        <v>0.418360603428711+0.0736566306209464i</v>
      </c>
      <c r="EI65" s="1" t="str">
        <f t="shared" si="0"/>
        <v>0.0143880322809015+4.67611049129299i</v>
      </c>
      <c r="EJ65" s="1" t="str">
        <f t="shared" si="9"/>
        <v>0.402265568761445+0.107897296910142i</v>
      </c>
      <c r="EL65" s="52">
        <f t="shared" si="117"/>
        <v>13</v>
      </c>
      <c r="EM65" s="14">
        <f t="shared" si="10"/>
        <v>0.42479511971733597</v>
      </c>
      <c r="EN65" s="14">
        <f t="shared" si="10"/>
        <v>4.6761326266748773</v>
      </c>
      <c r="EO65" s="14">
        <f t="shared" si="10"/>
        <v>0.41648459094123064</v>
      </c>
      <c r="EQ65" s="1" t="str">
        <f t="shared" si="11"/>
        <v>0.0233386281405425-0.0859538654133104i</v>
      </c>
      <c r="ER65" s="14">
        <f t="shared" si="12"/>
        <v>13</v>
      </c>
      <c r="ES65" s="2">
        <f t="shared" si="13"/>
        <v>8.9066034732506183E-2</v>
      </c>
      <c r="EU65" s="1" t="str">
        <f t="shared" si="14"/>
        <v>0.976661371859457+0.0859538654133104i</v>
      </c>
      <c r="EV65" s="52">
        <f t="shared" si="15"/>
        <v>13</v>
      </c>
      <c r="EW65" s="2">
        <f t="shared" si="16"/>
        <v>0.98043638358737284</v>
      </c>
      <c r="HB65" s="1"/>
      <c r="JO65" s="1"/>
      <c r="JS65" s="1"/>
    </row>
    <row r="66" spans="2:279" ht="18" customHeight="1" x14ac:dyDescent="0.25">
      <c r="B66" s="6"/>
      <c r="AP66" s="8"/>
      <c r="AR66" s="6"/>
      <c r="AS66" s="221">
        <f t="shared" si="128"/>
        <v>11</v>
      </c>
      <c r="AT66" s="222"/>
      <c r="AU66" s="222"/>
      <c r="AV66" s="191">
        <f t="shared" si="129"/>
        <v>51.985776383213583</v>
      </c>
      <c r="AW66" s="190"/>
      <c r="AX66" s="191">
        <f t="shared" si="130"/>
        <v>68.874690183727225</v>
      </c>
      <c r="AY66" s="190"/>
      <c r="AZ66" s="191">
        <f t="shared" si="131"/>
        <v>328.42149046971946</v>
      </c>
      <c r="BA66" s="190"/>
      <c r="BB66" s="191">
        <f t="shared" si="132"/>
        <v>97.583685821759119</v>
      </c>
      <c r="BC66" s="190"/>
      <c r="BD66" s="191">
        <f t="shared" si="133"/>
        <v>29.49229339288668</v>
      </c>
      <c r="BE66" s="190"/>
      <c r="BF66" s="191">
        <f t="shared" si="118"/>
        <v>51.98579786493508</v>
      </c>
      <c r="BG66" s="191"/>
      <c r="BH66" s="191">
        <f t="shared" si="119"/>
        <v>68.87471864433715</v>
      </c>
      <c r="BI66" s="191"/>
      <c r="BJ66" s="191">
        <f t="shared" si="120"/>
        <v>328.42162618105164</v>
      </c>
      <c r="BK66" s="191"/>
      <c r="BL66" s="191">
        <f t="shared" si="121"/>
        <v>97.583726145587875</v>
      </c>
      <c r="BM66" s="191"/>
      <c r="BN66" s="191">
        <f t="shared" si="122"/>
        <v>29.49230557978224</v>
      </c>
      <c r="BO66" s="191"/>
      <c r="BP66" s="191">
        <f t="shared" si="123"/>
        <v>11.142189636037424</v>
      </c>
      <c r="BQ66" s="190"/>
      <c r="BR66" s="191">
        <f t="shared" si="124"/>
        <v>28.42928161519545</v>
      </c>
      <c r="BS66" s="190"/>
      <c r="BT66" s="191">
        <f t="shared" si="125"/>
        <v>331.01437074273184</v>
      </c>
      <c r="BU66" s="190"/>
      <c r="BV66" s="191">
        <f t="shared" si="126"/>
        <v>137.06785421090717</v>
      </c>
      <c r="BW66" s="190"/>
      <c r="BX66" s="191">
        <f t="shared" si="127"/>
        <v>70.675466509167094</v>
      </c>
      <c r="BY66" s="190"/>
      <c r="BZ66" s="191">
        <f t="shared" si="134"/>
        <v>41.351268141484432</v>
      </c>
      <c r="CA66" s="191"/>
      <c r="CB66" s="191"/>
      <c r="CC66" s="276">
        <f t="shared" si="135"/>
        <v>5.743584392819189E-3</v>
      </c>
      <c r="CD66" s="276"/>
      <c r="CE66" s="276"/>
      <c r="CF66" s="8"/>
      <c r="EA66" s="1">
        <f t="shared" si="116"/>
        <v>13.2</v>
      </c>
      <c r="EB66" s="1" t="str">
        <f t="shared" si="3"/>
        <v>8.49955531398666+21.6068141036487i</v>
      </c>
      <c r="EC66" s="1" t="str">
        <f t="shared" si="4"/>
        <v>3.19222656324866+9.49078662052199i</v>
      </c>
      <c r="ED66" s="52" t="str">
        <f t="shared" si="5"/>
        <v>0.84047323500803+1.61548150183089i</v>
      </c>
      <c r="EE66" s="1" t="str">
        <f t="shared" si="6"/>
        <v>0.511657041625903+0.0571520576829498i</v>
      </c>
      <c r="EF66" s="1" t="str">
        <f t="shared" si="7"/>
        <v>69054.330216523-476169.310292565i</v>
      </c>
      <c r="EH66" s="1" t="str">
        <f t="shared" si="8"/>
        <v>0.392813166003732+0.147433627593806i</v>
      </c>
      <c r="EI66" s="1" t="str">
        <f t="shared" si="0"/>
        <v>0.0143880322809015+4.7480506526975i</v>
      </c>
      <c r="EJ66" s="1" t="str">
        <f t="shared" si="9"/>
        <v>0.367078682952844+0.172372201494728i</v>
      </c>
      <c r="EL66" s="52">
        <f t="shared" si="117"/>
        <v>13.2</v>
      </c>
      <c r="EM66" s="14">
        <f t="shared" si="10"/>
        <v>0.41956984869190089</v>
      </c>
      <c r="EN66" s="14">
        <f t="shared" si="10"/>
        <v>4.7480724526963645</v>
      </c>
      <c r="EO66" s="14">
        <f t="shared" si="10"/>
        <v>0.40553536877383911</v>
      </c>
      <c r="EQ66" s="1" t="str">
        <f t="shared" si="11"/>
        <v>0.0365377248014623-0.0772007301102993i</v>
      </c>
      <c r="ER66" s="14">
        <f t="shared" si="12"/>
        <v>13.2</v>
      </c>
      <c r="ES66" s="2">
        <f t="shared" si="13"/>
        <v>8.5410526653514257E-2</v>
      </c>
      <c r="EU66" s="1" t="str">
        <f t="shared" si="14"/>
        <v>0.963462275198537+0.0772007301102994i</v>
      </c>
      <c r="EV66" s="52">
        <f t="shared" si="15"/>
        <v>13.2</v>
      </c>
      <c r="EW66" s="2">
        <f t="shared" si="16"/>
        <v>0.96655031346552511</v>
      </c>
      <c r="HB66" s="1"/>
      <c r="JO66" s="1"/>
      <c r="JS66" s="1"/>
    </row>
    <row r="67" spans="2:279" ht="18" customHeight="1" x14ac:dyDescent="0.25">
      <c r="B67" s="6"/>
      <c r="AP67" s="8"/>
      <c r="AR67" s="6"/>
      <c r="AS67" s="206">
        <f t="shared" si="128"/>
        <v>13</v>
      </c>
      <c r="AT67" s="207"/>
      <c r="AU67" s="207"/>
      <c r="AV67" s="192">
        <f t="shared" si="129"/>
        <v>29.933160910302568</v>
      </c>
      <c r="AW67" s="193"/>
      <c r="AX67" s="192">
        <f t="shared" si="130"/>
        <v>35.815577591863587</v>
      </c>
      <c r="AY67" s="193"/>
      <c r="AZ67" s="192">
        <f t="shared" si="131"/>
        <v>84.234547443360867</v>
      </c>
      <c r="BA67" s="193"/>
      <c r="BB67" s="192">
        <f t="shared" si="132"/>
        <v>203.11756995407447</v>
      </c>
      <c r="BC67" s="193"/>
      <c r="BD67" s="192">
        <f t="shared" si="133"/>
        <v>35.045969247762436</v>
      </c>
      <c r="BE67" s="193"/>
      <c r="BF67" s="192">
        <f t="shared" si="118"/>
        <v>29.933169766266044</v>
      </c>
      <c r="BG67" s="192"/>
      <c r="BH67" s="192">
        <f t="shared" si="119"/>
        <v>35.815588188186695</v>
      </c>
      <c r="BI67" s="192"/>
      <c r="BJ67" s="192">
        <f t="shared" si="120"/>
        <v>84.234572364821091</v>
      </c>
      <c r="BK67" s="192"/>
      <c r="BL67" s="192">
        <f t="shared" si="121"/>
        <v>203.11763004802179</v>
      </c>
      <c r="BM67" s="192"/>
      <c r="BN67" s="192">
        <f t="shared" si="122"/>
        <v>35.045979616390831</v>
      </c>
      <c r="BO67" s="192"/>
      <c r="BP67" s="192">
        <f t="shared" si="123"/>
        <v>4.6570189022794422</v>
      </c>
      <c r="BQ67" s="193"/>
      <c r="BR67" s="192">
        <f t="shared" si="124"/>
        <v>10.662342297136545</v>
      </c>
      <c r="BS67" s="193"/>
      <c r="BT67" s="192">
        <f t="shared" si="125"/>
        <v>60.971252745732038</v>
      </c>
      <c r="BU67" s="193"/>
      <c r="BV67" s="192">
        <f t="shared" si="126"/>
        <v>204.71765500492819</v>
      </c>
      <c r="BW67" s="193"/>
      <c r="BX67" s="192">
        <f t="shared" si="127"/>
        <v>60.208241861963025</v>
      </c>
      <c r="BY67" s="193"/>
      <c r="BZ67" s="192">
        <f t="shared" si="134"/>
        <v>25.545947994639327</v>
      </c>
      <c r="CA67" s="192"/>
      <c r="CB67" s="192"/>
      <c r="CC67" s="275">
        <f t="shared" si="135"/>
        <v>3.5482662272836875E-3</v>
      </c>
      <c r="CD67" s="275"/>
      <c r="CE67" s="275"/>
      <c r="CF67" s="8"/>
      <c r="EA67" s="1">
        <f t="shared" si="116"/>
        <v>13.4</v>
      </c>
      <c r="EB67" s="1" t="str">
        <f t="shared" si="3"/>
        <v>8.73230256248909+21.9792659388614i</v>
      </c>
      <c r="EC67" s="1" t="str">
        <f t="shared" si="4"/>
        <v>3.28410501691855+9.73317131201057i</v>
      </c>
      <c r="ED67" s="52" t="str">
        <f t="shared" si="5"/>
        <v>0.865424777836044+1.75524933645233i</v>
      </c>
      <c r="EE67" s="1" t="str">
        <f t="shared" si="6"/>
        <v>0.526931538286601+0.17485877306672i</v>
      </c>
      <c r="EF67" s="1" t="str">
        <f t="shared" si="7"/>
        <v>71126.1437031837-448033.398771721i</v>
      </c>
      <c r="EH67" s="1" t="str">
        <f t="shared" si="8"/>
        <v>0.376263597792346+0.219645377910863i</v>
      </c>
      <c r="EI67" s="1" t="str">
        <f t="shared" si="0"/>
        <v>0.0143880322809015+4.81999081410201i</v>
      </c>
      <c r="EJ67" s="1" t="str">
        <f t="shared" si="9"/>
        <v>0.342234705541497+0.2355268339742i</v>
      </c>
      <c r="EL67" s="52">
        <f t="shared" si="117"/>
        <v>13.4</v>
      </c>
      <c r="EM67" s="14">
        <f t="shared" si="10"/>
        <v>0.43568152022004125</v>
      </c>
      <c r="EN67" s="14">
        <f t="shared" si="10"/>
        <v>4.8200122887292167</v>
      </c>
      <c r="EO67" s="14">
        <f t="shared" si="10"/>
        <v>0.4154485325512482</v>
      </c>
      <c r="EQ67" s="1" t="str">
        <f t="shared" si="11"/>
        <v>0.0490760940107459-0.0708566904562202i</v>
      </c>
      <c r="ER67" s="14">
        <f t="shared" si="12"/>
        <v>13.4</v>
      </c>
      <c r="ES67" s="2">
        <f t="shared" si="13"/>
        <v>8.6192421858073895E-2</v>
      </c>
      <c r="EU67" s="1" t="str">
        <f t="shared" si="14"/>
        <v>0.950923905989255+0.0708566904562203i</v>
      </c>
      <c r="EV67" s="52">
        <f t="shared" si="15"/>
        <v>13.4</v>
      </c>
      <c r="EW67" s="2">
        <f t="shared" si="16"/>
        <v>0.95356014260468658</v>
      </c>
      <c r="HB67" s="1"/>
      <c r="JO67" s="1"/>
      <c r="JS67" s="1"/>
    </row>
    <row r="68" spans="2:279" ht="18" customHeight="1" x14ac:dyDescent="0.25">
      <c r="B68" s="6"/>
      <c r="AP68" s="8"/>
      <c r="AR68" s="6"/>
      <c r="AS68" s="221">
        <f t="shared" si="128"/>
        <v>17</v>
      </c>
      <c r="AT68" s="222"/>
      <c r="AU68" s="222"/>
      <c r="AV68" s="191">
        <f t="shared" si="129"/>
        <v>54.851274127173788</v>
      </c>
      <c r="AW68" s="190"/>
      <c r="AX68" s="191">
        <f t="shared" si="130"/>
        <v>60.269282955751713</v>
      </c>
      <c r="AY68" s="190"/>
      <c r="AZ68" s="191">
        <f t="shared" si="131"/>
        <v>85.436793081586927</v>
      </c>
      <c r="BA68" s="190"/>
      <c r="BB68" s="191">
        <f t="shared" si="132"/>
        <v>117.67101761293432</v>
      </c>
      <c r="BC68" s="190"/>
      <c r="BD68" s="191">
        <f t="shared" si="133"/>
        <v>399.29720962926791</v>
      </c>
      <c r="BE68" s="190"/>
      <c r="BF68" s="191">
        <f t="shared" si="118"/>
        <v>54.851283617012847</v>
      </c>
      <c r="BG68" s="191"/>
      <c r="BH68" s="191">
        <f t="shared" si="119"/>
        <v>60.269293382962481</v>
      </c>
      <c r="BI68" s="191"/>
      <c r="BJ68" s="191">
        <f t="shared" si="120"/>
        <v>85.436807863037629</v>
      </c>
      <c r="BK68" s="191"/>
      <c r="BL68" s="191">
        <f t="shared" si="121"/>
        <v>117.67103797124028</v>
      </c>
      <c r="BM68" s="191"/>
      <c r="BN68" s="191">
        <f t="shared" si="122"/>
        <v>399.29727871182291</v>
      </c>
      <c r="BO68" s="191"/>
      <c r="BP68" s="191">
        <f t="shared" si="123"/>
        <v>5.1567589208245073</v>
      </c>
      <c r="BQ68" s="190"/>
      <c r="BR68" s="191">
        <f t="shared" si="124"/>
        <v>10.680892060960707</v>
      </c>
      <c r="BS68" s="190"/>
      <c r="BT68" s="191">
        <f t="shared" si="125"/>
        <v>36.436466270773593</v>
      </c>
      <c r="BU68" s="190"/>
      <c r="BV68" s="191">
        <f t="shared" si="126"/>
        <v>69.730853939943131</v>
      </c>
      <c r="BW68" s="190"/>
      <c r="BX68" s="191">
        <f t="shared" si="127"/>
        <v>402.43376115913856</v>
      </c>
      <c r="BY68" s="190"/>
      <c r="BZ68" s="191">
        <f t="shared" si="134"/>
        <v>50.147040510077986</v>
      </c>
      <c r="CA68" s="191"/>
      <c r="CB68" s="191"/>
      <c r="CC68" s="276">
        <f t="shared" si="135"/>
        <v>6.9652944677361488E-3</v>
      </c>
      <c r="CD68" s="276"/>
      <c r="CE68" s="276"/>
      <c r="CF68" s="8"/>
      <c r="EA68" s="1">
        <f t="shared" si="116"/>
        <v>13.6</v>
      </c>
      <c r="EB68" s="1" t="str">
        <f t="shared" si="3"/>
        <v>8.96713156676718+22.3468876501405i</v>
      </c>
      <c r="EC68" s="1" t="str">
        <f t="shared" si="4"/>
        <v>3.37706416107302+9.97287773860544i</v>
      </c>
      <c r="ED68" s="52" t="str">
        <f t="shared" si="5"/>
        <v>0.890717297515265+1.89311292392865i</v>
      </c>
      <c r="EE68" s="1" t="str">
        <f t="shared" si="6"/>
        <v>0.542420621264842+0.29074463821038i</v>
      </c>
      <c r="EF68" s="1" t="str">
        <f t="shared" si="7"/>
        <v>73227.9056747987-420425.507189837i</v>
      </c>
      <c r="EH68" s="1" t="str">
        <f t="shared" si="8"/>
        <v>0.366123865951834+0.289282963337807i</v>
      </c>
      <c r="EI68" s="1" t="str">
        <f t="shared" si="0"/>
        <v>0.0143880322809015+4.89193097550652i</v>
      </c>
      <c r="EJ68" s="1" t="str">
        <f t="shared" si="9"/>
        <v>0.324749544748643+0.295964530872271i</v>
      </c>
      <c r="EL68" s="52">
        <f t="shared" si="117"/>
        <v>13.6</v>
      </c>
      <c r="EM68" s="14">
        <f t="shared" si="10"/>
        <v>0.46661688578213661</v>
      </c>
      <c r="EN68" s="14">
        <f t="shared" si="10"/>
        <v>4.8919521343317625</v>
      </c>
      <c r="EO68" s="14">
        <f t="shared" si="10"/>
        <v>0.43938282891903541</v>
      </c>
      <c r="EQ68" s="1" t="str">
        <f t="shared" si="11"/>
        <v>0.0606952775073206-0.0662062201527762i</v>
      </c>
      <c r="ER68" s="14">
        <f t="shared" si="12"/>
        <v>13.6</v>
      </c>
      <c r="ES68" s="2">
        <f t="shared" si="13"/>
        <v>8.9817483256927927E-2</v>
      </c>
      <c r="EU68" s="1" t="str">
        <f t="shared" si="14"/>
        <v>0.939304722492679+0.0662062201527763i</v>
      </c>
      <c r="EV68" s="52">
        <f t="shared" si="15"/>
        <v>13.6</v>
      </c>
      <c r="EW68" s="2">
        <f t="shared" si="16"/>
        <v>0.9416350807419861</v>
      </c>
      <c r="HB68" s="1"/>
      <c r="JO68" s="1"/>
      <c r="JS68" s="1"/>
    </row>
    <row r="69" spans="2:279" ht="18" customHeight="1" x14ac:dyDescent="0.25">
      <c r="B69" s="6"/>
      <c r="AP69" s="8"/>
      <c r="AR69" s="6"/>
      <c r="AS69" s="206">
        <f t="shared" si="128"/>
        <v>19</v>
      </c>
      <c r="AT69" s="207"/>
      <c r="AU69" s="207"/>
      <c r="AV69" s="192">
        <f t="shared" si="129"/>
        <v>50.595056520669694</v>
      </c>
      <c r="AW69" s="193"/>
      <c r="AX69" s="192">
        <f t="shared" si="130"/>
        <v>54.443600448363</v>
      </c>
      <c r="AY69" s="193"/>
      <c r="AZ69" s="192">
        <f t="shared" si="131"/>
        <v>70.459153273439824</v>
      </c>
      <c r="BA69" s="193"/>
      <c r="BB69" s="192">
        <f t="shared" si="132"/>
        <v>87.466609086126823</v>
      </c>
      <c r="BC69" s="193"/>
      <c r="BD69" s="192">
        <f t="shared" si="133"/>
        <v>205.88340014310225</v>
      </c>
      <c r="BE69" s="193"/>
      <c r="BF69" s="192">
        <f t="shared" si="118"/>
        <v>50.595063528294695</v>
      </c>
      <c r="BG69" s="192"/>
      <c r="BH69" s="192">
        <f t="shared" si="119"/>
        <v>54.44360798902737</v>
      </c>
      <c r="BI69" s="192"/>
      <c r="BJ69" s="192">
        <f t="shared" si="120"/>
        <v>70.459163032324497</v>
      </c>
      <c r="BK69" s="192"/>
      <c r="BL69" s="192">
        <f t="shared" si="121"/>
        <v>87.466621200614938</v>
      </c>
      <c r="BM69" s="192"/>
      <c r="BN69" s="192">
        <f t="shared" si="122"/>
        <v>205.88342865880819</v>
      </c>
      <c r="BO69" s="192"/>
      <c r="BP69" s="192">
        <f t="shared" si="123"/>
        <v>3.8797905152941738</v>
      </c>
      <c r="BQ69" s="193"/>
      <c r="BR69" s="192">
        <f t="shared" si="124"/>
        <v>7.8048587401581742</v>
      </c>
      <c r="BS69" s="193"/>
      <c r="BT69" s="192">
        <f t="shared" si="125"/>
        <v>24.163318407098799</v>
      </c>
      <c r="BU69" s="193"/>
      <c r="BV69" s="192">
        <f t="shared" si="126"/>
        <v>41.628569516284699</v>
      </c>
      <c r="BW69" s="193"/>
      <c r="BX69" s="192">
        <f t="shared" si="127"/>
        <v>166.43347689792603</v>
      </c>
      <c r="BY69" s="193"/>
      <c r="BZ69" s="192">
        <f t="shared" si="134"/>
        <v>47.120717489748969</v>
      </c>
      <c r="CA69" s="192"/>
      <c r="CB69" s="192"/>
      <c r="CC69" s="275">
        <f t="shared" si="135"/>
        <v>6.5449460129386218E-3</v>
      </c>
      <c r="CD69" s="275"/>
      <c r="CE69" s="275"/>
      <c r="CF69" s="8"/>
      <c r="EA69" s="1">
        <f t="shared" si="116"/>
        <v>13.8</v>
      </c>
      <c r="EB69" s="1" t="str">
        <f t="shared" si="3"/>
        <v>9.20399203573796+22.7097434351761i</v>
      </c>
      <c r="EC69" s="1" t="str">
        <f t="shared" si="4"/>
        <v>3.47109202977329+10.2099737805026i</v>
      </c>
      <c r="ED69" s="52" t="str">
        <f t="shared" si="5"/>
        <v>0.916349333141299+2.02914574064325i</v>
      </c>
      <c r="EE69" s="1" t="str">
        <f t="shared" si="6"/>
        <v>0.558123637096023+0.40488389538131i</v>
      </c>
      <c r="EF69" s="1" t="str">
        <f t="shared" si="7"/>
        <v>75359.5631815128-393323.200021276i</v>
      </c>
      <c r="EH69" s="1" t="str">
        <f t="shared" si="8"/>
        <v>0.36057538396931+0.356108060325584i</v>
      </c>
      <c r="EI69" s="1" t="str">
        <f t="shared" ref="EI69:EI132" si="136">COMPLEX((($S$17/1.732)/($T$124))*COS(ATAN($AF$124)),(EL69*($S$17/1.732)/($T$124))*SIN(ATAN($AF$124)))</f>
        <v>0.0143880322809015+4.96387113691102i</v>
      </c>
      <c r="EJ69" s="1" t="str">
        <f t="shared" si="9"/>
        <v>0.312499500327013+0.353321387648049i</v>
      </c>
      <c r="EL69" s="52">
        <f t="shared" si="117"/>
        <v>13.8</v>
      </c>
      <c r="EM69" s="14">
        <f t="shared" si="10"/>
        <v>0.50678156848238387</v>
      </c>
      <c r="EN69" s="14">
        <f t="shared" si="10"/>
        <v>4.9638919890879203</v>
      </c>
      <c r="EO69" s="14">
        <f t="shared" si="10"/>
        <v>0.47169051365718151</v>
      </c>
      <c r="EQ69" s="1" t="str">
        <f t="shared" si="11"/>
        <v>0.071360476024124-0.0627479551550617i</v>
      </c>
      <c r="ER69" s="14">
        <f t="shared" si="12"/>
        <v>13.8</v>
      </c>
      <c r="ES69" s="2">
        <f t="shared" si="13"/>
        <v>9.5024330645004859E-2</v>
      </c>
      <c r="EU69" s="1" t="str">
        <f t="shared" si="14"/>
        <v>0.928639523975877+0.0627479551550618i</v>
      </c>
      <c r="EV69" s="52">
        <f t="shared" si="15"/>
        <v>13.8</v>
      </c>
      <c r="EW69" s="2">
        <f t="shared" si="16"/>
        <v>0.93075704207182075</v>
      </c>
      <c r="HB69" s="1"/>
      <c r="JO69" s="1"/>
      <c r="JS69" s="1"/>
    </row>
    <row r="70" spans="2:279" ht="18" customHeight="1" x14ac:dyDescent="0.25">
      <c r="B70" s="6"/>
      <c r="C70" s="178" t="s">
        <v>568</v>
      </c>
      <c r="D70" s="178"/>
      <c r="E70" s="178"/>
      <c r="F70" s="178"/>
      <c r="G70" s="178"/>
      <c r="H70" s="178"/>
      <c r="I70" s="178"/>
      <c r="J70" s="178"/>
      <c r="K70" s="178"/>
      <c r="L70" s="178"/>
      <c r="M70" s="178"/>
      <c r="N70" s="178"/>
      <c r="O70" s="178"/>
      <c r="P70" s="178"/>
      <c r="Q70" s="178"/>
      <c r="R70" s="178"/>
      <c r="S70" s="178"/>
      <c r="T70" s="178"/>
      <c r="U70" s="178"/>
      <c r="V70" s="178"/>
      <c r="W70" s="178"/>
      <c r="X70" s="178"/>
      <c r="Y70" s="178"/>
      <c r="Z70" s="178"/>
      <c r="AA70" s="178"/>
      <c r="AB70" s="178"/>
      <c r="AC70" s="178"/>
      <c r="AD70" s="178"/>
      <c r="AE70" s="178"/>
      <c r="AF70" s="178"/>
      <c r="AG70" s="178"/>
      <c r="AH70" s="178"/>
      <c r="AI70" s="178"/>
      <c r="AJ70" s="178"/>
      <c r="AK70" s="178"/>
      <c r="AL70" s="178"/>
      <c r="AM70" s="178"/>
      <c r="AN70" s="178"/>
      <c r="AO70" s="178"/>
      <c r="AP70" s="8"/>
      <c r="AR70" s="6"/>
      <c r="AS70" s="221">
        <f t="shared" si="128"/>
        <v>23</v>
      </c>
      <c r="AT70" s="222"/>
      <c r="AU70" s="222"/>
      <c r="AV70" s="191">
        <f t="shared" si="129"/>
        <v>44.908221083807966</v>
      </c>
      <c r="AW70" s="190"/>
      <c r="AX70" s="191">
        <f t="shared" si="130"/>
        <v>47.131341272261309</v>
      </c>
      <c r="AY70" s="190"/>
      <c r="AZ70" s="191">
        <f t="shared" si="131"/>
        <v>55.330931394726576</v>
      </c>
      <c r="BA70" s="190"/>
      <c r="BB70" s="191">
        <f t="shared" si="132"/>
        <v>62.559546334339068</v>
      </c>
      <c r="BC70" s="190"/>
      <c r="BD70" s="191">
        <f t="shared" si="133"/>
        <v>92.438665124715058</v>
      </c>
      <c r="BE70" s="190"/>
      <c r="BF70" s="191">
        <f t="shared" si="118"/>
        <v>44.908225328441141</v>
      </c>
      <c r="BG70" s="191"/>
      <c r="BH70" s="191">
        <f t="shared" si="119"/>
        <v>47.131345727019394</v>
      </c>
      <c r="BI70" s="191"/>
      <c r="BJ70" s="191">
        <f t="shared" si="120"/>
        <v>55.330936624493098</v>
      </c>
      <c r="BK70" s="191"/>
      <c r="BL70" s="191">
        <f t="shared" si="121"/>
        <v>62.559552247339354</v>
      </c>
      <c r="BM70" s="191"/>
      <c r="BN70" s="191">
        <f t="shared" si="122"/>
        <v>92.438673861828647</v>
      </c>
      <c r="BO70" s="191"/>
      <c r="BP70" s="191">
        <f t="shared" si="123"/>
        <v>2.4486100004165228</v>
      </c>
      <c r="BQ70" s="190"/>
      <c r="BR70" s="191">
        <f t="shared" si="124"/>
        <v>4.7202556875514388</v>
      </c>
      <c r="BS70" s="190"/>
      <c r="BT70" s="191">
        <f t="shared" si="125"/>
        <v>13.082559324790704</v>
      </c>
      <c r="BU70" s="190"/>
      <c r="BV70" s="191">
        <f t="shared" si="126"/>
        <v>20.470730663536191</v>
      </c>
      <c r="BW70" s="190"/>
      <c r="BX70" s="191">
        <f t="shared" si="127"/>
        <v>51.221265578298791</v>
      </c>
      <c r="BY70" s="190"/>
      <c r="BZ70" s="191">
        <f t="shared" si="134"/>
        <v>42.803334673370117</v>
      </c>
      <c r="CA70" s="191"/>
      <c r="CB70" s="191"/>
      <c r="CC70" s="276">
        <f t="shared" si="135"/>
        <v>5.945272685457228E-3</v>
      </c>
      <c r="CD70" s="276"/>
      <c r="CE70" s="276"/>
      <c r="CF70" s="8"/>
      <c r="EA70" s="1">
        <f t="shared" si="116"/>
        <v>14</v>
      </c>
      <c r="EB70" s="1" t="str">
        <f t="shared" ref="EB70:EB133" si="137">IMSUM(IMDIV(IMPRODUCT(COMPLEX($W$40/100,$W$40*EA70),COMPLEX($AL$40,0)),IMSUM(COMPLEX($W$40/100,$W$40*EA70),COMPLEX($AL$40,0))),COMPLEX(0,-$L$40/EA70))</f>
        <v>9.4428337446757+23.0678940128593i</v>
      </c>
      <c r="EC70" s="1" t="str">
        <f t="shared" ref="EC70:EC133" si="138">IMSUM(IMDIV(IMPRODUCT(COMPLEX($W$41/100,$W$41*EA70),COMPLEX($AL$41,0)),IMSUM(COMPLEX($W$41/100,$W$41*EA70),COMPLEX($AL$41,0))),COMPLEX(0,-$L$41/EA70))</f>
        <v>3.56617658129309+10.4445231358256i</v>
      </c>
      <c r="ED70" s="52" t="str">
        <f t="shared" ref="ED70:ED133" si="139">IMSUM(IMDIV(IMPRODUCT(COMPLEX($W$42/100,$W$42*EA70),COMPLEX($AL$42,0)),IMSUM(COMPLEX($W$42/100,$W$42*EA70),COMPLEX($AL$42,0))),COMPLEX(0,-$L$42/EA70))</f>
        <v>0.942319407292181+2.16341696049256i</v>
      </c>
      <c r="EE70" s="1" t="str">
        <f t="shared" ref="EE70:EE133" si="140">IMSUM(IMDIV(IMPRODUCT(COMPLEX($W$43/100,$W$43*EA70),COMPLEX($AL$43,0)),IMSUM(COMPLEX($W$43/100,$W$43*EA70),COMPLEX($AL$43,0))),COMPLEX(0,-$L$43/EA70))</f>
        <v>0.574039924283232+0.51734648475742i</v>
      </c>
      <c r="EF70" s="1" t="str">
        <f t="shared" ref="EF70:EF133" si="141">IMSUM(IMDIV(IMPRODUCT(COMPLEX($W$44/100,$W$44*EA70),COMPLEX($AL$44,0)),IMSUM(COMPLEX($W$44/100,$W$44*EA70),COMPLEX($AL$44,0))),COMPLEX(0,-$L$44/EA70))</f>
        <v>77521.0625675132-366705.33062883i</v>
      </c>
      <c r="EH70" s="1" t="str">
        <f t="shared" ref="EH70:EH133" si="142">IMDIV("1",IMSUM(IMDIV("1",EB70),IMDIV("1",EC70),IMDIV("1",ED70),IMDIV("1",EE70),IMDIV("1",EF70)))</f>
        <v>0.358366539931428+0.420206079331363i</v>
      </c>
      <c r="EI70" s="1" t="str">
        <f t="shared" si="136"/>
        <v>0.0143880322809015+5.03581129831553i</v>
      </c>
      <c r="EJ70" s="1" t="str">
        <f t="shared" ref="EJ70:EJ133" si="143">IMDIV(IMPRODUCT(EH70,EI70),IMSUM(EH70,EI70))</f>
        <v>0.304022455018841+0.407668806527079i</v>
      </c>
      <c r="EL70" s="52">
        <f t="shared" si="117"/>
        <v>14</v>
      </c>
      <c r="EM70" s="14">
        <f t="shared" ref="EM70:EO133" si="144">IMABS(EH70)</f>
        <v>0.55226780283614163</v>
      </c>
      <c r="EN70" s="14">
        <f t="shared" si="144"/>
        <v>5.0358318526054129</v>
      </c>
      <c r="EO70" s="14">
        <f t="shared" si="144"/>
        <v>0.50855039963694471</v>
      </c>
      <c r="EQ70" s="1" t="str">
        <f t="shared" ref="EQ70:EQ133" si="145">IMDIV(EH70,IMSUM(EH70,EI70))</f>
        <v>0.0811257775439675-0.0601403024799658i</v>
      </c>
      <c r="ER70" s="14">
        <f t="shared" ref="ER70:ER133" si="146">EL70</f>
        <v>14</v>
      </c>
      <c r="ES70" s="2">
        <f t="shared" ref="ES70:ES133" si="147">IMABS(EQ70)</f>
        <v>0.10098637415263052</v>
      </c>
      <c r="EU70" s="1" t="str">
        <f t="shared" ref="EU70:EU133" si="148">IMDIV(EI70,IMSUM(EH70,EI70))</f>
        <v>0.918874222456033+0.0601403024799658i</v>
      </c>
      <c r="EV70" s="52">
        <f t="shared" ref="EV70:EV133" si="149">ER70</f>
        <v>14</v>
      </c>
      <c r="EW70" s="2">
        <f t="shared" ref="EW70:EW133" si="150">IMABS(EU70)</f>
        <v>0.92084021017577267</v>
      </c>
      <c r="HB70" s="1"/>
      <c r="JO70" s="1"/>
      <c r="JS70" s="1"/>
    </row>
    <row r="71" spans="2:279" ht="18" customHeight="1" x14ac:dyDescent="0.25">
      <c r="B71" s="6"/>
      <c r="AL71" s="4"/>
      <c r="AM71" s="4"/>
      <c r="AN71" s="4"/>
      <c r="AO71" s="4"/>
      <c r="AP71" s="8"/>
      <c r="AR71" s="6"/>
      <c r="AS71" s="206">
        <f t="shared" si="128"/>
        <v>25</v>
      </c>
      <c r="AT71" s="207"/>
      <c r="AU71" s="207"/>
      <c r="AV71" s="192">
        <f t="shared" si="129"/>
        <v>25.006697016526662</v>
      </c>
      <c r="AW71" s="193"/>
      <c r="AX71" s="192">
        <f t="shared" si="130"/>
        <v>26.038680560129556</v>
      </c>
      <c r="AY71" s="193"/>
      <c r="AZ71" s="192">
        <f t="shared" si="131"/>
        <v>29.710763270533601</v>
      </c>
      <c r="BA71" s="193"/>
      <c r="BB71" s="192">
        <f t="shared" si="132"/>
        <v>32.78443671497778</v>
      </c>
      <c r="BC71" s="193"/>
      <c r="BD71" s="192">
        <f t="shared" si="133"/>
        <v>44.119532100448353</v>
      </c>
      <c r="BE71" s="193"/>
      <c r="BF71" s="192">
        <f t="shared" si="118"/>
        <v>25.006699017062346</v>
      </c>
      <c r="BG71" s="192"/>
      <c r="BH71" s="192">
        <f t="shared" si="119"/>
        <v>26.038682643223972</v>
      </c>
      <c r="BI71" s="192"/>
      <c r="BJ71" s="192">
        <f t="shared" si="120"/>
        <v>29.710765647394513</v>
      </c>
      <c r="BK71" s="192"/>
      <c r="BL71" s="192">
        <f t="shared" si="121"/>
        <v>32.784439337732564</v>
      </c>
      <c r="BM71" s="192"/>
      <c r="BN71" s="192">
        <f t="shared" si="122"/>
        <v>44.119535630010681</v>
      </c>
      <c r="BO71" s="192"/>
      <c r="BP71" s="192">
        <f t="shared" si="123"/>
        <v>1.1797756029558919</v>
      </c>
      <c r="BQ71" s="193"/>
      <c r="BR71" s="192">
        <f t="shared" si="124"/>
        <v>2.235956433303286</v>
      </c>
      <c r="BS71" s="193"/>
      <c r="BT71" s="192">
        <f t="shared" si="125"/>
        <v>5.980244462322247</v>
      </c>
      <c r="BU71" s="193"/>
      <c r="BV71" s="192">
        <f t="shared" si="126"/>
        <v>9.1182720007794256</v>
      </c>
      <c r="BW71" s="193"/>
      <c r="BX71" s="192">
        <f t="shared" si="127"/>
        <v>20.744167204882572</v>
      </c>
      <c r="BY71" s="193"/>
      <c r="BZ71" s="192">
        <f t="shared" si="134"/>
        <v>24.014580457488062</v>
      </c>
      <c r="CA71" s="192"/>
      <c r="CB71" s="192"/>
      <c r="CC71" s="275">
        <f t="shared" si="135"/>
        <v>3.3355632297369666E-3</v>
      </c>
      <c r="CD71" s="275"/>
      <c r="CE71" s="275"/>
      <c r="CF71" s="8"/>
      <c r="CI71" s="195" t="s">
        <v>588</v>
      </c>
      <c r="CJ71" s="195"/>
      <c r="CK71" s="195"/>
      <c r="CL71" s="195"/>
      <c r="CM71" s="195"/>
      <c r="CO71" s="1" t="s">
        <v>596</v>
      </c>
      <c r="EA71" s="1">
        <f t="shared" si="116"/>
        <v>14.2</v>
      </c>
      <c r="EB71" s="1" t="str">
        <f t="shared" si="137"/>
        <v>9.6836065564953+23.4213969282346i</v>
      </c>
      <c r="EC71" s="1" t="str">
        <f t="shared" si="138"/>
        <v>3.66230570162576+10.6765856289712i</v>
      </c>
      <c r="ED71" s="52" t="str">
        <f t="shared" si="139"/>
        <v>0.968626026234083+2.295991759153i</v>
      </c>
      <c r="EE71" s="1" t="str">
        <f t="shared" si="140"/>
        <v>0.590168813365269+0.62819834788919i</v>
      </c>
      <c r="EF71" s="1" t="str">
        <f t="shared" si="141"/>
        <v>79712.3494743602-340551.950465028i</v>
      </c>
      <c r="EH71" s="1" t="str">
        <f t="shared" si="142"/>
        <v>0.358634763606508+0.481782369083333i</v>
      </c>
      <c r="EI71" s="1" t="str">
        <f t="shared" si="136"/>
        <v>0.0143880322809015+5.10775145972004i</v>
      </c>
      <c r="EJ71" s="1" t="str">
        <f t="shared" si="143"/>
        <v>0.298315001595297+0.459240953712365i</v>
      </c>
      <c r="EL71" s="52">
        <f t="shared" si="117"/>
        <v>14.2</v>
      </c>
      <c r="EM71" s="14">
        <f t="shared" si="144"/>
        <v>0.60061064328451985</v>
      </c>
      <c r="EN71" s="14">
        <f t="shared" si="144"/>
        <v>5.1077717245140386</v>
      </c>
      <c r="EO71" s="14">
        <f t="shared" si="144"/>
        <v>0.54762587022842935</v>
      </c>
      <c r="EQ71" s="1" t="str">
        <f t="shared" si="145"/>
        <v>0.0900743958674023-0.0581506384212662i</v>
      </c>
      <c r="ER71" s="14">
        <f t="shared" si="146"/>
        <v>14.2</v>
      </c>
      <c r="ES71" s="2">
        <f t="shared" si="147"/>
        <v>0.10721424130999734</v>
      </c>
      <c r="EU71" s="1" t="str">
        <f t="shared" si="148"/>
        <v>0.909925604132598+0.0581506384212661i</v>
      </c>
      <c r="EV71" s="52">
        <f t="shared" si="149"/>
        <v>14.2</v>
      </c>
      <c r="EW71" s="2">
        <f t="shared" si="150"/>
        <v>0.91178182796372642</v>
      </c>
      <c r="HB71" s="1"/>
      <c r="JO71" s="1"/>
      <c r="JS71" s="1"/>
    </row>
    <row r="72" spans="2:279" ht="18" customHeight="1" x14ac:dyDescent="0.35">
      <c r="B72" s="6"/>
      <c r="C72" s="242" t="s">
        <v>495</v>
      </c>
      <c r="D72" s="242"/>
      <c r="E72" s="242"/>
      <c r="F72" s="214" t="s">
        <v>490</v>
      </c>
      <c r="G72" s="214"/>
      <c r="H72" s="214" t="s">
        <v>447</v>
      </c>
      <c r="I72" s="214"/>
      <c r="J72" s="214" t="s">
        <v>448</v>
      </c>
      <c r="K72" s="214"/>
      <c r="L72" s="214" t="s">
        <v>449</v>
      </c>
      <c r="M72" s="214"/>
      <c r="N72" s="214" t="s">
        <v>522</v>
      </c>
      <c r="O72" s="214"/>
      <c r="P72" s="214" t="s">
        <v>491</v>
      </c>
      <c r="Q72" s="214"/>
      <c r="R72" s="214" t="s">
        <v>492</v>
      </c>
      <c r="S72" s="214"/>
      <c r="T72" s="214" t="s">
        <v>493</v>
      </c>
      <c r="U72" s="214"/>
      <c r="V72" s="214" t="s">
        <v>494</v>
      </c>
      <c r="W72" s="214"/>
      <c r="X72" s="214" t="s">
        <v>523</v>
      </c>
      <c r="Y72" s="214"/>
      <c r="Z72" s="214" t="s">
        <v>450</v>
      </c>
      <c r="AA72" s="214"/>
      <c r="AB72" s="214" t="s">
        <v>452</v>
      </c>
      <c r="AC72" s="214"/>
      <c r="AD72" s="214" t="s">
        <v>524</v>
      </c>
      <c r="AE72" s="214"/>
      <c r="AF72" s="214" t="s">
        <v>456</v>
      </c>
      <c r="AG72" s="214"/>
      <c r="AH72" s="214" t="s">
        <v>525</v>
      </c>
      <c r="AI72" s="214"/>
      <c r="AK72" s="242" t="s">
        <v>526</v>
      </c>
      <c r="AL72" s="242"/>
      <c r="AM72" s="242"/>
      <c r="AN72" s="242"/>
      <c r="AO72" s="242"/>
      <c r="AP72" s="8"/>
      <c r="AR72" s="6"/>
      <c r="AS72" s="221">
        <f t="shared" si="128"/>
        <v>29</v>
      </c>
      <c r="AT72" s="222"/>
      <c r="AU72" s="222"/>
      <c r="AV72" s="191">
        <f t="shared" si="129"/>
        <v>23.831332456439146</v>
      </c>
      <c r="AW72" s="190"/>
      <c r="AX72" s="191">
        <f t="shared" si="130"/>
        <v>24.54694364641994</v>
      </c>
      <c r="AY72" s="190"/>
      <c r="AZ72" s="191">
        <f t="shared" si="131"/>
        <v>26.974089516217106</v>
      </c>
      <c r="BA72" s="190"/>
      <c r="BB72" s="191">
        <f t="shared" si="132"/>
        <v>28.874104696644586</v>
      </c>
      <c r="BC72" s="190"/>
      <c r="BD72" s="191">
        <f t="shared" si="133"/>
        <v>35.019365890180779</v>
      </c>
      <c r="BE72" s="190"/>
      <c r="BF72" s="191">
        <f t="shared" si="118"/>
        <v>23.831333873284098</v>
      </c>
      <c r="BG72" s="191"/>
      <c r="BH72" s="191">
        <f t="shared" si="119"/>
        <v>24.546945105810092</v>
      </c>
      <c r="BI72" s="191"/>
      <c r="BJ72" s="191">
        <f t="shared" si="120"/>
        <v>26.974091119908486</v>
      </c>
      <c r="BK72" s="191"/>
      <c r="BL72" s="191">
        <f t="shared" si="121"/>
        <v>28.87410641329765</v>
      </c>
      <c r="BM72" s="191"/>
      <c r="BN72" s="191">
        <f t="shared" si="122"/>
        <v>35.019367972188249</v>
      </c>
      <c r="BO72" s="191"/>
      <c r="BP72" s="191">
        <f t="shared" si="123"/>
        <v>0.87515988071948048</v>
      </c>
      <c r="BQ72" s="190"/>
      <c r="BR72" s="191">
        <f t="shared" si="124"/>
        <v>1.6108252476322937</v>
      </c>
      <c r="BS72" s="190"/>
      <c r="BT72" s="191">
        <f t="shared" si="125"/>
        <v>4.0866567497977089</v>
      </c>
      <c r="BU72" s="190"/>
      <c r="BV72" s="191">
        <f t="shared" si="126"/>
        <v>6.0241813797378718</v>
      </c>
      <c r="BW72" s="190"/>
      <c r="BX72" s="191">
        <f t="shared" si="127"/>
        <v>12.305416240044439</v>
      </c>
      <c r="BY72" s="190"/>
      <c r="BZ72" s="191">
        <f t="shared" si="134"/>
        <v>23.128620265614053</v>
      </c>
      <c r="CA72" s="191"/>
      <c r="CB72" s="191"/>
      <c r="CC72" s="276">
        <f t="shared" si="135"/>
        <v>3.2125056462719102E-3</v>
      </c>
      <c r="CD72" s="276"/>
      <c r="CE72" s="276"/>
      <c r="CF72" s="8"/>
      <c r="CI72" s="18" t="s">
        <v>597</v>
      </c>
      <c r="CJ72" s="18" t="s">
        <v>598</v>
      </c>
      <c r="CK72" s="18" t="s">
        <v>599</v>
      </c>
      <c r="CL72" s="18" t="s">
        <v>600</v>
      </c>
      <c r="CM72" s="18" t="s">
        <v>601</v>
      </c>
      <c r="CP72" s="1" t="s">
        <v>602</v>
      </c>
      <c r="CQ72" s="1" t="s">
        <v>603</v>
      </c>
      <c r="CR72" s="1" t="s">
        <v>604</v>
      </c>
      <c r="CS72" s="1" t="s">
        <v>605</v>
      </c>
      <c r="CT72" s="1" t="s">
        <v>606</v>
      </c>
      <c r="EA72" s="1">
        <f t="shared" si="116"/>
        <v>14.4</v>
      </c>
      <c r="EB72" s="1" t="str">
        <f t="shared" si="137"/>
        <v>9.92626044258715+23.7703068307963i</v>
      </c>
      <c r="EC72" s="1" t="str">
        <f t="shared" si="138"/>
        <v>3.75946720798299+10.9062174932264i</v>
      </c>
      <c r="ED72" s="52" t="str">
        <f t="shared" si="139"/>
        <v>0.995267680128571+2.42693159300184i</v>
      </c>
      <c r="EE72" s="1" t="str">
        <f t="shared" si="140"/>
        <v>0.606509626985275+0.737501705878i</v>
      </c>
      <c r="EF72" s="1" t="str">
        <f t="shared" si="141"/>
        <v>81933.3688443555-314844.225839601i</v>
      </c>
      <c r="EH72" s="1" t="str">
        <f t="shared" si="142"/>
        <v>0.360779004280879+0.541072593922183i</v>
      </c>
      <c r="EI72" s="1" t="str">
        <f t="shared" si="136"/>
        <v>0.0143880322809015+5.17969162112455i</v>
      </c>
      <c r="EJ72" s="1" t="str">
        <f t="shared" si="143"/>
        <v>0.294681910655418+0.508315517129593i</v>
      </c>
      <c r="EL72" s="52">
        <f t="shared" si="117"/>
        <v>14.4</v>
      </c>
      <c r="EM72" s="14">
        <f t="shared" si="144"/>
        <v>0.65032379767588233</v>
      </c>
      <c r="EN72" s="14">
        <f t="shared" si="144"/>
        <v>5.1797116044641704</v>
      </c>
      <c r="EO72" s="14">
        <f t="shared" si="144"/>
        <v>0.58755603428290415</v>
      </c>
      <c r="EQ72" s="1" t="str">
        <f t="shared" si="145"/>
        <v>0.0982935253216123-0.0566187490861505i</v>
      </c>
      <c r="ER72" s="14">
        <f t="shared" si="146"/>
        <v>14.4</v>
      </c>
      <c r="ES72" s="2">
        <f t="shared" si="147"/>
        <v>0.11343412126970838</v>
      </c>
      <c r="EU72" s="1" t="str">
        <f t="shared" si="148"/>
        <v>0.901706474678388+0.0566187490861506i</v>
      </c>
      <c r="EV72" s="52">
        <f t="shared" si="149"/>
        <v>14.4</v>
      </c>
      <c r="EW72" s="2">
        <f t="shared" si="150"/>
        <v>0.90348229048775885</v>
      </c>
      <c r="HB72" s="1"/>
      <c r="JO72" s="1"/>
      <c r="JS72" s="1"/>
    </row>
    <row r="73" spans="2:279" ht="18" customHeight="1" x14ac:dyDescent="0.25">
      <c r="B73" s="6"/>
      <c r="C73" s="243"/>
      <c r="D73" s="243"/>
      <c r="E73" s="243"/>
      <c r="F73" s="241" t="s">
        <v>39</v>
      </c>
      <c r="G73" s="241"/>
      <c r="H73" s="241" t="s">
        <v>39</v>
      </c>
      <c r="I73" s="241"/>
      <c r="J73" s="241" t="s">
        <v>39</v>
      </c>
      <c r="K73" s="241"/>
      <c r="L73" s="241" t="s">
        <v>39</v>
      </c>
      <c r="M73" s="241"/>
      <c r="N73" s="241" t="s">
        <v>39</v>
      </c>
      <c r="O73" s="241"/>
      <c r="P73" s="241" t="s">
        <v>418</v>
      </c>
      <c r="Q73" s="241"/>
      <c r="R73" s="241" t="s">
        <v>39</v>
      </c>
      <c r="S73" s="241"/>
      <c r="T73" s="241" t="s">
        <v>418</v>
      </c>
      <c r="U73" s="241"/>
      <c r="V73" s="241" t="s">
        <v>39</v>
      </c>
      <c r="W73" s="241"/>
      <c r="X73" s="241" t="s">
        <v>418</v>
      </c>
      <c r="Y73" s="241"/>
      <c r="Z73" s="241" t="s">
        <v>39</v>
      </c>
      <c r="AA73" s="241"/>
      <c r="AB73" s="241" t="s">
        <v>418</v>
      </c>
      <c r="AC73" s="241"/>
      <c r="AD73" s="241" t="s">
        <v>39</v>
      </c>
      <c r="AE73" s="241"/>
      <c r="AF73" s="241" t="s">
        <v>39</v>
      </c>
      <c r="AG73" s="241"/>
      <c r="AH73" s="241" t="s">
        <v>39</v>
      </c>
      <c r="AI73" s="241"/>
      <c r="AJ73" s="116"/>
      <c r="AK73" s="243"/>
      <c r="AL73" s="243"/>
      <c r="AM73" s="243"/>
      <c r="AN73" s="243"/>
      <c r="AO73" s="243"/>
      <c r="AP73" s="8"/>
      <c r="AR73" s="6"/>
      <c r="AS73" s="206">
        <f t="shared" si="128"/>
        <v>31</v>
      </c>
      <c r="AT73" s="207"/>
      <c r="AU73" s="207"/>
      <c r="AV73" s="192">
        <f t="shared" si="129"/>
        <v>19.231389917596566</v>
      </c>
      <c r="AW73" s="193"/>
      <c r="AX73" s="192">
        <f t="shared" si="130"/>
        <v>19.73297451301147</v>
      </c>
      <c r="AY73" s="193"/>
      <c r="AZ73" s="192">
        <f t="shared" si="131"/>
        <v>21.406264304528769</v>
      </c>
      <c r="BA73" s="193"/>
      <c r="BB73" s="192">
        <f t="shared" si="132"/>
        <v>22.686934964662544</v>
      </c>
      <c r="BC73" s="193"/>
      <c r="BD73" s="192">
        <f t="shared" si="133"/>
        <v>26.664150665141047</v>
      </c>
      <c r="BE73" s="193"/>
      <c r="BF73" s="192">
        <f t="shared" si="118"/>
        <v>19.231390918189142</v>
      </c>
      <c r="BG73" s="192"/>
      <c r="BH73" s="192">
        <f t="shared" si="119"/>
        <v>19.732975539701027</v>
      </c>
      <c r="BI73" s="192"/>
      <c r="BJ73" s="192">
        <f t="shared" si="120"/>
        <v>21.406265418278252</v>
      </c>
      <c r="BK73" s="192"/>
      <c r="BL73" s="192">
        <f t="shared" si="121"/>
        <v>22.686936145044147</v>
      </c>
      <c r="BM73" s="192"/>
      <c r="BN73" s="192">
        <f t="shared" si="122"/>
        <v>26.664152052453669</v>
      </c>
      <c r="BO73" s="192"/>
      <c r="BP73" s="192">
        <f t="shared" si="123"/>
        <v>0.63305278264751519</v>
      </c>
      <c r="BQ73" s="193"/>
      <c r="BR73" s="192">
        <f t="shared" si="124"/>
        <v>1.1501899304757244</v>
      </c>
      <c r="BS73" s="193"/>
      <c r="BT73" s="192">
        <f t="shared" si="125"/>
        <v>2.8579095722990155</v>
      </c>
      <c r="BU73" s="193"/>
      <c r="BV73" s="192">
        <f t="shared" si="126"/>
        <v>4.163528015371659</v>
      </c>
      <c r="BW73" s="193"/>
      <c r="BX73" s="192">
        <f t="shared" si="127"/>
        <v>8.2249183623041375</v>
      </c>
      <c r="BY73" s="193"/>
      <c r="BZ73" s="192">
        <f t="shared" si="134"/>
        <v>18.735110511787255</v>
      </c>
      <c r="CA73" s="192"/>
      <c r="CB73" s="192"/>
      <c r="CC73" s="275">
        <f t="shared" si="135"/>
        <v>2.6022584837075602E-3</v>
      </c>
      <c r="CD73" s="275"/>
      <c r="CE73" s="275"/>
      <c r="CF73" s="8"/>
      <c r="CH73" s="18" t="s">
        <v>587</v>
      </c>
      <c r="CI73" s="18">
        <f>W40*COS(ATAN(100))</f>
        <v>2.1596267435844203E-2</v>
      </c>
      <c r="CJ73" s="18">
        <f>W41*COS(ATAN(100))</f>
        <v>1.0798133717922098E-2</v>
      </c>
      <c r="CK73" s="18">
        <f>W42*COS(ATAN(100))</f>
        <v>4.3192534871688395E-3</v>
      </c>
      <c r="CL73" s="18">
        <f>W43*COS(ATAN(100))</f>
        <v>3.0851810622634568E-3</v>
      </c>
      <c r="CM73" s="18">
        <f>W44*COS(ATAN(100))</f>
        <v>539.90668589610505</v>
      </c>
      <c r="CO73" s="1" t="s">
        <v>196</v>
      </c>
      <c r="CP73" s="52">
        <f>AL40</f>
        <v>86.389388888888902</v>
      </c>
      <c r="CQ73" s="52">
        <f>AL41</f>
        <v>60.472572222222226</v>
      </c>
      <c r="CR73" s="52">
        <f>AL42</f>
        <v>38.011331111111112</v>
      </c>
      <c r="CS73" s="52">
        <f>AL43</f>
        <v>32.087487301587302</v>
      </c>
      <c r="CT73" s="52">
        <f>AL44</f>
        <v>7343098.0555555578</v>
      </c>
      <c r="EA73" s="1">
        <f t="shared" si="116"/>
        <v>14.6</v>
      </c>
      <c r="EB73" s="1" t="str">
        <f t="shared" si="137"/>
        <v>10.1707455031949+24.1146757286565i</v>
      </c>
      <c r="EC73" s="1" t="str">
        <f t="shared" si="138"/>
        <v>3.85764885228269+11.1334716301155i</v>
      </c>
      <c r="ED73" s="52" t="str">
        <f t="shared" si="139"/>
        <v>1.02224284324143+2.55629445512253i</v>
      </c>
      <c r="EE73" s="1" t="str">
        <f t="shared" si="140"/>
        <v>0.623061679960052+0.8453153146952i</v>
      </c>
      <c r="EF73" s="1" t="str">
        <f t="shared" si="141"/>
        <v>84184.0649239507-289564.361527707i</v>
      </c>
      <c r="EH73" s="1" t="str">
        <f t="shared" si="142"/>
        <v>0.364374049024685+0.598305325121535i</v>
      </c>
      <c r="EI73" s="1" t="str">
        <f t="shared" si="136"/>
        <v>0.0143880322809015+5.25163178252905i</v>
      </c>
      <c r="EJ73" s="1" t="str">
        <f t="shared" si="143"/>
        <v>0.292634196197046+0.555164151841972i</v>
      </c>
      <c r="EL73" s="52">
        <f t="shared" si="117"/>
        <v>14.6</v>
      </c>
      <c r="EM73" s="14">
        <f t="shared" si="144"/>
        <v>0.70052673729946191</v>
      </c>
      <c r="EN73" s="14">
        <f t="shared" si="144"/>
        <v>5.251651492125327</v>
      </c>
      <c r="EO73" s="14">
        <f t="shared" si="144"/>
        <v>0.62756832956603803</v>
      </c>
      <c r="EQ73" s="1" t="str">
        <f t="shared" si="145"/>
        <v>0.105864565393148-0.0554324875520069i</v>
      </c>
      <c r="ER73" s="14">
        <f t="shared" si="146"/>
        <v>14.6</v>
      </c>
      <c r="ES73" s="2">
        <f t="shared" si="147"/>
        <v>0.11949923381379275</v>
      </c>
      <c r="EU73" s="1" t="str">
        <f t="shared" si="148"/>
        <v>0.894135434606851+0.055432487552007i</v>
      </c>
      <c r="EV73" s="52">
        <f t="shared" si="149"/>
        <v>14.6</v>
      </c>
      <c r="EW73" s="2">
        <f t="shared" si="150"/>
        <v>0.89585207266366573</v>
      </c>
      <c r="HB73" s="1"/>
      <c r="JO73" s="1"/>
      <c r="JS73" s="1"/>
    </row>
    <row r="74" spans="2:279" ht="18" customHeight="1" x14ac:dyDescent="0.25">
      <c r="B74" s="6"/>
      <c r="C74" s="244">
        <v>1</v>
      </c>
      <c r="D74" s="244"/>
      <c r="E74" s="244"/>
      <c r="F74" s="191">
        <f>GA5</f>
        <v>138.81504147641357</v>
      </c>
      <c r="G74" s="190"/>
      <c r="H74" s="191">
        <f>GF5</f>
        <v>138.85085273526533</v>
      </c>
      <c r="I74" s="190"/>
      <c r="J74" s="191">
        <f>GK5</f>
        <v>138.87459726604251</v>
      </c>
      <c r="K74" s="190"/>
      <c r="L74" s="191">
        <f>GP5</f>
        <v>138.87974887251792</v>
      </c>
      <c r="M74" s="190"/>
      <c r="N74" s="191">
        <f>GU5</f>
        <v>4.6295231596178927E-4</v>
      </c>
      <c r="O74" s="190"/>
      <c r="P74" s="189">
        <f>GB5</f>
        <v>3.4705495513744307</v>
      </c>
      <c r="Q74" s="190"/>
      <c r="R74" s="191">
        <f>GG5</f>
        <v>2.4796034840062045</v>
      </c>
      <c r="S74" s="190"/>
      <c r="T74" s="190">
        <f>GL5</f>
        <v>1.578199327526373</v>
      </c>
      <c r="U74" s="190"/>
      <c r="V74" s="191">
        <f>GQ5</f>
        <v>1.3354489681381794</v>
      </c>
      <c r="W74" s="190"/>
      <c r="X74" s="190">
        <f>GV5</f>
        <v>3.4042313455803383E-6</v>
      </c>
      <c r="Y74" s="190"/>
      <c r="Z74" s="191">
        <f>FR5</f>
        <v>138.89310732414691</v>
      </c>
      <c r="AA74" s="190"/>
      <c r="AB74" s="191">
        <f>FS5</f>
        <v>138.897780024171</v>
      </c>
      <c r="AC74" s="190"/>
      <c r="AD74" s="191">
        <f>FT5</f>
        <v>138.89934375542532</v>
      </c>
      <c r="AE74" s="190"/>
      <c r="AF74" s="191">
        <f>FU5</f>
        <v>138.8995220356565</v>
      </c>
      <c r="AG74" s="190"/>
      <c r="AH74" s="191">
        <f>FV5</f>
        <v>4.629988704146806E-4</v>
      </c>
      <c r="AI74" s="190"/>
      <c r="AJ74" s="118"/>
      <c r="AK74" s="246">
        <f>AG45</f>
        <v>555.59013663016856</v>
      </c>
      <c r="AL74" s="246"/>
      <c r="AM74" s="246"/>
      <c r="AN74" s="246"/>
      <c r="AO74" s="246"/>
      <c r="AP74" s="8"/>
      <c r="AR74" s="6"/>
      <c r="AS74" s="221">
        <f t="shared" si="128"/>
        <v>35</v>
      </c>
      <c r="AT74" s="222"/>
      <c r="AU74" s="222"/>
      <c r="AV74" s="191">
        <f t="shared" si="129"/>
        <v>14.547424021098889</v>
      </c>
      <c r="AW74" s="190"/>
      <c r="AX74" s="191">
        <f t="shared" si="130"/>
        <v>14.841741659163096</v>
      </c>
      <c r="AY74" s="190"/>
      <c r="AZ74" s="191">
        <f t="shared" si="131"/>
        <v>15.800019881960047</v>
      </c>
      <c r="BA74" s="190"/>
      <c r="BB74" s="191">
        <f t="shared" si="132"/>
        <v>16.509942569058897</v>
      </c>
      <c r="BC74" s="190"/>
      <c r="BD74" s="191">
        <f t="shared" si="133"/>
        <v>18.594902329096204</v>
      </c>
      <c r="BE74" s="190"/>
      <c r="BF74" s="191">
        <f t="shared" si="118"/>
        <v>14.547424614871284</v>
      </c>
      <c r="BG74" s="191"/>
      <c r="BH74" s="191">
        <f t="shared" si="119"/>
        <v>14.841742264948467</v>
      </c>
      <c r="BI74" s="191"/>
      <c r="BJ74" s="191">
        <f t="shared" si="120"/>
        <v>15.800020526858855</v>
      </c>
      <c r="BK74" s="191"/>
      <c r="BL74" s="191">
        <f t="shared" si="121"/>
        <v>16.509943242934074</v>
      </c>
      <c r="BM74" s="191"/>
      <c r="BN74" s="191">
        <f t="shared" si="122"/>
        <v>18.594903088071725</v>
      </c>
      <c r="BO74" s="191"/>
      <c r="BP74" s="191">
        <f t="shared" si="123"/>
        <v>0.39454881590614982</v>
      </c>
      <c r="BQ74" s="190"/>
      <c r="BR74" s="191">
        <f t="shared" si="124"/>
        <v>0.70017345452108248</v>
      </c>
      <c r="BS74" s="190"/>
      <c r="BT74" s="191">
        <f t="shared" si="125"/>
        <v>1.6797276232667142</v>
      </c>
      <c r="BU74" s="190"/>
      <c r="BV74" s="191">
        <f t="shared" si="126"/>
        <v>2.4034308235176658</v>
      </c>
      <c r="BW74" s="190"/>
      <c r="BX74" s="191">
        <f t="shared" si="127"/>
        <v>4.5301351905124578</v>
      </c>
      <c r="BY74" s="190"/>
      <c r="BZ74" s="191">
        <f t="shared" si="134"/>
        <v>14.252907516973064</v>
      </c>
      <c r="CA74" s="191"/>
      <c r="CB74" s="191"/>
      <c r="CC74" s="276">
        <f t="shared" si="135"/>
        <v>1.9796920589396725E-3</v>
      </c>
      <c r="CD74" s="276"/>
      <c r="CE74" s="276"/>
      <c r="CF74" s="8"/>
      <c r="CH74" s="1">
        <f>C74</f>
        <v>1</v>
      </c>
      <c r="CI74" s="1">
        <f>F74*F74*CI$73</f>
        <v>416.15177490911839</v>
      </c>
      <c r="CJ74" s="1">
        <f>H74*H74*CJ$73</f>
        <v>208.18325940135034</v>
      </c>
      <c r="CK74" s="1">
        <f>J74*J74*CK$73</f>
        <v>83.301786907029864</v>
      </c>
      <c r="CL74" s="1">
        <f>L74*L74*CL$73</f>
        <v>59.505690889399673</v>
      </c>
      <c r="CM74" s="1">
        <f>N74*N74*CM$73</f>
        <v>1.157154177703409E-4</v>
      </c>
      <c r="CO74" s="1">
        <f t="shared" ref="CO74:CO89" si="151">C74</f>
        <v>1</v>
      </c>
      <c r="CP74" s="1">
        <f>P74*P74*$CP$73</f>
        <v>1040.5354980897546</v>
      </c>
      <c r="CQ74" s="1">
        <f t="shared" ref="CQ74:CQ89" si="152">R74*R74*$CQ$73</f>
        <v>371.81158512667423</v>
      </c>
      <c r="CR74" s="1">
        <f t="shared" ref="CR74:CR89" si="153">T74*T74*$CR$73</f>
        <v>94.675321008457672</v>
      </c>
      <c r="CS74" s="1">
        <f t="shared" ref="CS74:CS89" si="154">V74*V74*$CS$73</f>
        <v>57.225593236708072</v>
      </c>
      <c r="CT74" s="1">
        <f t="shared" ref="CT74:CT89" si="155">X74*X74*$CT$73</f>
        <v>8.5097629056568597E-5</v>
      </c>
      <c r="EA74" s="1">
        <f t="shared" si="116"/>
        <v>14.8</v>
      </c>
      <c r="EB74" s="1" t="str">
        <f t="shared" si="137"/>
        <v>10.4170119873261+24.4545532208426i</v>
      </c>
      <c r="EC74" s="1" t="str">
        <f t="shared" si="138"/>
        <v>3.95683832462497+11.3583978476742i</v>
      </c>
      <c r="ED74" s="52" t="str">
        <f t="shared" si="139"/>
        <v>1.04954997415298+2.68413511056182i</v>
      </c>
      <c r="EE74" s="1" t="str">
        <f t="shared" si="140"/>
        <v>0.639824279350012+0.95169469980403i</v>
      </c>
      <c r="EF74" s="1" t="str">
        <f t="shared" si="141"/>
        <v>86464.3812671926-264695.530571636i</v>
      </c>
      <c r="EH74" s="1" t="str">
        <f t="shared" si="142"/>
        <v>0.369114044666667+0.653688143632959i</v>
      </c>
      <c r="EI74" s="1" t="str">
        <f t="shared" si="136"/>
        <v>0.0143880322809015+5.32357194393356i</v>
      </c>
      <c r="EJ74" s="1" t="str">
        <f t="shared" si="143"/>
        <v>0.291822028899929+0.600034018660007i</v>
      </c>
      <c r="EL74" s="52">
        <f t="shared" si="117"/>
        <v>14.8</v>
      </c>
      <c r="EM74" s="14">
        <f t="shared" si="144"/>
        <v>0.75070191627335703</v>
      </c>
      <c r="EN74" s="14">
        <f t="shared" si="144"/>
        <v>5.3235913871849192</v>
      </c>
      <c r="EO74" s="14">
        <f t="shared" si="144"/>
        <v>0.66723378219372909</v>
      </c>
      <c r="EQ74" s="1" t="str">
        <f t="shared" si="145"/>
        <v>0.11286000159951-0.0545119327042037i</v>
      </c>
      <c r="ER74" s="14">
        <f t="shared" si="146"/>
        <v>14.8</v>
      </c>
      <c r="ES74" s="2">
        <f t="shared" si="147"/>
        <v>0.12533527343963882</v>
      </c>
      <c r="EU74" s="1" t="str">
        <f t="shared" si="148"/>
        <v>0.88713999840049+0.0545119327042036i</v>
      </c>
      <c r="EV74" s="52">
        <f t="shared" si="149"/>
        <v>14.8</v>
      </c>
      <c r="EW74" s="2">
        <f t="shared" si="150"/>
        <v>0.88881321298075289</v>
      </c>
      <c r="HB74" s="1"/>
      <c r="JO74" s="1"/>
      <c r="JS74" s="1"/>
    </row>
    <row r="75" spans="2:279" ht="18" customHeight="1" thickBot="1" x14ac:dyDescent="0.3">
      <c r="B75" s="6"/>
      <c r="C75" s="206">
        <f>L20</f>
        <v>2</v>
      </c>
      <c r="D75" s="207"/>
      <c r="E75" s="207"/>
      <c r="F75" s="192">
        <f t="shared" ref="F75:F89" si="156">GA6</f>
        <v>4.588991671895163E-2</v>
      </c>
      <c r="G75" s="193"/>
      <c r="H75" s="192">
        <f t="shared" ref="H75:H89" si="157">GF6</f>
        <v>4.2880076406728994E-2</v>
      </c>
      <c r="I75" s="193"/>
      <c r="J75" s="192">
        <f t="shared" ref="J75:J89" si="158">GK6</f>
        <v>4.1254328497072619E-2</v>
      </c>
      <c r="K75" s="193"/>
      <c r="L75" s="192">
        <f t="shared" ref="L75:L89" si="159">GP6</f>
        <v>4.0958509180216374E-2</v>
      </c>
      <c r="M75" s="193"/>
      <c r="N75" s="192">
        <f t="shared" ref="N75:N89" si="160">GU6</f>
        <v>1.3551647212754032E-7</v>
      </c>
      <c r="O75" s="193"/>
      <c r="P75" s="205">
        <f t="shared" ref="P75:P89" si="161">GB6</f>
        <v>2.2945245169662767E-3</v>
      </c>
      <c r="Q75" s="193"/>
      <c r="R75" s="192">
        <f t="shared" ref="R75:R89" si="162">GG6</f>
        <v>1.5314504430119296E-3</v>
      </c>
      <c r="S75" s="193"/>
      <c r="T75" s="193">
        <f t="shared" ref="T75:T89" si="163">GL6</f>
        <v>9.376100948399077E-4</v>
      </c>
      <c r="U75" s="193"/>
      <c r="V75" s="192">
        <f t="shared" ref="V75:V89" si="164">GQ6</f>
        <v>7.8767348381502626E-4</v>
      </c>
      <c r="W75" s="193"/>
      <c r="X75" s="193">
        <f t="shared" ref="X75:X89" si="165">GV6</f>
        <v>1.9929142069537389E-9</v>
      </c>
      <c r="Y75" s="193"/>
      <c r="Z75" s="192">
        <f t="shared" ref="Z75:Z89" si="166">FR6</f>
        <v>4.595870147708167E-2</v>
      </c>
      <c r="AA75" s="193"/>
      <c r="AB75" s="192">
        <f t="shared" ref="AB75:AB89" si="167">FS6</f>
        <v>4.2915066958097305E-2</v>
      </c>
      <c r="AC75" s="193"/>
      <c r="AD75" s="192">
        <f t="shared" ref="AD75:AD89" si="168">FT6</f>
        <v>4.126966843031208E-2</v>
      </c>
      <c r="AE75" s="193"/>
      <c r="AF75" s="192">
        <f t="shared" ref="AF75:AF89" si="169">FU6</f>
        <v>4.0970019759166476E-2</v>
      </c>
      <c r="AG75" s="193"/>
      <c r="AH75" s="192">
        <f t="shared" ref="AH75:AH89" si="170">FV6</f>
        <v>1.3554108830239657E-7</v>
      </c>
      <c r="AI75" s="193"/>
      <c r="AJ75" s="117"/>
      <c r="AK75" s="188">
        <f t="shared" ref="AK75:AK89" si="171">FP6</f>
        <v>0.17111220589620266</v>
      </c>
      <c r="AL75" s="188"/>
      <c r="AM75" s="188"/>
      <c r="AN75" s="188"/>
      <c r="AO75" s="188"/>
      <c r="AP75" s="85"/>
      <c r="AR75" s="6"/>
      <c r="AS75" s="206">
        <f t="shared" si="128"/>
        <v>37</v>
      </c>
      <c r="AT75" s="207"/>
      <c r="AU75" s="207"/>
      <c r="AV75" s="192">
        <f t="shared" si="129"/>
        <v>3.8432316470149606</v>
      </c>
      <c r="AW75" s="193"/>
      <c r="AX75" s="192">
        <f t="shared" si="130"/>
        <v>3.9125105431384295</v>
      </c>
      <c r="AY75" s="193"/>
      <c r="AZ75" s="192">
        <f t="shared" si="131"/>
        <v>4.1360381642214321</v>
      </c>
      <c r="BA75" s="193"/>
      <c r="BB75" s="192">
        <f t="shared" si="132"/>
        <v>4.2996550969520353</v>
      </c>
      <c r="BC75" s="193"/>
      <c r="BD75" s="192">
        <f t="shared" si="133"/>
        <v>4.7707457299715923</v>
      </c>
      <c r="BE75" s="193"/>
      <c r="BF75" s="192">
        <f t="shared" si="118"/>
        <v>3.8432317873813377</v>
      </c>
      <c r="BG75" s="192"/>
      <c r="BH75" s="192">
        <f t="shared" si="119"/>
        <v>3.9125106860350884</v>
      </c>
      <c r="BI75" s="192"/>
      <c r="BJ75" s="192">
        <f t="shared" si="120"/>
        <v>4.1360383152819766</v>
      </c>
      <c r="BK75" s="192"/>
      <c r="BL75" s="192">
        <f t="shared" si="121"/>
        <v>4.2996552539883881</v>
      </c>
      <c r="BM75" s="192"/>
      <c r="BN75" s="192">
        <f t="shared" si="122"/>
        <v>4.7707459042135909</v>
      </c>
      <c r="BO75" s="192"/>
      <c r="BP75" s="192">
        <f t="shared" si="123"/>
        <v>9.5617358078346856E-2</v>
      </c>
      <c r="BQ75" s="193"/>
      <c r="BR75" s="192">
        <f t="shared" si="124"/>
        <v>0.16786552268535684</v>
      </c>
      <c r="BS75" s="193"/>
      <c r="BT75" s="192">
        <f t="shared" si="125"/>
        <v>0.39660337784570238</v>
      </c>
      <c r="BU75" s="193"/>
      <c r="BV75" s="192">
        <f t="shared" si="126"/>
        <v>0.56342144014090023</v>
      </c>
      <c r="BW75" s="193"/>
      <c r="BX75" s="192">
        <f t="shared" si="127"/>
        <v>1.0437963478916092</v>
      </c>
      <c r="BY75" s="193"/>
      <c r="BZ75" s="278">
        <f t="shared" si="134"/>
        <v>3.773607387379569</v>
      </c>
      <c r="CA75" s="278"/>
      <c r="CB75" s="278"/>
      <c r="CC75" s="275">
        <f t="shared" si="135"/>
        <v>5.2414432419877009E-4</v>
      </c>
      <c r="CD75" s="275"/>
      <c r="CE75" s="275"/>
      <c r="CF75" s="8"/>
      <c r="CH75" s="1">
        <f t="shared" ref="CH75:CH89" si="172">C75</f>
        <v>2</v>
      </c>
      <c r="CI75" s="1">
        <f t="shared" ref="CI75:CI89" si="173">F75*F75*$CI$73</f>
        <v>4.5479243910963553E-5</v>
      </c>
      <c r="CJ75" s="1">
        <f t="shared" ref="CJ75:CJ89" si="174">H75*H75*CJ$73</f>
        <v>1.9854538753952153E-5</v>
      </c>
      <c r="CK75" s="1">
        <f t="shared" ref="CK75:CK89" si="175">J75*J75*CK$73</f>
        <v>7.3510222524619703E-6</v>
      </c>
      <c r="CL75" s="1">
        <f t="shared" ref="CL75:CL89" si="176">L75*L75*CL$73</f>
        <v>5.1756981280681898E-6</v>
      </c>
      <c r="CM75" s="1">
        <f t="shared" ref="CM75:CM89" si="177">N75*N75*CM$73</f>
        <v>9.9152319908124519E-12</v>
      </c>
      <c r="CO75" s="1">
        <f t="shared" si="151"/>
        <v>2</v>
      </c>
      <c r="CP75" s="1">
        <f t="shared" ref="CP75:CP89" si="178">P75*P75*$CP$73</f>
        <v>4.5482654854258795E-4</v>
      </c>
      <c r="CQ75" s="1">
        <f t="shared" si="152"/>
        <v>1.4182877031685315E-4</v>
      </c>
      <c r="CR75" s="1">
        <f t="shared" si="153"/>
        <v>3.3416243541505586E-5</v>
      </c>
      <c r="CS75" s="1">
        <f t="shared" si="154"/>
        <v>1.9908024251646271E-5</v>
      </c>
      <c r="CT75" s="1">
        <f t="shared" si="155"/>
        <v>2.9164634215329672E-11</v>
      </c>
      <c r="EA75" s="1">
        <f t="shared" si="116"/>
        <v>15</v>
      </c>
      <c r="EB75" s="1" t="str">
        <f t="shared" si="137"/>
        <v>10.6650103121883+24.7899867097473i</v>
      </c>
      <c r="EC75" s="1" t="str">
        <f t="shared" si="138"/>
        <v>4.05702325675449+11.5810430796101i</v>
      </c>
      <c r="ED75" s="52" t="str">
        <f t="shared" si="139"/>
        <v>1.07718751596989+2.81050531277472i</v>
      </c>
      <c r="EE75" s="1" t="str">
        <f t="shared" si="140"/>
        <v>0.656796724529735+1.05669237201617i</v>
      </c>
      <c r="EF75" s="1" t="str">
        <f t="shared" si="141"/>
        <v>88774.2607392083-240221.809698094i</v>
      </c>
      <c r="EH75" s="1" t="str">
        <f t="shared" si="142"/>
        <v>0.374775276183918+0.707404095623242i</v>
      </c>
      <c r="EI75" s="1" t="str">
        <f t="shared" si="136"/>
        <v>0.0143880322809015+5.39551210533807i</v>
      </c>
      <c r="EJ75" s="1" t="str">
        <f t="shared" si="143"/>
        <v>0.29199074974272+0.643142890954631i</v>
      </c>
      <c r="EL75" s="52">
        <f t="shared" si="117"/>
        <v>15</v>
      </c>
      <c r="EM75" s="14">
        <f t="shared" si="144"/>
        <v>0.80054797616586915</v>
      </c>
      <c r="EN75" s="14">
        <f t="shared" si="144"/>
        <v>5.395531289347006</v>
      </c>
      <c r="EO75" s="14">
        <f t="shared" si="144"/>
        <v>0.70632243070767331</v>
      </c>
      <c r="EQ75" s="1" t="str">
        <f t="shared" si="145"/>
        <v>0.119343065387969-0.0537990893539526i</v>
      </c>
      <c r="ER75" s="14">
        <f t="shared" si="146"/>
        <v>15</v>
      </c>
      <c r="ES75" s="2">
        <f t="shared" si="147"/>
        <v>0.130908782255094</v>
      </c>
      <c r="EU75" s="1" t="str">
        <f t="shared" si="148"/>
        <v>0.880656934612031+0.0537990893539527i</v>
      </c>
      <c r="EV75" s="52">
        <f t="shared" si="149"/>
        <v>15</v>
      </c>
      <c r="EW75" s="2">
        <f t="shared" si="150"/>
        <v>0.88229869006792339</v>
      </c>
      <c r="HB75" s="1"/>
      <c r="JO75" s="1"/>
      <c r="JS75" s="1"/>
    </row>
    <row r="76" spans="2:279" ht="18" customHeight="1" thickTop="1" x14ac:dyDescent="0.25">
      <c r="B76" s="6"/>
      <c r="C76" s="221">
        <f>N20</f>
        <v>3</v>
      </c>
      <c r="D76" s="222"/>
      <c r="E76" s="222"/>
      <c r="F76" s="191">
        <f t="shared" si="156"/>
        <v>0.17764696490922099</v>
      </c>
      <c r="G76" s="190"/>
      <c r="H76" s="191">
        <f t="shared" si="157"/>
        <v>0.14283101233793066</v>
      </c>
      <c r="I76" s="190"/>
      <c r="J76" s="191">
        <f t="shared" si="158"/>
        <v>0.12773259868203979</v>
      </c>
      <c r="K76" s="190"/>
      <c r="L76" s="191">
        <f t="shared" si="159"/>
        <v>0.12520788197579014</v>
      </c>
      <c r="M76" s="190"/>
      <c r="N76" s="191">
        <f t="shared" si="160"/>
        <v>4.0893763320741597E-7</v>
      </c>
      <c r="O76" s="190"/>
      <c r="P76" s="189">
        <f t="shared" si="161"/>
        <v>1.3323596387554667E-2</v>
      </c>
      <c r="Q76" s="190"/>
      <c r="R76" s="191">
        <f t="shared" si="162"/>
        <v>7.6517038843580583E-3</v>
      </c>
      <c r="S76" s="190"/>
      <c r="T76" s="190">
        <f t="shared" si="163"/>
        <v>4.3545446013278409E-3</v>
      </c>
      <c r="U76" s="190"/>
      <c r="V76" s="191">
        <f t="shared" si="164"/>
        <v>3.6117858915346805E-3</v>
      </c>
      <c r="W76" s="190"/>
      <c r="X76" s="190">
        <f t="shared" si="165"/>
        <v>9.0207332002245244E-9</v>
      </c>
      <c r="Y76" s="190"/>
      <c r="Z76" s="191">
        <f t="shared" si="166"/>
        <v>0.17819018374822768</v>
      </c>
      <c r="AA76" s="190"/>
      <c r="AB76" s="191">
        <f t="shared" si="167"/>
        <v>0.14306128973769935</v>
      </c>
      <c r="AC76" s="190"/>
      <c r="AD76" s="191">
        <f t="shared" si="168"/>
        <v>0.12782130855014559</v>
      </c>
      <c r="AE76" s="190"/>
      <c r="AF76" s="191">
        <f t="shared" si="169"/>
        <v>0.12527199813413353</v>
      </c>
      <c r="AG76" s="190"/>
      <c r="AH76" s="191">
        <f t="shared" si="170"/>
        <v>4.090671755665875E-7</v>
      </c>
      <c r="AI76" s="190"/>
      <c r="AJ76" s="118"/>
      <c r="AK76" s="194">
        <f t="shared" si="171"/>
        <v>0.57425397273428924</v>
      </c>
      <c r="AL76" s="194"/>
      <c r="AM76" s="194"/>
      <c r="AN76" s="194"/>
      <c r="AO76" s="194"/>
      <c r="AP76" s="85"/>
      <c r="AR76" s="6"/>
      <c r="AS76" s="239" t="s">
        <v>420</v>
      </c>
      <c r="AT76" s="239"/>
      <c r="AU76" s="239"/>
      <c r="AV76" s="235">
        <f>SQRT(SUM(AV60^2,AV61^2,AV62^2,AV63^2,AV64^2,AV65^2,AV66^2,AV67^2,AV68^2,AV69^2,AV70^2,AV71^2,AV72^2,AV73^2,AV74^2,AV75^2))</f>
        <v>1386.0241457238149</v>
      </c>
      <c r="AW76" s="235"/>
      <c r="AX76" s="235">
        <f t="shared" ref="AX76" si="179">SQRT(SUM(AX60^2,AX61^2,AX62^2,AX63^2,AX64^2,AX65^2,AX66^2,AX67^2,AX68^2,AX69^2,AX70^2,AX71^2,AX72^2,AX73^2,AX74^2,AX75^2))</f>
        <v>785.58684596024932</v>
      </c>
      <c r="AY76" s="235"/>
      <c r="AZ76" s="235">
        <f t="shared" ref="AZ76" si="180">SQRT(SUM(AZ60^2,AZ61^2,AZ62^2,AZ63^2,AZ64^2,AZ65^2,AZ66^2,AZ67^2,AZ68^2,AZ69^2,AZ70^2,AZ71^2,AZ72^2,AZ73^2,AZ74^2,AZ75^2))</f>
        <v>377.01134502113979</v>
      </c>
      <c r="BA76" s="235"/>
      <c r="BB76" s="235">
        <f t="shared" ref="BB76" si="181">SQRT(SUM(BB60^2,BB61^2,BB62^2,BB63^2,BB64^2,BB65^2,BB66^2,BB67^2,BB68^2,BB69^2,BB70^2,BB71^2,BB72^2,BB73^2,BB74^2,BB75^2))</f>
        <v>288.18560517646483</v>
      </c>
      <c r="BC76" s="235"/>
      <c r="BD76" s="235">
        <f t="shared" ref="BD76" si="182">SQRT(SUM(BD60^2,BD61^2,BD62^2,BD63^2,BD64^2,BD65^2,BD66^2,BD67^2,BD68^2,BD69^2,BD70^2,BD71^2,BD72^2,BD73^2,BD74^2,BD75^2))</f>
        <v>466.86987303769945</v>
      </c>
      <c r="BE76" s="235"/>
      <c r="BF76" s="235">
        <f t="shared" ref="BF76" si="183">SQRT(SUM(BF60^2,BF61^2,BF62^2,BF63^2,BF64^2,BF65^2,BF66^2,BF67^2,BF68^2,BF69^2,BF70^2,BF71^2,BF72^2,BF73^2,BF74^2,BF75^2))</f>
        <v>1386.0299888528796</v>
      </c>
      <c r="BG76" s="235"/>
      <c r="BH76" s="235">
        <f t="shared" ref="BH76" si="184">SQRT(SUM(BH60^2,BH61^2,BH62^2,BH63^2,BH64^2,BH65^2,BH66^2,BH67^2,BH68^2,BH69^2,BH70^2,BH71^2,BH72^2,BH73^2,BH74^2,BH75^2))</f>
        <v>785.58906989553498</v>
      </c>
      <c r="BI76" s="235"/>
      <c r="BJ76" s="235">
        <f t="shared" ref="BJ76" si="185">SQRT(SUM(BJ60^2,BJ61^2,BJ62^2,BJ63^2,BJ64^2,BJ65^2,BJ66^2,BJ67^2,BJ68^2,BJ69^2,BJ70^2,BJ71^2,BJ72^2,BJ73^2,BJ74^2,BJ75^2))</f>
        <v>377.01197344543829</v>
      </c>
      <c r="BK76" s="235"/>
      <c r="BL76" s="235">
        <f t="shared" ref="BL76" si="186">SQRT(SUM(BL60^2,BL61^2,BL62^2,BL63^2,BL64^2,BL65^2,BL66^2,BL67^2,BL68^2,BL69^2,BL70^2,BL71^2,BL72^2,BL73^2,BL74^2,BL75^2))</f>
        <v>288.18600473806941</v>
      </c>
      <c r="BM76" s="235"/>
      <c r="BN76" s="235">
        <f t="shared" ref="BN76" si="187">SQRT(SUM(BN60^2,BN61^2,BN62^2,BN63^2,BN64^2,BN65^2,BN66^2,BN67^2,BN68^2,BN69^2,BN70^2,BN71^2,BN72^2,BN73^2,BN74^2,BN75^2))</f>
        <v>466.87001738992973</v>
      </c>
      <c r="BO76" s="235"/>
      <c r="BP76" s="235">
        <f t="shared" ref="BP76" si="188">SQRT(SUM(BP60^2,BP61^2,BP62^2,BP63^2,BP64^2,BP65^2,BP66^2,BP67^2,BP68^2,BP69^2,BP70^2,BP71^2,BP72^2,BP73^2,BP74^2,BP75^2))</f>
        <v>7619.7918694204072</v>
      </c>
      <c r="BQ76" s="235"/>
      <c r="BR76" s="235">
        <f t="shared" ref="BR76" si="189">SQRT(SUM(BR60^2,BR61^2,BR62^2,BR63^2,BR64^2,BR65^2,BR66^2,BR67^2,BR68^2,BR69^2,BR70^2,BR71^2,BR72^2,BR73^2,BR74^2,BR75^2))</f>
        <v>7395.3182298605161</v>
      </c>
      <c r="BS76" s="235"/>
      <c r="BT76" s="235">
        <f t="shared" ref="BT76" si="190">SQRT(SUM(BT60^2,BT61^2,BT62^2,BT63^2,BT64^2,BT65^2,BT66^2,BT67^2,BT68^2,BT69^2,BT70^2,BT71^2,BT72^2,BT73^2,BT74^2,BT75^2))</f>
        <v>7272.4234543383254</v>
      </c>
      <c r="BU76" s="235"/>
      <c r="BV76" s="235">
        <f t="shared" ref="BV76" si="191">SQRT(SUM(BV60^2,BV61^2,BV62^2,BV63^2,BV64^2,BV65^2,BV66^2,BV67^2,BV68^2,BV69^2,BV70^2,BV71^2,BV72^2,BV73^2,BV74^2,BV75^2))</f>
        <v>7251.1324222588601</v>
      </c>
      <c r="BW76" s="235"/>
      <c r="BX76" s="235">
        <f t="shared" ref="BX76" si="192">SQRT(SUM(BX60^2,BX61^2,BX62^2,BX63^2,BX64^2,BX65^2,BX66^2,BX67^2,BX68^2,BX69^2,BX70^2,BX71^2,BX72^2,BX73^2,BX74^2,BX75^2))</f>
        <v>7241.8696470116538</v>
      </c>
      <c r="BY76" s="235"/>
      <c r="BZ76" s="235">
        <f>SQRT(SUM(BZ60^2,BZ61^2,BZ62^2,BZ63^2,BZ64^2,BZ65^2,BZ66^2,BZ67^2,BZ68^2,BZ69^2,BZ70^2,BZ71^2,BZ72^2,BZ73^2,BZ74^2,BZ75^2))</f>
        <v>7202.9039810580289</v>
      </c>
      <c r="CA76" s="235"/>
      <c r="CB76" s="235"/>
      <c r="CC76" s="282">
        <f>SQRT(SUM(BZ61^2,BZ62^2,BZ63^2,BZ64^2,BZ65^2,BZ66^2,BZ67^2,BZ68^2,BZ69^2,BZ70^2,BZ71^2,BZ72^2,BZ73^2,BZ74^2,BZ75^2))/BZ60</f>
        <v>3.0491835842425565E-2</v>
      </c>
      <c r="CD76" s="282"/>
      <c r="CE76" s="282"/>
      <c r="CF76" s="8"/>
      <c r="CH76" s="1">
        <f t="shared" si="172"/>
        <v>3</v>
      </c>
      <c r="CI76" s="1">
        <f t="shared" si="173"/>
        <v>6.8154459953807757E-4</v>
      </c>
      <c r="CJ76" s="1">
        <f t="shared" si="174"/>
        <v>2.2028946586594988E-4</v>
      </c>
      <c r="CK76" s="1">
        <f t="shared" si="175"/>
        <v>7.0471284612145426E-5</v>
      </c>
      <c r="CL76" s="1">
        <f t="shared" si="176"/>
        <v>4.8366425807429935E-5</v>
      </c>
      <c r="CM76" s="1">
        <f t="shared" si="177"/>
        <v>9.0288588524311977E-11</v>
      </c>
      <c r="CO76" s="1">
        <f t="shared" si="151"/>
        <v>3</v>
      </c>
      <c r="CP76" s="1">
        <f t="shared" si="178"/>
        <v>1.5335690602782849E-2</v>
      </c>
      <c r="CQ76" s="1">
        <f t="shared" si="152"/>
        <v>3.540582768969782E-3</v>
      </c>
      <c r="CR76" s="1">
        <f t="shared" si="153"/>
        <v>7.2077309122208551E-4</v>
      </c>
      <c r="CS76" s="1">
        <f t="shared" si="154"/>
        <v>4.1858118605653754E-4</v>
      </c>
      <c r="CT76" s="1">
        <f t="shared" si="155"/>
        <v>5.9753452564576429E-10</v>
      </c>
      <c r="EA76" s="1">
        <f t="shared" si="116"/>
        <v>15.2</v>
      </c>
      <c r="EB76" s="1" t="str">
        <f t="shared" si="137"/>
        <v>10.9146910821438+25.1210215955347i</v>
      </c>
      <c r="EC76" s="1" t="str">
        <f t="shared" si="138"/>
        <v>4.15819122550734+11.8014515871052i</v>
      </c>
      <c r="ED76" s="52" t="str">
        <f t="shared" si="139"/>
        <v>1.10515389653829+2.93545400298988i</v>
      </c>
      <c r="EE76" s="1" t="str">
        <f t="shared" si="140"/>
        <v>0.673978307259153+1.16035802631115i</v>
      </c>
      <c r="EF76" s="1" t="str">
        <f t="shared" si="141"/>
        <v>91113.6455197264-216128.119833759i</v>
      </c>
      <c r="EH76" s="1" t="str">
        <f t="shared" si="142"/>
        <v>0.38119142552215+0.759612488200173i</v>
      </c>
      <c r="EI76" s="1" t="str">
        <f t="shared" si="136"/>
        <v>0.0143880322809015+5.46745226674258i</v>
      </c>
      <c r="EJ76" s="1" t="str">
        <f t="shared" si="143"/>
        <v>0.29295181855798+0.684679911845107i</v>
      </c>
      <c r="EL76" s="52">
        <f t="shared" si="117"/>
        <v>15.2</v>
      </c>
      <c r="EM76" s="14">
        <f t="shared" si="144"/>
        <v>0.84989295509567964</v>
      </c>
      <c r="EN76" s="14">
        <f t="shared" si="144"/>
        <v>5.4674711983312259</v>
      </c>
      <c r="EO76" s="14">
        <f t="shared" si="144"/>
        <v>0.74471964502130006</v>
      </c>
      <c r="EQ76" s="1" t="str">
        <f t="shared" si="145"/>
        <v>0.125368463661999-0.0532511302982561i</v>
      </c>
      <c r="ER76" s="14">
        <f t="shared" si="146"/>
        <v>15.2</v>
      </c>
      <c r="ES76" s="2">
        <f t="shared" si="147"/>
        <v>0.13620915739777487</v>
      </c>
      <c r="EU76" s="1" t="str">
        <f t="shared" si="148"/>
        <v>0.874631536338001+0.0532511302982562i</v>
      </c>
      <c r="EV76" s="52">
        <f t="shared" si="149"/>
        <v>15.2</v>
      </c>
      <c r="EW76" s="2">
        <f t="shared" si="150"/>
        <v>0.87625110969117392</v>
      </c>
      <c r="HB76" s="1"/>
      <c r="JO76" s="1"/>
      <c r="JS76" s="1"/>
    </row>
    <row r="77" spans="2:279" ht="18" customHeight="1" x14ac:dyDescent="0.25">
      <c r="B77" s="6"/>
      <c r="C77" s="206">
        <f>P20</f>
        <v>4</v>
      </c>
      <c r="D77" s="207"/>
      <c r="E77" s="207"/>
      <c r="F77" s="192">
        <f t="shared" si="156"/>
        <v>1.6407902850158216</v>
      </c>
      <c r="G77" s="193"/>
      <c r="H77" s="192">
        <f t="shared" si="157"/>
        <v>0.92498332443947273</v>
      </c>
      <c r="I77" s="193"/>
      <c r="J77" s="192">
        <f t="shared" si="158"/>
        <v>0.73002301691437788</v>
      </c>
      <c r="K77" s="193"/>
      <c r="L77" s="192">
        <f t="shared" si="159"/>
        <v>0.7017467170001136</v>
      </c>
      <c r="M77" s="193"/>
      <c r="N77" s="192">
        <f t="shared" si="160"/>
        <v>2.2483680306116961E-6</v>
      </c>
      <c r="O77" s="193"/>
      <c r="P77" s="205">
        <f t="shared" si="161"/>
        <v>0.16407954124774507</v>
      </c>
      <c r="Q77" s="193"/>
      <c r="R77" s="192">
        <f t="shared" si="162"/>
        <v>6.6070443929131736E-2</v>
      </c>
      <c r="S77" s="193"/>
      <c r="T77" s="193">
        <f t="shared" si="163"/>
        <v>3.3182968101488304E-2</v>
      </c>
      <c r="U77" s="193"/>
      <c r="V77" s="192">
        <f t="shared" si="164"/>
        <v>2.6990342690583789E-2</v>
      </c>
      <c r="W77" s="193"/>
      <c r="X77" s="193">
        <f t="shared" si="165"/>
        <v>6.6128678139729605E-8</v>
      </c>
      <c r="Y77" s="193"/>
      <c r="Z77" s="192">
        <f t="shared" si="166"/>
        <v>1.6493819908190077</v>
      </c>
      <c r="AA77" s="193"/>
      <c r="AB77" s="192">
        <f t="shared" si="167"/>
        <v>0.92750472957907459</v>
      </c>
      <c r="AC77" s="193"/>
      <c r="AD77" s="192">
        <f t="shared" si="168"/>
        <v>0.73085965538583952</v>
      </c>
      <c r="AE77" s="193"/>
      <c r="AF77" s="192">
        <f t="shared" si="169"/>
        <v>0.70233299441569785</v>
      </c>
      <c r="AG77" s="193"/>
      <c r="AH77" s="192">
        <f t="shared" si="170"/>
        <v>2.2495055476382513E-6</v>
      </c>
      <c r="AI77" s="193"/>
      <c r="AJ77" s="117"/>
      <c r="AK77" s="188">
        <f t="shared" si="171"/>
        <v>3.9977570149213904</v>
      </c>
      <c r="AL77" s="188"/>
      <c r="AM77" s="188"/>
      <c r="AN77" s="188"/>
      <c r="AO77" s="188"/>
      <c r="AP77" s="8"/>
      <c r="AR77" s="6"/>
      <c r="AS77" s="240"/>
      <c r="AT77" s="240"/>
      <c r="AU77" s="240"/>
      <c r="AV77" s="185"/>
      <c r="AW77" s="185"/>
      <c r="AX77" s="185"/>
      <c r="AY77" s="185"/>
      <c r="AZ77" s="185"/>
      <c r="BA77" s="185"/>
      <c r="BB77" s="185"/>
      <c r="BC77" s="185"/>
      <c r="BD77" s="185"/>
      <c r="BE77" s="185"/>
      <c r="BF77" s="185"/>
      <c r="BG77" s="185"/>
      <c r="BH77" s="185"/>
      <c r="BI77" s="185"/>
      <c r="BJ77" s="185"/>
      <c r="BK77" s="185"/>
      <c r="BL77" s="185"/>
      <c r="BM77" s="185"/>
      <c r="BN77" s="185"/>
      <c r="BO77" s="185"/>
      <c r="BP77" s="185"/>
      <c r="BQ77" s="185"/>
      <c r="BR77" s="185"/>
      <c r="BS77" s="185"/>
      <c r="BT77" s="185"/>
      <c r="BU77" s="185"/>
      <c r="BV77" s="185"/>
      <c r="BW77" s="185"/>
      <c r="BX77" s="185"/>
      <c r="BY77" s="185"/>
      <c r="BZ77" s="185"/>
      <c r="CA77" s="185"/>
      <c r="CB77" s="185"/>
      <c r="CC77" s="283"/>
      <c r="CD77" s="283"/>
      <c r="CE77" s="283"/>
      <c r="CF77" s="8"/>
      <c r="CH77" s="1">
        <f t="shared" si="172"/>
        <v>4</v>
      </c>
      <c r="CI77" s="1">
        <f t="shared" si="173"/>
        <v>5.8141314820895462E-2</v>
      </c>
      <c r="CJ77" s="1">
        <f t="shared" si="174"/>
        <v>9.2388200452748481E-3</v>
      </c>
      <c r="CK77" s="1">
        <f t="shared" si="175"/>
        <v>2.30187533279655E-3</v>
      </c>
      <c r="CL77" s="1">
        <f t="shared" si="176"/>
        <v>1.5192926469529153E-3</v>
      </c>
      <c r="CM77" s="1">
        <f t="shared" si="177"/>
        <v>2.7293140349678581E-9</v>
      </c>
      <c r="CO77" s="1">
        <f t="shared" si="151"/>
        <v>4</v>
      </c>
      <c r="CP77" s="1">
        <f t="shared" si="178"/>
        <v>2.3257834086140168</v>
      </c>
      <c r="CQ77" s="1">
        <f t="shared" si="152"/>
        <v>0.26398113486404529</v>
      </c>
      <c r="CR77" s="1">
        <f t="shared" si="153"/>
        <v>4.1854632929566725E-2</v>
      </c>
      <c r="CS77" s="1">
        <f t="shared" si="154"/>
        <v>2.3375047780616481E-2</v>
      </c>
      <c r="CT77" s="1">
        <f t="shared" si="155"/>
        <v>3.2111383015573569E-8</v>
      </c>
      <c r="EA77" s="1">
        <f t="shared" si="116"/>
        <v>15.4</v>
      </c>
      <c r="EB77" s="1" t="str">
        <f t="shared" si="137"/>
        <v>11.1660051071747+25.4477014541308i</v>
      </c>
      <c r="EC77" s="1" t="str">
        <f t="shared" si="138"/>
        <v>4.26032975624161+12.0196651448329i</v>
      </c>
      <c r="ED77" s="52" t="str">
        <f t="shared" si="139"/>
        <v>1.13344752865834+3.05902749404751i</v>
      </c>
      <c r="EE77" s="1" t="str">
        <f t="shared" si="140"/>
        <v>0.691368311755328+1.26273872516731i</v>
      </c>
      <c r="EF77" s="1" t="str">
        <f t="shared" si="141"/>
        <v>93482.4771066354-192400.171255685i</v>
      </c>
      <c r="EH77" s="1" t="str">
        <f t="shared" si="142"/>
        <v>0.38823691732543+0.810451297347422i</v>
      </c>
      <c r="EI77" s="1" t="str">
        <f t="shared" si="136"/>
        <v>0.0143880322809015+5.53939242814708i</v>
      </c>
      <c r="EJ77" s="1" t="str">
        <f t="shared" si="143"/>
        <v>0.294563386928593+0.724808449214039i</v>
      </c>
      <c r="EL77" s="52">
        <f t="shared" si="117"/>
        <v>15.4</v>
      </c>
      <c r="EM77" s="14">
        <f t="shared" si="144"/>
        <v>0.89864298213833071</v>
      </c>
      <c r="EN77" s="14">
        <f t="shared" si="144"/>
        <v>5.5394111138717728</v>
      </c>
      <c r="EO77" s="14">
        <f t="shared" si="144"/>
        <v>0.78237770735809187</v>
      </c>
      <c r="EQ77" s="1" t="str">
        <f t="shared" si="145"/>
        <v>0.130983436050575-0.0528359015575893i</v>
      </c>
      <c r="ER77" s="14">
        <f t="shared" si="146"/>
        <v>15.4</v>
      </c>
      <c r="ES77" s="2">
        <f t="shared" si="147"/>
        <v>0.1412384261205793</v>
      </c>
      <c r="EU77" s="1" t="str">
        <f t="shared" si="148"/>
        <v>0.869016563949426+0.0528359015575892i</v>
      </c>
      <c r="EV77" s="52">
        <f t="shared" si="149"/>
        <v>15.4</v>
      </c>
      <c r="EW77" s="2">
        <f t="shared" si="150"/>
        <v>0.87062128443535647</v>
      </c>
      <c r="HB77" s="1"/>
      <c r="JO77" s="1"/>
      <c r="JS77" s="1"/>
    </row>
    <row r="78" spans="2:279" ht="18" customHeight="1" x14ac:dyDescent="0.25">
      <c r="B78" s="6"/>
      <c r="C78" s="221">
        <f>R20</f>
        <v>5</v>
      </c>
      <c r="D78" s="222"/>
      <c r="E78" s="222"/>
      <c r="F78" s="191">
        <f t="shared" si="156"/>
        <v>123.64284072854899</v>
      </c>
      <c r="G78" s="190"/>
      <c r="H78" s="191">
        <f t="shared" si="157"/>
        <v>32.160304775576613</v>
      </c>
      <c r="I78" s="190"/>
      <c r="J78" s="191">
        <f t="shared" si="158"/>
        <v>20.390291741986317</v>
      </c>
      <c r="K78" s="190"/>
      <c r="L78" s="191">
        <f t="shared" si="159"/>
        <v>19.050286888692344</v>
      </c>
      <c r="M78" s="190"/>
      <c r="N78" s="191">
        <f t="shared" si="160"/>
        <v>5.9426473226706211E-5</v>
      </c>
      <c r="O78" s="190"/>
      <c r="P78" s="189">
        <f t="shared" si="161"/>
        <v>15.455386001747851</v>
      </c>
      <c r="Q78" s="190"/>
      <c r="R78" s="191">
        <f t="shared" si="162"/>
        <v>2.8714615264394565</v>
      </c>
      <c r="S78" s="190"/>
      <c r="T78" s="190">
        <f t="shared" si="163"/>
        <v>1.1585416205982391</v>
      </c>
      <c r="U78" s="190"/>
      <c r="V78" s="191">
        <f t="shared" si="164"/>
        <v>0.91588100909750103</v>
      </c>
      <c r="W78" s="190"/>
      <c r="X78" s="190">
        <f t="shared" si="165"/>
        <v>2.1848011793946258E-6</v>
      </c>
      <c r="Y78" s="190"/>
      <c r="Z78" s="191">
        <f t="shared" si="166"/>
        <v>124.63572840851076</v>
      </c>
      <c r="AA78" s="190"/>
      <c r="AB78" s="191">
        <f t="shared" si="167"/>
        <v>32.293960459014478</v>
      </c>
      <c r="AC78" s="190"/>
      <c r="AD78" s="191">
        <f t="shared" si="168"/>
        <v>20.42549161776887</v>
      </c>
      <c r="AE78" s="190"/>
      <c r="AF78" s="191">
        <f t="shared" si="169"/>
        <v>19.074120152936146</v>
      </c>
      <c r="AG78" s="190"/>
      <c r="AH78" s="191">
        <f t="shared" si="170"/>
        <v>5.9470988014614457E-5</v>
      </c>
      <c r="AI78" s="190"/>
      <c r="AJ78" s="118"/>
      <c r="AK78" s="194">
        <f t="shared" si="171"/>
        <v>154.24314091200338</v>
      </c>
      <c r="AL78" s="194"/>
      <c r="AM78" s="194"/>
      <c r="AN78" s="194"/>
      <c r="AO78" s="194"/>
      <c r="AP78" s="8"/>
      <c r="AR78" s="6"/>
      <c r="AS78" s="153" t="s">
        <v>637</v>
      </c>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3"/>
      <c r="BS78" s="153"/>
      <c r="BT78" s="153"/>
      <c r="BU78" s="153"/>
      <c r="BV78" s="153"/>
      <c r="BW78" s="153"/>
      <c r="BX78" s="153"/>
      <c r="BY78" s="153"/>
      <c r="BZ78" s="153"/>
      <c r="CA78" s="153"/>
      <c r="CB78" s="153"/>
      <c r="CC78" s="153"/>
      <c r="CD78" s="153"/>
      <c r="CF78" s="8"/>
      <c r="CH78" s="1">
        <f t="shared" si="172"/>
        <v>5</v>
      </c>
      <c r="CI78" s="1">
        <f t="shared" si="173"/>
        <v>330.15406280112541</v>
      </c>
      <c r="CJ78" s="1">
        <f t="shared" si="174"/>
        <v>11.16834992724786</v>
      </c>
      <c r="CK78" s="1">
        <f t="shared" si="175"/>
        <v>1.7957900952779859</v>
      </c>
      <c r="CL78" s="1">
        <f t="shared" si="176"/>
        <v>1.1196536431476491</v>
      </c>
      <c r="CM78" s="1">
        <f t="shared" si="177"/>
        <v>1.9066835495971153E-6</v>
      </c>
      <c r="CO78" s="1">
        <f t="shared" si="151"/>
        <v>5</v>
      </c>
      <c r="CP78" s="1">
        <f t="shared" si="178"/>
        <v>20635.743173367202</v>
      </c>
      <c r="CQ78" s="1">
        <f t="shared" si="152"/>
        <v>498.61397350080216</v>
      </c>
      <c r="CR78" s="1">
        <f t="shared" si="153"/>
        <v>51.019518922092914</v>
      </c>
      <c r="CS78" s="1">
        <f t="shared" si="154"/>
        <v>26.916204405500441</v>
      </c>
      <c r="CT78" s="1">
        <f t="shared" si="155"/>
        <v>3.5051222582847526E-5</v>
      </c>
      <c r="EA78" s="1">
        <f t="shared" si="116"/>
        <v>15.6</v>
      </c>
      <c r="EB78" s="1" t="str">
        <f t="shared" si="137"/>
        <v>11.4189034208551+25.7700682002543i</v>
      </c>
      <c r="EC78" s="1" t="str">
        <f t="shared" si="138"/>
        <v>4.36342632624924+12.2357232125996i</v>
      </c>
      <c r="ED78" s="52" t="str">
        <f t="shared" si="139"/>
        <v>1.16206681030003+3.18126964010365i</v>
      </c>
      <c r="EE78" s="1" t="str">
        <f t="shared" si="140"/>
        <v>0.70896601476481+1.3638790677944i</v>
      </c>
      <c r="EF78" s="1" t="str">
        <f t="shared" si="141"/>
        <v>95880.6963195807-169024.412960576i</v>
      </c>
      <c r="EH78" s="1" t="str">
        <f t="shared" si="142"/>
        <v>0.395815545143765+0.860039976019662i</v>
      </c>
      <c r="EI78" s="1" t="str">
        <f t="shared" si="136"/>
        <v>0.0143880322809015+5.61133258955159i</v>
      </c>
      <c r="EJ78" s="1" t="str">
        <f t="shared" si="143"/>
        <v>0.29671711468813+0.763669485996815i</v>
      </c>
      <c r="EL78" s="52">
        <f t="shared" si="117"/>
        <v>15.6</v>
      </c>
      <c r="EM78" s="14">
        <f t="shared" si="144"/>
        <v>0.946751660220016</v>
      </c>
      <c r="EN78" s="14">
        <f t="shared" si="144"/>
        <v>5.6113510357165026</v>
      </c>
      <c r="EO78" s="14">
        <f t="shared" si="144"/>
        <v>0.81928757465952606</v>
      </c>
      <c r="EQ78" s="1" t="str">
        <f t="shared" si="145"/>
        <v>0.13622882998017-0.0525288859964618i</v>
      </c>
      <c r="ER78" s="14">
        <f t="shared" si="146"/>
        <v>15.6</v>
      </c>
      <c r="ES78" s="2">
        <f t="shared" si="147"/>
        <v>0.14600540394723527</v>
      </c>
      <c r="EU78" s="1" t="str">
        <f t="shared" si="148"/>
        <v>0.86377117001983+0.0525288859964619i</v>
      </c>
      <c r="EV78" s="52">
        <f t="shared" si="149"/>
        <v>15.6</v>
      </c>
      <c r="EW78" s="2">
        <f t="shared" si="150"/>
        <v>0.86536692681281457</v>
      </c>
      <c r="HB78" s="1"/>
      <c r="JO78" s="1"/>
      <c r="JS78" s="1"/>
    </row>
    <row r="79" spans="2:279" ht="18" customHeight="1" x14ac:dyDescent="0.25">
      <c r="B79" s="6"/>
      <c r="C79" s="206">
        <f>T20</f>
        <v>7</v>
      </c>
      <c r="D79" s="207"/>
      <c r="E79" s="207"/>
      <c r="F79" s="192">
        <f t="shared" si="156"/>
        <v>12.428175030762199</v>
      </c>
      <c r="G79" s="193"/>
      <c r="H79" s="192">
        <f t="shared" si="157"/>
        <v>97.908681759654726</v>
      </c>
      <c r="I79" s="193"/>
      <c r="J79" s="192">
        <f t="shared" si="158"/>
        <v>20.868301189066432</v>
      </c>
      <c r="K79" s="193"/>
      <c r="L79" s="192">
        <f t="shared" si="159"/>
        <v>17.608612745325985</v>
      </c>
      <c r="M79" s="193"/>
      <c r="N79" s="192">
        <f t="shared" si="160"/>
        <v>5.0443243516927317E-5</v>
      </c>
      <c r="O79" s="193"/>
      <c r="P79" s="205">
        <f t="shared" si="161"/>
        <v>2.1749328496992311</v>
      </c>
      <c r="Q79" s="193"/>
      <c r="R79" s="192">
        <f t="shared" si="162"/>
        <v>12.2385977083027</v>
      </c>
      <c r="S79" s="193"/>
      <c r="T79" s="193">
        <f t="shared" si="163"/>
        <v>1.6599801975304909</v>
      </c>
      <c r="U79" s="193"/>
      <c r="V79" s="192">
        <f t="shared" si="164"/>
        <v>1.1851962980098356</v>
      </c>
      <c r="W79" s="193"/>
      <c r="X79" s="193">
        <f t="shared" si="165"/>
        <v>2.5963460656411025E-6</v>
      </c>
      <c r="Y79" s="193"/>
      <c r="Z79" s="192">
        <f t="shared" si="166"/>
        <v>12.620106864177476</v>
      </c>
      <c r="AA79" s="193"/>
      <c r="AB79" s="192">
        <f t="shared" si="167"/>
        <v>98.68797722357273</v>
      </c>
      <c r="AC79" s="193"/>
      <c r="AD79" s="192">
        <f t="shared" si="168"/>
        <v>20.936582884115712</v>
      </c>
      <c r="AE79" s="193"/>
      <c r="AF79" s="192">
        <f t="shared" si="169"/>
        <v>17.650143359938149</v>
      </c>
      <c r="AG79" s="193"/>
      <c r="AH79" s="192">
        <f t="shared" si="170"/>
        <v>5.0513721142263176E-5</v>
      </c>
      <c r="AI79" s="193"/>
      <c r="AJ79" s="117"/>
      <c r="AK79" s="188">
        <f t="shared" si="171"/>
        <v>111.05356103682345</v>
      </c>
      <c r="AL79" s="188"/>
      <c r="AM79" s="188"/>
      <c r="AN79" s="188"/>
      <c r="AO79" s="188"/>
      <c r="AP79" s="8"/>
      <c r="AR79" s="6"/>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3"/>
      <c r="BS79" s="153"/>
      <c r="BT79" s="153"/>
      <c r="BU79" s="153"/>
      <c r="BV79" s="153"/>
      <c r="BW79" s="153"/>
      <c r="BX79" s="153"/>
      <c r="BY79" s="153"/>
      <c r="BZ79" s="153"/>
      <c r="CA79" s="153"/>
      <c r="CB79" s="153"/>
      <c r="CC79" s="153"/>
      <c r="CD79" s="153"/>
      <c r="CF79" s="8"/>
      <c r="CH79" s="1">
        <f t="shared" si="172"/>
        <v>7</v>
      </c>
      <c r="CI79" s="1">
        <f t="shared" si="173"/>
        <v>3.3357494171352866</v>
      </c>
      <c r="CJ79" s="1">
        <f t="shared" si="174"/>
        <v>103.51209722504169</v>
      </c>
      <c r="CK79" s="1">
        <f t="shared" si="175"/>
        <v>1.8809744004332971</v>
      </c>
      <c r="CL79" s="1">
        <f t="shared" si="176"/>
        <v>0.95660124483639175</v>
      </c>
      <c r="CM79" s="1">
        <f t="shared" si="177"/>
        <v>1.3738038012345017E-6</v>
      </c>
      <c r="CO79" s="1">
        <f t="shared" si="151"/>
        <v>7</v>
      </c>
      <c r="CP79" s="1">
        <f t="shared" si="178"/>
        <v>408.65056853254885</v>
      </c>
      <c r="CQ79" s="1">
        <f t="shared" si="152"/>
        <v>9057.7798465227461</v>
      </c>
      <c r="CR79" s="1">
        <f t="shared" si="153"/>
        <v>104.74152500017536</v>
      </c>
      <c r="CS79" s="1">
        <f t="shared" si="154"/>
        <v>45.072981034953735</v>
      </c>
      <c r="CT79" s="1">
        <f t="shared" si="155"/>
        <v>4.9499918663905948E-5</v>
      </c>
      <c r="EA79" s="1">
        <f t="shared" si="116"/>
        <v>15.8</v>
      </c>
      <c r="EB79" s="1" t="str">
        <f t="shared" si="137"/>
        <v>11.6733372978226+26.0881622367999i</v>
      </c>
      <c r="EC79" s="1" t="str">
        <f t="shared" si="138"/>
        <v>4.46746836814844+12.4496630938814i</v>
      </c>
      <c r="ED79" s="52" t="str">
        <f t="shared" si="139"/>
        <v>1.19101012482023+3.30222199345188i</v>
      </c>
      <c r="EE79" s="1" t="str">
        <f t="shared" si="140"/>
        <v>0.726770685636567+1.46382134651673i</v>
      </c>
      <c r="EF79" s="1" t="str">
        <f t="shared" si="141"/>
        <v>98308.2433035968-145987.985879044i</v>
      </c>
      <c r="EH79" s="1" t="str">
        <f t="shared" si="142"/>
        <v>0.403852584354583+0.908482151276131i</v>
      </c>
      <c r="EI79" s="1" t="str">
        <f t="shared" si="136"/>
        <v>0.0143880322809015+5.6832727509561i</v>
      </c>
      <c r="EJ79" s="1" t="str">
        <f t="shared" si="143"/>
        <v>0.299329082530062+0.801384892105533i</v>
      </c>
      <c r="EL79" s="52">
        <f t="shared" si="117"/>
        <v>15.8</v>
      </c>
      <c r="EM79" s="14">
        <f t="shared" si="144"/>
        <v>0.99420155354796258</v>
      </c>
      <c r="EN79" s="14">
        <f t="shared" si="144"/>
        <v>5.6832909636260078</v>
      </c>
      <c r="EO79" s="14">
        <f t="shared" si="144"/>
        <v>0.85546224051286179</v>
      </c>
      <c r="EQ79" s="1" t="str">
        <f t="shared" si="145"/>
        <v>0.141140075677835-0.0523111185390609i</v>
      </c>
      <c r="ER79" s="14">
        <f t="shared" si="146"/>
        <v>15.8</v>
      </c>
      <c r="ES79" s="2">
        <f t="shared" si="147"/>
        <v>0.15052233749564436</v>
      </c>
      <c r="EU79" s="1" t="str">
        <f t="shared" si="148"/>
        <v>0.858859924322165+0.052311118539061i</v>
      </c>
      <c r="EV79" s="52">
        <f t="shared" si="149"/>
        <v>15.8</v>
      </c>
      <c r="EW79" s="2">
        <f t="shared" si="150"/>
        <v>0.86045152259118152</v>
      </c>
      <c r="HB79" s="1"/>
      <c r="JO79" s="1"/>
      <c r="JS79" s="1"/>
    </row>
    <row r="80" spans="2:279" ht="18" customHeight="1" x14ac:dyDescent="0.3">
      <c r="B80" s="6"/>
      <c r="C80" s="221">
        <f>V20</f>
        <v>11</v>
      </c>
      <c r="D80" s="222"/>
      <c r="E80" s="222"/>
      <c r="F80" s="191">
        <f t="shared" si="156"/>
        <v>2.1882222953467716</v>
      </c>
      <c r="G80" s="190"/>
      <c r="H80" s="191">
        <f t="shared" si="157"/>
        <v>5.7982449481623695</v>
      </c>
      <c r="I80" s="190"/>
      <c r="J80" s="191">
        <f t="shared" si="158"/>
        <v>69.120755494662149</v>
      </c>
      <c r="K80" s="190"/>
      <c r="L80" s="191">
        <f t="shared" si="159"/>
        <v>28.752933645205207</v>
      </c>
      <c r="M80" s="190"/>
      <c r="N80" s="191">
        <f t="shared" si="160"/>
        <v>4.9656424070690036E-5</v>
      </c>
      <c r="O80" s="190"/>
      <c r="P80" s="189">
        <f t="shared" si="161"/>
        <v>0.60176137988193723</v>
      </c>
      <c r="Q80" s="190"/>
      <c r="R80" s="191">
        <f t="shared" si="162"/>
        <v>1.1389414425971338</v>
      </c>
      <c r="S80" s="190"/>
      <c r="T80" s="190">
        <f t="shared" si="163"/>
        <v>8.6400980071190023</v>
      </c>
      <c r="U80" s="190"/>
      <c r="V80" s="191">
        <f t="shared" si="164"/>
        <v>3.0411769306959915</v>
      </c>
      <c r="W80" s="190"/>
      <c r="X80" s="190">
        <f t="shared" si="165"/>
        <v>4.0163300771217793E-6</v>
      </c>
      <c r="Y80" s="190"/>
      <c r="Z80" s="191">
        <f t="shared" si="166"/>
        <v>2.2699840815690813</v>
      </c>
      <c r="AA80" s="190"/>
      <c r="AB80" s="191">
        <f t="shared" si="167"/>
        <v>5.9100625296557565</v>
      </c>
      <c r="AC80" s="190"/>
      <c r="AD80" s="191">
        <f t="shared" si="168"/>
        <v>69.666462303073175</v>
      </c>
      <c r="AE80" s="190"/>
      <c r="AF80" s="191">
        <f t="shared" si="169"/>
        <v>28.916067109779942</v>
      </c>
      <c r="AG80" s="190"/>
      <c r="AH80" s="191">
        <f t="shared" si="170"/>
        <v>4.9822223661812851E-5</v>
      </c>
      <c r="AI80" s="190"/>
      <c r="AJ80" s="118"/>
      <c r="AK80" s="194">
        <f t="shared" si="171"/>
        <v>84.164927069776226</v>
      </c>
      <c r="AL80" s="194"/>
      <c r="AM80" s="194"/>
      <c r="AN80" s="194"/>
      <c r="AO80" s="194"/>
      <c r="AP80" s="8"/>
      <c r="AR80" s="6"/>
      <c r="AS80" s="30" t="s">
        <v>88</v>
      </c>
      <c r="CF80" s="8"/>
      <c r="CH80" s="1">
        <f t="shared" si="172"/>
        <v>11</v>
      </c>
      <c r="CI80" s="1">
        <f t="shared" si="173"/>
        <v>0.10340977047951219</v>
      </c>
      <c r="CJ80" s="1">
        <f t="shared" si="174"/>
        <v>0.36302941663206034</v>
      </c>
      <c r="CK80" s="1">
        <f t="shared" si="175"/>
        <v>20.636005990903048</v>
      </c>
      <c r="CL80" s="1">
        <f t="shared" si="176"/>
        <v>2.5506154208603067</v>
      </c>
      <c r="CM80" s="1">
        <f t="shared" si="177"/>
        <v>1.3312805535766803E-6</v>
      </c>
      <c r="CO80" s="1">
        <f t="shared" si="151"/>
        <v>11</v>
      </c>
      <c r="CP80" s="1">
        <f t="shared" si="178"/>
        <v>31.283045457466802</v>
      </c>
      <c r="CQ80" s="1">
        <f t="shared" si="152"/>
        <v>78.444271411253055</v>
      </c>
      <c r="CR80" s="1">
        <f t="shared" si="153"/>
        <v>2837.5950378616863</v>
      </c>
      <c r="CS80" s="1">
        <f t="shared" si="154"/>
        <v>296.76937676531708</v>
      </c>
      <c r="CT80" s="1">
        <f t="shared" si="155"/>
        <v>1.1845083394374589E-4</v>
      </c>
      <c r="EA80" s="1">
        <f t="shared" si="116"/>
        <v>16</v>
      </c>
      <c r="EB80" s="1" t="str">
        <f t="shared" si="137"/>
        <v>11.9292582707477+26.4020225917606i</v>
      </c>
      <c r="EC80" s="1" t="str">
        <f t="shared" si="138"/>
        <v>4.5724432732548+12.6615200823959i</v>
      </c>
      <c r="ED80" s="52" t="str">
        <f t="shared" si="139"/>
        <v>1.22027584118091+3.42192394959019i</v>
      </c>
      <c r="EE80" s="1" t="str">
        <f t="shared" si="140"/>
        <v>0.74478158639549+1.56260569143123i</v>
      </c>
      <c r="EF80" s="1" t="str">
        <f t="shared" si="141"/>
        <v>100765.057532774-123278.679598653i</v>
      </c>
      <c r="EH80" s="1" t="str">
        <f t="shared" si="142"/>
        <v>0.412289234993077+0.95586802236893i</v>
      </c>
      <c r="EI80" s="1" t="str">
        <f t="shared" si="136"/>
        <v>0.0143880322809015+5.75521291236061i</v>
      </c>
      <c r="EJ80" s="1" t="str">
        <f t="shared" si="143"/>
        <v>0.302333426443693+0.838060337660845i</v>
      </c>
      <c r="EL80" s="52">
        <f t="shared" si="117"/>
        <v>16</v>
      </c>
      <c r="EM80" s="14">
        <f t="shared" si="144"/>
        <v>1.0409928383416793</v>
      </c>
      <c r="EN80" s="14">
        <f t="shared" si="144"/>
        <v>5.7552308973728596</v>
      </c>
      <c r="EO80" s="14">
        <f t="shared" si="144"/>
        <v>0.8909268377961197</v>
      </c>
      <c r="EQ80" s="1" t="str">
        <f t="shared" si="145"/>
        <v>0.145748027298367-0.0521677310108235i</v>
      </c>
      <c r="ER80" s="14">
        <f t="shared" si="146"/>
        <v>16</v>
      </c>
      <c r="ES80" s="2">
        <f t="shared" si="147"/>
        <v>0.15480297032093138</v>
      </c>
      <c r="EU80" s="1" t="str">
        <f t="shared" si="148"/>
        <v>0.854251972701633+0.0521677310108235i</v>
      </c>
      <c r="EV80" s="52">
        <f t="shared" si="149"/>
        <v>16</v>
      </c>
      <c r="EW80" s="2">
        <f t="shared" si="150"/>
        <v>0.85584338814028893</v>
      </c>
      <c r="HB80" s="1"/>
      <c r="JO80" s="1"/>
      <c r="JS80" s="1"/>
    </row>
    <row r="81" spans="2:279" ht="18" customHeight="1" x14ac:dyDescent="0.25">
      <c r="B81" s="6"/>
      <c r="C81" s="206">
        <f>X20</f>
        <v>13</v>
      </c>
      <c r="D81" s="207"/>
      <c r="E81" s="207"/>
      <c r="F81" s="192">
        <f t="shared" si="156"/>
        <v>1.0661266939695597</v>
      </c>
      <c r="G81" s="193"/>
      <c r="H81" s="192">
        <f t="shared" si="157"/>
        <v>2.5512803973523162</v>
      </c>
      <c r="I81" s="193"/>
      <c r="J81" s="192">
        <f t="shared" si="158"/>
        <v>15.000871416974688</v>
      </c>
      <c r="K81" s="193"/>
      <c r="L81" s="192">
        <f t="shared" si="159"/>
        <v>50.640941260371399</v>
      </c>
      <c r="M81" s="193"/>
      <c r="N81" s="192">
        <f t="shared" si="160"/>
        <v>4.9929165106269621E-5</v>
      </c>
      <c r="O81" s="193"/>
      <c r="P81" s="205">
        <f t="shared" si="161"/>
        <v>0.34649127805227409</v>
      </c>
      <c r="Q81" s="193"/>
      <c r="R81" s="192">
        <f t="shared" si="162"/>
        <v>0.59226169603920575</v>
      </c>
      <c r="S81" s="193"/>
      <c r="T81" s="193">
        <f t="shared" si="163"/>
        <v>2.2160384785945695</v>
      </c>
      <c r="U81" s="193"/>
      <c r="V81" s="192">
        <f t="shared" si="164"/>
        <v>6.3301195303620421</v>
      </c>
      <c r="W81" s="193"/>
      <c r="X81" s="193">
        <f t="shared" si="165"/>
        <v>4.7726421942406364E-6</v>
      </c>
      <c r="Y81" s="193"/>
      <c r="Z81" s="192">
        <f t="shared" si="166"/>
        <v>1.1212718878240724</v>
      </c>
      <c r="AA81" s="193"/>
      <c r="AB81" s="192">
        <f t="shared" si="167"/>
        <v>2.6195668032474031</v>
      </c>
      <c r="AC81" s="193"/>
      <c r="AD81" s="192">
        <f t="shared" si="168"/>
        <v>15.165358950994454</v>
      </c>
      <c r="AE81" s="193"/>
      <c r="AF81" s="192">
        <f t="shared" si="169"/>
        <v>51.03987185554444</v>
      </c>
      <c r="AG81" s="193"/>
      <c r="AH81" s="192">
        <f t="shared" si="170"/>
        <v>5.0160405180086728E-5</v>
      </c>
      <c r="AI81" s="193"/>
      <c r="AJ81" s="117"/>
      <c r="AK81" s="188">
        <f t="shared" si="171"/>
        <v>60.137103297321353</v>
      </c>
      <c r="AL81" s="188"/>
      <c r="AM81" s="188"/>
      <c r="AN81" s="188"/>
      <c r="AO81" s="188"/>
      <c r="AP81" s="8"/>
      <c r="AR81" s="6"/>
      <c r="CF81" s="8"/>
      <c r="CH81" s="1">
        <f t="shared" si="172"/>
        <v>13</v>
      </c>
      <c r="CI81" s="1">
        <f t="shared" si="173"/>
        <v>2.4546881826098009E-2</v>
      </c>
      <c r="CJ81" s="1">
        <f t="shared" si="174"/>
        <v>7.0285394302730689E-2</v>
      </c>
      <c r="CK81" s="1">
        <f t="shared" si="175"/>
        <v>0.97194495401709069</v>
      </c>
      <c r="CL81" s="1">
        <f t="shared" si="176"/>
        <v>7.9119620494743383</v>
      </c>
      <c r="CM81" s="1">
        <f t="shared" si="177"/>
        <v>1.3459450004944458E-6</v>
      </c>
      <c r="CO81" s="1">
        <f t="shared" si="151"/>
        <v>13</v>
      </c>
      <c r="CP81" s="1">
        <f t="shared" si="178"/>
        <v>10.371582248469212</v>
      </c>
      <c r="CQ81" s="1">
        <f t="shared" si="152"/>
        <v>21.212201004977196</v>
      </c>
      <c r="CR81" s="1">
        <f t="shared" si="153"/>
        <v>186.6670535884023</v>
      </c>
      <c r="CS81" s="1">
        <f t="shared" si="154"/>
        <v>1285.7588769278348</v>
      </c>
      <c r="CT81" s="1">
        <f t="shared" si="155"/>
        <v>1.6726192105568415E-4</v>
      </c>
      <c r="EA81" s="1">
        <f t="shared" si="116"/>
        <v>16.2</v>
      </c>
      <c r="EB81" s="1" t="str">
        <f t="shared" si="137"/>
        <v>12.1866181467941+26.7116870437523i</v>
      </c>
      <c r="EC81" s="1" t="str">
        <f t="shared" si="138"/>
        <v>4.6783383949299+12.8713275977381i</v>
      </c>
      <c r="ED81" s="52" t="str">
        <f t="shared" si="139"/>
        <v>1.24986231416856+3.54041288154853i</v>
      </c>
      <c r="EE81" s="1" t="str">
        <f t="shared" si="140"/>
        <v>0.762997971816408+1.66027020435367i</v>
      </c>
      <c r="EF81" s="1" t="str">
        <f t="shared" si="141"/>
        <v>103251.077813965-100884.892292204i</v>
      </c>
      <c r="EH81" s="1" t="str">
        <f t="shared" si="142"/>
        <v>0.42107863848549+1.00227642067559i</v>
      </c>
      <c r="EI81" s="1" t="str">
        <f t="shared" si="136"/>
        <v>0.0143880322809015+5.82715307376511i</v>
      </c>
      <c r="EJ81" s="1" t="str">
        <f t="shared" si="143"/>
        <v>0.305677803455046+0.873787793360211i</v>
      </c>
      <c r="EL81" s="52">
        <f t="shared" si="117"/>
        <v>16.2</v>
      </c>
      <c r="EM81" s="14">
        <f t="shared" si="144"/>
        <v>1.0871362578955164</v>
      </c>
      <c r="EN81" s="14">
        <f t="shared" si="144"/>
        <v>5.8271708367408523</v>
      </c>
      <c r="EO81" s="14">
        <f t="shared" si="144"/>
        <v>0.92571271318395976</v>
      </c>
      <c r="EQ81" s="1" t="str">
        <f t="shared" si="145"/>
        <v>0.150079671937021-0.0520869193666806i</v>
      </c>
      <c r="ER81" s="14">
        <f t="shared" si="146"/>
        <v>16.2</v>
      </c>
      <c r="ES81" s="2">
        <f t="shared" si="147"/>
        <v>0.15886143363898905</v>
      </c>
      <c r="EU81" s="1" t="str">
        <f t="shared" si="148"/>
        <v>0.849920328062979+0.0520869193666807i</v>
      </c>
      <c r="EV81" s="52">
        <f t="shared" si="149"/>
        <v>16.2</v>
      </c>
      <c r="EW81" s="2">
        <f t="shared" si="150"/>
        <v>0.8515148919565606</v>
      </c>
      <c r="HB81" s="1"/>
      <c r="JO81" s="1"/>
      <c r="JS81" s="1"/>
    </row>
    <row r="82" spans="2:279" ht="18" customHeight="1" x14ac:dyDescent="0.25">
      <c r="B82" s="6"/>
      <c r="C82" s="221">
        <f>Z20</f>
        <v>17</v>
      </c>
      <c r="D82" s="222"/>
      <c r="E82" s="222"/>
      <c r="F82" s="191">
        <f t="shared" si="156"/>
        <v>1.4939545601103621</v>
      </c>
      <c r="G82" s="190"/>
      <c r="H82" s="191">
        <f t="shared" si="157"/>
        <v>3.2830438869138554</v>
      </c>
      <c r="I82" s="190"/>
      <c r="J82" s="191">
        <f t="shared" si="158"/>
        <v>11.634979192052073</v>
      </c>
      <c r="K82" s="190"/>
      <c r="L82" s="191">
        <f t="shared" si="159"/>
        <v>22.434594147012842</v>
      </c>
      <c r="M82" s="190"/>
      <c r="N82" s="191">
        <f t="shared" si="160"/>
        <v>4.3501770681345835E-4</v>
      </c>
      <c r="O82" s="190"/>
      <c r="P82" s="189">
        <f t="shared" si="161"/>
        <v>0.6349307978964952</v>
      </c>
      <c r="Q82" s="190"/>
      <c r="R82" s="191">
        <f t="shared" si="162"/>
        <v>0.99663849524189674</v>
      </c>
      <c r="S82" s="190"/>
      <c r="T82" s="190">
        <f t="shared" si="163"/>
        <v>2.2476668236978301</v>
      </c>
      <c r="U82" s="190"/>
      <c r="V82" s="191">
        <f t="shared" si="164"/>
        <v>3.6671939084934002</v>
      </c>
      <c r="W82" s="190"/>
      <c r="X82" s="190">
        <f t="shared" si="165"/>
        <v>5.4377222759503685E-5</v>
      </c>
      <c r="Y82" s="190"/>
      <c r="Z82" s="191">
        <f t="shared" si="166"/>
        <v>1.6236235080540873</v>
      </c>
      <c r="AA82" s="190"/>
      <c r="AB82" s="191">
        <f t="shared" si="167"/>
        <v>3.4315470088599933</v>
      </c>
      <c r="AC82" s="190"/>
      <c r="AD82" s="191">
        <f t="shared" si="168"/>
        <v>11.85139289205434</v>
      </c>
      <c r="AE82" s="190"/>
      <c r="AF82" s="191">
        <f t="shared" si="169"/>
        <v>22.734469782323824</v>
      </c>
      <c r="AG82" s="190"/>
      <c r="AH82" s="191">
        <f t="shared" si="170"/>
        <v>4.3843484928508591E-4</v>
      </c>
      <c r="AI82" s="190"/>
      <c r="AJ82" s="118"/>
      <c r="AK82" s="194">
        <f t="shared" si="171"/>
        <v>39.622768100151582</v>
      </c>
      <c r="AL82" s="194"/>
      <c r="AM82" s="194"/>
      <c r="AN82" s="194"/>
      <c r="AO82" s="194"/>
      <c r="AP82" s="8"/>
      <c r="AR82" s="6"/>
      <c r="CF82" s="8"/>
      <c r="CH82" s="1">
        <f t="shared" si="172"/>
        <v>17</v>
      </c>
      <c r="CI82" s="1">
        <f t="shared" si="173"/>
        <v>4.8200714206981049E-2</v>
      </c>
      <c r="CJ82" s="1">
        <f t="shared" si="174"/>
        <v>0.11638635787261738</v>
      </c>
      <c r="CK82" s="1">
        <f t="shared" si="175"/>
        <v>0.58470918276577777</v>
      </c>
      <c r="CL82" s="1">
        <f t="shared" si="176"/>
        <v>1.5528056104910646</v>
      </c>
      <c r="CM82" s="1">
        <f t="shared" si="177"/>
        <v>1.0217216003143379E-4</v>
      </c>
      <c r="CO82" s="1">
        <f t="shared" si="151"/>
        <v>17</v>
      </c>
      <c r="CP82" s="1">
        <f t="shared" si="178"/>
        <v>34.826769272596927</v>
      </c>
      <c r="CQ82" s="1">
        <f t="shared" si="152"/>
        <v>60.066697866488134</v>
      </c>
      <c r="CR82" s="1">
        <f t="shared" si="153"/>
        <v>192.03347855639555</v>
      </c>
      <c r="CS82" s="1">
        <f t="shared" si="154"/>
        <v>431.52251365422802</v>
      </c>
      <c r="CT82" s="1">
        <f t="shared" si="155"/>
        <v>2.1712677071776425E-2</v>
      </c>
      <c r="EA82" s="1">
        <f t="shared" si="116"/>
        <v>16.399999999999999</v>
      </c>
      <c r="EB82" s="1" t="str">
        <f t="shared" si="137"/>
        <v>12.4453690235715+27.0171922371129i</v>
      </c>
      <c r="EC82" s="1" t="str">
        <f t="shared" si="138"/>
        <v>4.78514105190614+13.079117311012i</v>
      </c>
      <c r="ED82" s="52" t="str">
        <f t="shared" si="139"/>
        <v>1.27976788461463+3.65772426439296i</v>
      </c>
      <c r="EE82" s="1" t="str">
        <f t="shared" si="140"/>
        <v>0.781419089498675+1.7568510829672i</v>
      </c>
      <c r="EF82" s="1" t="str">
        <f t="shared" si="141"/>
        <v>105766.24229052-78795.5935778901i</v>
      </c>
      <c r="EH82" s="1" t="str">
        <f t="shared" si="142"/>
        <v>0.430182970955115+1.04777656431276i</v>
      </c>
      <c r="EI82" s="1" t="str">
        <f t="shared" si="136"/>
        <v>0.0143880322809015+5.89909323516962i</v>
      </c>
      <c r="EJ82" s="1" t="str">
        <f t="shared" si="143"/>
        <v>0.309320105651626+0.908647648210539i</v>
      </c>
      <c r="EL82" s="52">
        <f t="shared" si="117"/>
        <v>16.399999999999999</v>
      </c>
      <c r="EM82" s="14">
        <f t="shared" si="144"/>
        <v>1.1326487174860618</v>
      </c>
      <c r="EN82" s="14">
        <f t="shared" si="144"/>
        <v>5.8991107815243558</v>
      </c>
      <c r="EO82" s="14">
        <f t="shared" si="144"/>
        <v>0.95985388281700268</v>
      </c>
      <c r="EQ82" s="1" t="str">
        <f t="shared" si="145"/>
        <v>0.154158722600891-0.0520591983770591i</v>
      </c>
      <c r="ER82" s="14">
        <f t="shared" si="146"/>
        <v>16.399999999999999</v>
      </c>
      <c r="ES82" s="2">
        <f t="shared" si="147"/>
        <v>0.16271162186396046</v>
      </c>
      <c r="EU82" s="1" t="str">
        <f t="shared" si="148"/>
        <v>0.845841277399109+0.0520591983770592i</v>
      </c>
      <c r="EV82" s="52">
        <f t="shared" si="149"/>
        <v>16.399999999999999</v>
      </c>
      <c r="EW82" s="2">
        <f t="shared" si="150"/>
        <v>0.84744181315758693</v>
      </c>
      <c r="HB82" s="1"/>
      <c r="JO82" s="1"/>
      <c r="JS82" s="1"/>
    </row>
    <row r="83" spans="2:279" ht="18" customHeight="1" x14ac:dyDescent="0.25">
      <c r="B83" s="6"/>
      <c r="C83" s="206">
        <f>AB20</f>
        <v>19</v>
      </c>
      <c r="D83" s="207"/>
      <c r="E83" s="207"/>
      <c r="F83" s="192">
        <f t="shared" si="156"/>
        <v>1.2329744408953385</v>
      </c>
      <c r="G83" s="193"/>
      <c r="H83" s="192">
        <f t="shared" si="157"/>
        <v>2.6535227921220264</v>
      </c>
      <c r="I83" s="193"/>
      <c r="J83" s="192">
        <f t="shared" si="158"/>
        <v>8.5852592216976298</v>
      </c>
      <c r="K83" s="193"/>
      <c r="L83" s="192">
        <f t="shared" si="159"/>
        <v>14.920601061814098</v>
      </c>
      <c r="M83" s="193"/>
      <c r="N83" s="192">
        <f t="shared" si="160"/>
        <v>2.0069072959913968E-4</v>
      </c>
      <c r="O83" s="193"/>
      <c r="P83" s="205">
        <f t="shared" si="161"/>
        <v>0.58566294054201895</v>
      </c>
      <c r="Q83" s="193"/>
      <c r="R83" s="192">
        <f t="shared" si="162"/>
        <v>0.90030250059415606</v>
      </c>
      <c r="S83" s="193"/>
      <c r="T83" s="193">
        <f t="shared" si="163"/>
        <v>1.8536357705118236</v>
      </c>
      <c r="U83" s="193"/>
      <c r="V83" s="192">
        <f t="shared" si="164"/>
        <v>2.7258794176846668</v>
      </c>
      <c r="W83" s="193"/>
      <c r="X83" s="193">
        <f t="shared" si="165"/>
        <v>2.8037679342037827E-5</v>
      </c>
      <c r="Y83" s="193"/>
      <c r="Z83" s="192">
        <f t="shared" si="166"/>
        <v>1.3652791527052071</v>
      </c>
      <c r="AA83" s="193"/>
      <c r="AB83" s="192">
        <f t="shared" si="167"/>
        <v>2.8025421511862847</v>
      </c>
      <c r="AC83" s="193"/>
      <c r="AD83" s="192">
        <f t="shared" si="168"/>
        <v>8.7840419506464009</v>
      </c>
      <c r="AE83" s="193"/>
      <c r="AF83" s="192">
        <f t="shared" si="169"/>
        <v>15.168967236363919</v>
      </c>
      <c r="AG83" s="193"/>
      <c r="AH83" s="192">
        <f t="shared" si="170"/>
        <v>2.0265439413982343E-4</v>
      </c>
      <c r="AI83" s="193"/>
      <c r="AJ83" s="117"/>
      <c r="AK83" s="188">
        <f t="shared" si="171"/>
        <v>28.104471598900641</v>
      </c>
      <c r="AL83" s="188"/>
      <c r="AM83" s="188"/>
      <c r="AN83" s="188"/>
      <c r="AO83" s="188"/>
      <c r="AP83" s="8"/>
      <c r="AR83" s="6"/>
      <c r="CF83" s="8"/>
      <c r="CH83" s="1">
        <f t="shared" si="172"/>
        <v>19</v>
      </c>
      <c r="CI83" s="1">
        <f t="shared" si="173"/>
        <v>3.2831206652093901E-2</v>
      </c>
      <c r="CJ83" s="1">
        <f t="shared" si="174"/>
        <v>7.6031637815730704E-2</v>
      </c>
      <c r="CK83" s="1">
        <f t="shared" si="175"/>
        <v>0.31835781692487058</v>
      </c>
      <c r="CL83" s="1">
        <f t="shared" si="176"/>
        <v>0.68683638556750271</v>
      </c>
      <c r="CM83" s="1">
        <f t="shared" si="177"/>
        <v>2.1745696840796826E-5</v>
      </c>
      <c r="CO83" s="1">
        <f t="shared" si="151"/>
        <v>19</v>
      </c>
      <c r="CP83" s="1">
        <f t="shared" si="178"/>
        <v>29.631653682891329</v>
      </c>
      <c r="CQ83" s="1">
        <f t="shared" si="152"/>
        <v>49.015716413889315</v>
      </c>
      <c r="CR83" s="1">
        <f t="shared" si="153"/>
        <v>130.60562495704102</v>
      </c>
      <c r="CS83" s="1">
        <f t="shared" si="154"/>
        <v>238.42346246517755</v>
      </c>
      <c r="CT83" s="1">
        <f t="shared" si="155"/>
        <v>5.772493554574985E-3</v>
      </c>
      <c r="EA83" s="1">
        <f t="shared" si="116"/>
        <v>16.600000000000001</v>
      </c>
      <c r="EB83" s="1" t="str">
        <f t="shared" si="137"/>
        <v>12.7054633045739+27.3185737874433i</v>
      </c>
      <c r="EC83" s="1" t="str">
        <f t="shared" si="138"/>
        <v>4.89283853158612+13.2849192612935i</v>
      </c>
      <c r="ED83" s="52" t="str">
        <f t="shared" si="139"/>
        <v>1.30999087961702+3.77389179073524i</v>
      </c>
      <c r="EE83" s="1" t="str">
        <f t="shared" si="140"/>
        <v>0.800044179941242+1.85238273599961i</v>
      </c>
      <c r="EF83" s="1" t="str">
        <f t="shared" si="141"/>
        <v>108310.488446065-57000.29006396i</v>
      </c>
      <c r="EH83" s="1" t="str">
        <f t="shared" si="142"/>
        <v>0.439571300857665+1.09242957497791i</v>
      </c>
      <c r="EI83" s="1" t="str">
        <f t="shared" si="136"/>
        <v>0.0143880322809015+5.97103339657413i</v>
      </c>
      <c r="EJ83" s="1" t="str">
        <f t="shared" si="143"/>
        <v>0.313226048317161+0.942710512444925i</v>
      </c>
      <c r="EL83" s="52">
        <f t="shared" si="117"/>
        <v>16.600000000000001</v>
      </c>
      <c r="EM83" s="14">
        <f t="shared" si="144"/>
        <v>1.1775505529802603</v>
      </c>
      <c r="EN83" s="14">
        <f t="shared" si="144"/>
        <v>5.9710507315276189</v>
      </c>
      <c r="EO83" s="14">
        <f t="shared" si="144"/>
        <v>0.99338495439510133</v>
      </c>
      <c r="EQ83" s="1" t="str">
        <f t="shared" si="145"/>
        <v>0.15800611607417-0.0520768568129118i</v>
      </c>
      <c r="ER83" s="14">
        <f t="shared" si="146"/>
        <v>16.600000000000001</v>
      </c>
      <c r="ES83" s="2">
        <f t="shared" si="147"/>
        <v>0.16636685887626959</v>
      </c>
      <c r="EU83" s="1" t="str">
        <f t="shared" si="148"/>
        <v>0.84199388392583+0.0520768568129118i</v>
      </c>
      <c r="EV83" s="52">
        <f t="shared" si="149"/>
        <v>16.600000000000001</v>
      </c>
      <c r="EW83" s="2">
        <f t="shared" si="150"/>
        <v>0.84360280913710595</v>
      </c>
      <c r="HB83" s="1"/>
      <c r="JO83" s="1"/>
      <c r="JS83" s="1"/>
    </row>
    <row r="84" spans="2:279" ht="18" customHeight="1" x14ac:dyDescent="0.25">
      <c r="B84" s="6"/>
      <c r="C84" s="221">
        <f>AD20</f>
        <v>23</v>
      </c>
      <c r="D84" s="222"/>
      <c r="E84" s="222"/>
      <c r="F84" s="191">
        <f t="shared" si="156"/>
        <v>0.90406073087572869</v>
      </c>
      <c r="G84" s="190"/>
      <c r="H84" s="191">
        <f t="shared" si="157"/>
        <v>1.897630046767415</v>
      </c>
      <c r="I84" s="190"/>
      <c r="J84" s="191">
        <f t="shared" si="158"/>
        <v>5.5694170320617928</v>
      </c>
      <c r="K84" s="190"/>
      <c r="L84" s="191">
        <f t="shared" si="159"/>
        <v>8.8158335984206353</v>
      </c>
      <c r="M84" s="190"/>
      <c r="N84" s="191">
        <f t="shared" si="160"/>
        <v>7.4436408423186063E-5</v>
      </c>
      <c r="O84" s="190"/>
      <c r="P84" s="189">
        <f t="shared" si="161"/>
        <v>0.51983496938727713</v>
      </c>
      <c r="Q84" s="190"/>
      <c r="R84" s="191">
        <f t="shared" si="162"/>
        <v>0.77938384287380702</v>
      </c>
      <c r="S84" s="190"/>
      <c r="T84" s="190">
        <f t="shared" si="163"/>
        <v>1.4556432255096503</v>
      </c>
      <c r="U84" s="190"/>
      <c r="V84" s="191">
        <f t="shared" si="164"/>
        <v>1.9496556916204735</v>
      </c>
      <c r="W84" s="190"/>
      <c r="X84" s="190">
        <f t="shared" si="165"/>
        <v>1.2588511437879062E-5</v>
      </c>
      <c r="Y84" s="190"/>
      <c r="Z84" s="191">
        <f t="shared" si="166"/>
        <v>1.0430545831412579</v>
      </c>
      <c r="AA84" s="190"/>
      <c r="AB84" s="191">
        <f t="shared" si="167"/>
        <v>2.0517614481908919</v>
      </c>
      <c r="AC84" s="190"/>
      <c r="AD84" s="191">
        <f t="shared" si="168"/>
        <v>5.7571132449116238</v>
      </c>
      <c r="AE84" s="190"/>
      <c r="AF84" s="191">
        <f t="shared" si="169"/>
        <v>9.0296747060708427</v>
      </c>
      <c r="AG84" s="190"/>
      <c r="AH84" s="191">
        <f t="shared" si="170"/>
        <v>7.5498770450857627E-5</v>
      </c>
      <c r="AI84" s="190"/>
      <c r="AJ84" s="118"/>
      <c r="AK84" s="194">
        <f t="shared" si="171"/>
        <v>17.849471552635233</v>
      </c>
      <c r="AL84" s="194"/>
      <c r="AM84" s="194"/>
      <c r="AN84" s="194"/>
      <c r="AO84" s="194"/>
      <c r="AP84" s="8"/>
      <c r="AR84" s="6"/>
      <c r="CF84" s="8"/>
      <c r="CH84" s="1">
        <f t="shared" si="172"/>
        <v>23</v>
      </c>
      <c r="CI84" s="1">
        <f t="shared" si="173"/>
        <v>1.765118666940586E-2</v>
      </c>
      <c r="CJ84" s="1">
        <f t="shared" si="174"/>
        <v>3.8884077298081812E-2</v>
      </c>
      <c r="CK84" s="1">
        <f t="shared" si="175"/>
        <v>0.1339763586145877</v>
      </c>
      <c r="CL84" s="1">
        <f t="shared" si="176"/>
        <v>0.23977694644204203</v>
      </c>
      <c r="CM84" s="1">
        <f t="shared" si="177"/>
        <v>2.9915035726115823E-6</v>
      </c>
      <c r="CO84" s="1">
        <f t="shared" si="151"/>
        <v>23</v>
      </c>
      <c r="CP84" s="1">
        <f t="shared" si="178"/>
        <v>23.344865938847146</v>
      </c>
      <c r="CQ84" s="1">
        <f t="shared" si="152"/>
        <v>36.733409352538359</v>
      </c>
      <c r="CR84" s="1">
        <f t="shared" si="153"/>
        <v>80.542103058547184</v>
      </c>
      <c r="CS84" s="1">
        <f t="shared" si="154"/>
        <v>121.96958710425355</v>
      </c>
      <c r="CT84" s="1">
        <f t="shared" si="155"/>
        <v>1.1636653032120021E-3</v>
      </c>
      <c r="EA84" s="1">
        <f t="shared" si="116"/>
        <v>16.8</v>
      </c>
      <c r="EB84" s="1" t="str">
        <f t="shared" si="137"/>
        <v>12.9668537141054+27.6158663783877i</v>
      </c>
      <c r="EC84" s="1" t="str">
        <f t="shared" si="138"/>
        <v>5.0014180933157+13.4887619636872i</v>
      </c>
      <c r="ED84" s="52" t="str">
        <f t="shared" si="139"/>
        <v>1.34052961276257+3.88894747799673i</v>
      </c>
      <c r="EE84" s="1" t="str">
        <f t="shared" si="140"/>
        <v>0.818872476618248+1.94689789017672i</v>
      </c>
      <c r="EF84" s="1" t="str">
        <f t="shared" si="141"/>
        <v>110883.753108307-35488.993354185i</v>
      </c>
      <c r="EH84" s="1" t="str">
        <f t="shared" si="142"/>
        <v>0.449218051996742+1.13628981051296i</v>
      </c>
      <c r="EI84" s="1" t="str">
        <f t="shared" si="136"/>
        <v>0.0143880322809015+6.04297355797864i</v>
      </c>
      <c r="EJ84" s="1" t="str">
        <f t="shared" si="143"/>
        <v>0.317367417196989+0.976038769048995i</v>
      </c>
      <c r="EL84" s="52">
        <f t="shared" si="117"/>
        <v>16.8</v>
      </c>
      <c r="EM84" s="14">
        <f t="shared" si="144"/>
        <v>1.2218639006515113</v>
      </c>
      <c r="EN84" s="14">
        <f t="shared" si="144"/>
        <v>6.0429906865642229</v>
      </c>
      <c r="EO84" s="14">
        <f t="shared" si="144"/>
        <v>1.0263399807982563</v>
      </c>
      <c r="EQ84" s="1" t="str">
        <f t="shared" si="145"/>
        <v>0.161640433973946-0.0521335608028795i</v>
      </c>
      <c r="ER84" s="14">
        <f t="shared" si="146"/>
        <v>16.8</v>
      </c>
      <c r="ES84" s="2">
        <f t="shared" si="147"/>
        <v>0.16983974227863494</v>
      </c>
      <c r="EU84" s="1" t="str">
        <f t="shared" si="148"/>
        <v>0.838359566026054+0.0521335608028794i</v>
      </c>
      <c r="EV84" s="52">
        <f t="shared" si="149"/>
        <v>16.8</v>
      </c>
      <c r="EW84" s="2">
        <f t="shared" si="150"/>
        <v>0.83997897003995348</v>
      </c>
      <c r="HB84" s="1"/>
      <c r="JO84" s="1"/>
      <c r="JS84" s="1"/>
    </row>
    <row r="85" spans="2:279" ht="18" customHeight="1" x14ac:dyDescent="0.25">
      <c r="B85" s="6"/>
      <c r="C85" s="206">
        <f>AF20</f>
        <v>25</v>
      </c>
      <c r="D85" s="207"/>
      <c r="E85" s="207"/>
      <c r="F85" s="192">
        <f t="shared" si="156"/>
        <v>0.46314386223871867</v>
      </c>
      <c r="G85" s="193"/>
      <c r="H85" s="192">
        <f t="shared" si="157"/>
        <v>0.96451403192101293</v>
      </c>
      <c r="I85" s="193"/>
      <c r="J85" s="192">
        <f t="shared" si="158"/>
        <v>2.751334500930116</v>
      </c>
      <c r="K85" s="193"/>
      <c r="L85" s="192">
        <f t="shared" si="159"/>
        <v>4.2503563913389053</v>
      </c>
      <c r="M85" s="193"/>
      <c r="N85" s="192">
        <f t="shared" si="160"/>
        <v>3.2685149076125274E-5</v>
      </c>
      <c r="O85" s="193"/>
      <c r="P85" s="205">
        <f t="shared" si="161"/>
        <v>0.28946493705639142</v>
      </c>
      <c r="Q85" s="193"/>
      <c r="R85" s="192">
        <f t="shared" si="162"/>
        <v>0.43058665584023853</v>
      </c>
      <c r="S85" s="193"/>
      <c r="T85" s="193">
        <f t="shared" si="163"/>
        <v>0.7816291821127449</v>
      </c>
      <c r="U85" s="193"/>
      <c r="V85" s="192">
        <f t="shared" si="164"/>
        <v>1.0217203681171627</v>
      </c>
      <c r="W85" s="193"/>
      <c r="X85" s="193">
        <f t="shared" si="165"/>
        <v>6.0082999431869529E-6</v>
      </c>
      <c r="Y85" s="193"/>
      <c r="Z85" s="192">
        <f t="shared" si="166"/>
        <v>0.54625949697284193</v>
      </c>
      <c r="AA85" s="193"/>
      <c r="AB85" s="192">
        <f t="shared" si="167"/>
        <v>1.0564205750698168</v>
      </c>
      <c r="AC85" s="193"/>
      <c r="AD85" s="192">
        <f t="shared" si="168"/>
        <v>2.8605080200673294</v>
      </c>
      <c r="AE85" s="193"/>
      <c r="AF85" s="192">
        <f t="shared" si="169"/>
        <v>4.3718321221543395</v>
      </c>
      <c r="AG85" s="193"/>
      <c r="AH85" s="192">
        <f t="shared" si="170"/>
        <v>3.3235158252470172E-5</v>
      </c>
      <c r="AI85" s="193"/>
      <c r="AJ85" s="117"/>
      <c r="AK85" s="188">
        <f t="shared" si="171"/>
        <v>8.8133192597684928</v>
      </c>
      <c r="AL85" s="188"/>
      <c r="AM85" s="188"/>
      <c r="AN85" s="188"/>
      <c r="AO85" s="188"/>
      <c r="AP85" s="8"/>
      <c r="AR85" s="6"/>
      <c r="CF85" s="8"/>
      <c r="CH85" s="1">
        <f t="shared" si="172"/>
        <v>25</v>
      </c>
      <c r="CI85" s="1">
        <f t="shared" si="173"/>
        <v>4.6324476786333323E-3</v>
      </c>
      <c r="CJ85" s="1">
        <f t="shared" si="174"/>
        <v>1.0045366853394851E-2</v>
      </c>
      <c r="CK85" s="1">
        <f t="shared" si="175"/>
        <v>3.2696064451719679E-2</v>
      </c>
      <c r="CL85" s="1">
        <f t="shared" si="176"/>
        <v>5.5735429349378432E-2</v>
      </c>
      <c r="CM85" s="1">
        <f t="shared" si="177"/>
        <v>5.7679255464203617E-7</v>
      </c>
      <c r="CO85" s="1">
        <f t="shared" si="151"/>
        <v>25</v>
      </c>
      <c r="CP85" s="1">
        <f t="shared" si="178"/>
        <v>7.2385625569620773</v>
      </c>
      <c r="CQ85" s="1">
        <f t="shared" si="152"/>
        <v>11.211909281831071</v>
      </c>
      <c r="CR85" s="1">
        <f t="shared" si="153"/>
        <v>23.222801452916411</v>
      </c>
      <c r="CS85" s="1">
        <f t="shared" si="154"/>
        <v>33.496529428662903</v>
      </c>
      <c r="CT85" s="1">
        <f t="shared" si="155"/>
        <v>2.6508340341922792E-4</v>
      </c>
      <c r="EA85" s="1">
        <f t="shared" si="116"/>
        <v>17</v>
      </c>
      <c r="EB85" s="1" t="str">
        <f t="shared" si="137"/>
        <v>13.2294933116912+27.9091038503718i</v>
      </c>
      <c r="EC85" s="1" t="str">
        <f t="shared" si="138"/>
        <v>5.11086697162892+13.6906725096628i</v>
      </c>
      <c r="ED85" s="52" t="str">
        <f t="shared" si="139"/>
        <v>1.37138238435047+4.00292176810563i</v>
      </c>
      <c r="EE85" s="1" t="str">
        <f t="shared" si="140"/>
        <v>0.837903206055128+2.04042768962934i</v>
      </c>
      <c r="EF85" s="1" t="str">
        <f t="shared" si="141"/>
        <v>113485.972452874-14252.190311509i</v>
      </c>
      <c r="EH85" s="1" t="str">
        <f t="shared" si="142"/>
        <v>0.459101995374648+1.17940596753782i</v>
      </c>
      <c r="EI85" s="1" t="str">
        <f t="shared" si="136"/>
        <v>0.0143880322809015+6.11491371938314i</v>
      </c>
      <c r="EJ85" s="1" t="str">
        <f t="shared" si="143"/>
        <v>0.321720856145521+1.0086878681169i</v>
      </c>
      <c r="EL85" s="52">
        <f t="shared" si="117"/>
        <v>17</v>
      </c>
      <c r="EM85" s="14">
        <f t="shared" si="144"/>
        <v>1.2656117407881473</v>
      </c>
      <c r="EN85" s="14">
        <f t="shared" si="144"/>
        <v>6.1149306464565134</v>
      </c>
      <c r="EO85" s="14">
        <f t="shared" si="144"/>
        <v>1.0587518711035291</v>
      </c>
      <c r="EQ85" s="1" t="str">
        <f t="shared" si="145"/>
        <v>0.165078252302367-0.0522240737281794i</v>
      </c>
      <c r="ER85" s="14">
        <f t="shared" si="146"/>
        <v>17</v>
      </c>
      <c r="ES85" s="2">
        <f t="shared" si="147"/>
        <v>0.17314208979901527</v>
      </c>
      <c r="EU85" s="1" t="str">
        <f t="shared" si="148"/>
        <v>0.834921747697633+0.0522240737281794i</v>
      </c>
      <c r="EV85" s="52">
        <f t="shared" si="149"/>
        <v>17</v>
      </c>
      <c r="EW85" s="2">
        <f t="shared" si="150"/>
        <v>0.83655345235988132</v>
      </c>
      <c r="HB85" s="1"/>
      <c r="JO85" s="1"/>
      <c r="JS85" s="1"/>
    </row>
    <row r="86" spans="2:279" ht="18" customHeight="1" x14ac:dyDescent="0.25">
      <c r="B86" s="6"/>
      <c r="C86" s="221">
        <f>AH20</f>
        <v>29</v>
      </c>
      <c r="D86" s="222"/>
      <c r="E86" s="222"/>
      <c r="F86" s="191">
        <f t="shared" si="156"/>
        <v>0.38049584342434967</v>
      </c>
      <c r="G86" s="190"/>
      <c r="H86" s="191">
        <f t="shared" si="157"/>
        <v>0.78384287100244776</v>
      </c>
      <c r="I86" s="190"/>
      <c r="J86" s="191">
        <f t="shared" si="158"/>
        <v>2.153368671230921</v>
      </c>
      <c r="K86" s="190"/>
      <c r="L86" s="191">
        <f t="shared" si="159"/>
        <v>3.227068309263998</v>
      </c>
      <c r="M86" s="190"/>
      <c r="N86" s="191">
        <f t="shared" si="160"/>
        <v>2.2365049348249838E-5</v>
      </c>
      <c r="O86" s="190"/>
      <c r="P86" s="189">
        <f t="shared" si="161"/>
        <v>0.27585950288333616</v>
      </c>
      <c r="Q86" s="190"/>
      <c r="R86" s="191">
        <f t="shared" si="162"/>
        <v>0.40591865375935965</v>
      </c>
      <c r="S86" s="190"/>
      <c r="T86" s="190">
        <f t="shared" si="163"/>
        <v>0.70963289975455968</v>
      </c>
      <c r="U86" s="190"/>
      <c r="V86" s="191">
        <f t="shared" si="164"/>
        <v>0.89985563973621918</v>
      </c>
      <c r="W86" s="190"/>
      <c r="X86" s="190">
        <f t="shared" si="165"/>
        <v>4.769018159262315E-6</v>
      </c>
      <c r="Y86" s="190"/>
      <c r="Z86" s="191">
        <f t="shared" si="166"/>
        <v>0.47005099801796002</v>
      </c>
      <c r="AA86" s="190"/>
      <c r="AB86" s="191">
        <f t="shared" si="167"/>
        <v>0.88283578988832923</v>
      </c>
      <c r="AC86" s="190"/>
      <c r="AD86" s="191">
        <f t="shared" si="168"/>
        <v>2.2675161189116806</v>
      </c>
      <c r="AE86" s="190"/>
      <c r="AF86" s="191">
        <f t="shared" si="169"/>
        <v>3.3504794778561293</v>
      </c>
      <c r="AG86" s="190"/>
      <c r="AH86" s="191">
        <f t="shared" si="170"/>
        <v>2.2869467083971179E-5</v>
      </c>
      <c r="AI86" s="190"/>
      <c r="AJ86" s="118"/>
      <c r="AK86" s="194">
        <f t="shared" si="171"/>
        <v>6.9447488638995294</v>
      </c>
      <c r="AL86" s="194"/>
      <c r="AM86" s="194"/>
      <c r="AN86" s="194"/>
      <c r="AO86" s="194"/>
      <c r="AP86" s="8"/>
      <c r="AR86" s="6"/>
      <c r="CF86" s="8"/>
      <c r="CH86" s="1">
        <f t="shared" si="172"/>
        <v>29</v>
      </c>
      <c r="CI86" s="1">
        <f t="shared" si="173"/>
        <v>3.1266446864802698E-3</v>
      </c>
      <c r="CJ86" s="1">
        <f t="shared" si="174"/>
        <v>6.6344775196390815E-3</v>
      </c>
      <c r="CK86" s="1">
        <f t="shared" si="175"/>
        <v>2.0028363882426205E-2</v>
      </c>
      <c r="CL86" s="1">
        <f t="shared" si="176"/>
        <v>3.2128982634100467E-2</v>
      </c>
      <c r="CM86" s="1">
        <f t="shared" si="177"/>
        <v>2.7005885818026922E-7</v>
      </c>
      <c r="CO86" s="1">
        <f t="shared" si="151"/>
        <v>29</v>
      </c>
      <c r="CP86" s="1">
        <f t="shared" si="178"/>
        <v>6.5740999153309607</v>
      </c>
      <c r="CQ86" s="1">
        <f t="shared" si="152"/>
        <v>9.9640629112553363</v>
      </c>
      <c r="CR86" s="1">
        <f t="shared" si="153"/>
        <v>19.14170249966438</v>
      </c>
      <c r="CS86" s="1">
        <f t="shared" si="154"/>
        <v>25.982527498349629</v>
      </c>
      <c r="CT86" s="1">
        <f t="shared" si="155"/>
        <v>1.6700800178525487E-4</v>
      </c>
      <c r="EA86" s="1">
        <f t="shared" si="116"/>
        <v>17.2</v>
      </c>
      <c r="EB86" s="1" t="str">
        <f t="shared" si="137"/>
        <v>13.4933355059736+28.1983192819511i</v>
      </c>
      <c r="EC86" s="1" t="str">
        <f t="shared" si="138"/>
        <v>5.22117237946456+13.8906766602991i</v>
      </c>
      <c r="ED86" s="52" t="str">
        <f t="shared" si="139"/>
        <v>1.4025474816165+4.11584362024298i</v>
      </c>
      <c r="EE86" s="1" t="str">
        <f t="shared" si="140"/>
        <v>0.857135587905116+2.1330017883672i</v>
      </c>
      <c r="EF86" s="1" t="str">
        <f t="shared" si="141"/>
        <v>116117.082007198+6719.18460394908i</v>
      </c>
      <c r="EH86" s="1" t="str">
        <f t="shared" si="142"/>
        <v>0.469205592367224+1.22182182085823i</v>
      </c>
      <c r="EI86" s="1" t="str">
        <f t="shared" si="136"/>
        <v>0.0143880322809015+6.18685388078765i</v>
      </c>
      <c r="EJ86" s="1" t="str">
        <f t="shared" si="143"/>
        <v>0.326267033446408+1.04070728651182i</v>
      </c>
      <c r="EL86" s="52">
        <f t="shared" si="117"/>
        <v>17.2</v>
      </c>
      <c r="EM86" s="14">
        <f t="shared" si="144"/>
        <v>1.308817194964216</v>
      </c>
      <c r="EN86" s="14">
        <f t="shared" si="144"/>
        <v>6.1868706110351228</v>
      </c>
      <c r="EO86" s="14">
        <f t="shared" si="144"/>
        <v>1.0906520221008693</v>
      </c>
      <c r="EQ86" s="1" t="str">
        <f t="shared" si="145"/>
        <v>0.168334412701816-0.0523440570478186i</v>
      </c>
      <c r="ER86" s="14">
        <f t="shared" si="146"/>
        <v>17.2</v>
      </c>
      <c r="ES86" s="2">
        <f t="shared" si="147"/>
        <v>0.17628492507270896</v>
      </c>
      <c r="EU86" s="1" t="str">
        <f t="shared" si="148"/>
        <v>0.831665587298184+0.0523440570478185i</v>
      </c>
      <c r="EV86" s="52">
        <f t="shared" si="149"/>
        <v>17.2</v>
      </c>
      <c r="EW86" s="2">
        <f t="shared" si="150"/>
        <v>0.83331119601518533</v>
      </c>
      <c r="HB86" s="1"/>
      <c r="JO86" s="1"/>
      <c r="JS86" s="1"/>
    </row>
    <row r="87" spans="2:279" ht="18" customHeight="1" x14ac:dyDescent="0.25">
      <c r="B87" s="6"/>
      <c r="C87" s="206">
        <f>AJ20</f>
        <v>31</v>
      </c>
      <c r="D87" s="207"/>
      <c r="E87" s="207"/>
      <c r="F87" s="192">
        <f t="shared" si="156"/>
        <v>0.28724241468801631</v>
      </c>
      <c r="G87" s="193"/>
      <c r="H87" s="192">
        <f t="shared" si="157"/>
        <v>0.58946828829134079</v>
      </c>
      <c r="I87" s="193"/>
      <c r="J87" s="192">
        <f t="shared" si="158"/>
        <v>1.5986330355292324</v>
      </c>
      <c r="K87" s="193"/>
      <c r="L87" s="192">
        <f t="shared" si="159"/>
        <v>2.3719840356467849</v>
      </c>
      <c r="M87" s="193"/>
      <c r="N87" s="192">
        <f t="shared" si="160"/>
        <v>1.5930361883312862E-5</v>
      </c>
      <c r="O87" s="193"/>
      <c r="P87" s="205">
        <f t="shared" si="161"/>
        <v>0.22261288296556772</v>
      </c>
      <c r="Q87" s="193"/>
      <c r="R87" s="192">
        <f t="shared" si="162"/>
        <v>0.32631281942476442</v>
      </c>
      <c r="S87" s="193"/>
      <c r="T87" s="193">
        <f t="shared" si="163"/>
        <v>0.5631548486346214</v>
      </c>
      <c r="U87" s="193"/>
      <c r="V87" s="192">
        <f t="shared" si="164"/>
        <v>0.70703373971952832</v>
      </c>
      <c r="W87" s="193"/>
      <c r="X87" s="193">
        <f t="shared" si="165"/>
        <v>3.6311856182119765E-6</v>
      </c>
      <c r="Y87" s="193"/>
      <c r="Z87" s="192">
        <f t="shared" si="166"/>
        <v>0.36346382840723207</v>
      </c>
      <c r="AA87" s="193"/>
      <c r="AB87" s="192">
        <f t="shared" si="167"/>
        <v>0.67385236993951303</v>
      </c>
      <c r="AC87" s="193"/>
      <c r="AD87" s="192">
        <f t="shared" si="168"/>
        <v>1.6950963955706484</v>
      </c>
      <c r="AE87" s="193"/>
      <c r="AF87" s="192">
        <f t="shared" si="169"/>
        <v>2.475335726083177</v>
      </c>
      <c r="AG87" s="193"/>
      <c r="AH87" s="192">
        <f t="shared" si="170"/>
        <v>1.6340111957707431E-5</v>
      </c>
      <c r="AI87" s="193"/>
      <c r="AJ87" s="117"/>
      <c r="AK87" s="188">
        <f t="shared" si="171"/>
        <v>5.184987110690817</v>
      </c>
      <c r="AL87" s="188"/>
      <c r="AM87" s="188"/>
      <c r="AN87" s="188"/>
      <c r="AO87" s="188"/>
      <c r="AP87" s="8"/>
      <c r="AR87" s="6"/>
      <c r="CF87" s="8"/>
      <c r="CH87" s="1">
        <f t="shared" si="172"/>
        <v>31</v>
      </c>
      <c r="CI87" s="1">
        <f t="shared" si="173"/>
        <v>1.7818692564215504E-3</v>
      </c>
      <c r="CJ87" s="1">
        <f t="shared" si="174"/>
        <v>3.752058436955542E-3</v>
      </c>
      <c r="CK87" s="1">
        <f t="shared" si="175"/>
        <v>1.1038403346691119E-2</v>
      </c>
      <c r="CL87" s="1">
        <f t="shared" si="176"/>
        <v>1.7358179710754932E-2</v>
      </c>
      <c r="CM87" s="1">
        <f t="shared" si="177"/>
        <v>1.3701559113585571E-7</v>
      </c>
      <c r="CO87" s="1">
        <f t="shared" si="151"/>
        <v>31</v>
      </c>
      <c r="CP87" s="1">
        <f t="shared" si="178"/>
        <v>4.2811553757359215</v>
      </c>
      <c r="CQ87" s="1">
        <f t="shared" si="152"/>
        <v>6.4391228839997545</v>
      </c>
      <c r="CR87" s="1">
        <f t="shared" si="153"/>
        <v>12.055042161463019</v>
      </c>
      <c r="CS87" s="1">
        <f t="shared" si="154"/>
        <v>16.040429305408704</v>
      </c>
      <c r="CT87" s="1">
        <f t="shared" si="155"/>
        <v>9.6822485454687126E-5</v>
      </c>
      <c r="EA87" s="1">
        <f t="shared" si="116"/>
        <v>17.399999999999999</v>
      </c>
      <c r="EB87" s="1" t="str">
        <f t="shared" si="137"/>
        <v>13.758334068094+28.4835450643677i</v>
      </c>
      <c r="EC87" s="1" t="str">
        <f t="shared" si="138"/>
        <v>5.33232151135199+14.0887989329977i</v>
      </c>
      <c r="ED87" s="52" t="str">
        <f t="shared" si="139"/>
        <v>1.43402317895819+4.22774059719663i</v>
      </c>
      <c r="EE87" s="1" t="str">
        <f t="shared" si="140"/>
        <v>0.876568835026313+2.22464843637883i</v>
      </c>
      <c r="EF87" s="1" t="str">
        <f t="shared" si="141"/>
        <v>118777.016654415+27433.775089422i</v>
      </c>
      <c r="EH87" s="1" t="str">
        <f t="shared" si="142"/>
        <v>0.479514362760729+1.26357664050514i</v>
      </c>
      <c r="EI87" s="1" t="str">
        <f t="shared" si="136"/>
        <v>0.0143880322809015+6.25879404219216i</v>
      </c>
      <c r="EJ87" s="1" t="str">
        <f t="shared" si="143"/>
        <v>0.330989926641282+1.07214118248253i</v>
      </c>
      <c r="EL87" s="52">
        <f t="shared" si="117"/>
        <v>17.399999999999999</v>
      </c>
      <c r="EM87" s="14">
        <f t="shared" si="144"/>
        <v>1.3515028488775316</v>
      </c>
      <c r="EN87" s="14">
        <f t="shared" si="144"/>
        <v>6.2588105801384488</v>
      </c>
      <c r="EO87" s="14">
        <f t="shared" si="144"/>
        <v>1.1220699829836993</v>
      </c>
      <c r="EQ87" s="1" t="str">
        <f t="shared" si="145"/>
        <v>0.171422226339819-0.0524899039496074i</v>
      </c>
      <c r="ER87" s="14">
        <f t="shared" si="146"/>
        <v>17.399999999999999</v>
      </c>
      <c r="ES87" s="2">
        <f t="shared" si="147"/>
        <v>0.17927846970548122</v>
      </c>
      <c r="EU87" s="1" t="str">
        <f t="shared" si="148"/>
        <v>0.828577773660181+0.0524899039496074i</v>
      </c>
      <c r="EV87" s="52">
        <f t="shared" si="149"/>
        <v>17.399999999999999</v>
      </c>
      <c r="EW87" s="2">
        <f t="shared" si="150"/>
        <v>0.83023871086591794</v>
      </c>
      <c r="HB87" s="1"/>
      <c r="JO87" s="1"/>
      <c r="JS87" s="1"/>
    </row>
    <row r="88" spans="2:279" ht="18" customHeight="1" x14ac:dyDescent="0.25">
      <c r="B88" s="6"/>
      <c r="C88" s="199">
        <f>AL20</f>
        <v>35</v>
      </c>
      <c r="D88" s="158"/>
      <c r="E88" s="158"/>
      <c r="F88" s="191">
        <f t="shared" si="156"/>
        <v>0.19244987916360606</v>
      </c>
      <c r="G88" s="190"/>
      <c r="H88" s="191">
        <f t="shared" si="157"/>
        <v>0.39268689559619191</v>
      </c>
      <c r="I88" s="190"/>
      <c r="J88" s="191">
        <f t="shared" si="158"/>
        <v>1.0451032130003504</v>
      </c>
      <c r="K88" s="190"/>
      <c r="L88" s="191">
        <f t="shared" si="159"/>
        <v>1.5288861543209595</v>
      </c>
      <c r="M88" s="190"/>
      <c r="N88" s="191">
        <f t="shared" si="160"/>
        <v>9.8397811216705043E-6</v>
      </c>
      <c r="O88" s="190"/>
      <c r="P88" s="189">
        <f t="shared" si="161"/>
        <v>0.16839365114136515</v>
      </c>
      <c r="Q88" s="190"/>
      <c r="R88" s="191">
        <f t="shared" si="162"/>
        <v>0.24542931976514273</v>
      </c>
      <c r="S88" s="190"/>
      <c r="T88" s="190">
        <f t="shared" si="163"/>
        <v>0.41566606759110164</v>
      </c>
      <c r="U88" s="190"/>
      <c r="V88" s="191">
        <f t="shared" si="164"/>
        <v>0.51452901524381311</v>
      </c>
      <c r="W88" s="190"/>
      <c r="X88" s="190">
        <f t="shared" si="165"/>
        <v>2.532296715553649E-6</v>
      </c>
      <c r="Y88" s="190"/>
      <c r="Z88" s="191">
        <f t="shared" si="166"/>
        <v>0.25575749492986788</v>
      </c>
      <c r="AA88" s="190"/>
      <c r="AB88" s="191">
        <f t="shared" si="167"/>
        <v>0.46313456087041427</v>
      </c>
      <c r="AC88" s="190"/>
      <c r="AD88" s="191">
        <f t="shared" si="168"/>
        <v>1.1248409852503152</v>
      </c>
      <c r="AE88" s="190"/>
      <c r="AF88" s="191">
        <f t="shared" si="169"/>
        <v>1.6132831426201271</v>
      </c>
      <c r="AG88" s="190"/>
      <c r="AH88" s="191">
        <f t="shared" si="170"/>
        <v>1.0161105136910947E-5</v>
      </c>
      <c r="AI88" s="190"/>
      <c r="AK88" s="194">
        <f t="shared" si="171"/>
        <v>3.4378393712032826</v>
      </c>
      <c r="AL88" s="194"/>
      <c r="AM88" s="194"/>
      <c r="AN88" s="194"/>
      <c r="AO88" s="194"/>
      <c r="AP88" s="8"/>
      <c r="AR88" s="6"/>
      <c r="CF88" s="8"/>
      <c r="CH88" s="1">
        <f t="shared" si="172"/>
        <v>35</v>
      </c>
      <c r="CI88" s="1">
        <f t="shared" si="173"/>
        <v>7.998600065715017E-4</v>
      </c>
      <c r="CJ88" s="1">
        <f t="shared" si="174"/>
        <v>1.665104591816649E-3</v>
      </c>
      <c r="CK88" s="1">
        <f t="shared" si="175"/>
        <v>4.7176645638416495E-3</v>
      </c>
      <c r="CL88" s="1">
        <f t="shared" si="176"/>
        <v>7.2115887445676936E-3</v>
      </c>
      <c r="CM88" s="1">
        <f t="shared" si="177"/>
        <v>5.2274463169937276E-8</v>
      </c>
      <c r="CO88" s="1">
        <f t="shared" si="151"/>
        <v>35</v>
      </c>
      <c r="CP88" s="1">
        <f t="shared" si="178"/>
        <v>2.4496939456019433</v>
      </c>
      <c r="CQ88" s="1">
        <f t="shared" si="152"/>
        <v>3.6425987082158708</v>
      </c>
      <c r="CR88" s="1">
        <f t="shared" si="153"/>
        <v>6.5675324002581066</v>
      </c>
      <c r="CS88" s="1">
        <f t="shared" si="154"/>
        <v>8.4948448385181141</v>
      </c>
      <c r="CT88" s="1">
        <f t="shared" si="155"/>
        <v>4.7087812015962437E-5</v>
      </c>
      <c r="EA88" s="1">
        <f t="shared" si="116"/>
        <v>17.600000000000001</v>
      </c>
      <c r="EB88" s="1" t="str">
        <f t="shared" si="137"/>
        <v>14.0244431445609+28.7648129698545i</v>
      </c>
      <c r="EC88" s="1" t="str">
        <f t="shared" si="138"/>
        <v>5.44430154656594+14.285062682187i</v>
      </c>
      <c r="ED88" s="52" t="str">
        <f t="shared" si="139"/>
        <v>1.46580773816066+4.33863894583127i</v>
      </c>
      <c r="EE88" s="1" t="str">
        <f t="shared" si="140"/>
        <v>0.896202153559164+2.31539455986327i</v>
      </c>
      <c r="EF88" s="1" t="str">
        <f t="shared" si="141"/>
        <v>121465.710637312+47899.82699828i</v>
      </c>
      <c r="EH88" s="1" t="str">
        <f t="shared" si="142"/>
        <v>0.490016150059193+1.30470559397919i</v>
      </c>
      <c r="EI88" s="1" t="str">
        <f t="shared" si="136"/>
        <v>0.0143880322809015+6.33073420359667i</v>
      </c>
      <c r="EJ88" s="1" t="str">
        <f t="shared" si="143"/>
        <v>0.335876097733281+1.10302896663024i</v>
      </c>
      <c r="EL88" s="52">
        <f t="shared" si="117"/>
        <v>17.600000000000001</v>
      </c>
      <c r="EM88" s="14">
        <f t="shared" si="144"/>
        <v>1.3936902504787154</v>
      </c>
      <c r="EN88" s="14">
        <f t="shared" si="144"/>
        <v>6.3307505536122397</v>
      </c>
      <c r="EO88" s="14">
        <f t="shared" si="144"/>
        <v>1.1530332407410946</v>
      </c>
      <c r="EQ88" s="1" t="str">
        <f t="shared" si="145"/>
        <v>0.174353650701928-0.052658582884319i</v>
      </c>
      <c r="ER88" s="14">
        <f t="shared" si="146"/>
        <v>17.600000000000001</v>
      </c>
      <c r="ES88" s="2">
        <f t="shared" si="147"/>
        <v>0.18213215494380613</v>
      </c>
      <c r="EU88" s="1" t="str">
        <f t="shared" si="148"/>
        <v>0.825646349298072+0.0526585828843191i</v>
      </c>
      <c r="EV88" s="52">
        <f t="shared" si="149"/>
        <v>17.600000000000001</v>
      </c>
      <c r="EW88" s="2">
        <f t="shared" si="150"/>
        <v>0.82732389090405134</v>
      </c>
      <c r="HB88" s="1"/>
      <c r="JO88" s="1"/>
      <c r="JS88" s="1"/>
    </row>
    <row r="89" spans="2:279" ht="18" customHeight="1" thickBot="1" x14ac:dyDescent="0.3">
      <c r="B89" s="6"/>
      <c r="C89" s="237">
        <f>AN20</f>
        <v>37</v>
      </c>
      <c r="D89" s="238"/>
      <c r="E89" s="238"/>
      <c r="F89" s="192">
        <f t="shared" si="156"/>
        <v>4.809439072596957E-2</v>
      </c>
      <c r="G89" s="193"/>
      <c r="H89" s="192">
        <f t="shared" si="157"/>
        <v>9.7922700510299263E-2</v>
      </c>
      <c r="I89" s="193"/>
      <c r="J89" s="192">
        <f t="shared" si="158"/>
        <v>0.25879292974974444</v>
      </c>
      <c r="K89" s="193"/>
      <c r="L89" s="192">
        <f t="shared" si="159"/>
        <v>0.37664267431350851</v>
      </c>
      <c r="M89" s="193"/>
      <c r="N89" s="192">
        <f t="shared" si="160"/>
        <v>2.3880539115534766E-6</v>
      </c>
      <c r="O89" s="193"/>
      <c r="P89" s="205">
        <f t="shared" si="161"/>
        <v>4.4487313046332251E-2</v>
      </c>
      <c r="Q89" s="193"/>
      <c r="R89" s="192">
        <f t="shared" si="162"/>
        <v>6.4698929485875814E-2</v>
      </c>
      <c r="S89" s="193"/>
      <c r="T89" s="193">
        <f t="shared" si="163"/>
        <v>0.10881066761887138</v>
      </c>
      <c r="U89" s="193"/>
      <c r="V89" s="192">
        <f t="shared" si="164"/>
        <v>0.13399787940938876</v>
      </c>
      <c r="W89" s="193"/>
      <c r="X89" s="193">
        <f t="shared" si="165"/>
        <v>6.4969116143072527E-7</v>
      </c>
      <c r="Y89" s="193"/>
      <c r="Z89" s="192">
        <f t="shared" si="166"/>
        <v>6.5523644408673129E-2</v>
      </c>
      <c r="AA89" s="193"/>
      <c r="AB89" s="192">
        <f t="shared" si="167"/>
        <v>0.11738071111991874</v>
      </c>
      <c r="AC89" s="193"/>
      <c r="AD89" s="192">
        <f t="shared" si="168"/>
        <v>0.28076460458873354</v>
      </c>
      <c r="AE89" s="193"/>
      <c r="AF89" s="192">
        <f t="shared" si="169"/>
        <v>0.39980297211573462</v>
      </c>
      <c r="AG89" s="193"/>
      <c r="AH89" s="192">
        <f t="shared" si="170"/>
        <v>2.4750229770659113E-6</v>
      </c>
      <c r="AI89" s="193"/>
      <c r="AJ89" s="119"/>
      <c r="AK89" s="188">
        <f t="shared" si="171"/>
        <v>0.85820751381890259</v>
      </c>
      <c r="AL89" s="188"/>
      <c r="AM89" s="188"/>
      <c r="AN89" s="188"/>
      <c r="AO89" s="188"/>
      <c r="AP89" s="8"/>
      <c r="AR89" s="6"/>
      <c r="CF89" s="8"/>
      <c r="CH89" s="1">
        <f t="shared" si="172"/>
        <v>37</v>
      </c>
      <c r="CI89" s="1">
        <f t="shared" si="173"/>
        <v>4.9953687373191204E-5</v>
      </c>
      <c r="CJ89" s="1">
        <f t="shared" si="174"/>
        <v>1.0354174146373369E-4</v>
      </c>
      <c r="CK89" s="1">
        <f t="shared" si="175"/>
        <v>2.8927673492364466E-4</v>
      </c>
      <c r="CL89" s="1">
        <f t="shared" si="176"/>
        <v>4.3766287263090781E-4</v>
      </c>
      <c r="CM89" s="1">
        <f t="shared" si="177"/>
        <v>3.0789806498121488E-9</v>
      </c>
      <c r="CO89" s="1">
        <f t="shared" si="151"/>
        <v>37</v>
      </c>
      <c r="CP89" s="1">
        <f t="shared" si="178"/>
        <v>0.17097505563484861</v>
      </c>
      <c r="CQ89" s="1">
        <f t="shared" si="152"/>
        <v>0.2531352529885198</v>
      </c>
      <c r="CR89" s="1">
        <f t="shared" si="153"/>
        <v>0.45004509038306389</v>
      </c>
      <c r="CS89" s="1">
        <f t="shared" si="154"/>
        <v>0.57614468622588078</v>
      </c>
      <c r="CT89" s="1">
        <f t="shared" si="155"/>
        <v>3.0995114473994034E-6</v>
      </c>
      <c r="EA89" s="1">
        <f t="shared" si="116"/>
        <v>17.8</v>
      </c>
      <c r="EB89" s="1" t="str">
        <f t="shared" si="137"/>
        <v>14.2916172696066+29.0421542141861i</v>
      </c>
      <c r="EC89" s="1" t="str">
        <f t="shared" si="138"/>
        <v>5.55709965224863+14.4794901744819i</v>
      </c>
      <c r="ED89" s="52" t="str">
        <f t="shared" si="139"/>
        <v>1.4978994086232+4.44856367213702i</v>
      </c>
      <c r="EE89" s="1" t="str">
        <f t="shared" si="140"/>
        <v>0.916034743004332+2.40526583605536i</v>
      </c>
      <c r="EF89" s="1" t="str">
        <f t="shared" si="141"/>
        <v>124183.097562298+68125.2107211819i</v>
      </c>
      <c r="EH89" s="1" t="str">
        <f t="shared" si="142"/>
        <v>0.500700488745014+1.34524030042948i</v>
      </c>
      <c r="EI89" s="1" t="str">
        <f t="shared" si="136"/>
        <v>0.0143880322809015+6.40267436500118i</v>
      </c>
      <c r="EJ89" s="1" t="str">
        <f t="shared" si="143"/>
        <v>0.340914074965144+1.13340592887309i</v>
      </c>
      <c r="EL89" s="52">
        <f t="shared" si="117"/>
        <v>17.8</v>
      </c>
      <c r="EM89" s="14">
        <f t="shared" si="144"/>
        <v>1.4353997510551177</v>
      </c>
      <c r="EN89" s="14">
        <f t="shared" si="144"/>
        <v>6.402690531309176</v>
      </c>
      <c r="EO89" s="14">
        <f t="shared" si="144"/>
        <v>1.1835672376819206</v>
      </c>
      <c r="EQ89" s="1" t="str">
        <f t="shared" si="145"/>
        <v>0.177139463273059-0.0528475083004299i</v>
      </c>
      <c r="ER89" s="14">
        <f t="shared" si="146"/>
        <v>17.8</v>
      </c>
      <c r="ES89" s="2">
        <f t="shared" si="147"/>
        <v>0.18485466881372356</v>
      </c>
      <c r="EU89" s="1" t="str">
        <f t="shared" si="148"/>
        <v>0.82286053672694+0.0528475083004299i</v>
      </c>
      <c r="EV89" s="52">
        <f t="shared" si="149"/>
        <v>17.8</v>
      </c>
      <c r="EW89" s="2">
        <f t="shared" si="150"/>
        <v>0.82455583318300041</v>
      </c>
      <c r="HB89" s="1"/>
      <c r="JO89" s="1"/>
      <c r="JS89" s="1"/>
    </row>
    <row r="90" spans="2:279" ht="18" customHeight="1" thickTop="1" x14ac:dyDescent="0.25">
      <c r="B90" s="6"/>
      <c r="C90" s="239" t="s">
        <v>420</v>
      </c>
      <c r="D90" s="239"/>
      <c r="E90" s="239"/>
      <c r="F90" s="235">
        <f>SQRT(SUM(F74^2,F75^2,F76^2,F77^2,F78^2,F79^2,F80^2,F81^2,F82^2,F83^2,F84^2,F85^2,F86^2,F87^2,F88^2,F89^2))</f>
        <v>186.34733356747648</v>
      </c>
      <c r="G90" s="235"/>
      <c r="H90" s="235">
        <f t="shared" ref="H90" si="193">SQRT(SUM(H74^2,H75^2,H76^2,H77^2,H78^2,H79^2,H80^2,H81^2,H82^2,H83^2,H84^2,H85^2,H86^2,H87^2,H88^2,H89^2))</f>
        <v>173.10239023197354</v>
      </c>
      <c r="I90" s="235"/>
      <c r="J90" s="235">
        <f t="shared" ref="J90" si="194">SQRT(SUM(J74^2,J75^2,J76^2,J77^2,J78^2,J79^2,J80^2,J81^2,J82^2,J83^2,J84^2,J85^2,J86^2,J87^2,J88^2,J89^2))</f>
        <v>159.36335587345226</v>
      </c>
      <c r="K90" s="235"/>
      <c r="L90" s="235">
        <f t="shared" ref="L90" si="195">SQRT(SUM(L74^2,L75^2,L76^2,L77^2,L78^2,L79^2,L80^2,L81^2,L82^2,L83^2,L84^2,L85^2,L86^2,L87^2,L88^2,L89^2))</f>
        <v>155.53953414180711</v>
      </c>
      <c r="M90" s="235"/>
      <c r="N90" s="235">
        <f t="shared" ref="N90" si="196">SQRT(SUM(N74^2,N75^2,N76^2,N77^2,N78^2,N79^2,N80^2,N81^2,N82^2,N83^2,N84^2,N85^2,N86^2,N87^2,N88^2,N89^2))</f>
        <v>6.7996144312578051E-4</v>
      </c>
      <c r="O90" s="235"/>
      <c r="P90" s="235">
        <f t="shared" ref="P90" si="197">SQRT(SUM(P74^2,P75^2,P76^2,P77^2,P78^2,P79^2,P80^2,P81^2,P82^2,P83^2,P84^2,P85^2,P86^2,P87^2,P88^2,P89^2))</f>
        <v>16.04398418231137</v>
      </c>
      <c r="Q90" s="235"/>
      <c r="R90" s="235">
        <f t="shared" ref="R90" si="198">SQRT(SUM(R74^2,R75^2,R76^2,R77^2,R78^2,R79^2,R80^2,R81^2,R82^2,R83^2,R84^2,R85^2,R86^2,R87^2,R88^2,R89^2))</f>
        <v>12.990832720141013</v>
      </c>
      <c r="S90" s="235"/>
      <c r="T90" s="235">
        <f t="shared" ref="T90" si="199">SQRT(SUM(T74^2,T75^2,T76^2,T77^2,T78^2,T79^2,T80^2,T81^2,T82^2,T83^2,T84^2,T85^2,T86^2,T87^2,T88^2,T89^2))</f>
        <v>9.9184101799379949</v>
      </c>
      <c r="U90" s="235"/>
      <c r="V90" s="235">
        <f t="shared" ref="V90" si="200">SQRT(SUM(V74^2,V75^2,V76^2,V77^2,V78^2,V79^2,V80^2,V81^2,V82^2,V83^2,V84^2,V85^2,V86^2,V87^2,V88^2,V89^2))</f>
        <v>8.9812580844812206</v>
      </c>
      <c r="W90" s="235"/>
      <c r="X90" s="235">
        <f t="shared" ref="X90" si="201">SQRT(SUM(X74^2,X75^2,X76^2,X77^2,X78^2,X79^2,X80^2,X81^2,X82^2,X83^2,X84^2,X85^2,X86^2,X87^2,X88^2,X89^2))</f>
        <v>6.3579433892580335E-5</v>
      </c>
      <c r="Y90" s="235"/>
      <c r="Z90" s="235">
        <f t="shared" ref="Z90" si="202">SQRT(SUM(Z74^2,Z75^2,Z76^2,Z77^2,Z78^2,Z79^2,Z80^2,Z81^2,Z82^2,Z83^2,Z84^2,Z85^2,Z86^2,Z87^2,Z88^2,Z89^2))</f>
        <v>187.083138792662</v>
      </c>
      <c r="AA90" s="235"/>
      <c r="AB90" s="235">
        <f t="shared" ref="AB90" si="203">SQRT(SUM(AB74^2,AB75^2,AB76^2,AB77^2,AB78^2,AB79^2,AB80^2,AB81^2,AB82^2,AB83^2,AB84^2,AB85^2,AB86^2,AB87^2,AB88^2,AB89^2))</f>
        <v>173.61998970051806</v>
      </c>
      <c r="AC90" s="235"/>
      <c r="AD90" s="235">
        <f t="shared" ref="AD90" si="204">SQRT(SUM(AD74^2,AD75^2,AD76^2,AD77^2,AD78^2,AD79^2,AD80^2,AD81^2,AD82^2,AD83^2,AD84^2,AD85^2,AD86^2,AD87^2,AD88^2,AD89^2))</f>
        <v>159.68978060067087</v>
      </c>
      <c r="AE90" s="235"/>
      <c r="AF90" s="235">
        <f t="shared" ref="AF90" si="205">SQRT(SUM(AF74^2,AF75^2,AF76^2,AF77^2,AF78^2,AF79^2,AF80^2,AF81^2,AF82^2,AF83^2,AF84^2,AF85^2,AF86^2,AF87^2,AF88^2,AF89^2))</f>
        <v>155.81354912411751</v>
      </c>
      <c r="AG90" s="235"/>
      <c r="AH90" s="235">
        <f t="shared" ref="AH90" si="206">SQRT(SUM(AH74^2,AH75^2,AH76^2,AH77^2,AH78^2,AH79^2,AH80^2,AH81^2,AH82^2,AH83^2,AH84^2,AH85^2,AH86^2,AH87^2,AH88^2,AH89^2))</f>
        <v>6.8297723303243371E-4</v>
      </c>
      <c r="AI90" s="235"/>
      <c r="AJ90" s="124"/>
      <c r="AK90" s="235">
        <f>SQRT(SUM(AK74^2,AK75^2,AK76^2,AK77^2,AK78^2,AK79^2,AK80^2,AK81^2,AK82^2,AK83^2,AK84^2,AK85^2,AK86^2,AK87^2,AK88^2,AK89^2))</f>
        <v>598.63558138700671</v>
      </c>
      <c r="AL90" s="235"/>
      <c r="AM90" s="235"/>
      <c r="AN90" s="235"/>
      <c r="AO90" s="235"/>
      <c r="AP90" s="8"/>
      <c r="AR90" s="6"/>
      <c r="CF90" s="8"/>
      <c r="EA90" s="1">
        <f t="shared" si="116"/>
        <v>18</v>
      </c>
      <c r="EB90" s="1" t="str">
        <f t="shared" si="137"/>
        <v>14.5598113770331+29.315599513925i</v>
      </c>
      <c r="EC90" s="1" t="str">
        <f t="shared" si="138"/>
        <v>5.67070298649899+14.6721026587301i</v>
      </c>
      <c r="ED90" s="52" t="str">
        <f t="shared" si="139"/>
        <v>1.53029642758661+4.55753861127823i</v>
      </c>
      <c r="EE90" s="1" t="str">
        <f t="shared" si="140"/>
        <v>0.936065796301054+2.49428676306542i</v>
      </c>
      <c r="EF90" s="1" t="str">
        <f t="shared" si="141"/>
        <v>126929.110403408+88117.442075361i</v>
      </c>
      <c r="EH90" s="1" t="str">
        <f t="shared" si="142"/>
        <v>0.51155821988121+1.38520940186913i</v>
      </c>
      <c r="EI90" s="1" t="str">
        <f t="shared" si="136"/>
        <v>0.0143880322809015+6.47461452640568i</v>
      </c>
      <c r="EJ90" s="1" t="str">
        <f t="shared" si="143"/>
        <v>0.346093938709324+1.16330384658394i</v>
      </c>
      <c r="EL90" s="52">
        <f t="shared" si="117"/>
        <v>18</v>
      </c>
      <c r="EM90" s="14">
        <f t="shared" si="144"/>
        <v>1.4766505677900461</v>
      </c>
      <c r="EN90" s="14">
        <f t="shared" si="144"/>
        <v>6.4746305130884778</v>
      </c>
      <c r="EO90" s="14">
        <f t="shared" si="144"/>
        <v>1.2136955359101904</v>
      </c>
      <c r="EQ90" s="1" t="str">
        <f t="shared" si="145"/>
        <v>0.179789420821591-0.0530544515535002i</v>
      </c>
      <c r="ER90" s="14">
        <f t="shared" si="146"/>
        <v>18</v>
      </c>
      <c r="ES90" s="2">
        <f t="shared" si="147"/>
        <v>0.18745402281361112</v>
      </c>
      <c r="EU90" s="1" t="str">
        <f t="shared" si="148"/>
        <v>0.820210579178409+0.0530544515535001i</v>
      </c>
      <c r="EV90" s="52">
        <f t="shared" si="149"/>
        <v>18</v>
      </c>
      <c r="EW90" s="2">
        <f t="shared" si="150"/>
        <v>0.82192467357162602</v>
      </c>
      <c r="HB90" s="1"/>
      <c r="JO90" s="1"/>
      <c r="JS90" s="1"/>
    </row>
    <row r="91" spans="2:279" ht="18" customHeight="1" x14ac:dyDescent="0.25">
      <c r="B91" s="6"/>
      <c r="C91" s="240"/>
      <c r="D91" s="240"/>
      <c r="E91" s="240"/>
      <c r="F91" s="185"/>
      <c r="G91" s="185"/>
      <c r="H91" s="185"/>
      <c r="I91" s="185"/>
      <c r="J91" s="185"/>
      <c r="K91" s="185"/>
      <c r="L91" s="185"/>
      <c r="M91" s="185"/>
      <c r="N91" s="185"/>
      <c r="O91" s="185"/>
      <c r="P91" s="185"/>
      <c r="Q91" s="185"/>
      <c r="R91" s="185"/>
      <c r="S91" s="185"/>
      <c r="T91" s="185"/>
      <c r="U91" s="185"/>
      <c r="V91" s="185"/>
      <c r="W91" s="185"/>
      <c r="X91" s="185"/>
      <c r="Y91" s="185"/>
      <c r="Z91" s="185"/>
      <c r="AA91" s="185"/>
      <c r="AB91" s="185"/>
      <c r="AC91" s="185"/>
      <c r="AD91" s="185"/>
      <c r="AE91" s="185"/>
      <c r="AF91" s="185"/>
      <c r="AG91" s="185"/>
      <c r="AH91" s="185"/>
      <c r="AI91" s="185"/>
      <c r="AJ91" s="125"/>
      <c r="AK91" s="185"/>
      <c r="AL91" s="185"/>
      <c r="AM91" s="185"/>
      <c r="AN91" s="185"/>
      <c r="AO91" s="185"/>
      <c r="AP91" s="8"/>
      <c r="AR91" s="6"/>
      <c r="CF91" s="8"/>
      <c r="CH91" s="1" t="s">
        <v>585</v>
      </c>
      <c r="CI91" s="1">
        <f>CI74*3</f>
        <v>1248.4553247273552</v>
      </c>
      <c r="CJ91" s="1">
        <f t="shared" ref="CJ91:CM91" si="207">CJ74*3</f>
        <v>624.54977820405099</v>
      </c>
      <c r="CK91" s="1">
        <f t="shared" si="207"/>
        <v>249.90536072108961</v>
      </c>
      <c r="CL91" s="1">
        <f t="shared" si="207"/>
        <v>178.51707266819903</v>
      </c>
      <c r="CM91" s="1">
        <f t="shared" si="207"/>
        <v>3.4714625331102271E-4</v>
      </c>
      <c r="CO91" s="1" t="s">
        <v>585</v>
      </c>
      <c r="CP91" s="1">
        <f>CP74*3</f>
        <v>3121.6064942692637</v>
      </c>
      <c r="CQ91" s="1">
        <f t="shared" ref="CQ91:CT91" si="208">CQ74*3</f>
        <v>1115.4347553800226</v>
      </c>
      <c r="CR91" s="1">
        <f t="shared" si="208"/>
        <v>284.02596302537302</v>
      </c>
      <c r="CS91" s="1">
        <f t="shared" si="208"/>
        <v>171.67677971012421</v>
      </c>
      <c r="CT91" s="1">
        <f t="shared" si="208"/>
        <v>2.5529288716970582E-4</v>
      </c>
      <c r="EA91" s="1">
        <f t="shared" si="116"/>
        <v>18.2</v>
      </c>
      <c r="EB91" s="1" t="str">
        <f t="shared" si="137"/>
        <v>14.8289808115526+29.5851791387787i</v>
      </c>
      <c r="EC91" s="1" t="str">
        <f t="shared" si="138"/>
        <v>5.7850987014268+14.8629204313323i</v>
      </c>
      <c r="ED91" s="52" t="str">
        <f t="shared" si="139"/>
        <v>1.56299702036098+4.66558649302643i</v>
      </c>
      <c r="EE91" s="1" t="str">
        <f t="shared" si="140"/>
        <v>0.956294499905885+2.58248072511626i</v>
      </c>
      <c r="EF91" s="1" t="str">
        <f t="shared" si="141"/>
        <v>129703.681506345+107883.70181686i</v>
      </c>
      <c r="EH91" s="1" t="str">
        <f t="shared" si="142"/>
        <v>0.522581282300619+1.42463901374794i</v>
      </c>
      <c r="EI91" s="1" t="str">
        <f t="shared" si="136"/>
        <v>0.0143880322809015+6.54655468781019i</v>
      </c>
      <c r="EJ91" s="1" t="str">
        <f t="shared" si="143"/>
        <v>0.351407060760431+1.19275148265772i</v>
      </c>
      <c r="EL91" s="52">
        <f t="shared" si="117"/>
        <v>18.2</v>
      </c>
      <c r="EM91" s="14">
        <f t="shared" si="144"/>
        <v>1.5174608779483123</v>
      </c>
      <c r="EN91" s="14">
        <f t="shared" si="144"/>
        <v>6.5465704988155817</v>
      </c>
      <c r="EO91" s="14">
        <f t="shared" si="144"/>
        <v>1.24343999522875</v>
      </c>
      <c r="EQ91" s="1" t="str">
        <f t="shared" si="145"/>
        <v>0.18231239143227-0.0532774811820846i</v>
      </c>
      <c r="ER91" s="14">
        <f t="shared" si="146"/>
        <v>18.2</v>
      </c>
      <c r="ES91" s="2">
        <f t="shared" si="147"/>
        <v>0.18993761626086764</v>
      </c>
      <c r="EU91" s="1" t="str">
        <f t="shared" si="148"/>
        <v>0.81768760856773+0.0532774811820846i</v>
      </c>
      <c r="EV91" s="52">
        <f t="shared" si="149"/>
        <v>18.2</v>
      </c>
      <c r="EW91" s="2">
        <f t="shared" si="150"/>
        <v>0.81942145151705703</v>
      </c>
      <c r="HB91" s="1"/>
      <c r="JO91" s="1"/>
      <c r="JS91" s="1"/>
    </row>
    <row r="92" spans="2:279" ht="18" customHeight="1" x14ac:dyDescent="0.25">
      <c r="B92" s="6"/>
      <c r="C92" s="163" t="s">
        <v>636</v>
      </c>
      <c r="D92" s="163"/>
      <c r="E92" s="163"/>
      <c r="F92" s="163"/>
      <c r="G92" s="163"/>
      <c r="H92" s="163"/>
      <c r="I92" s="163"/>
      <c r="J92" s="163"/>
      <c r="K92" s="163"/>
      <c r="L92" s="163"/>
      <c r="M92" s="163"/>
      <c r="N92" s="163"/>
      <c r="O92" s="163"/>
      <c r="P92" s="163"/>
      <c r="Q92" s="163"/>
      <c r="R92" s="163"/>
      <c r="S92" s="163"/>
      <c r="T92" s="163"/>
      <c r="U92" s="163"/>
      <c r="V92" s="163"/>
      <c r="W92" s="163"/>
      <c r="X92" s="163"/>
      <c r="Y92" s="163"/>
      <c r="Z92" s="163"/>
      <c r="AA92" s="163"/>
      <c r="AB92" s="163"/>
      <c r="AC92" s="163"/>
      <c r="AD92" s="163"/>
      <c r="AE92" s="163"/>
      <c r="AF92" s="163"/>
      <c r="AG92" s="163"/>
      <c r="AH92" s="163"/>
      <c r="AI92" s="163"/>
      <c r="AJ92" s="163"/>
      <c r="AK92" s="163"/>
      <c r="AL92" s="163"/>
      <c r="AM92" s="163"/>
      <c r="AN92" s="163"/>
      <c r="AO92" s="163"/>
      <c r="AP92" s="8"/>
      <c r="AR92" s="6"/>
      <c r="CF92" s="8"/>
      <c r="CH92" s="1" t="s">
        <v>586</v>
      </c>
      <c r="CI92" s="1">
        <f>SUM(CI75:CI89)*3*2</f>
        <v>2002.7142665524477</v>
      </c>
      <c r="CJ92" s="1">
        <f t="shared" ref="CJ92:CM92" si="209">SUM(CJ75:CJ89)*3*2</f>
        <v>692.2604612964235</v>
      </c>
      <c r="CK92" s="1">
        <f t="shared" si="209"/>
        <v>158.35744961733553</v>
      </c>
      <c r="CL92" s="1">
        <f t="shared" si="209"/>
        <v>90.796175873409695</v>
      </c>
      <c r="CM92" s="1">
        <f t="shared" si="209"/>
        <v>8.0345473989227006E-4</v>
      </c>
      <c r="CO92" s="1" t="s">
        <v>586</v>
      </c>
      <c r="CP92" s="1">
        <f>SUM(CP75:CP89)*3</f>
        <v>63590.723157825167</v>
      </c>
      <c r="CQ92" s="1">
        <f t="shared" ref="CQ92:CT92" si="210">SUM(CQ75:CQ89)*3</f>
        <v>29500.933825972163</v>
      </c>
      <c r="CR92" s="1">
        <f t="shared" si="210"/>
        <v>10934.052223113869</v>
      </c>
      <c r="CS92" s="1">
        <f t="shared" si="210"/>
        <v>7593.1418749542645</v>
      </c>
      <c r="CT92" s="1">
        <f t="shared" si="210"/>
        <v>8.8794701334042908E-2</v>
      </c>
      <c r="EA92" s="1">
        <f t="shared" si="116"/>
        <v>18.399999999999999</v>
      </c>
      <c r="EB92" s="1" t="str">
        <f t="shared" si="137"/>
        <v>15.0990813396216+29.8509229594464i</v>
      </c>
      <c r="EC92" s="1" t="str">
        <f t="shared" si="138"/>
        <v>5.90027394617161+15.051962897196i</v>
      </c>
      <c r="ED92" s="52" t="str">
        <f t="shared" si="139"/>
        <v>1.59599940055425+4.77272900292884i</v>
      </c>
      <c r="EE92" s="1" t="str">
        <f t="shared" si="140"/>
        <v>0.976720033871823+2.6698700535279i</v>
      </c>
      <c r="EF92" s="1" t="str">
        <f t="shared" si="141"/>
        <v>132506.742592538+127430.853880438i</v>
      </c>
      <c r="EH92" s="1" t="str">
        <f t="shared" si="142"/>
        <v>0.533762568592281+1.46355305106742i</v>
      </c>
      <c r="EI92" s="1" t="str">
        <f t="shared" si="136"/>
        <v>0.0143880322809015+6.6184948492147i</v>
      </c>
      <c r="EJ92" s="1" t="str">
        <f t="shared" si="143"/>
        <v>0.356845914617122+1.22177497106232i</v>
      </c>
      <c r="EL92" s="52">
        <f t="shared" si="117"/>
        <v>18.399999999999999</v>
      </c>
      <c r="EM92" s="14">
        <f t="shared" si="144"/>
        <v>1.5578478786194059</v>
      </c>
      <c r="EN92" s="14">
        <f t="shared" si="144"/>
        <v>6.6185104883617454</v>
      </c>
      <c r="EO92" s="14">
        <f t="shared" si="144"/>
        <v>1.2728209169766436</v>
      </c>
      <c r="EQ92" s="1" t="str">
        <f t="shared" si="145"/>
        <v>0.18471646095986-0.0535149178602206i</v>
      </c>
      <c r="ER92" s="14">
        <f t="shared" si="146"/>
        <v>18.399999999999999</v>
      </c>
      <c r="ES92" s="2">
        <f t="shared" si="147"/>
        <v>0.19231229129497066</v>
      </c>
      <c r="EU92" s="1" t="str">
        <f t="shared" si="148"/>
        <v>0.81528353904014+0.0535149178602206i</v>
      </c>
      <c r="EV92" s="52">
        <f t="shared" si="149"/>
        <v>18.399999999999999</v>
      </c>
      <c r="EW92" s="2">
        <f t="shared" si="150"/>
        <v>0.8170380012358065</v>
      </c>
      <c r="HB92" s="1"/>
      <c r="JO92" s="1"/>
      <c r="JS92" s="1"/>
    </row>
    <row r="93" spans="2:279" ht="18" customHeight="1" x14ac:dyDescent="0.25">
      <c r="B93" s="6"/>
      <c r="C93" s="163"/>
      <c r="D93" s="163"/>
      <c r="E93" s="163"/>
      <c r="F93" s="163"/>
      <c r="G93" s="163"/>
      <c r="H93" s="163"/>
      <c r="I93" s="163"/>
      <c r="J93" s="163"/>
      <c r="K93" s="163"/>
      <c r="L93" s="163"/>
      <c r="M93" s="163"/>
      <c r="N93" s="163"/>
      <c r="O93" s="163"/>
      <c r="P93" s="163"/>
      <c r="Q93" s="163"/>
      <c r="R93" s="163"/>
      <c r="S93" s="163"/>
      <c r="T93" s="163"/>
      <c r="U93" s="163"/>
      <c r="V93" s="163"/>
      <c r="W93" s="163"/>
      <c r="X93" s="163"/>
      <c r="Y93" s="163"/>
      <c r="Z93" s="163"/>
      <c r="AA93" s="163"/>
      <c r="AB93" s="163"/>
      <c r="AC93" s="163"/>
      <c r="AD93" s="163"/>
      <c r="AE93" s="163"/>
      <c r="AF93" s="163"/>
      <c r="AG93" s="163"/>
      <c r="AH93" s="163"/>
      <c r="AI93" s="163"/>
      <c r="AJ93" s="163"/>
      <c r="AK93" s="163"/>
      <c r="AL93" s="163"/>
      <c r="AM93" s="163"/>
      <c r="AN93" s="163"/>
      <c r="AO93" s="163"/>
      <c r="AP93" s="8"/>
      <c r="AR93" s="6"/>
      <c r="CF93" s="8"/>
      <c r="EA93" s="1">
        <f t="shared" si="116"/>
        <v>18.600000000000001</v>
      </c>
      <c r="EB93" s="1" t="str">
        <f t="shared" si="137"/>
        <v>15.370069159777+30.1128604913029i</v>
      </c>
      <c r="EC93" s="1" t="str">
        <f t="shared" si="138"/>
        <v>6.01621586988533+15.2392486266457i</v>
      </c>
      <c r="ED93" s="52" t="str">
        <f t="shared" si="139"/>
        <v>1.62930177030109+4.87898683953279i</v>
      </c>
      <c r="EE93" s="1" t="str">
        <f t="shared" si="140"/>
        <v>0.997341571927845+2.7564760837699i</v>
      </c>
      <c r="EF93" s="1" t="str">
        <f t="shared" si="141"/>
        <v>135338.22476325+146765.462442933i</v>
      </c>
      <c r="EH93" s="1" t="str">
        <f t="shared" si="142"/>
        <v>0.545095797913855+1.50197347711589i</v>
      </c>
      <c r="EI93" s="1" t="str">
        <f t="shared" si="136"/>
        <v>0.0143880322809015+6.69043501061921i</v>
      </c>
      <c r="EJ93" s="1" t="str">
        <f t="shared" si="143"/>
        <v>0.362403916458098+1.25039812491951i</v>
      </c>
      <c r="EL93" s="52">
        <f t="shared" si="117"/>
        <v>18.600000000000001</v>
      </c>
      <c r="EM93" s="14">
        <f t="shared" si="144"/>
        <v>1.5978278239106174</v>
      </c>
      <c r="EN93" s="14">
        <f t="shared" si="144"/>
        <v>6.6904504816037758</v>
      </c>
      <c r="EO93" s="14">
        <f t="shared" si="144"/>
        <v>1.3018571616987766</v>
      </c>
      <c r="EQ93" s="1" t="str">
        <f t="shared" si="145"/>
        <v>0.187009021051811-0.0537652968836017i</v>
      </c>
      <c r="ER93" s="14">
        <f t="shared" si="146"/>
        <v>18.600000000000001</v>
      </c>
      <c r="ES93" s="2">
        <f t="shared" si="147"/>
        <v>0.19458438042077919</v>
      </c>
      <c r="EU93" s="1" t="str">
        <f t="shared" si="148"/>
        <v>0.812990978948189+0.0537652968836016i</v>
      </c>
      <c r="EV93" s="52">
        <f t="shared" si="149"/>
        <v>18.600000000000001</v>
      </c>
      <c r="EW93" s="2">
        <f t="shared" si="150"/>
        <v>0.81476686174642399</v>
      </c>
      <c r="HB93" s="1"/>
      <c r="JO93" s="1"/>
      <c r="JS93" s="1"/>
    </row>
    <row r="94" spans="2:279" ht="18" customHeight="1" x14ac:dyDescent="0.25">
      <c r="B94" s="6"/>
      <c r="C94" s="163"/>
      <c r="D94" s="163"/>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163"/>
      <c r="AN94" s="163"/>
      <c r="AO94" s="163"/>
      <c r="AP94" s="8"/>
      <c r="AR94" s="6"/>
      <c r="CF94" s="8"/>
      <c r="EA94" s="1">
        <f t="shared" si="116"/>
        <v>18.8</v>
      </c>
      <c r="EB94" s="1" t="str">
        <f t="shared" si="137"/>
        <v>15.641900912474+30.3710209342362i</v>
      </c>
      <c r="EC94" s="1" t="str">
        <f t="shared" si="138"/>
        <v>6.13291162467706+15.4247954085901i</v>
      </c>
      <c r="ED94" s="52" t="str">
        <f t="shared" si="139"/>
        <v>1.66290232049237+4.98437976795981i</v>
      </c>
      <c r="EE94" s="1" t="str">
        <f t="shared" si="140"/>
        <v>1.01815828155878+2.84231920887413i</v>
      </c>
      <c r="EF94" s="1" t="str">
        <f t="shared" si="141"/>
        <v>138198.058503699+165893.807897715i</v>
      </c>
      <c r="EH94" s="1" t="str">
        <f t="shared" si="142"/>
        <v>0.556575398789956+1.53992050918433i</v>
      </c>
      <c r="EI94" s="1" t="str">
        <f t="shared" si="136"/>
        <v>0.0143880322809015+6.76237517202371i</v>
      </c>
      <c r="EJ94" s="1" t="str">
        <f t="shared" si="143"/>
        <v>0.368075286811082+1.27864269470334i</v>
      </c>
      <c r="EL94" s="52">
        <f t="shared" si="117"/>
        <v>18.8</v>
      </c>
      <c r="EM94" s="14">
        <f t="shared" si="144"/>
        <v>1.6374160586560536</v>
      </c>
      <c r="EN94" s="14">
        <f t="shared" si="144"/>
        <v>6.7623904784237077</v>
      </c>
      <c r="EO94" s="14">
        <f t="shared" si="144"/>
        <v>1.3305662544493149</v>
      </c>
      <c r="EQ94" s="1" t="str">
        <f t="shared" si="145"/>
        <v>0.189196844187641-0.0540273361378928i</v>
      </c>
      <c r="ER94" s="14">
        <f t="shared" si="146"/>
        <v>18.8</v>
      </c>
      <c r="ES94" s="2">
        <f t="shared" si="147"/>
        <v>0.19675974918849473</v>
      </c>
      <c r="EU94" s="1" t="str">
        <f t="shared" si="148"/>
        <v>0.810803155812359+0.0540273361378927i</v>
      </c>
      <c r="EV94" s="52">
        <f t="shared" si="149"/>
        <v>18.8</v>
      </c>
      <c r="EW94" s="2">
        <f t="shared" si="150"/>
        <v>0.8126012001747458</v>
      </c>
      <c r="HB94" s="1"/>
      <c r="JO94" s="1"/>
      <c r="JS94" s="1"/>
    </row>
    <row r="95" spans="2:279" ht="18" customHeight="1" x14ac:dyDescent="0.25">
      <c r="B95" s="6"/>
      <c r="C95" s="163"/>
      <c r="D95" s="163"/>
      <c r="E95" s="163"/>
      <c r="F95" s="163"/>
      <c r="G95" s="163"/>
      <c r="H95" s="163"/>
      <c r="I95" s="163"/>
      <c r="J95" s="163"/>
      <c r="K95" s="163"/>
      <c r="L95" s="163"/>
      <c r="M95" s="163"/>
      <c r="N95" s="163"/>
      <c r="O95" s="163"/>
      <c r="P95" s="163"/>
      <c r="Q95" s="163"/>
      <c r="R95" s="163"/>
      <c r="S95" s="163"/>
      <c r="T95" s="163"/>
      <c r="U95" s="163"/>
      <c r="V95" s="163"/>
      <c r="W95" s="163"/>
      <c r="X95" s="163"/>
      <c r="Y95" s="163"/>
      <c r="Z95" s="163"/>
      <c r="AA95" s="163"/>
      <c r="AB95" s="163"/>
      <c r="AC95" s="163"/>
      <c r="AD95" s="163"/>
      <c r="AE95" s="163"/>
      <c r="AF95" s="163"/>
      <c r="AG95" s="163"/>
      <c r="AH95" s="163"/>
      <c r="AI95" s="163"/>
      <c r="AJ95" s="163"/>
      <c r="AK95" s="163"/>
      <c r="AL95" s="163"/>
      <c r="AM95" s="163"/>
      <c r="AN95" s="163"/>
      <c r="AO95" s="163"/>
      <c r="AP95" s="8"/>
      <c r="AR95" s="6"/>
      <c r="AX95" s="38"/>
      <c r="CD95" s="17"/>
      <c r="CF95" s="8"/>
      <c r="EA95" s="1">
        <f t="shared" si="116"/>
        <v>19</v>
      </c>
      <c r="EB95" s="1" t="str">
        <f t="shared" si="137"/>
        <v>15.9145336894332+30.6254332089356i</v>
      </c>
      <c r="EC95" s="1" t="str">
        <f t="shared" si="138"/>
        <v>6.25034836852053+15.6086203002194i</v>
      </c>
      <c r="ED95" s="52" t="str">
        <f t="shared" si="139"/>
        <v>1.696799231005+5.08892667009795i</v>
      </c>
      <c r="EE95" s="1" t="str">
        <f t="shared" si="140"/>
        <v>1.03916932408556+2.92741892947602i</v>
      </c>
      <c r="EF95" s="1" t="str">
        <f t="shared" si="141"/>
        <v>141086.173687219+184821.901820395i</v>
      </c>
      <c r="EH95" s="1" t="str">
        <f t="shared" si="142"/>
        <v>0.568196404804657+1.57741279694429i</v>
      </c>
      <c r="EI95" s="1" t="str">
        <f t="shared" si="136"/>
        <v>0.0143880322809015+6.83431533342822i</v>
      </c>
      <c r="EJ95" s="1" t="str">
        <f t="shared" si="143"/>
        <v>0.373854931536316+1.30652859098551i</v>
      </c>
      <c r="EL95" s="52">
        <f t="shared" si="117"/>
        <v>19</v>
      </c>
      <c r="EM95" s="14">
        <f t="shared" si="144"/>
        <v>1.6766270564429482</v>
      </c>
      <c r="EN95" s="14">
        <f t="shared" si="144"/>
        <v>6.8343304787085764</v>
      </c>
      <c r="EO95" s="14">
        <f t="shared" si="144"/>
        <v>1.3589644840453357</v>
      </c>
      <c r="EQ95" s="1" t="str">
        <f t="shared" si="145"/>
        <v>0.191286148801738-0.0542999089370837i</v>
      </c>
      <c r="ER95" s="14">
        <f t="shared" si="146"/>
        <v>19</v>
      </c>
      <c r="ES95" s="2">
        <f t="shared" si="147"/>
        <v>0.19884383529286551</v>
      </c>
      <c r="EU95" s="1" t="str">
        <f t="shared" si="148"/>
        <v>0.808713851198262+0.0542999089370837i</v>
      </c>
      <c r="EV95" s="52">
        <f t="shared" si="149"/>
        <v>19</v>
      </c>
      <c r="EW95" s="2">
        <f t="shared" si="150"/>
        <v>0.81053474523335534</v>
      </c>
      <c r="HB95" s="1"/>
      <c r="JO95" s="1"/>
      <c r="JS95" s="1"/>
    </row>
    <row r="96" spans="2:279"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c r="EA96" s="1">
        <f t="shared" si="116"/>
        <v>19.2</v>
      </c>
      <c r="EB96" s="1" t="str">
        <f t="shared" si="137"/>
        <v>16.1879250425004+30.8761259898957i</v>
      </c>
      <c r="EC96" s="1" t="str">
        <f t="shared" si="138"/>
        <v>6.36851326812168+15.7907396734807i</v>
      </c>
      <c r="ED96" s="52" t="str">
        <f t="shared" si="139"/>
        <v>1.73099067093215+5.19264559165883i</v>
      </c>
      <c r="EE96" s="1" t="str">
        <f t="shared" si="140"/>
        <v>1.06037385474582+3.01179390073007i</v>
      </c>
      <c r="EF96" s="1" t="str">
        <f t="shared" si="141"/>
        <v>144002.499579439+203555.50099939i</v>
      </c>
      <c r="EH96" s="1" t="str">
        <f t="shared" si="142"/>
        <v>0.579954364822178+1.61446757972764i</v>
      </c>
      <c r="EI96" s="1" t="str">
        <f t="shared" si="136"/>
        <v>0.0143880322809015+6.90625549483273i</v>
      </c>
      <c r="EJ96" s="1" t="str">
        <f t="shared" si="143"/>
        <v>0.379738341002813+1.33407407892444i</v>
      </c>
      <c r="EL96" s="52">
        <f t="shared" si="117"/>
        <v>19.2</v>
      </c>
      <c r="EM96" s="14">
        <f t="shared" si="144"/>
        <v>1.7154744624353693</v>
      </c>
      <c r="EN96" s="14">
        <f t="shared" si="144"/>
        <v>6.9062704823500942</v>
      </c>
      <c r="EO96" s="14">
        <f t="shared" si="144"/>
        <v>1.3870669975475811</v>
      </c>
      <c r="EQ96" s="1" t="str">
        <f t="shared" si="145"/>
        <v>0.193282656253641-0.0545820212106746i</v>
      </c>
      <c r="ER96" s="14">
        <f t="shared" si="146"/>
        <v>19.2</v>
      </c>
      <c r="ES96" s="2">
        <f t="shared" si="147"/>
        <v>0.20084168453761206</v>
      </c>
      <c r="EU96" s="1" t="str">
        <f t="shared" si="148"/>
        <v>0.806717343746359+0.0545820212106745i</v>
      </c>
      <c r="EV96" s="52">
        <f t="shared" si="149"/>
        <v>19.2</v>
      </c>
      <c r="EW96" s="2">
        <f t="shared" si="150"/>
        <v>0.80856172908481372</v>
      </c>
      <c r="HB96" s="1"/>
      <c r="JO96" s="1"/>
      <c r="JS96" s="1"/>
    </row>
    <row r="97" spans="2:279" ht="18" customHeight="1" x14ac:dyDescent="0.25">
      <c r="B97" s="6"/>
      <c r="D97" s="43" t="s">
        <v>84</v>
      </c>
      <c r="AO97" s="29" t="s">
        <v>99</v>
      </c>
      <c r="AP97" s="8"/>
      <c r="AR97" s="6"/>
      <c r="AT97" s="43" t="s">
        <v>84</v>
      </c>
      <c r="CE97" s="29" t="s">
        <v>100</v>
      </c>
      <c r="CF97" s="8"/>
      <c r="EA97" s="1">
        <f t="shared" si="116"/>
        <v>19.399999999999999</v>
      </c>
      <c r="EB97" s="1" t="str">
        <f t="shared" si="137"/>
        <v>16.4620329920256+31.1231277353865i</v>
      </c>
      <c r="EC97" s="1" t="str">
        <f t="shared" si="138"/>
        <v>6.48739350174698+15.971169258566i</v>
      </c>
      <c r="ED97" s="52" t="str">
        <f t="shared" si="139"/>
        <v>1.76547479881376+5.29555378632525i</v>
      </c>
      <c r="EE97" s="1" t="str">
        <f t="shared" si="140"/>
        <v>1.08177102277476+3.09546197632513i</v>
      </c>
      <c r="EF97" s="1" t="str">
        <f t="shared" si="141"/>
        <v>146946.96484251+222100.120598902i</v>
      </c>
      <c r="EH97" s="1" t="str">
        <f t="shared" si="142"/>
        <v>0.591845267168292+1.6511008256769i</v>
      </c>
      <c r="EI97" s="1" t="str">
        <f t="shared" si="136"/>
        <v>0.0143880322809015+6.97819565623724i</v>
      </c>
      <c r="EJ97" s="1" t="str">
        <f t="shared" si="143"/>
        <v>0.385721505444092+1.36129594880336i</v>
      </c>
      <c r="EL97" s="52">
        <f t="shared" si="117"/>
        <v>19.399999999999999</v>
      </c>
      <c r="EM97" s="14">
        <f t="shared" si="144"/>
        <v>1.7539711391070403</v>
      </c>
      <c r="EN97" s="14">
        <f t="shared" si="144"/>
        <v>6.9782104892444448</v>
      </c>
      <c r="EO97" s="14">
        <f t="shared" si="144"/>
        <v>1.4148878895483192</v>
      </c>
      <c r="EQ97" s="1" t="str">
        <f t="shared" si="145"/>
        <v>0.195191640849852-0.0548727924348649i</v>
      </c>
      <c r="ER97" s="14">
        <f t="shared" si="146"/>
        <v>19.399999999999999</v>
      </c>
      <c r="ES97" s="2">
        <f t="shared" si="147"/>
        <v>0.20275798383111177</v>
      </c>
      <c r="EU97" s="1" t="str">
        <f t="shared" si="148"/>
        <v>0.804808359150148+0.0548727924348648i</v>
      </c>
      <c r="EV97" s="52">
        <f t="shared" si="149"/>
        <v>19.399999999999999</v>
      </c>
      <c r="EW97" s="2">
        <f t="shared" si="150"/>
        <v>0.80667683635242271</v>
      </c>
      <c r="HB97" s="1"/>
      <c r="JO97" s="1"/>
      <c r="JS97" s="1"/>
    </row>
    <row r="98" spans="2:279"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c r="EA98" s="1">
        <f t="shared" si="116"/>
        <v>19.600000000000001</v>
      </c>
      <c r="EB98" s="1" t="str">
        <f t="shared" si="137"/>
        <v>16.7368160347657+31.3664667146188i</v>
      </c>
      <c r="EC98" s="1" t="str">
        <f t="shared" si="138"/>
        <v>6.60697626201068+16.1499241846199i</v>
      </c>
      <c r="ED98" s="52" t="str">
        <f t="shared" si="139"/>
        <v>1.80024976286734+5.3976677571972i</v>
      </c>
      <c r="EE98" s="1" t="str">
        <f t="shared" si="140"/>
        <v>1.10335997148643+3.17844024980655i</v>
      </c>
      <c r="EF98" s="1" t="str">
        <f t="shared" si="141"/>
        <v>149919.497539339+240461.046516036i</v>
      </c>
      <c r="EH98" s="1" t="str">
        <f t="shared" si="142"/>
        <v>0.603865476112003+1.68732735484346i</v>
      </c>
      <c r="EI98" s="1" t="str">
        <f t="shared" si="136"/>
        <v>0.0143880322809015+7.05013581764174i</v>
      </c>
      <c r="EJ98" s="1" t="str">
        <f t="shared" si="143"/>
        <v>0.391800844107043+1.38820966584005i</v>
      </c>
      <c r="EL98" s="52">
        <f t="shared" si="117"/>
        <v>19.600000000000001</v>
      </c>
      <c r="EM98" s="14">
        <f t="shared" si="144"/>
        <v>1.7921292128758475</v>
      </c>
      <c r="EN98" s="14">
        <f t="shared" si="144"/>
        <v>7.0501504992920463</v>
      </c>
      <c r="EO98" s="14">
        <f t="shared" si="144"/>
        <v>1.4424402856876726</v>
      </c>
      <c r="EQ98" s="1" t="str">
        <f t="shared" si="145"/>
        <v>0.19701797386934-0.0551714396998952i</v>
      </c>
      <c r="ER98" s="14">
        <f t="shared" si="146"/>
        <v>19.600000000000001</v>
      </c>
      <c r="ES98" s="2">
        <f t="shared" si="147"/>
        <v>0.20459709134330112</v>
      </c>
      <c r="EU98" s="1" t="str">
        <f t="shared" si="148"/>
        <v>0.80298202613066+0.0551714396998952i</v>
      </c>
      <c r="EV98" s="52">
        <f t="shared" si="149"/>
        <v>19.600000000000001</v>
      </c>
      <c r="EW98" s="2">
        <f t="shared" si="150"/>
        <v>0.80487515929332742</v>
      </c>
      <c r="HB98" s="1"/>
      <c r="JO98" s="1"/>
      <c r="JS98" s="1"/>
    </row>
    <row r="99" spans="2:279" ht="18" customHeight="1" x14ac:dyDescent="0.25">
      <c r="EA99" s="1">
        <f t="shared" si="116"/>
        <v>19.8</v>
      </c>
      <c r="EB99" s="1" t="str">
        <f t="shared" si="137"/>
        <v>17.0122331513173+31.6061710323111i</v>
      </c>
      <c r="EC99" s="1" t="str">
        <f t="shared" si="138"/>
        <v>6.72724875862154+16.327019017865i</v>
      </c>
      <c r="ED99" s="52" t="str">
        <f t="shared" si="139"/>
        <v>1.83531370121895+5.4990032957268i</v>
      </c>
      <c r="EE99" s="1" t="str">
        <f t="shared" si="140"/>
        <v>1.12513983835523+3.26074509339555i</v>
      </c>
      <c r="EF99" s="1" t="str">
        <f t="shared" si="141"/>
        <v>152920.025137864+258643.346989385i</v>
      </c>
      <c r="EH99" s="1" t="str">
        <f t="shared" si="142"/>
        <v>0.616011678733435+1.72316094807521i</v>
      </c>
      <c r="EI99" s="1" t="str">
        <f t="shared" si="136"/>
        <v>0.0143880322809015+7.12207597904625i</v>
      </c>
      <c r="EJ99" s="1" t="str">
        <f t="shared" si="143"/>
        <v>0.397973145895535+1.41482950198765i</v>
      </c>
      <c r="EL99" s="52">
        <f t="shared" si="117"/>
        <v>19.8</v>
      </c>
      <c r="EM99" s="14">
        <f t="shared" si="144"/>
        <v>1.829960120141267</v>
      </c>
      <c r="EN99" s="14">
        <f t="shared" si="144"/>
        <v>7.122090512397361</v>
      </c>
      <c r="EO99" s="14">
        <f t="shared" si="144"/>
        <v>1.4697364200932801</v>
      </c>
      <c r="EQ99" s="1" t="str">
        <f t="shared" si="145"/>
        <v>0.198766162397469-0.0554772643674493i</v>
      </c>
      <c r="ER99" s="14">
        <f t="shared" si="146"/>
        <v>19.8</v>
      </c>
      <c r="ES99" s="2">
        <f t="shared" si="147"/>
        <v>0.20636306398169435</v>
      </c>
      <c r="EU99" s="1" t="str">
        <f t="shared" si="148"/>
        <v>0.801233837602531+0.0554772643674492i</v>
      </c>
      <c r="EV99" s="52">
        <f t="shared" si="149"/>
        <v>19.8</v>
      </c>
      <c r="EW99" s="2">
        <f t="shared" si="150"/>
        <v>0.80315215829939413</v>
      </c>
      <c r="HB99" s="1"/>
      <c r="JO99" s="1"/>
      <c r="JS99" s="1"/>
    </row>
    <row r="100" spans="2:279" ht="18" customHeight="1" x14ac:dyDescent="0.25">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5"/>
      <c r="AR100" s="3"/>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5"/>
      <c r="EA100" s="1">
        <f t="shared" si="116"/>
        <v>20</v>
      </c>
      <c r="EB100" s="1" t="str">
        <f t="shared" si="137"/>
        <v>17.2882438130876+31.8422686508594i</v>
      </c>
      <c r="EC100" s="1" t="str">
        <f t="shared" si="138"/>
        <v>6.84819822108683+16.5024677973204i</v>
      </c>
      <c r="ED100" s="52" t="str">
        <f t="shared" si="139"/>
        <v>1.87066474213442+5.59957551831807i</v>
      </c>
      <c r="EE100" s="1" t="str">
        <f t="shared" si="140"/>
        <v>1.14710975509769+3.3423921944808i</v>
      </c>
      <c r="EF100" s="1" t="str">
        <f t="shared" si="141"/>
        <v>155948.47451535+276651.883511082i</v>
      </c>
      <c r="EH100" s="1" t="str">
        <f t="shared" si="142"/>
        <v>0.628280840397811+1.75861444340237i</v>
      </c>
      <c r="EI100" s="1" t="str">
        <f t="shared" si="136"/>
        <v>0.0143880322809015+7.19401614045076i</v>
      </c>
      <c r="EJ100" s="1" t="str">
        <f t="shared" si="143"/>
        <v>0.404235519499963+1.44116865209847i</v>
      </c>
      <c r="EL100" s="52">
        <f t="shared" si="117"/>
        <v>20</v>
      </c>
      <c r="EM100" s="14">
        <f t="shared" si="144"/>
        <v>1.8674746517568606</v>
      </c>
      <c r="EN100" s="14">
        <f t="shared" si="144"/>
        <v>7.1940305284686517</v>
      </c>
      <c r="EO100" s="14">
        <f t="shared" si="144"/>
        <v>1.4967877067295565</v>
      </c>
      <c r="EQ100" s="1" t="str">
        <f t="shared" si="145"/>
        <v>0.200440383660537-0.0557896408562008i</v>
      </c>
      <c r="ER100" s="14">
        <f t="shared" si="146"/>
        <v>20</v>
      </c>
      <c r="ES100" s="2">
        <f t="shared" si="147"/>
        <v>0.20805968237226344</v>
      </c>
      <c r="EU100" s="1" t="str">
        <f t="shared" si="148"/>
        <v>0.799559616339463+0.0557896408562008i</v>
      </c>
      <c r="EV100" s="52">
        <f t="shared" si="149"/>
        <v>20</v>
      </c>
      <c r="EW100" s="2">
        <f t="shared" si="150"/>
        <v>0.80150362700849531</v>
      </c>
      <c r="HB100" s="1"/>
      <c r="JO100" s="1"/>
      <c r="JS100" s="1"/>
    </row>
    <row r="101" spans="2:279" ht="18" customHeight="1" x14ac:dyDescent="0.25">
      <c r="B101" s="6"/>
      <c r="AN101" s="7"/>
      <c r="AP101" s="8"/>
      <c r="AR101" s="6"/>
      <c r="CD101" s="7"/>
      <c r="CF101" s="8"/>
      <c r="EA101" s="1">
        <f t="shared" si="116"/>
        <v>20.2</v>
      </c>
      <c r="EB101" s="1" t="str">
        <f t="shared" si="137"/>
        <v>17.5648079888074+32.0747874102841i</v>
      </c>
      <c r="EC101" s="1" t="str">
        <f t="shared" si="138"/>
        <v>6.96981190137424+16.6762840682825i</v>
      </c>
      <c r="ED101" s="52" t="str">
        <f t="shared" si="139"/>
        <v>1.90630100425061+5.69939890075282i</v>
      </c>
      <c r="EE101" s="1" t="str">
        <f t="shared" si="140"/>
        <v>1.16926884775462+3.42339658994373i</v>
      </c>
      <c r="EF101" s="1" t="str">
        <f t="shared" si="141"/>
        <v>159004.771962714+294491.321090974i</v>
      </c>
      <c r="EH101" s="1" t="str">
        <f t="shared" si="142"/>
        <v>0.640670167312867+1.79369982148214i</v>
      </c>
      <c r="EI101" s="1" t="str">
        <f t="shared" si="136"/>
        <v>0.0143880322809015+7.26595630185527i</v>
      </c>
      <c r="EJ101" s="1" t="str">
        <f t="shared" si="143"/>
        <v>0.410585351335237+1.46723933652071i</v>
      </c>
      <c r="EL101" s="52">
        <f t="shared" si="117"/>
        <v>20.2</v>
      </c>
      <c r="EM101" s="14">
        <f t="shared" si="144"/>
        <v>1.9046829953747575</v>
      </c>
      <c r="EN101" s="14">
        <f t="shared" si="144"/>
        <v>7.2659705474178207</v>
      </c>
      <c r="EO101" s="14">
        <f t="shared" si="144"/>
        <v>1.523604804850921</v>
      </c>
      <c r="EQ101" s="1" t="str">
        <f t="shared" si="145"/>
        <v>0.202044515456875-0.0561080071759541i</v>
      </c>
      <c r="ER101" s="14">
        <f t="shared" si="146"/>
        <v>20.2</v>
      </c>
      <c r="ES101" s="2">
        <f t="shared" si="147"/>
        <v>0.20969047354484255</v>
      </c>
      <c r="EU101" s="1" t="str">
        <f t="shared" si="148"/>
        <v>0.797955484543125+0.056108007175954i</v>
      </c>
      <c r="EV101" s="52">
        <f t="shared" si="149"/>
        <v>20.2</v>
      </c>
      <c r="EW101" s="2">
        <f t="shared" si="150"/>
        <v>0.79992566140967769</v>
      </c>
      <c r="HB101" s="1"/>
      <c r="JO101" s="1"/>
      <c r="JS101" s="1"/>
    </row>
    <row r="102" spans="2:279" ht="18" customHeight="1" x14ac:dyDescent="0.25">
      <c r="B102" s="6"/>
      <c r="AN102" s="9"/>
      <c r="AP102" s="8"/>
      <c r="AR102" s="6"/>
      <c r="CD102" s="9"/>
      <c r="CF102" s="8"/>
      <c r="EA102" s="1">
        <f t="shared" si="116"/>
        <v>20.399999999999999</v>
      </c>
      <c r="EB102" s="1" t="str">
        <f t="shared" si="137"/>
        <v>17.8418861505958+32.3037550461223i</v>
      </c>
      <c r="EC102" s="1" t="str">
        <f t="shared" si="138"/>
        <v>7.09207707653043+16.8484809137158i</v>
      </c>
      <c r="ED102" s="52" t="str">
        <f t="shared" si="139"/>
        <v>1.94222059680674+5.79848731059176i</v>
      </c>
      <c r="EE102" s="1" t="str">
        <f t="shared" si="140"/>
        <v>1.19161623677341+3.50377269846602i</v>
      </c>
      <c r="EF102" s="1" t="str">
        <f t="shared" si="141"/>
        <v>162088.843188878+312166.137917076i</v>
      </c>
      <c r="EH102" s="1" t="str">
        <f t="shared" si="142"/>
        <v>0.653177074913632+1.82842828149556i</v>
      </c>
      <c r="EI102" s="1" t="str">
        <f t="shared" si="136"/>
        <v>0.0143880322809015+7.33789646325977i</v>
      </c>
      <c r="EJ102" s="1" t="str">
        <f t="shared" si="143"/>
        <v>0.417020269914856+1.49305289192268i</v>
      </c>
      <c r="EL102" s="52">
        <f t="shared" si="117"/>
        <v>20.399999999999999</v>
      </c>
      <c r="EM102" s="14">
        <f t="shared" si="144"/>
        <v>1.9415947753755252</v>
      </c>
      <c r="EN102" s="14">
        <f t="shared" si="144"/>
        <v>7.3379105691602131</v>
      </c>
      <c r="EO102" s="14">
        <f t="shared" si="144"/>
        <v>1.5501976788779348</v>
      </c>
      <c r="EQ102" s="1" t="str">
        <f t="shared" si="145"/>
        <v>0.203582163196377-0.0564318569023549i</v>
      </c>
      <c r="ER102" s="14">
        <f t="shared" si="146"/>
        <v>20.399999999999999</v>
      </c>
      <c r="ES102" s="2">
        <f t="shared" si="147"/>
        <v>0.21125873152408198</v>
      </c>
      <c r="EU102" s="1" t="str">
        <f t="shared" si="148"/>
        <v>0.796417836803623+0.0564318569023549i</v>
      </c>
      <c r="EV102" s="52">
        <f t="shared" si="149"/>
        <v>20.399999999999999</v>
      </c>
      <c r="EW102" s="2">
        <f t="shared" si="150"/>
        <v>0.79841463241376665</v>
      </c>
      <c r="HB102" s="1"/>
      <c r="JO102" s="1"/>
      <c r="JS102" s="1"/>
    </row>
    <row r="103" spans="2:279" ht="18" customHeight="1" thickBot="1" x14ac:dyDescent="0.3">
      <c r="B103" s="6"/>
      <c r="C103" s="104" t="s">
        <v>489</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1"/>
      <c r="AO103" s="10"/>
      <c r="AP103" s="8"/>
      <c r="AR103" s="6"/>
      <c r="AS103" s="104" t="s">
        <v>489</v>
      </c>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1"/>
      <c r="CE103" s="10"/>
      <c r="CF103" s="8"/>
      <c r="EA103" s="1">
        <f t="shared" si="116"/>
        <v>20.6</v>
      </c>
      <c r="EB103" s="1" t="str">
        <f t="shared" si="137"/>
        <v>18.1194392795826+32.5291992054201i</v>
      </c>
      <c r="EC103" s="1" t="str">
        <f t="shared" si="138"/>
        <v>7.2149810512556+17.019070983697i</v>
      </c>
      <c r="ED103" s="52" t="str">
        <f t="shared" si="139"/>
        <v>1.97842161987583+5.89685403768846i</v>
      </c>
      <c r="EE103" s="1" t="str">
        <f t="shared" si="140"/>
        <v>1.2141510370906+3.58353435095621i</v>
      </c>
      <c r="EF103" s="1" t="str">
        <f t="shared" si="141"/>
        <v>165200.613325147+329680.634453512i</v>
      </c>
      <c r="EH103" s="1" t="str">
        <f t="shared" si="142"/>
        <v>0.665799161053464+1.8628103087193i</v>
      </c>
      <c r="EI103" s="1" t="str">
        <f t="shared" si="136"/>
        <v>0.0143880322809015+7.40983662466428i</v>
      </c>
      <c r="EJ103" s="1" t="str">
        <f t="shared" si="143"/>
        <v>0.423538115547237+1.51861985189103i</v>
      </c>
      <c r="EL103" s="52">
        <f t="shared" si="117"/>
        <v>20.6</v>
      </c>
      <c r="EM103" s="14">
        <f t="shared" si="144"/>
        <v>1.978219090275491</v>
      </c>
      <c r="EN103" s="14">
        <f t="shared" si="144"/>
        <v>7.4098505936144932</v>
      </c>
      <c r="EO103" s="14">
        <f t="shared" si="144"/>
        <v>1.5765756530781638</v>
      </c>
      <c r="EQ103" s="1" t="str">
        <f t="shared" si="145"/>
        <v>0.205056683987161-0.0567607323430928i</v>
      </c>
      <c r="ER103" s="14">
        <f t="shared" si="146"/>
        <v>20.6</v>
      </c>
      <c r="ES103" s="2">
        <f t="shared" si="147"/>
        <v>0.2127675360197947</v>
      </c>
      <c r="EU103" s="1" t="str">
        <f t="shared" si="148"/>
        <v>0.794943316012839+0.0567607323430928i</v>
      </c>
      <c r="EV103" s="52">
        <f t="shared" si="149"/>
        <v>20.6</v>
      </c>
      <c r="EW103" s="2">
        <f t="shared" si="150"/>
        <v>0.79696716143741608</v>
      </c>
      <c r="HB103" s="1"/>
      <c r="JO103" s="1"/>
      <c r="JS103" s="1"/>
    </row>
    <row r="104" spans="2:279" ht="18" customHeight="1" x14ac:dyDescent="0.25">
      <c r="B104" s="6"/>
      <c r="AN104" s="9"/>
      <c r="AP104" s="8"/>
      <c r="AR104" s="6"/>
      <c r="CD104" s="9"/>
      <c r="CF104" s="8"/>
      <c r="EA104" s="1">
        <f t="shared" si="116"/>
        <v>20.8</v>
      </c>
      <c r="EB104" s="1" t="str">
        <f t="shared" si="137"/>
        <v>18.3974288710955+32.7511474609657i</v>
      </c>
      <c r="EC104" s="1" t="str">
        <f t="shared" si="138"/>
        <v>7.33851116043452+17.1880665230419i</v>
      </c>
      <c r="ED104" s="52" t="str">
        <f t="shared" si="139"/>
        <v>2.01490216459599+5.99451182294248i</v>
      </c>
      <c r="EE104" s="1" t="str">
        <f t="shared" si="140"/>
        <v>1.23687235821475+3.66269481922215i</v>
      </c>
      <c r="EF104" s="1" t="str">
        <f t="shared" si="141"/>
        <v>168340.00692961+347038.942013698i</v>
      </c>
      <c r="EH104" s="1" t="str">
        <f t="shared" si="142"/>
        <v>0.678534183174561+1.89685573483485i</v>
      </c>
      <c r="EI104" s="1" t="str">
        <f t="shared" si="136"/>
        <v>0.0143880322809015+7.48177678606879i</v>
      </c>
      <c r="EJ104" s="1" t="str">
        <f t="shared" si="143"/>
        <v>0.430136914451062+1.54395001863161i</v>
      </c>
      <c r="EL104" s="52">
        <f t="shared" si="117"/>
        <v>20.8</v>
      </c>
      <c r="EM104" s="14">
        <f t="shared" si="144"/>
        <v>2.0145645476162404</v>
      </c>
      <c r="EN104" s="14">
        <f t="shared" si="144"/>
        <v>7.4817906207024238</v>
      </c>
      <c r="EO104" s="14">
        <f t="shared" si="144"/>
        <v>1.6027474614567414</v>
      </c>
      <c r="EQ104" s="1" t="str">
        <f t="shared" si="145"/>
        <v>0.20647120814532-0.0570942186939581i</v>
      </c>
      <c r="ER104" s="14">
        <f t="shared" si="146"/>
        <v>20.8</v>
      </c>
      <c r="ES104" s="2">
        <f t="shared" si="147"/>
        <v>0.21421976939876855</v>
      </c>
      <c r="EU104" s="1" t="str">
        <f t="shared" si="148"/>
        <v>0.79352879185468+0.0570942186939581i</v>
      </c>
      <c r="EV104" s="52">
        <f t="shared" si="149"/>
        <v>20.8</v>
      </c>
      <c r="EW104" s="2">
        <f t="shared" si="150"/>
        <v>0.79558009861397461</v>
      </c>
      <c r="HB104" s="1"/>
      <c r="JO104" s="1"/>
      <c r="JS104" s="1"/>
    </row>
    <row r="105" spans="2:279" ht="18" customHeight="1" x14ac:dyDescent="0.25">
      <c r="B105" s="6"/>
      <c r="D105" s="21"/>
      <c r="E105" s="21"/>
      <c r="F105" s="21"/>
      <c r="G105" s="21"/>
      <c r="H105" s="21"/>
      <c r="I105" s="21"/>
      <c r="J105" s="21"/>
      <c r="K105" s="21"/>
      <c r="L105" s="21"/>
      <c r="M105" s="21"/>
      <c r="N105" s="21"/>
      <c r="AO105" s="17"/>
      <c r="AP105" s="8"/>
      <c r="AR105" s="6"/>
      <c r="AS105" s="180" t="s">
        <v>427</v>
      </c>
      <c r="AT105" s="180"/>
      <c r="AU105" s="180"/>
      <c r="AV105" s="180"/>
      <c r="AW105" s="180"/>
      <c r="AX105" s="180"/>
      <c r="AY105" s="180"/>
      <c r="AZ105" s="180"/>
      <c r="BB105" s="183" t="s">
        <v>423</v>
      </c>
      <c r="BC105" s="183"/>
      <c r="BD105" s="183"/>
      <c r="BE105" s="183"/>
      <c r="BG105" s="183" t="s">
        <v>424</v>
      </c>
      <c r="BH105" s="183"/>
      <c r="BI105" s="183"/>
      <c r="BJ105" s="183"/>
      <c r="BL105" s="183" t="s">
        <v>425</v>
      </c>
      <c r="BM105" s="183"/>
      <c r="BN105" s="183"/>
      <c r="BO105" s="183"/>
      <c r="BQ105" s="183" t="s">
        <v>426</v>
      </c>
      <c r="BR105" s="183"/>
      <c r="BS105" s="183"/>
      <c r="BT105" s="183"/>
      <c r="BV105" s="183" t="s">
        <v>573</v>
      </c>
      <c r="BW105" s="183"/>
      <c r="BX105" s="183"/>
      <c r="BY105" s="183"/>
      <c r="CF105" s="8"/>
      <c r="EA105" s="1">
        <f t="shared" si="116"/>
        <v>21</v>
      </c>
      <c r="EB105" s="1" t="str">
        <f t="shared" si="137"/>
        <v>18.6758169394225+32.9696273238975i</v>
      </c>
      <c r="EC105" s="1" t="str">
        <f t="shared" si="138"/>
        <v>7.46265477162199+17.3554793972324i</v>
      </c>
      <c r="ED105" s="52" t="str">
        <f t="shared" si="139"/>
        <v>2.05166031340175+6.09147288540945i</v>
      </c>
      <c r="EE105" s="1" t="str">
        <f t="shared" si="140"/>
        <v>1.25977930430945+3.74126684300621i</v>
      </c>
      <c r="EF105" s="1" t="str">
        <f t="shared" si="141"/>
        <v>171506.947991558+364245.030843843i</v>
      </c>
      <c r="EH105" s="1" t="str">
        <f t="shared" si="142"/>
        <v>0.691380038788334+1.93057379189244i</v>
      </c>
      <c r="EI105" s="1" t="str">
        <f t="shared" si="136"/>
        <v>0.0143880322809015+7.5537169474733i</v>
      </c>
      <c r="EJ105" s="1" t="str">
        <f t="shared" si="143"/>
        <v>0.436814856556185+1.56905252691257i</v>
      </c>
      <c r="EL105" s="52">
        <f t="shared" si="117"/>
        <v>21</v>
      </c>
      <c r="EM105" s="14">
        <f t="shared" si="144"/>
        <v>2.0506392964090279</v>
      </c>
      <c r="EN105" s="14">
        <f t="shared" si="144"/>
        <v>7.5537306503487578</v>
      </c>
      <c r="EO105" s="14">
        <f t="shared" si="144"/>
        <v>1.6287212932601212</v>
      </c>
      <c r="EQ105" s="1" t="str">
        <f t="shared" si="145"/>
        <v>0.2078286584501-0.0574319390210434i</v>
      </c>
      <c r="ER105" s="14">
        <f t="shared" si="146"/>
        <v>21</v>
      </c>
      <c r="ES105" s="2">
        <f t="shared" si="147"/>
        <v>0.21561813210601088</v>
      </c>
      <c r="EU105" s="1" t="str">
        <f t="shared" si="148"/>
        <v>0.7921713415499+0.0574319390210434i</v>
      </c>
      <c r="EV105" s="52">
        <f t="shared" si="149"/>
        <v>21</v>
      </c>
      <c r="EW105" s="2">
        <f t="shared" si="150"/>
        <v>0.79425050330024038</v>
      </c>
      <c r="HB105" s="1"/>
      <c r="JO105" s="1"/>
      <c r="JS105" s="1"/>
    </row>
    <row r="106" spans="2:279" ht="18" customHeight="1" x14ac:dyDescent="0.25">
      <c r="B106" s="6"/>
      <c r="AP106" s="8"/>
      <c r="AR106" s="6"/>
      <c r="AS106" s="180" t="s">
        <v>428</v>
      </c>
      <c r="AT106" s="180"/>
      <c r="AU106" s="180"/>
      <c r="AV106" s="180"/>
      <c r="AW106" s="180"/>
      <c r="AX106" s="180"/>
      <c r="AY106" s="180"/>
      <c r="AZ106" s="180"/>
      <c r="BB106" s="196">
        <f>IF(OR(K29=10000,F29=0.01),"n/a",AB40)</f>
        <v>5.7288742801478048</v>
      </c>
      <c r="BC106" s="196"/>
      <c r="BD106" s="196"/>
      <c r="BE106" s="196"/>
      <c r="BG106" s="196">
        <f>IF(OR(K30=10000,F30=0.01),"n/a",AB41)</f>
        <v>2.8644371400739019</v>
      </c>
      <c r="BH106" s="196"/>
      <c r="BI106" s="196"/>
      <c r="BJ106" s="196"/>
      <c r="BL106" s="196">
        <f>IF(OR(K31=10000,F31=0.01),"n/a",AB42)</f>
        <v>1.1457748560295606</v>
      </c>
      <c r="BM106" s="196"/>
      <c r="BN106" s="196"/>
      <c r="BO106" s="196"/>
      <c r="BP106" s="86"/>
      <c r="BQ106" s="196">
        <f>IF(OR(K32=10000,F32=0.01),"n/a",AB43)</f>
        <v>0.8184106114496863</v>
      </c>
      <c r="BR106" s="196"/>
      <c r="BS106" s="196"/>
      <c r="BT106" s="196"/>
      <c r="BV106" s="196" t="str">
        <f>IF(OR(K33=10000,F33=0.01),"n/a",AB44)</f>
        <v>n/a</v>
      </c>
      <c r="BW106" s="196"/>
      <c r="BX106" s="196"/>
      <c r="BY106" s="196"/>
      <c r="CF106" s="8"/>
      <c r="EA106" s="1">
        <f t="shared" si="116"/>
        <v>21.2</v>
      </c>
      <c r="EB106" s="1" t="str">
        <f t="shared" si="137"/>
        <v>18.9545660221535+33.1846662548075i</v>
      </c>
      <c r="EC106" s="1" t="str">
        <f t="shared" si="138"/>
        <v>7.58739928748366+17.521321116759i</v>
      </c>
      <c r="ED106" s="52" t="str">
        <f t="shared" si="139"/>
        <v>2.08869414025518+6.18774894787592i</v>
      </c>
      <c r="EE106" s="1" t="str">
        <f t="shared" si="140"/>
        <v>1.28287097427656+3.81926265549104i</v>
      </c>
      <c r="EF106" s="1" t="str">
        <f t="shared" si="141"/>
        <v>174701.359935958+381302.717748982i</v>
      </c>
      <c r="EH106" s="1" t="str">
        <f t="shared" si="142"/>
        <v>0.704334748721207+1.96397316072001i</v>
      </c>
      <c r="EI106" s="1" t="str">
        <f t="shared" si="136"/>
        <v>0.0143880322809015+7.6256571088778i</v>
      </c>
      <c r="EJ106" s="1" t="str">
        <f t="shared" si="143"/>
        <v>0.443570276391906+1.59393590122718i</v>
      </c>
      <c r="EL106" s="52">
        <f t="shared" si="117"/>
        <v>21.2</v>
      </c>
      <c r="EM106" s="14">
        <f t="shared" si="144"/>
        <v>2.0864510572464221</v>
      </c>
      <c r="EN106" s="14">
        <f t="shared" si="144"/>
        <v>7.6256706824810774</v>
      </c>
      <c r="EO106" s="14">
        <f t="shared" si="144"/>
        <v>1.6545048344804845</v>
      </c>
      <c r="EQ106" s="1" t="str">
        <f t="shared" si="145"/>
        <v>0.209131767421329-0.0577735499355701i</v>
      </c>
      <c r="ER106" s="14">
        <f t="shared" si="146"/>
        <v>21.2</v>
      </c>
      <c r="ES106" s="2">
        <f t="shared" si="147"/>
        <v>0.21696515668864125</v>
      </c>
      <c r="EU106" s="1" t="str">
        <f t="shared" si="148"/>
        <v>0.790868232578671+0.0577735499355701i</v>
      </c>
      <c r="EV106" s="52">
        <f t="shared" si="149"/>
        <v>21.2</v>
      </c>
      <c r="EW106" s="2">
        <f t="shared" si="150"/>
        <v>0.79297562659533793</v>
      </c>
      <c r="HB106" s="1"/>
      <c r="JO106" s="1"/>
      <c r="JS106" s="1"/>
    </row>
    <row r="107" spans="2:279" ht="18" customHeight="1" x14ac:dyDescent="0.25">
      <c r="B107" s="6"/>
      <c r="AP107" s="8"/>
      <c r="AR107" s="6"/>
      <c r="AS107" s="180" t="s">
        <v>429</v>
      </c>
      <c r="AT107" s="180"/>
      <c r="AU107" s="180"/>
      <c r="AV107" s="180"/>
      <c r="AW107" s="180"/>
      <c r="AX107" s="180"/>
      <c r="AY107" s="180"/>
      <c r="AZ107" s="180"/>
      <c r="BB107" s="196">
        <f>IF(OR(K29=10000,F29=0.01),"n/a",W40)</f>
        <v>2.1597347222222227</v>
      </c>
      <c r="BC107" s="196"/>
      <c r="BD107" s="196"/>
      <c r="BE107" s="196"/>
      <c r="BG107" s="196">
        <f>IF(OR(K30=10000,F30=0.01),"n/a",W41)</f>
        <v>1.0798673611111111</v>
      </c>
      <c r="BH107" s="196"/>
      <c r="BI107" s="196"/>
      <c r="BJ107" s="196"/>
      <c r="BL107" s="196">
        <f>IF(OR(K31=10000,F31=0.01),"n/a",W42)</f>
        <v>0.43194694444444448</v>
      </c>
      <c r="BM107" s="196"/>
      <c r="BN107" s="196"/>
      <c r="BO107" s="196"/>
      <c r="BP107" s="86"/>
      <c r="BQ107" s="196">
        <f>IF(OR(K32=10000,F32=0.01),"n/a",W43)</f>
        <v>0.30853353174603176</v>
      </c>
      <c r="BR107" s="196"/>
      <c r="BS107" s="196"/>
      <c r="BT107" s="196"/>
      <c r="BV107" s="196" t="str">
        <f>IF(OR(K33=10000,F33=0.01),"n/a",W44)</f>
        <v>n/a</v>
      </c>
      <c r="BW107" s="196"/>
      <c r="BX107" s="196"/>
      <c r="BY107" s="196"/>
      <c r="CF107" s="8"/>
      <c r="EA107" s="1">
        <f t="shared" si="116"/>
        <v>21.4</v>
      </c>
      <c r="EB107" s="1" t="str">
        <f t="shared" si="137"/>
        <v>19.2336391841138+33.3962916734555i</v>
      </c>
      <c r="EC107" s="1" t="str">
        <f t="shared" si="138"/>
        <v>7.71273214819069+17.6856028599763i</v>
      </c>
      <c r="ED107" s="52" t="str">
        <f t="shared" si="139"/>
        <v>2.12600171087692+6.28335126099945i</v>
      </c>
      <c r="EE107" s="1" t="str">
        <f t="shared" si="140"/>
        <v>1.30614646183967+3.89669400737613i</v>
      </c>
      <c r="EF107" s="1" t="str">
        <f t="shared" si="141"/>
        <v>177923.165627909+398215.673291626i</v>
      </c>
      <c r="EH107" s="1" t="str">
        <f t="shared" si="142"/>
        <v>0.717396442681565+1.99706201445773i</v>
      </c>
      <c r="EI107" s="1" t="str">
        <f t="shared" si="136"/>
        <v>0.0143880322809015+7.69759727028231i</v>
      </c>
      <c r="EJ107" s="1" t="str">
        <f t="shared" si="143"/>
        <v>0.45040163657294+1.61860810701625i</v>
      </c>
      <c r="EL107" s="52">
        <f t="shared" si="117"/>
        <v>21.4</v>
      </c>
      <c r="EM107" s="14">
        <f t="shared" si="144"/>
        <v>2.1220071502146571</v>
      </c>
      <c r="EN107" s="14">
        <f t="shared" si="144"/>
        <v>7.6976107170297068</v>
      </c>
      <c r="EO107" s="14">
        <f t="shared" si="144"/>
        <v>1.6801053057253019</v>
      </c>
      <c r="EQ107" s="1" t="str">
        <f t="shared" si="145"/>
        <v>0.210383092857389-0.0581187378519666i</v>
      </c>
      <c r="ER107" s="14">
        <f t="shared" si="146"/>
        <v>21.4</v>
      </c>
      <c r="ES107" s="2">
        <f t="shared" si="147"/>
        <v>0.21826322056119846</v>
      </c>
      <c r="EU107" s="1" t="str">
        <f t="shared" si="148"/>
        <v>0.789616907142611+0.0581187378519666i</v>
      </c>
      <c r="EV107" s="52">
        <f t="shared" si="149"/>
        <v>21.4</v>
      </c>
      <c r="EW107" s="2">
        <f t="shared" si="150"/>
        <v>0.79175289562777629</v>
      </c>
      <c r="HB107" s="1"/>
      <c r="JO107" s="1"/>
      <c r="JS107" s="1"/>
    </row>
    <row r="108" spans="2:279" ht="18" customHeight="1" x14ac:dyDescent="0.25">
      <c r="B108" s="6"/>
      <c r="AP108" s="8"/>
      <c r="AR108" s="6"/>
      <c r="AS108" s="180" t="s">
        <v>117</v>
      </c>
      <c r="AT108" s="180"/>
      <c r="AU108" s="180"/>
      <c r="AV108" s="180"/>
      <c r="AW108" s="180"/>
      <c r="AX108" s="180"/>
      <c r="AY108" s="180"/>
      <c r="AZ108" s="180"/>
      <c r="BB108" s="156">
        <v>3</v>
      </c>
      <c r="BC108" s="156"/>
      <c r="BD108" s="156"/>
      <c r="BE108" s="156"/>
      <c r="BG108" s="156">
        <v>3</v>
      </c>
      <c r="BH108" s="156"/>
      <c r="BI108" s="156"/>
      <c r="BJ108" s="156"/>
      <c r="BL108" s="156">
        <v>3</v>
      </c>
      <c r="BM108" s="156"/>
      <c r="BN108" s="156"/>
      <c r="BO108" s="156"/>
      <c r="BQ108" s="156">
        <v>3</v>
      </c>
      <c r="BR108" s="156"/>
      <c r="BS108" s="156"/>
      <c r="BT108" s="156"/>
      <c r="BV108" s="156">
        <v>3</v>
      </c>
      <c r="BW108" s="156"/>
      <c r="BX108" s="156"/>
      <c r="BY108" s="156"/>
      <c r="CF108" s="8"/>
      <c r="EA108" s="1">
        <f t="shared" si="116"/>
        <v>21.6</v>
      </c>
      <c r="EB108" s="1" t="str">
        <f t="shared" si="137"/>
        <v>19.5130000208935+33.6045309671993i</v>
      </c>
      <c r="EC108" s="1" t="str">
        <f t="shared" si="138"/>
        <v>7.83864083376924+17.8483354945717i</v>
      </c>
      <c r="ED108" s="52" t="str">
        <f t="shared" si="139"/>
        <v>2.1635810829769+6.37829062610684i</v>
      </c>
      <c r="EE108" s="1" t="str">
        <f t="shared" si="140"/>
        <v>1.32960485562769+3.97357218961762i</v>
      </c>
      <c r="EF108" s="1" t="str">
        <f t="shared" si="141"/>
        <v>181172.287377151+414987.428590521i</v>
      </c>
      <c r="EH108" s="1" t="str">
        <f t="shared" si="142"/>
        <v>0.730563346783339+2.02984805780443i</v>
      </c>
      <c r="EI108" s="1" t="str">
        <f t="shared" si="136"/>
        <v>0.0143880322809015+7.76953743168682i</v>
      </c>
      <c r="EJ108" s="1" t="str">
        <f t="shared" si="143"/>
        <v>0.457307513480203+1.64307659667248i</v>
      </c>
      <c r="EL108" s="52">
        <f t="shared" si="117"/>
        <v>21.6</v>
      </c>
      <c r="EM108" s="14">
        <f t="shared" si="144"/>
        <v>2.1573145207492788</v>
      </c>
      <c r="EN108" s="14">
        <f t="shared" si="144"/>
        <v>7.7695507539275113</v>
      </c>
      <c r="EO108" s="14">
        <f t="shared" si="144"/>
        <v>1.7055294967892718</v>
      </c>
      <c r="EQ108" s="1" t="str">
        <f t="shared" si="145"/>
        <v>0.211585031839278-0.0584672157391639i</v>
      </c>
      <c r="ER108" s="14">
        <f t="shared" si="146"/>
        <v>21.6</v>
      </c>
      <c r="ES108" s="2">
        <f t="shared" si="147"/>
        <v>0.21951455763734262</v>
      </c>
      <c r="EU108" s="1" t="str">
        <f t="shared" si="148"/>
        <v>0.788414968160722+0.0584672157391639i</v>
      </c>
      <c r="EV108" s="52">
        <f t="shared" si="149"/>
        <v>21.6</v>
      </c>
      <c r="EW108" s="2">
        <f t="shared" si="150"/>
        <v>0.79057989940053641</v>
      </c>
      <c r="HB108" s="1"/>
      <c r="JO108" s="1"/>
      <c r="JS108" s="1"/>
    </row>
    <row r="109" spans="2:279" ht="18" customHeight="1" x14ac:dyDescent="0.25">
      <c r="B109" s="6"/>
      <c r="AP109" s="8"/>
      <c r="AR109" s="6"/>
      <c r="AS109" s="180" t="s">
        <v>111</v>
      </c>
      <c r="AT109" s="180"/>
      <c r="AU109" s="180"/>
      <c r="AV109" s="180"/>
      <c r="AW109" s="180"/>
      <c r="AX109" s="180"/>
      <c r="AY109" s="180"/>
      <c r="AZ109" s="180"/>
      <c r="BB109" s="196">
        <f>IF(OR(K29=10000,F29=0.01),"n/a",K29)</f>
        <v>5</v>
      </c>
      <c r="BC109" s="196"/>
      <c r="BD109" s="196"/>
      <c r="BE109" s="196"/>
      <c r="BG109" s="196">
        <f>IF(OR(K30=10000,F30=0.01),"n/a",K30)</f>
        <v>7</v>
      </c>
      <c r="BH109" s="196"/>
      <c r="BI109" s="196"/>
      <c r="BJ109" s="196"/>
      <c r="BL109" s="196">
        <f>IF(OR(K31=10000,F31=0.01),"n/a",K31)</f>
        <v>11</v>
      </c>
      <c r="BM109" s="196"/>
      <c r="BN109" s="196"/>
      <c r="BO109" s="196"/>
      <c r="BP109" s="86"/>
      <c r="BQ109" s="196">
        <f>IF(OR(K32=10000,F32=0.01),"n/a",K32)</f>
        <v>13</v>
      </c>
      <c r="BR109" s="196"/>
      <c r="BS109" s="196"/>
      <c r="BT109" s="196"/>
      <c r="BV109" s="196" t="str">
        <f>IF(OR(K33=10000,F33=0.01),"n/a",K33)</f>
        <v>n/a</v>
      </c>
      <c r="BW109" s="196"/>
      <c r="BX109" s="196"/>
      <c r="BY109" s="196"/>
      <c r="CF109" s="8"/>
      <c r="EA109" s="1">
        <f t="shared" si="116"/>
        <v>21.8</v>
      </c>
      <c r="EB109" s="1" t="str">
        <f t="shared" si="137"/>
        <v>19.7926126619857+33.8094114982387i</v>
      </c>
      <c r="EC109" s="1" t="str">
        <f t="shared" si="138"/>
        <v>7.96511286640289+18.0095295977321i</v>
      </c>
      <c r="ED109" s="52" t="str">
        <f t="shared" si="139"/>
        <v>2.2014303064849+6.4725774167361i</v>
      </c>
      <c r="EE109" s="1" t="str">
        <f t="shared" si="140"/>
        <v>1.35324523925862+4.04990805491716i</v>
      </c>
      <c r="EF109" s="1" t="str">
        <f t="shared" si="141"/>
        <v>184448.646942584+431621.381745406i</v>
      </c>
      <c r="EH109" s="1" t="str">
        <f t="shared" si="142"/>
        <v>0.743833772725933+2.06233856248189i</v>
      </c>
      <c r="EI109" s="1" t="str">
        <f t="shared" si="136"/>
        <v>0.0143880322809015+7.84147759309133i</v>
      </c>
      <c r="EJ109" s="1" t="str">
        <f t="shared" si="143"/>
        <v>0.464286584803588+1.66734835094996i</v>
      </c>
      <c r="EL109" s="52">
        <f t="shared" si="117"/>
        <v>21.8</v>
      </c>
      <c r="EM109" s="14">
        <f t="shared" si="144"/>
        <v>2.1923797635782818</v>
      </c>
      <c r="EN109" s="14">
        <f t="shared" si="144"/>
        <v>7.841490793109835</v>
      </c>
      <c r="EO109" s="14">
        <f t="shared" si="144"/>
        <v>1.7307837982382808</v>
      </c>
      <c r="EQ109" s="1" t="str">
        <f t="shared" si="145"/>
        <v>0.212739833378593-0.0588187202906582i</v>
      </c>
      <c r="ER109" s="14">
        <f t="shared" si="146"/>
        <v>21.8</v>
      </c>
      <c r="ES109" s="2">
        <f t="shared" si="147"/>
        <v>0.22072126894022287</v>
      </c>
      <c r="EU109" s="1" t="str">
        <f t="shared" si="148"/>
        <v>0.787260166621407+0.0588187202906582i</v>
      </c>
      <c r="EV109" s="52">
        <f t="shared" si="149"/>
        <v>21.8</v>
      </c>
      <c r="EW109" s="2">
        <f t="shared" si="150"/>
        <v>0.78945437601256985</v>
      </c>
      <c r="HB109" s="1"/>
      <c r="JO109" s="1"/>
      <c r="JS109" s="1"/>
    </row>
    <row r="110" spans="2:279" ht="18" customHeight="1" x14ac:dyDescent="0.25">
      <c r="B110" s="6"/>
      <c r="AP110" s="8"/>
      <c r="AR110" s="6"/>
      <c r="AS110" s="180" t="s">
        <v>118</v>
      </c>
      <c r="AT110" s="180"/>
      <c r="AU110" s="180"/>
      <c r="AV110" s="180"/>
      <c r="AW110" s="180"/>
      <c r="AX110" s="180"/>
      <c r="AY110" s="180"/>
      <c r="AZ110" s="180"/>
      <c r="BB110" s="197">
        <v>1</v>
      </c>
      <c r="BC110" s="197"/>
      <c r="BD110" s="197"/>
      <c r="BE110" s="197"/>
      <c r="BG110" s="197">
        <v>1</v>
      </c>
      <c r="BH110" s="197"/>
      <c r="BI110" s="197"/>
      <c r="BJ110" s="197"/>
      <c r="BL110" s="197">
        <v>1</v>
      </c>
      <c r="BM110" s="197"/>
      <c r="BN110" s="197"/>
      <c r="BO110" s="197"/>
      <c r="BP110" s="86"/>
      <c r="BQ110" s="197">
        <v>1</v>
      </c>
      <c r="BR110" s="197"/>
      <c r="BS110" s="197"/>
      <c r="BT110" s="197"/>
      <c r="BV110" s="197">
        <v>1</v>
      </c>
      <c r="BW110" s="197"/>
      <c r="BX110" s="197"/>
      <c r="BY110" s="197"/>
      <c r="CF110" s="8"/>
      <c r="EA110" s="1">
        <f t="shared" si="116"/>
        <v>22</v>
      </c>
      <c r="EB110" s="1" t="str">
        <f t="shared" si="137"/>
        <v>20.0724417735382+34.0109606097646i</v>
      </c>
      <c r="EC110" s="1" t="str">
        <f t="shared" si="138"/>
        <v>8.0921358126888+18.1691954750925i</v>
      </c>
      <c r="ED110" s="52" t="str">
        <f t="shared" si="139"/>
        <v>2.23954742378076+6.56622159900254i</v>
      </c>
      <c r="EE110" s="1" t="str">
        <f t="shared" si="140"/>
        <v>1.37706669142352+4.12571203803933i</v>
      </c>
      <c r="EF110" s="1" t="str">
        <f t="shared" si="141"/>
        <v>187752.165536815+448120.803911422i</v>
      </c>
      <c r="EH110" s="1" t="str">
        <f t="shared" si="142"/>
        <v>0.757206108381678+2.09454039935472i</v>
      </c>
      <c r="EI110" s="1" t="str">
        <f t="shared" si="136"/>
        <v>0.0143880322809015+7.91341775449583i</v>
      </c>
      <c r="EJ110" s="1" t="str">
        <f t="shared" si="143"/>
        <v>0.471337618670328+1.691429916317i</v>
      </c>
      <c r="EL110" s="52">
        <f t="shared" si="117"/>
        <v>22</v>
      </c>
      <c r="EM110" s="14">
        <f t="shared" si="144"/>
        <v>2.2272091448940206</v>
      </c>
      <c r="EN110" s="14">
        <f t="shared" si="144"/>
        <v>7.913430834514366</v>
      </c>
      <c r="EO110" s="14">
        <f t="shared" si="144"/>
        <v>1.7558742302869952</v>
      </c>
      <c r="EQ110" s="1" t="str">
        <f t="shared" si="145"/>
        <v>0.213849609863667-0.0591730094514876i</v>
      </c>
      <c r="ER110" s="14">
        <f t="shared" si="146"/>
        <v>22</v>
      </c>
      <c r="ES110" s="2">
        <f t="shared" si="147"/>
        <v>0.22188533229212881</v>
      </c>
      <c r="EU110" s="1" t="str">
        <f t="shared" si="148"/>
        <v>0.786150390136328+0.0591730094514872i</v>
      </c>
      <c r="EV110" s="52">
        <f t="shared" si="149"/>
        <v>22</v>
      </c>
      <c r="EW110" s="2">
        <f t="shared" si="150"/>
        <v>0.78837420109935508</v>
      </c>
      <c r="HB110" s="1"/>
      <c r="JO110" s="1"/>
      <c r="JS110" s="1"/>
    </row>
    <row r="111" spans="2:279" ht="18" customHeight="1" x14ac:dyDescent="0.25">
      <c r="B111" s="6"/>
      <c r="AP111" s="8"/>
      <c r="AR111" s="6"/>
      <c r="AW111" s="186" t="s">
        <v>115</v>
      </c>
      <c r="AX111" s="186"/>
      <c r="AY111" s="186"/>
      <c r="AZ111" s="186"/>
      <c r="BB111" s="183" t="s">
        <v>116</v>
      </c>
      <c r="BC111" s="183"/>
      <c r="BD111" s="183"/>
      <c r="BE111" s="183"/>
      <c r="BF111" s="18"/>
      <c r="BG111" s="183" t="s">
        <v>116</v>
      </c>
      <c r="BH111" s="183"/>
      <c r="BI111" s="183"/>
      <c r="BJ111" s="183"/>
      <c r="BK111" s="18"/>
      <c r="BL111" s="183" t="s">
        <v>116</v>
      </c>
      <c r="BM111" s="183"/>
      <c r="BN111" s="183"/>
      <c r="BO111" s="183"/>
      <c r="BP111" s="18"/>
      <c r="BQ111" s="183" t="s">
        <v>116</v>
      </c>
      <c r="BR111" s="183"/>
      <c r="BS111" s="183"/>
      <c r="BT111" s="183"/>
      <c r="BV111" s="183" t="s">
        <v>116</v>
      </c>
      <c r="BW111" s="183"/>
      <c r="BX111" s="183"/>
      <c r="BY111" s="183"/>
      <c r="CF111" s="8"/>
      <c r="EA111" s="1">
        <f t="shared" ref="EA111:EA174" si="211">ROUND(EA110+0.2,1)</f>
        <v>22.2</v>
      </c>
      <c r="EB111" s="1" t="str">
        <f t="shared" si="137"/>
        <v>20.3524525607311+34.2092056310995i</v>
      </c>
      <c r="EC111" s="1" t="str">
        <f t="shared" si="138"/>
        <v>8.21969728584667+18.3273431785407i</v>
      </c>
      <c r="ED111" s="52" t="str">
        <f t="shared" si="139"/>
        <v>2.27793046992425+6.65923275086233i</v>
      </c>
      <c r="EE111" s="1" t="str">
        <f t="shared" si="140"/>
        <v>1.40106828597053+4.20099417503153i</v>
      </c>
      <c r="EF111" s="1" t="str">
        <f t="shared" si="141"/>
        <v>191082.763830726+464488.845045319i</v>
      </c>
      <c r="EH111" s="1" t="str">
        <f t="shared" si="142"/>
        <v>0.770678809584034+2.12646006758518i</v>
      </c>
      <c r="EI111" s="1" t="str">
        <f t="shared" si="136"/>
        <v>0.0143880322809015+7.98535791590034i</v>
      </c>
      <c r="EJ111" s="1" t="str">
        <f t="shared" si="143"/>
        <v>0.478459464128672+1.71532743871957i</v>
      </c>
      <c r="EL111" s="52">
        <f t="shared" ref="EL111:EL174" si="212">ROUND(EL110+0.2,1)</f>
        <v>22.2</v>
      </c>
      <c r="EM111" s="14">
        <f t="shared" si="144"/>
        <v>2.2618086228892649</v>
      </c>
      <c r="EN111" s="14">
        <f t="shared" si="144"/>
        <v>7.9853708780810644</v>
      </c>
      <c r="EO111" s="14">
        <f t="shared" si="144"/>
        <v>1.780806469226383</v>
      </c>
      <c r="EQ111" s="1" t="str">
        <f t="shared" si="145"/>
        <v>0.214916347438014-0.0595298602505337i</v>
      </c>
      <c r="ER111" s="14">
        <f t="shared" si="146"/>
        <v>22.2</v>
      </c>
      <c r="ES111" s="2">
        <f t="shared" si="147"/>
        <v>0.22300861117352669</v>
      </c>
      <c r="EU111" s="1" t="str">
        <f t="shared" si="148"/>
        <v>0.785083652561988+0.0595298602505338i</v>
      </c>
      <c r="EV111" s="52">
        <f t="shared" si="149"/>
        <v>22.2</v>
      </c>
      <c r="EW111" s="2">
        <f t="shared" si="150"/>
        <v>0.787337377355807</v>
      </c>
      <c r="HB111" s="1"/>
      <c r="JO111" s="1"/>
      <c r="JS111" s="1"/>
    </row>
    <row r="112" spans="2:279" ht="18" customHeight="1" x14ac:dyDescent="0.25">
      <c r="B112" s="6"/>
      <c r="AP112" s="8"/>
      <c r="AR112" s="6"/>
      <c r="AW112" s="198">
        <f t="shared" ref="AW112:AW128" si="213">C74</f>
        <v>1</v>
      </c>
      <c r="AX112" s="198"/>
      <c r="AY112" s="198"/>
      <c r="AZ112" s="198"/>
      <c r="BB112" s="198">
        <f>T45*F74</f>
        <v>208.22256221462035</v>
      </c>
      <c r="BC112" s="198"/>
      <c r="BD112" s="198"/>
      <c r="BE112" s="198"/>
      <c r="BG112" s="198">
        <f>T45*H74</f>
        <v>208.276279102898</v>
      </c>
      <c r="BH112" s="198"/>
      <c r="BI112" s="198"/>
      <c r="BJ112" s="198"/>
      <c r="BL112" s="198">
        <f>T45*J74</f>
        <v>208.31189589906376</v>
      </c>
      <c r="BM112" s="198"/>
      <c r="BN112" s="198"/>
      <c r="BO112" s="198"/>
      <c r="BQ112" s="198">
        <f>T45*L74</f>
        <v>208.3196233087769</v>
      </c>
      <c r="BR112" s="198"/>
      <c r="BS112" s="198"/>
      <c r="BT112" s="198"/>
      <c r="BV112" s="198">
        <f>T45*N74</f>
        <v>6.944284739426839E-4</v>
      </c>
      <c r="BW112" s="198"/>
      <c r="BX112" s="198"/>
      <c r="BY112" s="198"/>
      <c r="CF112" s="8"/>
      <c r="EA112" s="1">
        <f t="shared" si="211"/>
        <v>22.4</v>
      </c>
      <c r="EB112" s="1" t="str">
        <f t="shared" si="137"/>
        <v>20.6326107697865+34.4041738819068i</v>
      </c>
      <c r="EC112" s="1" t="str">
        <f t="shared" si="138"/>
        <v>8.34778494788104+18.4839825229531i</v>
      </c>
      <c r="ED112" s="52" t="str">
        <f t="shared" si="139"/>
        <v>2.31657747288449+6.75162008034262i</v>
      </c>
      <c r="EE112" s="1" t="str">
        <f t="shared" si="140"/>
        <v>1.4252490919891+4.27576412141478i</v>
      </c>
      <c r="EF112" s="1" t="str">
        <f t="shared" si="141"/>
        <v>194440.361958058+480728.539343952i</v>
      </c>
      <c r="EH112" s="1" t="str">
        <f t="shared" si="142"/>
        <v>0.78425039294367+2.15810372115255i</v>
      </c>
      <c r="EI112" s="1" t="str">
        <f t="shared" si="136"/>
        <v>0.0143880322809015+8.05729807730485i</v>
      </c>
      <c r="EJ112" s="1" t="str">
        <f t="shared" si="143"/>
        <v>0.485651042793968+1.73904669415991i</v>
      </c>
      <c r="EL112" s="52">
        <f t="shared" si="212"/>
        <v>22.4</v>
      </c>
      <c r="EM112" s="14">
        <f t="shared" si="144"/>
        <v>2.2961838667852326</v>
      </c>
      <c r="EN112" s="14">
        <f t="shared" si="144"/>
        <v>8.057310923752004</v>
      </c>
      <c r="EO112" s="14">
        <f t="shared" si="144"/>
        <v>1.8055858716315267</v>
      </c>
      <c r="EQ112" s="1" t="str">
        <f t="shared" si="145"/>
        <v>0.215941915428014-0.0598890668949162i</v>
      </c>
      <c r="ER112" s="14">
        <f t="shared" si="146"/>
        <v>22.4</v>
      </c>
      <c r="ES112" s="2">
        <f t="shared" si="147"/>
        <v>0.22409286283204849</v>
      </c>
      <c r="EU112" s="1" t="str">
        <f t="shared" si="148"/>
        <v>0.784058084571986+0.0598890668949163i</v>
      </c>
      <c r="EV112" s="52">
        <f t="shared" si="149"/>
        <v>22.4</v>
      </c>
      <c r="EW112" s="2">
        <f t="shared" si="150"/>
        <v>0.78634202502234063</v>
      </c>
      <c r="HB112" s="1"/>
      <c r="JO112" s="1"/>
      <c r="JS112" s="1"/>
    </row>
    <row r="113" spans="2:279" ht="18" customHeight="1" x14ac:dyDescent="0.25">
      <c r="B113" s="6"/>
      <c r="AP113" s="8"/>
      <c r="AR113" s="6"/>
      <c r="AW113" s="182">
        <f t="shared" si="213"/>
        <v>2</v>
      </c>
      <c r="AX113" s="182"/>
      <c r="AY113" s="182"/>
      <c r="AZ113" s="182"/>
      <c r="BB113" s="182">
        <f t="shared" ref="BB113:BB127" si="214">$T$46*F75</f>
        <v>6.8834875078427449E-2</v>
      </c>
      <c r="BC113" s="182"/>
      <c r="BD113" s="182"/>
      <c r="BE113" s="182"/>
      <c r="BG113" s="182">
        <f t="shared" ref="BG113:BG127" si="215">$T$46*H75</f>
        <v>6.4320114610093487E-2</v>
      </c>
      <c r="BH113" s="182"/>
      <c r="BI113" s="182"/>
      <c r="BJ113" s="182"/>
      <c r="BL113" s="182">
        <f t="shared" ref="BL113:BL127" si="216">$T$46*J75</f>
        <v>6.1881492745608932E-2</v>
      </c>
      <c r="BM113" s="182"/>
      <c r="BN113" s="182"/>
      <c r="BO113" s="182"/>
      <c r="BQ113" s="182">
        <f t="shared" ref="BQ113:BQ127" si="217">$T$46*L75</f>
        <v>6.143776377032456E-2</v>
      </c>
      <c r="BR113" s="182"/>
      <c r="BS113" s="182"/>
      <c r="BT113" s="182"/>
      <c r="BV113" s="182">
        <f t="shared" ref="BV113:BV127" si="218">$T$46*N75</f>
        <v>2.0327470819131046E-7</v>
      </c>
      <c r="BW113" s="182"/>
      <c r="BX113" s="182"/>
      <c r="BY113" s="182"/>
      <c r="CF113" s="8"/>
      <c r="EA113" s="1">
        <f t="shared" si="211"/>
        <v>22.6</v>
      </c>
      <c r="EB113" s="1" t="str">
        <f t="shared" si="137"/>
        <v>20.9128826896205+34.595892675543i</v>
      </c>
      <c r="EC113" s="1" t="str">
        <f t="shared" si="138"/>
        <v>8.47638651169587+18.6391231019212i</v>
      </c>
      <c r="ED113" s="52" t="str">
        <f t="shared" si="139"/>
        <v>2.35548645376907+6.84339244280207i</v>
      </c>
      <c r="EE113" s="1" t="str">
        <f t="shared" si="140"/>
        <v>1.44960817389426+4.35003116940917i</v>
      </c>
      <c r="EF113" s="1" t="str">
        <f t="shared" si="141"/>
        <v>197824.879520031+496842.810394168i</v>
      </c>
      <c r="EH113" s="1" t="str">
        <f t="shared" si="142"/>
        <v>0.79791942954743+2.18947719302439i</v>
      </c>
      <c r="EI113" s="1" t="str">
        <f t="shared" si="136"/>
        <v>0.0143880322809015+8.12923823870936i</v>
      </c>
      <c r="EJ113" s="1" t="str">
        <f t="shared" si="143"/>
        <v>0.492911341495153+1.76259311644437i</v>
      </c>
      <c r="EL113" s="52">
        <f t="shared" si="212"/>
        <v>22.6</v>
      </c>
      <c r="EM113" s="14">
        <f t="shared" si="144"/>
        <v>2.3303402744713613</v>
      </c>
      <c r="EN113" s="14">
        <f t="shared" si="144"/>
        <v>8.1292509714713201</v>
      </c>
      <c r="EO113" s="14">
        <f t="shared" si="144"/>
        <v>1.8302174965592553</v>
      </c>
      <c r="EQ113" s="1" t="str">
        <f t="shared" si="145"/>
        <v>0.216928074922174-0.060250439090133i</v>
      </c>
      <c r="ER113" s="14">
        <f t="shared" si="146"/>
        <v>22.6</v>
      </c>
      <c r="ES113" s="2">
        <f t="shared" si="147"/>
        <v>0.22513974571362155</v>
      </c>
      <c r="EU113" s="1" t="str">
        <f t="shared" si="148"/>
        <v>0.783071925077822+0.0602504390901326i</v>
      </c>
      <c r="EV113" s="52">
        <f t="shared" si="149"/>
        <v>22.6</v>
      </c>
      <c r="EW113" s="2">
        <f t="shared" si="150"/>
        <v>0.78538637323016991</v>
      </c>
      <c r="HB113" s="1"/>
      <c r="JO113" s="1"/>
      <c r="JS113" s="1"/>
    </row>
    <row r="114" spans="2:279" ht="18" customHeight="1" x14ac:dyDescent="0.25">
      <c r="B114" s="6"/>
      <c r="AP114" s="8"/>
      <c r="AR114" s="6"/>
      <c r="AW114" s="185">
        <f t="shared" si="213"/>
        <v>3</v>
      </c>
      <c r="AX114" s="185"/>
      <c r="AY114" s="185"/>
      <c r="AZ114" s="185"/>
      <c r="BB114" s="185">
        <f t="shared" si="214"/>
        <v>0.26647044736383152</v>
      </c>
      <c r="BC114" s="185"/>
      <c r="BD114" s="185"/>
      <c r="BE114" s="185"/>
      <c r="BG114" s="185">
        <f t="shared" si="215"/>
        <v>0.21424651850689599</v>
      </c>
      <c r="BH114" s="185"/>
      <c r="BI114" s="185"/>
      <c r="BJ114" s="185"/>
      <c r="BL114" s="185">
        <f t="shared" si="216"/>
        <v>0.19159889802305968</v>
      </c>
      <c r="BM114" s="185"/>
      <c r="BN114" s="185"/>
      <c r="BO114" s="185"/>
      <c r="BQ114" s="185">
        <f t="shared" si="217"/>
        <v>0.1878118229636852</v>
      </c>
      <c r="BR114" s="185"/>
      <c r="BS114" s="185"/>
      <c r="BT114" s="185"/>
      <c r="BV114" s="185">
        <f t="shared" si="218"/>
        <v>6.1340644981112396E-7</v>
      </c>
      <c r="BW114" s="185"/>
      <c r="BX114" s="185"/>
      <c r="BY114" s="185"/>
      <c r="CF114" s="8"/>
      <c r="EA114" s="1">
        <f t="shared" si="211"/>
        <v>22.8</v>
      </c>
      <c r="EB114" s="1" t="str">
        <f t="shared" si="137"/>
        <v>21.1932351531476+34.7843893216225i</v>
      </c>
      <c r="EC114" s="1" t="str">
        <f t="shared" si="138"/>
        <v>8.60548974316173+18.7927743025361i</v>
      </c>
      <c r="ED114" s="52" t="str">
        <f t="shared" si="139"/>
        <v>2.39465542705253+6.93455835728087i</v>
      </c>
      <c r="EE114" s="1" t="str">
        <f t="shared" si="140"/>
        <v>1.47414459151105+4.42380426425304i</v>
      </c>
      <c r="EF114" s="1" t="str">
        <f t="shared" si="141"/>
        <v>201236.235589958+512834.476051714i</v>
      </c>
      <c r="EH114" s="1" t="str">
        <f t="shared" si="142"/>
        <v>0.811684539418147+2.22058601723051i</v>
      </c>
      <c r="EI114" s="1" t="str">
        <f t="shared" si="136"/>
        <v>0.0143880322809015+8.20117840011386i</v>
      </c>
      <c r="EJ114" s="1" t="str">
        <f t="shared" si="143"/>
        <v>0.500239405784864+1.78597182240811i</v>
      </c>
      <c r="EL114" s="52">
        <f t="shared" si="212"/>
        <v>22.8</v>
      </c>
      <c r="EM114" s="14">
        <f t="shared" si="144"/>
        <v>2.3642829888678953</v>
      </c>
      <c r="EN114" s="14">
        <f t="shared" si="144"/>
        <v>8.2011910211850978</v>
      </c>
      <c r="EO114" s="14">
        <f t="shared" si="144"/>
        <v>1.8547061259228481</v>
      </c>
      <c r="EQ114" s="1" t="str">
        <f t="shared" si="145"/>
        <v>0.217876486591532-0.0606138005552512i</v>
      </c>
      <c r="ER114" s="14">
        <f t="shared" si="146"/>
        <v>22.8</v>
      </c>
      <c r="ES114" s="2">
        <f t="shared" si="147"/>
        <v>0.22615082628021016</v>
      </c>
      <c r="EU114" s="1" t="str">
        <f t="shared" si="148"/>
        <v>0.782123513408466+0.0606138005552509i</v>
      </c>
      <c r="EV114" s="52">
        <f t="shared" si="149"/>
        <v>22.8</v>
      </c>
      <c r="EW114" s="2">
        <f t="shared" si="150"/>
        <v>0.78446875211454714</v>
      </c>
      <c r="HB114" s="1"/>
      <c r="JO114" s="1"/>
      <c r="JS114" s="1"/>
    </row>
    <row r="115" spans="2:279" ht="18" customHeight="1" x14ac:dyDescent="0.25">
      <c r="B115" s="6"/>
      <c r="AP115" s="8"/>
      <c r="AR115" s="6"/>
      <c r="AW115" s="182">
        <f t="shared" si="213"/>
        <v>4</v>
      </c>
      <c r="AX115" s="182"/>
      <c r="AY115" s="182"/>
      <c r="AZ115" s="182"/>
      <c r="BB115" s="182">
        <f t="shared" si="214"/>
        <v>2.4611854275237324</v>
      </c>
      <c r="BC115" s="182"/>
      <c r="BD115" s="182"/>
      <c r="BE115" s="182"/>
      <c r="BG115" s="182">
        <f t="shared" si="215"/>
        <v>1.3874749866592091</v>
      </c>
      <c r="BH115" s="182"/>
      <c r="BI115" s="182"/>
      <c r="BJ115" s="182"/>
      <c r="BL115" s="182">
        <f t="shared" si="216"/>
        <v>1.0950345253715668</v>
      </c>
      <c r="BM115" s="182"/>
      <c r="BN115" s="182"/>
      <c r="BO115" s="182"/>
      <c r="BQ115" s="182">
        <f t="shared" si="217"/>
        <v>1.0526200755001704</v>
      </c>
      <c r="BR115" s="182"/>
      <c r="BS115" s="182"/>
      <c r="BT115" s="182"/>
      <c r="BV115" s="182">
        <f t="shared" si="218"/>
        <v>3.3725520459175443E-6</v>
      </c>
      <c r="BW115" s="182"/>
      <c r="BX115" s="182"/>
      <c r="BY115" s="182"/>
      <c r="CF115" s="8"/>
      <c r="EA115" s="1">
        <f t="shared" si="211"/>
        <v>23</v>
      </c>
      <c r="EB115" s="1" t="str">
        <f t="shared" si="137"/>
        <v>21.4736355382445+34.9696911278572i</v>
      </c>
      <c r="EC115" s="1" t="str">
        <f t="shared" si="138"/>
        <v>8.73508246313515+18.944945319284i</v>
      </c>
      <c r="ED115" s="52" t="str">
        <f t="shared" si="139"/>
        <v>2.43408240080443+7.02512602199602i</v>
      </c>
      <c r="EE115" s="1" t="str">
        <f t="shared" si="140"/>
        <v>1.49885740015901+4.49709201967147i</v>
      </c>
      <c r="EF115" s="1" t="str">
        <f t="shared" si="141"/>
        <v>204674.348717914+528706.253065757i</v>
      </c>
      <c r="EH115" s="1" t="str">
        <f t="shared" si="142"/>
        <v>0.825544386632123+2.25143544905955i</v>
      </c>
      <c r="EI115" s="1" t="str">
        <f t="shared" si="136"/>
        <v>0.0143880322809015+8.27311856151837i</v>
      </c>
      <c r="EJ115" s="1" t="str">
        <f t="shared" si="143"/>
        <v>0.507634334197457+1.80918763488687i</v>
      </c>
      <c r="EL115" s="52">
        <f t="shared" si="212"/>
        <v>23</v>
      </c>
      <c r="EM115" s="14">
        <f t="shared" si="144"/>
        <v>2.3980169131142062</v>
      </c>
      <c r="EN115" s="14">
        <f t="shared" si="144"/>
        <v>8.2731310728413288</v>
      </c>
      <c r="EO115" s="14">
        <f t="shared" si="144"/>
        <v>1.8790562832133693</v>
      </c>
      <c r="EQ115" s="1" t="str">
        <f t="shared" si="145"/>
        <v>0.218788717830034-0.0609789877071497i</v>
      </c>
      <c r="ER115" s="14">
        <f t="shared" si="146"/>
        <v>23</v>
      </c>
      <c r="ES115" s="2">
        <f t="shared" si="147"/>
        <v>0.22712758527202054</v>
      </c>
      <c r="EU115" s="1" t="str">
        <f t="shared" si="148"/>
        <v>0.781211282169967+0.0609789877071499i</v>
      </c>
      <c r="EV115" s="52">
        <f t="shared" si="149"/>
        <v>23</v>
      </c>
      <c r="EW115" s="2">
        <f t="shared" si="150"/>
        <v>0.78358758561594932</v>
      </c>
      <c r="HB115" s="1"/>
      <c r="JO115" s="1"/>
      <c r="JS115" s="1"/>
    </row>
    <row r="116" spans="2:279" ht="18" customHeight="1" x14ac:dyDescent="0.25">
      <c r="B116" s="6"/>
      <c r="AP116" s="8"/>
      <c r="AR116" s="6"/>
      <c r="AW116" s="185">
        <f t="shared" si="213"/>
        <v>5</v>
      </c>
      <c r="AX116" s="185"/>
      <c r="AY116" s="185"/>
      <c r="AZ116" s="185"/>
      <c r="BB116" s="185">
        <f t="shared" si="214"/>
        <v>185.46426109282348</v>
      </c>
      <c r="BC116" s="185"/>
      <c r="BD116" s="185"/>
      <c r="BE116" s="185"/>
      <c r="BG116" s="185">
        <f t="shared" si="215"/>
        <v>48.240457163364923</v>
      </c>
      <c r="BH116" s="185"/>
      <c r="BI116" s="185"/>
      <c r="BJ116" s="185"/>
      <c r="BL116" s="185">
        <f t="shared" si="216"/>
        <v>30.585437612979476</v>
      </c>
      <c r="BM116" s="185"/>
      <c r="BN116" s="185"/>
      <c r="BO116" s="185"/>
      <c r="BQ116" s="185">
        <f t="shared" si="217"/>
        <v>28.575430333038518</v>
      </c>
      <c r="BR116" s="185"/>
      <c r="BS116" s="185"/>
      <c r="BT116" s="185"/>
      <c r="BV116" s="185">
        <f t="shared" si="218"/>
        <v>8.9139709840059319E-5</v>
      </c>
      <c r="BW116" s="185"/>
      <c r="BX116" s="185"/>
      <c r="BY116" s="185"/>
      <c r="CF116" s="8"/>
      <c r="EA116" s="1">
        <f t="shared" si="211"/>
        <v>23.2</v>
      </c>
      <c r="EB116" s="1" t="str">
        <f t="shared" si="137"/>
        <v>21.7540517683844+35.1518254012334i</v>
      </c>
      <c r="EC116" s="1" t="str">
        <f t="shared" si="138"/>
        <v>8.86515254943061+19.0956451671095i</v>
      </c>
      <c r="ED116" s="52" t="str">
        <f t="shared" si="139"/>
        <v>2.4737653769168+7.11510332903272i</v>
      </c>
      <c r="EE116" s="1" t="str">
        <f t="shared" si="140"/>
        <v>1.5237456507367+4.56990273254434i</v>
      </c>
      <c r="EF116" s="1" t="str">
        <f t="shared" si="141"/>
        <v>208139.136935397+544460.761464318i</v>
      </c>
      <c r="EH116" s="1" t="str">
        <f t="shared" si="142"/>
        <v>0.839497675006662+2.28203048357075i</v>
      </c>
      <c r="EI116" s="1" t="str">
        <f t="shared" si="136"/>
        <v>0.0143880322809015+8.34505872292288i</v>
      </c>
      <c r="EJ116" s="1" t="str">
        <f t="shared" si="143"/>
        <v>0.515095273156543+1.83224510367262i</v>
      </c>
      <c r="EL116" s="52">
        <f t="shared" si="212"/>
        <v>23.2</v>
      </c>
      <c r="EM116" s="14">
        <f t="shared" si="144"/>
        <v>2.431546724677061</v>
      </c>
      <c r="EN116" s="14">
        <f t="shared" si="144"/>
        <v>8.345071126389767</v>
      </c>
      <c r="EO116" s="14">
        <f t="shared" si="144"/>
        <v>1.9032722507199287</v>
      </c>
      <c r="EQ116" s="1" t="str">
        <f t="shared" si="145"/>
        <v>0.219666249284218-0.0613458484917061i</v>
      </c>
      <c r="ER116" s="14">
        <f t="shared" si="146"/>
        <v>23.2</v>
      </c>
      <c r="ES116" s="2">
        <f t="shared" si="147"/>
        <v>0.22807142346590367</v>
      </c>
      <c r="EU116" s="1" t="str">
        <f t="shared" si="148"/>
        <v>0.780333750715785+0.0613458484917063i</v>
      </c>
      <c r="EV116" s="52">
        <f t="shared" si="149"/>
        <v>23.2</v>
      </c>
      <c r="EW116" s="2">
        <f t="shared" si="150"/>
        <v>0.78274138489882616</v>
      </c>
      <c r="HB116" s="1"/>
      <c r="JO116" s="1"/>
      <c r="JS116" s="1"/>
    </row>
    <row r="117" spans="2:279" ht="18" customHeight="1" x14ac:dyDescent="0.25">
      <c r="B117" s="6"/>
      <c r="AP117" s="8"/>
      <c r="AR117" s="6"/>
      <c r="AW117" s="182">
        <f t="shared" si="213"/>
        <v>7</v>
      </c>
      <c r="AX117" s="182"/>
      <c r="AY117" s="182"/>
      <c r="AZ117" s="182"/>
      <c r="BB117" s="182">
        <f t="shared" si="214"/>
        <v>18.6422625461433</v>
      </c>
      <c r="BC117" s="182"/>
      <c r="BD117" s="182"/>
      <c r="BE117" s="182"/>
      <c r="BG117" s="182">
        <f t="shared" si="215"/>
        <v>146.8630226394821</v>
      </c>
      <c r="BH117" s="182"/>
      <c r="BI117" s="182"/>
      <c r="BJ117" s="182"/>
      <c r="BL117" s="182">
        <f t="shared" si="216"/>
        <v>31.302451783599651</v>
      </c>
      <c r="BM117" s="182"/>
      <c r="BN117" s="182"/>
      <c r="BO117" s="182"/>
      <c r="BQ117" s="182">
        <f t="shared" si="217"/>
        <v>26.412919117988977</v>
      </c>
      <c r="BR117" s="182"/>
      <c r="BS117" s="182"/>
      <c r="BT117" s="182"/>
      <c r="BV117" s="182">
        <f t="shared" si="218"/>
        <v>7.5664865275390969E-5</v>
      </c>
      <c r="BW117" s="182"/>
      <c r="BX117" s="182"/>
      <c r="BY117" s="182"/>
      <c r="CF117" s="8"/>
      <c r="EA117" s="1">
        <f t="shared" si="211"/>
        <v>23.4</v>
      </c>
      <c r="EB117" s="1" t="str">
        <f t="shared" si="137"/>
        <v>22.03445231295+35.3308194485762i</v>
      </c>
      <c r="EC117" s="1" t="str">
        <f t="shared" si="138"/>
        <v>8.99568793874442+19.2448826936926i</v>
      </c>
      <c r="ED117" s="52" t="str">
        <f t="shared" si="139"/>
        <v>2.51370235133103+7.20449787828013i</v>
      </c>
      <c r="EE117" s="1" t="str">
        <f t="shared" si="140"/>
        <v>1.54880838980635+4.64224439682321i</v>
      </c>
      <c r="EF117" s="1" t="str">
        <f t="shared" si="141"/>
        <v>211630.517760019+560100.528714926i</v>
      </c>
      <c r="EH117" s="1" t="str">
        <f t="shared" si="142"/>
        <v>0.853543144283308+2.31237587259126i</v>
      </c>
      <c r="EI117" s="1" t="str">
        <f t="shared" si="136"/>
        <v>0.0143880322809015+8.41699888432739i</v>
      </c>
      <c r="EJ117" s="1" t="str">
        <f t="shared" si="143"/>
        <v>0.522621412448267+1.85514852466142i</v>
      </c>
      <c r="EL117" s="52">
        <f t="shared" si="212"/>
        <v>23.4</v>
      </c>
      <c r="EM117" s="14">
        <f t="shared" si="144"/>
        <v>2.4648768884662831</v>
      </c>
      <c r="EN117" s="14">
        <f t="shared" si="144"/>
        <v>8.4170111817818949</v>
      </c>
      <c r="EO117" s="14">
        <f t="shared" si="144"/>
        <v>1.9273580853860199</v>
      </c>
      <c r="EQ117" s="1" t="str">
        <f t="shared" si="145"/>
        <v>0.220510480833498-0.0617142413430731i</v>
      </c>
      <c r="ER117" s="14">
        <f t="shared" si="146"/>
        <v>23.4</v>
      </c>
      <c r="ES117" s="2">
        <f t="shared" si="147"/>
        <v>0.22898366697642772</v>
      </c>
      <c r="EU117" s="1" t="str">
        <f t="shared" si="148"/>
        <v>0.779489519166506+0.0617142413430734i</v>
      </c>
      <c r="EV117" s="52">
        <f t="shared" si="149"/>
        <v>23.4</v>
      </c>
      <c r="EW117" s="2">
        <f t="shared" si="150"/>
        <v>0.78192874232565579</v>
      </c>
      <c r="HB117" s="1"/>
      <c r="JO117" s="1"/>
      <c r="JS117" s="1"/>
    </row>
    <row r="118" spans="2:279" ht="18" customHeight="1" x14ac:dyDescent="0.25">
      <c r="B118" s="6"/>
      <c r="AP118" s="8"/>
      <c r="AR118" s="6"/>
      <c r="AW118" s="185">
        <f t="shared" si="213"/>
        <v>11</v>
      </c>
      <c r="AX118" s="185"/>
      <c r="AY118" s="185"/>
      <c r="AZ118" s="185"/>
      <c r="BB118" s="185">
        <f t="shared" si="214"/>
        <v>3.2823334430201574</v>
      </c>
      <c r="BC118" s="185"/>
      <c r="BD118" s="185"/>
      <c r="BE118" s="185"/>
      <c r="BG118" s="185">
        <f t="shared" si="215"/>
        <v>8.6973674222435537</v>
      </c>
      <c r="BH118" s="185"/>
      <c r="BI118" s="185"/>
      <c r="BJ118" s="185"/>
      <c r="BL118" s="185">
        <f t="shared" si="216"/>
        <v>103.68113324199322</v>
      </c>
      <c r="BM118" s="185"/>
      <c r="BN118" s="185"/>
      <c r="BO118" s="185"/>
      <c r="BQ118" s="185">
        <f t="shared" si="217"/>
        <v>43.129400467807812</v>
      </c>
      <c r="BR118" s="185"/>
      <c r="BS118" s="185"/>
      <c r="BT118" s="185"/>
      <c r="BV118" s="185">
        <f t="shared" si="218"/>
        <v>7.4484636106035047E-5</v>
      </c>
      <c r="BW118" s="185"/>
      <c r="BX118" s="185"/>
      <c r="BY118" s="185"/>
      <c r="CF118" s="8"/>
      <c r="EA118" s="1">
        <f t="shared" si="211"/>
        <v>23.6</v>
      </c>
      <c r="EB118" s="1" t="str">
        <f t="shared" si="137"/>
        <v>22.3148061872356+35.5067005765615i</v>
      </c>
      <c r="EC118" s="1" t="str">
        <f t="shared" si="138"/>
        <v>9.12667662853077+19.3926665909891i</v>
      </c>
      <c r="ED118" s="52" t="str">
        <f t="shared" si="139"/>
        <v>2.55389131426404+7.29331699065629i</v>
      </c>
      <c r="EE118" s="1" t="str">
        <f t="shared" si="140"/>
        <v>1.57404465967855+4.7141247167403i</v>
      </c>
      <c r="EF118" s="1" t="str">
        <f t="shared" si="141"/>
        <v>215148.408200218+575627.993673757i</v>
      </c>
      <c r="EH118" s="1" t="str">
        <f t="shared" si="142"/>
        <v>0.867679566743083+2.34247614034837i</v>
      </c>
      <c r="EI118" s="1" t="str">
        <f t="shared" si="136"/>
        <v>0.0143880322809015+8.48893904573189i</v>
      </c>
      <c r="EJ118" s="1" t="str">
        <f t="shared" si="143"/>
        <v>0.530211981188575+1.87790195737704i</v>
      </c>
      <c r="EL118" s="52">
        <f t="shared" si="212"/>
        <v>23.6</v>
      </c>
      <c r="EM118" s="14">
        <f t="shared" si="144"/>
        <v>2.4980116690369685</v>
      </c>
      <c r="EN118" s="14">
        <f t="shared" si="144"/>
        <v>8.488951238970829</v>
      </c>
      <c r="EO118" s="14">
        <f t="shared" si="144"/>
        <v>1.9513176334252791</v>
      </c>
      <c r="EQ118" s="1" t="str">
        <f t="shared" si="145"/>
        <v>0.221322737075213-0.0620840342549074i</v>
      </c>
      <c r="ER118" s="14">
        <f t="shared" si="146"/>
        <v>23.6</v>
      </c>
      <c r="ES118" s="2">
        <f t="shared" si="147"/>
        <v>0.22986557214125911</v>
      </c>
      <c r="EU118" s="1" t="str">
        <f t="shared" si="148"/>
        <v>0.778677262924783+0.0620840342549071i</v>
      </c>
      <c r="EV118" s="52">
        <f t="shared" si="149"/>
        <v>23.6</v>
      </c>
      <c r="EW118" s="2">
        <f t="shared" si="150"/>
        <v>0.78114832593137917</v>
      </c>
      <c r="HB118" s="1"/>
      <c r="JO118" s="1"/>
      <c r="JS118" s="1"/>
    </row>
    <row r="119" spans="2:279" ht="18" customHeight="1" x14ac:dyDescent="0.25">
      <c r="B119" s="6"/>
      <c r="AP119" s="8"/>
      <c r="AR119" s="6"/>
      <c r="AW119" s="182">
        <f t="shared" si="213"/>
        <v>13</v>
      </c>
      <c r="AX119" s="182"/>
      <c r="AY119" s="182"/>
      <c r="AZ119" s="182"/>
      <c r="BB119" s="182">
        <f t="shared" si="214"/>
        <v>1.5991900409543396</v>
      </c>
      <c r="BC119" s="182"/>
      <c r="BD119" s="182"/>
      <c r="BE119" s="182"/>
      <c r="BG119" s="182">
        <f t="shared" si="215"/>
        <v>3.826920596028474</v>
      </c>
      <c r="BH119" s="182"/>
      <c r="BI119" s="182"/>
      <c r="BJ119" s="182"/>
      <c r="BL119" s="182">
        <f t="shared" si="216"/>
        <v>22.501307125462031</v>
      </c>
      <c r="BM119" s="182"/>
      <c r="BN119" s="182"/>
      <c r="BO119" s="182"/>
      <c r="BQ119" s="182">
        <f t="shared" si="217"/>
        <v>75.961411890557102</v>
      </c>
      <c r="BR119" s="182"/>
      <c r="BS119" s="182"/>
      <c r="BT119" s="182"/>
      <c r="BV119" s="182">
        <f t="shared" si="218"/>
        <v>7.4893747659404429E-5</v>
      </c>
      <c r="BW119" s="182"/>
      <c r="BX119" s="182"/>
      <c r="BY119" s="182"/>
      <c r="CF119" s="8"/>
      <c r="EA119" s="1">
        <f t="shared" si="211"/>
        <v>23.8</v>
      </c>
      <c r="EB119" s="1" t="str">
        <f t="shared" si="137"/>
        <v>22.5950829521458+35.6794960912146i</v>
      </c>
      <c r="EC119" s="1" t="str">
        <f t="shared" si="138"/>
        <v>9.25810667882971+19.539005406075i</v>
      </c>
      <c r="ED119" s="52" t="str">
        <f t="shared" si="139"/>
        <v>2.59433025043379+7.38156772066337i</v>
      </c>
      <c r="EE119" s="1" t="str">
        <f t="shared" si="140"/>
        <v>1.59945349849691+4.78555111935164i</v>
      </c>
      <c r="EF119" s="1" t="str">
        <f t="shared" si="141"/>
        <v>218692.724759979+591045.510335872i</v>
      </c>
      <c r="EH119" s="1" t="str">
        <f t="shared" si="142"/>
        <v>0.881905744199244+2.37233559786926i</v>
      </c>
      <c r="EI119" s="1" t="str">
        <f t="shared" si="136"/>
        <v>0.0143880322809015+8.5608792071364i</v>
      </c>
      <c r="EJ119" s="1" t="str">
        <f t="shared" si="143"/>
        <v>0.537866244223044+1.90050924103263i</v>
      </c>
      <c r="EL119" s="52">
        <f t="shared" si="212"/>
        <v>23.8</v>
      </c>
      <c r="EM119" s="14">
        <f t="shared" si="144"/>
        <v>2.5309551419512197</v>
      </c>
      <c r="EN119" s="14">
        <f t="shared" si="144"/>
        <v>8.5608912979112901</v>
      </c>
      <c r="EO119" s="14">
        <f t="shared" si="144"/>
        <v>1.9751545438079083</v>
      </c>
      <c r="EQ119" s="1" t="str">
        <f t="shared" si="145"/>
        <v>0.222104272362509-0.0624551039497042i</v>
      </c>
      <c r="ER119" s="14">
        <f t="shared" si="146"/>
        <v>23.8</v>
      </c>
      <c r="ES119" s="2">
        <f t="shared" si="147"/>
        <v>0.23071833002830081</v>
      </c>
      <c r="EU119" s="1" t="str">
        <f t="shared" si="148"/>
        <v>0.777895727637488+0.0624551039497039i</v>
      </c>
      <c r="EV119" s="52">
        <f t="shared" si="149"/>
        <v>23.8</v>
      </c>
      <c r="EW119" s="2">
        <f t="shared" si="150"/>
        <v>0.78039887434953759</v>
      </c>
      <c r="HB119" s="1"/>
      <c r="JO119" s="1"/>
      <c r="JS119" s="1"/>
    </row>
    <row r="120" spans="2:279" ht="18" customHeight="1" x14ac:dyDescent="0.25">
      <c r="B120" s="6"/>
      <c r="AP120" s="8"/>
      <c r="AR120" s="6"/>
      <c r="AW120" s="185">
        <f t="shared" si="213"/>
        <v>17</v>
      </c>
      <c r="AX120" s="185"/>
      <c r="AY120" s="185"/>
      <c r="AZ120" s="185"/>
      <c r="BB120" s="185">
        <f t="shared" si="214"/>
        <v>2.2409318401655431</v>
      </c>
      <c r="BC120" s="185"/>
      <c r="BD120" s="185"/>
      <c r="BE120" s="185"/>
      <c r="BG120" s="185">
        <f t="shared" si="215"/>
        <v>4.9245658303707831</v>
      </c>
      <c r="BH120" s="185"/>
      <c r="BI120" s="185"/>
      <c r="BJ120" s="185"/>
      <c r="BL120" s="185">
        <f t="shared" si="216"/>
        <v>17.452468788078111</v>
      </c>
      <c r="BM120" s="185"/>
      <c r="BN120" s="185"/>
      <c r="BO120" s="185"/>
      <c r="BQ120" s="185">
        <f t="shared" si="217"/>
        <v>33.651891220519261</v>
      </c>
      <c r="BR120" s="185"/>
      <c r="BS120" s="185"/>
      <c r="BT120" s="185"/>
      <c r="BV120" s="185">
        <f t="shared" si="218"/>
        <v>6.5252656022018758E-4</v>
      </c>
      <c r="BW120" s="185"/>
      <c r="BX120" s="185"/>
      <c r="BY120" s="185"/>
      <c r="CF120" s="8"/>
      <c r="EA120" s="1">
        <f t="shared" si="211"/>
        <v>24</v>
      </c>
      <c r="EB120" s="1" t="str">
        <f t="shared" si="137"/>
        <v>22.8752527136022+35.8492332969491i</v>
      </c>
      <c r="EC120" s="1" t="str">
        <f t="shared" si="138"/>
        <v>9.38996621404777+19.6839075513395i</v>
      </c>
      <c r="ED120" s="52" t="str">
        <f t="shared" si="139"/>
        <v>2.63501713928416+7.46925686831288i</v>
      </c>
      <c r="EE120" s="1" t="str">
        <f t="shared" si="140"/>
        <v>1.6250339403228+4.85653076645331i</v>
      </c>
      <c r="EF120" s="1" t="str">
        <f t="shared" si="141"/>
        <v>222263.383443584+606355.351397952i</v>
      </c>
      <c r="EH120" s="1" t="str">
        <f t="shared" si="142"/>
        <v>0.896220505320842+2.40195835626599i</v>
      </c>
      <c r="EI120" s="1" t="str">
        <f t="shared" si="136"/>
        <v>0.0143880322809015+8.63281936854091i</v>
      </c>
      <c r="EJ120" s="1" t="str">
        <f t="shared" si="143"/>
        <v>0.545583498906303+1.92297400927398i</v>
      </c>
      <c r="EL120" s="52">
        <f t="shared" si="212"/>
        <v>24</v>
      </c>
      <c r="EM120" s="14">
        <f t="shared" si="144"/>
        <v>2.5637112043663501</v>
      </c>
      <c r="EN120" s="14">
        <f t="shared" si="144"/>
        <v>8.6328313585594838</v>
      </c>
      <c r="EO120" s="14">
        <f t="shared" si="144"/>
        <v>1.9988722807178272</v>
      </c>
      <c r="EQ120" s="1" t="str">
        <f t="shared" si="145"/>
        <v>0.222856275437763-0.0628273351343125i</v>
      </c>
      <c r="ER120" s="14">
        <f t="shared" si="146"/>
        <v>24</v>
      </c>
      <c r="ES120" s="2">
        <f t="shared" si="147"/>
        <v>0.23154307059826104</v>
      </c>
      <c r="EU120" s="1" t="str">
        <f t="shared" si="148"/>
        <v>0.777143724562237+0.0628273351343124i</v>
      </c>
      <c r="EV120" s="52">
        <f t="shared" si="149"/>
        <v>24</v>
      </c>
      <c r="EW120" s="2">
        <f t="shared" si="150"/>
        <v>0.77967919214670922</v>
      </c>
      <c r="HB120" s="1"/>
      <c r="JO120" s="1"/>
      <c r="JS120" s="1"/>
    </row>
    <row r="121" spans="2:279" ht="18" customHeight="1" x14ac:dyDescent="0.25">
      <c r="B121" s="6"/>
      <c r="AP121" s="8"/>
      <c r="AR121" s="6"/>
      <c r="AW121" s="182">
        <f t="shared" si="213"/>
        <v>19</v>
      </c>
      <c r="AX121" s="182"/>
      <c r="AY121" s="182"/>
      <c r="AZ121" s="182"/>
      <c r="BB121" s="182">
        <f t="shared" si="214"/>
        <v>1.8494616613430077</v>
      </c>
      <c r="BC121" s="182"/>
      <c r="BD121" s="182"/>
      <c r="BE121" s="182"/>
      <c r="BG121" s="182">
        <f t="shared" si="215"/>
        <v>3.9802841881830395</v>
      </c>
      <c r="BH121" s="182"/>
      <c r="BI121" s="182"/>
      <c r="BJ121" s="182"/>
      <c r="BL121" s="182">
        <f t="shared" si="216"/>
        <v>12.877888832546445</v>
      </c>
      <c r="BM121" s="182"/>
      <c r="BN121" s="182"/>
      <c r="BO121" s="182"/>
      <c r="BQ121" s="182">
        <f t="shared" si="217"/>
        <v>22.380901592721148</v>
      </c>
      <c r="BR121" s="182"/>
      <c r="BS121" s="182"/>
      <c r="BT121" s="182"/>
      <c r="BV121" s="182">
        <f t="shared" si="218"/>
        <v>3.0103609439870952E-4</v>
      </c>
      <c r="BW121" s="182"/>
      <c r="BX121" s="182"/>
      <c r="BY121" s="182"/>
      <c r="CF121" s="8"/>
      <c r="EA121" s="1">
        <f t="shared" si="211"/>
        <v>24.2</v>
      </c>
      <c r="EB121" s="1" t="str">
        <f t="shared" si="137"/>
        <v>23.1552861216657+36.0159394951818i</v>
      </c>
      <c r="EC121" s="1" t="str">
        <f t="shared" si="138"/>
        <v>9.5222434246902+19.8273813140591i</v>
      </c>
      <c r="ED121" s="52" t="str">
        <f t="shared" si="139"/>
        <v>2.67594995520888+7.55639099045634i</v>
      </c>
      <c r="EE121" s="1" t="str">
        <f t="shared" si="140"/>
        <v>1.65078501522007+4.92707056590679i</v>
      </c>
      <c r="EF121" s="1" t="str">
        <f t="shared" si="141"/>
        <v>225860.299760372+621559.711644514i</v>
      </c>
      <c r="EH121" s="1" t="str">
        <f t="shared" si="142"/>
        <v>0.910622703246726+2.43134833900982i</v>
      </c>
      <c r="EI121" s="1" t="str">
        <f t="shared" si="136"/>
        <v>0.0143880322809015+8.70475952994542i</v>
      </c>
      <c r="EJ121" s="1" t="str">
        <f t="shared" si="143"/>
        <v>0.553363072215526+1.94529970373204i</v>
      </c>
      <c r="EL121" s="52">
        <f t="shared" si="212"/>
        <v>24.2</v>
      </c>
      <c r="EM121" s="14">
        <f t="shared" si="144"/>
        <v>2.5962835849102053</v>
      </c>
      <c r="EN121" s="14">
        <f t="shared" si="144"/>
        <v>8.7047714208730671</v>
      </c>
      <c r="EO121" s="14">
        <f t="shared" si="144"/>
        <v>2.022474135071143</v>
      </c>
      <c r="EQ121" s="1" t="str">
        <f t="shared" si="145"/>
        <v>0.223579873699572-0.0632006198313471i</v>
      </c>
      <c r="ER121" s="14">
        <f t="shared" si="146"/>
        <v>24.2</v>
      </c>
      <c r="ES121" s="2">
        <f t="shared" si="147"/>
        <v>0.23234086655296571</v>
      </c>
      <c r="EU121" s="1" t="str">
        <f t="shared" si="148"/>
        <v>0.776420126300431+0.0632006198313474i</v>
      </c>
      <c r="EV121" s="52">
        <f t="shared" si="149"/>
        <v>24.2</v>
      </c>
      <c r="EW121" s="2">
        <f t="shared" si="150"/>
        <v>0.77898814552690321</v>
      </c>
      <c r="HB121" s="1"/>
      <c r="JO121" s="1"/>
      <c r="JS121" s="1"/>
    </row>
    <row r="122" spans="2:279" ht="18" customHeight="1" x14ac:dyDescent="0.25">
      <c r="B122" s="6"/>
      <c r="AP122" s="8"/>
      <c r="AR122" s="6"/>
      <c r="AW122" s="185">
        <f t="shared" si="213"/>
        <v>23</v>
      </c>
      <c r="AX122" s="185"/>
      <c r="AY122" s="185"/>
      <c r="AZ122" s="185"/>
      <c r="BB122" s="185">
        <f t="shared" si="214"/>
        <v>1.356091096313593</v>
      </c>
      <c r="BC122" s="185"/>
      <c r="BD122" s="185"/>
      <c r="BE122" s="185"/>
      <c r="BG122" s="185">
        <f t="shared" si="215"/>
        <v>2.8464450701511224</v>
      </c>
      <c r="BH122" s="185"/>
      <c r="BI122" s="185"/>
      <c r="BJ122" s="185"/>
      <c r="BL122" s="185">
        <f t="shared" si="216"/>
        <v>8.3541255480926893</v>
      </c>
      <c r="BM122" s="185"/>
      <c r="BN122" s="185"/>
      <c r="BO122" s="185"/>
      <c r="BQ122" s="185">
        <f t="shared" si="217"/>
        <v>13.223750397630953</v>
      </c>
      <c r="BR122" s="185"/>
      <c r="BS122" s="185"/>
      <c r="BT122" s="185"/>
      <c r="BV122" s="185">
        <f t="shared" si="218"/>
        <v>1.116546126347791E-4</v>
      </c>
      <c r="BW122" s="185"/>
      <c r="BX122" s="185"/>
      <c r="BY122" s="185"/>
      <c r="CF122" s="8"/>
      <c r="EA122" s="1">
        <f t="shared" si="211"/>
        <v>24.4</v>
      </c>
      <c r="EB122" s="1" t="str">
        <f t="shared" si="137"/>
        <v>23.4351543693847+36.1796419825671i</v>
      </c>
      <c r="EC122" s="1" t="str">
        <f t="shared" si="138"/>
        <v>9.6549265690456+19.9694348653925i</v>
      </c>
      <c r="ED122" s="52" t="str">
        <f t="shared" si="139"/>
        <v>2.71712666777473+7.64297641155599i</v>
      </c>
      <c r="EE122" s="1" t="str">
        <f t="shared" si="140"/>
        <v>1.67670574933979+4.99717718240724i</v>
      </c>
      <c r="EF122" s="1" t="str">
        <f t="shared" si="141"/>
        <v>229483.388729522+636660.71116767i</v>
      </c>
      <c r="EH122" s="1" t="str">
        <f t="shared" si="142"/>
        <v>0.925111213455135+2.46050929328779i</v>
      </c>
      <c r="EI122" s="1" t="str">
        <f t="shared" si="136"/>
        <v>0.0143880322809015+8.77669969134992i</v>
      </c>
      <c r="EJ122" s="1" t="str">
        <f t="shared" si="143"/>
        <v>0.561204318158412+1.96748958649774i</v>
      </c>
      <c r="EL122" s="52">
        <f t="shared" si="212"/>
        <v>24.4</v>
      </c>
      <c r="EM122" s="14">
        <f t="shared" si="144"/>
        <v>2.6286758528993288</v>
      </c>
      <c r="EN122" s="14">
        <f t="shared" si="144"/>
        <v>8.776711484811079</v>
      </c>
      <c r="EO122" s="14">
        <f t="shared" si="144"/>
        <v>2.0459632351771857</v>
      </c>
      <c r="EQ122" s="1" t="str">
        <f t="shared" si="145"/>
        <v>0.224276137137211-0.063574856777585i</v>
      </c>
      <c r="ER122" s="14">
        <f t="shared" si="146"/>
        <v>24.4</v>
      </c>
      <c r="ES122" s="2">
        <f t="shared" si="147"/>
        <v>0.23311273689672024</v>
      </c>
      <c r="EU122" s="1" t="str">
        <f t="shared" si="148"/>
        <v>0.77572386286279+0.0635748567775851i</v>
      </c>
      <c r="EV122" s="52">
        <f t="shared" si="149"/>
        <v>24.4</v>
      </c>
      <c r="EW122" s="2">
        <f t="shared" si="150"/>
        <v>0.77832465837146603</v>
      </c>
      <c r="HB122" s="1"/>
      <c r="JO122" s="1"/>
      <c r="JS122" s="1"/>
    </row>
    <row r="123" spans="2:279" ht="18" customHeight="1" x14ac:dyDescent="0.25">
      <c r="B123" s="6"/>
      <c r="AP123" s="8"/>
      <c r="AR123" s="6"/>
      <c r="AW123" s="182">
        <f t="shared" si="213"/>
        <v>25</v>
      </c>
      <c r="AX123" s="182"/>
      <c r="AY123" s="182"/>
      <c r="AZ123" s="182"/>
      <c r="BB123" s="182">
        <f t="shared" si="214"/>
        <v>0.69471579335807798</v>
      </c>
      <c r="BC123" s="182"/>
      <c r="BD123" s="182"/>
      <c r="BE123" s="182"/>
      <c r="BG123" s="182">
        <f t="shared" si="215"/>
        <v>1.4467710478815194</v>
      </c>
      <c r="BH123" s="182"/>
      <c r="BI123" s="182"/>
      <c r="BJ123" s="182"/>
      <c r="BL123" s="182">
        <f t="shared" si="216"/>
        <v>4.1270017513951736</v>
      </c>
      <c r="BM123" s="182"/>
      <c r="BN123" s="182"/>
      <c r="BO123" s="182"/>
      <c r="BQ123" s="182">
        <f t="shared" si="217"/>
        <v>6.3755345870083584</v>
      </c>
      <c r="BR123" s="182"/>
      <c r="BS123" s="182"/>
      <c r="BT123" s="182"/>
      <c r="BV123" s="182">
        <f t="shared" si="218"/>
        <v>4.9027723614187914E-5</v>
      </c>
      <c r="BW123" s="182"/>
      <c r="BX123" s="182"/>
      <c r="BY123" s="182"/>
      <c r="CF123" s="8"/>
      <c r="EA123" s="1">
        <f t="shared" si="211"/>
        <v>24.6</v>
      </c>
      <c r="EB123" s="1" t="str">
        <f t="shared" si="137"/>
        <v>23.7148291913777+36.3403680488853i</v>
      </c>
      <c r="EC123" s="1" t="str">
        <f t="shared" si="138"/>
        <v>9.78800397482317+20.1100762688284i</v>
      </c>
      <c r="ED123" s="52" t="str">
        <f t="shared" si="139"/>
        <v>2.75854524194416+7.72901923392751i</v>
      </c>
      <c r="EE123" s="1" t="str">
        <f t="shared" si="140"/>
        <v>1.70279516500497+5.0668570477265i</v>
      </c>
      <c r="EF123" s="1" t="str">
        <f t="shared" si="141"/>
        <v>233132.564884836+651660.398429891i</v>
      </c>
      <c r="EH123" s="1" t="str">
        <f t="shared" si="142"/>
        <v>0.939684931858854+2.4894448005247i</v>
      </c>
      <c r="EI123" s="1" t="str">
        <f t="shared" si="136"/>
        <v>0.0143880322809015+8.84863985275443i</v>
      </c>
      <c r="EJ123" s="1" t="str">
        <f t="shared" si="143"/>
        <v>0.569106615441558+1.98954675162031i</v>
      </c>
      <c r="EL123" s="52">
        <f t="shared" si="212"/>
        <v>24.6</v>
      </c>
      <c r="EM123" s="14">
        <f t="shared" si="144"/>
        <v>2.6608914269511343</v>
      </c>
      <c r="EN123" s="14">
        <f t="shared" si="144"/>
        <v>8.8486515503339174</v>
      </c>
      <c r="EO123" s="14">
        <f t="shared" si="144"/>
        <v>2.0693425566160557</v>
      </c>
      <c r="EQ123" s="1" t="str">
        <f t="shared" si="145"/>
        <v>0.224946081962909-0.0639499508816225i</v>
      </c>
      <c r="ER123" s="14">
        <f t="shared" si="146"/>
        <v>24.6</v>
      </c>
      <c r="ES123" s="2">
        <f t="shared" si="147"/>
        <v>0.23385965023540445</v>
      </c>
      <c r="EU123" s="1" t="str">
        <f t="shared" si="148"/>
        <v>0.775053918037094+0.0639499508816228i</v>
      </c>
      <c r="EV123" s="52">
        <f t="shared" si="149"/>
        <v>24.6</v>
      </c>
      <c r="EW123" s="2">
        <f t="shared" si="150"/>
        <v>0.77768770858385861</v>
      </c>
      <c r="HB123" s="1"/>
      <c r="JO123" s="1"/>
      <c r="JS123" s="1"/>
    </row>
    <row r="124" spans="2:279" ht="18" customHeight="1" x14ac:dyDescent="0.25">
      <c r="B124" s="6"/>
      <c r="S124" s="29" t="s">
        <v>433</v>
      </c>
      <c r="T124" s="156">
        <v>20</v>
      </c>
      <c r="U124" s="156"/>
      <c r="V124" s="156"/>
      <c r="W124" s="156"/>
      <c r="X124" s="156"/>
      <c r="Y124" s="158" t="s">
        <v>432</v>
      </c>
      <c r="Z124" s="158"/>
      <c r="AA124" s="158"/>
      <c r="AE124" s="29" t="s">
        <v>434</v>
      </c>
      <c r="AF124" s="156">
        <v>25</v>
      </c>
      <c r="AG124" s="156"/>
      <c r="AP124" s="8"/>
      <c r="AR124" s="6"/>
      <c r="AW124" s="185">
        <f t="shared" si="213"/>
        <v>29</v>
      </c>
      <c r="AX124" s="185"/>
      <c r="AY124" s="185"/>
      <c r="AZ124" s="185"/>
      <c r="BB124" s="185">
        <f t="shared" si="214"/>
        <v>0.57074376513652447</v>
      </c>
      <c r="BC124" s="185"/>
      <c r="BD124" s="185"/>
      <c r="BE124" s="185"/>
      <c r="BG124" s="185">
        <f t="shared" si="215"/>
        <v>1.1757643065036716</v>
      </c>
      <c r="BH124" s="185"/>
      <c r="BI124" s="185"/>
      <c r="BJ124" s="185"/>
      <c r="BL124" s="185">
        <f t="shared" si="216"/>
        <v>3.2300530068463815</v>
      </c>
      <c r="BM124" s="185"/>
      <c r="BN124" s="185"/>
      <c r="BO124" s="185"/>
      <c r="BQ124" s="185">
        <f t="shared" si="217"/>
        <v>4.8406024638959968</v>
      </c>
      <c r="BR124" s="185"/>
      <c r="BS124" s="185"/>
      <c r="BT124" s="185"/>
      <c r="BV124" s="185">
        <f t="shared" si="218"/>
        <v>3.3547574022374754E-5</v>
      </c>
      <c r="BW124" s="185"/>
      <c r="BX124" s="185"/>
      <c r="BY124" s="185"/>
      <c r="CF124" s="8"/>
      <c r="EA124" s="1">
        <f t="shared" si="211"/>
        <v>24.8</v>
      </c>
      <c r="EB124" s="1" t="str">
        <f t="shared" si="137"/>
        <v>23.9942828621599+36.4981449746199i</v>
      </c>
      <c r="EC124" s="1" t="str">
        <f t="shared" si="138"/>
        <v>9.92146404074209+20.2493134881168i</v>
      </c>
      <c r="ED124" s="52" t="str">
        <f t="shared" si="139"/>
        <v>2.80020363829637+7.81452534748284i</v>
      </c>
      <c r="EE124" s="1" t="str">
        <f t="shared" si="140"/>
        <v>1.72905228079521+5.13611637046028i</v>
      </c>
      <c r="EF124" s="1" t="str">
        <f t="shared" si="141"/>
        <v>236807.742279566+666560.75317874i</v>
      </c>
      <c r="EH124" s="1" t="str">
        <f t="shared" si="142"/>
        <v>0.9543427730996+2.51815828614423i</v>
      </c>
      <c r="EI124" s="1" t="str">
        <f t="shared" si="136"/>
        <v>0.0143880322809015+8.92058001415894i</v>
      </c>
      <c r="EJ124" s="1" t="str">
        <f t="shared" si="143"/>
        <v>0.577069365369339+2.01147413571873i</v>
      </c>
      <c r="EL124" s="52">
        <f t="shared" si="212"/>
        <v>24.8</v>
      </c>
      <c r="EM124" s="14">
        <f t="shared" si="144"/>
        <v>2.6929335830362175</v>
      </c>
      <c r="EN124" s="14">
        <f t="shared" si="144"/>
        <v>8.9205916174032325</v>
      </c>
      <c r="EO124" s="14">
        <f t="shared" si="144"/>
        <v>2.0926149313987947</v>
      </c>
      <c r="EQ124" s="1" t="str">
        <f t="shared" si="145"/>
        <v>0.225590673969039-0.0643258127340617i</v>
      </c>
      <c r="ER124" s="14">
        <f t="shared" si="146"/>
        <v>24.8</v>
      </c>
      <c r="ES124" s="2">
        <f t="shared" si="147"/>
        <v>0.23458252783552064</v>
      </c>
      <c r="EU124" s="1" t="str">
        <f t="shared" si="148"/>
        <v>0.774409326030959+0.0643258127340615i</v>
      </c>
      <c r="EV124" s="52">
        <f t="shared" si="149"/>
        <v>24.8</v>
      </c>
      <c r="EW124" s="2">
        <f t="shared" si="150"/>
        <v>0.77707632471181465</v>
      </c>
      <c r="HB124" s="1"/>
      <c r="JO124" s="1"/>
      <c r="JS124" s="1"/>
    </row>
    <row r="125" spans="2:279" ht="18" customHeight="1" x14ac:dyDescent="0.25">
      <c r="B125" s="6"/>
      <c r="AP125" s="8"/>
      <c r="AR125" s="6"/>
      <c r="AW125" s="182">
        <f t="shared" si="213"/>
        <v>31</v>
      </c>
      <c r="AX125" s="182"/>
      <c r="AY125" s="182"/>
      <c r="AZ125" s="182"/>
      <c r="BB125" s="182">
        <f t="shared" si="214"/>
        <v>0.43086362203202444</v>
      </c>
      <c r="BC125" s="182"/>
      <c r="BD125" s="182"/>
      <c r="BE125" s="182"/>
      <c r="BG125" s="182">
        <f t="shared" si="215"/>
        <v>0.88420243243701124</v>
      </c>
      <c r="BH125" s="182"/>
      <c r="BI125" s="182"/>
      <c r="BJ125" s="182"/>
      <c r="BL125" s="182">
        <f t="shared" si="216"/>
        <v>2.3979495532938486</v>
      </c>
      <c r="BM125" s="182"/>
      <c r="BN125" s="182"/>
      <c r="BO125" s="182"/>
      <c r="BQ125" s="182">
        <f t="shared" si="217"/>
        <v>3.5579760534701776</v>
      </c>
      <c r="BR125" s="182"/>
      <c r="BS125" s="182"/>
      <c r="BT125" s="182"/>
      <c r="BV125" s="182">
        <f t="shared" si="218"/>
        <v>2.3895542824969294E-5</v>
      </c>
      <c r="BW125" s="182"/>
      <c r="BX125" s="182"/>
      <c r="BY125" s="182"/>
      <c r="CF125" s="8"/>
      <c r="EA125" s="1">
        <f t="shared" si="211"/>
        <v>25</v>
      </c>
      <c r="EB125" s="1" t="str">
        <f t="shared" si="137"/>
        <v>24.2734881942228+36.6530000282565i</v>
      </c>
      <c r="EC125" s="1" t="str">
        <f t="shared" si="138"/>
        <v>10.0552952380735+20.3871543947132i</v>
      </c>
      <c r="ED125" s="52" t="str">
        <f t="shared" si="139"/>
        <v>2.84209981324818+7.89950043900335i</v>
      </c>
      <c r="EE125" s="1" t="str">
        <f t="shared" si="140"/>
        <v>1.75547611163138+5.20496114530739i</v>
      </c>
      <c r="EF125" s="1" t="str">
        <f t="shared" si="141"/>
        <v>240508.834491234+681363.689221668i</v>
      </c>
      <c r="EH125" s="1" t="str">
        <f t="shared" si="142"/>
        <v>0.969083669018921+2.54665302863596i</v>
      </c>
      <c r="EI125" s="1" t="str">
        <f t="shared" si="136"/>
        <v>0.0143880322809015+8.99252017556345i</v>
      </c>
      <c r="EJ125" s="1" t="str">
        <f t="shared" si="143"/>
        <v>0.585091989947442+2.03327452778747i</v>
      </c>
      <c r="EL125" s="52">
        <f t="shared" si="212"/>
        <v>25</v>
      </c>
      <c r="EM125" s="14">
        <f t="shared" si="144"/>
        <v>2.7248054620137343</v>
      </c>
      <c r="EN125" s="14">
        <f t="shared" si="144"/>
        <v>8.9925316859819091</v>
      </c>
      <c r="EO125" s="14">
        <f t="shared" si="144"/>
        <v>2.1157830564710594</v>
      </c>
      <c r="EQ125" s="1" t="str">
        <f t="shared" si="145"/>
        <v>0.22621083163463-0.064702358164366i</v>
      </c>
      <c r="ER125" s="14">
        <f t="shared" si="146"/>
        <v>25</v>
      </c>
      <c r="ES125" s="2">
        <f t="shared" si="147"/>
        <v>0.23528224646339302</v>
      </c>
      <c r="EU125" s="1" t="str">
        <f t="shared" si="148"/>
        <v>0.773789168365371+0.064702358164366i</v>
      </c>
      <c r="EV125" s="52">
        <f t="shared" si="149"/>
        <v>25</v>
      </c>
      <c r="EW125" s="2">
        <f t="shared" si="150"/>
        <v>0.77648958282233405</v>
      </c>
      <c r="HB125" s="1"/>
      <c r="JO125" s="1"/>
      <c r="JS125" s="1"/>
    </row>
    <row r="126" spans="2:279" ht="18" customHeight="1" x14ac:dyDescent="0.25">
      <c r="B126" s="6"/>
      <c r="AP126" s="8"/>
      <c r="AR126" s="6"/>
      <c r="AW126" s="185">
        <f t="shared" si="213"/>
        <v>35</v>
      </c>
      <c r="AX126" s="185"/>
      <c r="AY126" s="185"/>
      <c r="AZ126" s="185"/>
      <c r="BB126" s="185">
        <f t="shared" si="214"/>
        <v>0.28867481874540912</v>
      </c>
      <c r="BC126" s="185"/>
      <c r="BD126" s="185"/>
      <c r="BE126" s="185"/>
      <c r="BG126" s="185">
        <f t="shared" si="215"/>
        <v>0.58903034339428784</v>
      </c>
      <c r="BH126" s="185"/>
      <c r="BI126" s="185"/>
      <c r="BJ126" s="185"/>
      <c r="BL126" s="185">
        <f t="shared" si="216"/>
        <v>1.5676548195005255</v>
      </c>
      <c r="BM126" s="185"/>
      <c r="BN126" s="185"/>
      <c r="BO126" s="185"/>
      <c r="BQ126" s="185">
        <f t="shared" si="217"/>
        <v>2.2933292314814393</v>
      </c>
      <c r="BR126" s="185"/>
      <c r="BS126" s="185"/>
      <c r="BT126" s="185"/>
      <c r="BV126" s="185">
        <f t="shared" si="218"/>
        <v>1.4759671682505756E-5</v>
      </c>
      <c r="BW126" s="185"/>
      <c r="BX126" s="185"/>
      <c r="BY126" s="185"/>
      <c r="CF126" s="8"/>
      <c r="EA126" s="1">
        <f t="shared" si="211"/>
        <v>25.2</v>
      </c>
      <c r="EB126" s="1" t="str">
        <f t="shared" si="137"/>
        <v>24.5524185358758+36.8049604633312i</v>
      </c>
      <c r="EC126" s="1" t="str">
        <f t="shared" si="138"/>
        <v>10.1894861121355+20.5236067747636i</v>
      </c>
      <c r="ED126" s="52" t="str">
        <f t="shared" si="139"/>
        <v>2.88423171927355+7.98395000096732i</v>
      </c>
      <c r="EE126" s="1" t="str">
        <f t="shared" si="140"/>
        <v>1.78206566886017+5.27339716190679i</v>
      </c>
      <c r="EF126" s="1" t="str">
        <f t="shared" si="141"/>
        <v>244235.754626471+696071.057068858i</v>
      </c>
      <c r="EH126" s="1" t="str">
        <f t="shared" si="142"/>
        <v>0.983906567285765+2.57493216798765i</v>
      </c>
      <c r="EI126" s="1" t="str">
        <f t="shared" si="136"/>
        <v>0.0143880322809015+9.06446033696796i</v>
      </c>
      <c r="EJ126" s="1" t="str">
        <f t="shared" si="143"/>
        <v>0.593173930168384+2.05495057826797i</v>
      </c>
      <c r="EL126" s="52">
        <f t="shared" si="212"/>
        <v>25.2</v>
      </c>
      <c r="EM126" s="14">
        <f t="shared" si="144"/>
        <v>2.756510076688572</v>
      </c>
      <c r="EN126" s="14">
        <f t="shared" si="144"/>
        <v>9.0644717560340062</v>
      </c>
      <c r="EO126" s="14">
        <f t="shared" si="144"/>
        <v>2.1388495016141906</v>
      </c>
      <c r="EQ126" s="1" t="str">
        <f t="shared" si="145"/>
        <v>0.226807429003023-0.065079507839257i</v>
      </c>
      <c r="ER126" s="14">
        <f t="shared" si="146"/>
        <v>25.2</v>
      </c>
      <c r="ES126" s="2">
        <f t="shared" si="147"/>
        <v>0.23595964102269953</v>
      </c>
      <c r="EU126" s="1" t="str">
        <f t="shared" si="148"/>
        <v>0.773192570996978+0.065079507839257i</v>
      </c>
      <c r="EV126" s="52">
        <f t="shared" si="149"/>
        <v>25.2</v>
      </c>
      <c r="EW126" s="2">
        <f t="shared" si="150"/>
        <v>0.77592660360727217</v>
      </c>
      <c r="HB126" s="1"/>
      <c r="JO126" s="1"/>
      <c r="JS126" s="1"/>
    </row>
    <row r="127" spans="2:279" ht="18" customHeight="1" thickBot="1" x14ac:dyDescent="0.35">
      <c r="B127" s="6"/>
      <c r="C127" s="30" t="s">
        <v>101</v>
      </c>
      <c r="AP127" s="8"/>
      <c r="AR127" s="6"/>
      <c r="AW127" s="228">
        <f t="shared" si="213"/>
        <v>37</v>
      </c>
      <c r="AX127" s="228"/>
      <c r="AY127" s="228"/>
      <c r="AZ127" s="228"/>
      <c r="BB127" s="229">
        <f t="shared" si="214"/>
        <v>7.2141586088954351E-2</v>
      </c>
      <c r="BC127" s="229"/>
      <c r="BD127" s="229"/>
      <c r="BE127" s="229"/>
      <c r="BG127" s="229">
        <f t="shared" si="215"/>
        <v>0.14688405076544889</v>
      </c>
      <c r="BH127" s="229"/>
      <c r="BI127" s="229"/>
      <c r="BJ127" s="229"/>
      <c r="BL127" s="229">
        <f t="shared" si="216"/>
        <v>0.38818939462461666</v>
      </c>
      <c r="BM127" s="229"/>
      <c r="BN127" s="229"/>
      <c r="BO127" s="229"/>
      <c r="BQ127" s="229">
        <f t="shared" si="217"/>
        <v>0.56496401147026276</v>
      </c>
      <c r="BR127" s="229"/>
      <c r="BS127" s="229"/>
      <c r="BT127" s="229"/>
      <c r="BV127" s="229">
        <f t="shared" si="218"/>
        <v>3.5820808673302151E-6</v>
      </c>
      <c r="BW127" s="229"/>
      <c r="BX127" s="229"/>
      <c r="BY127" s="229"/>
      <c r="CF127" s="8"/>
      <c r="EA127" s="1">
        <f t="shared" si="211"/>
        <v>25.4</v>
      </c>
      <c r="EB127" s="1" t="str">
        <f t="shared" si="137"/>
        <v>24.8310477688584+36.9540535152591i</v>
      </c>
      <c r="EC127" s="1" t="str">
        <f t="shared" si="138"/>
        <v>10.324025283741+20.6586783356562i</v>
      </c>
      <c r="ED127" s="52" t="str">
        <f t="shared" si="139"/>
        <v>2.92659730512217+8.06787933995717i</v>
      </c>
      <c r="EE127" s="1" t="str">
        <f t="shared" si="140"/>
        <v>1.80881996033865+5.341430013257i</v>
      </c>
      <c r="EF127" s="1" t="str">
        <f t="shared" si="141"/>
        <v>247988.415325876+710684.646451231i</v>
      </c>
      <c r="EH127" s="1" t="str">
        <f t="shared" si="142"/>
        <v>0.998810430163305+2.60299871353636i</v>
      </c>
      <c r="EI127" s="1" t="str">
        <f t="shared" si="136"/>
        <v>0.0143880322809015+9.13640049837246i</v>
      </c>
      <c r="EJ127" s="1" t="str">
        <f t="shared" si="143"/>
        <v>0.601314644459212+2.07650480745108i</v>
      </c>
      <c r="EL127" s="52">
        <f t="shared" si="212"/>
        <v>25.4</v>
      </c>
      <c r="EM127" s="14">
        <f t="shared" si="144"/>
        <v>2.7880503184259342</v>
      </c>
      <c r="EN127" s="14">
        <f t="shared" si="144"/>
        <v>9.1364118275247126</v>
      </c>
      <c r="EO127" s="14">
        <f t="shared" si="144"/>
        <v>2.1618167167936684</v>
      </c>
      <c r="EQ127" s="1" t="str">
        <f t="shared" si="145"/>
        <v>0.227381298350402-0.0654571868981671i</v>
      </c>
      <c r="ER127" s="14">
        <f t="shared" si="146"/>
        <v>25.4</v>
      </c>
      <c r="ES127" s="2">
        <f t="shared" si="147"/>
        <v>0.23661550700690795</v>
      </c>
      <c r="EU127" s="1" t="str">
        <f t="shared" si="148"/>
        <v>0.7726187016496+0.0654571868981675i</v>
      </c>
      <c r="EV127" s="52">
        <f t="shared" si="149"/>
        <v>25.4</v>
      </c>
      <c r="EW127" s="2">
        <f t="shared" si="150"/>
        <v>0.77538654969978371</v>
      </c>
      <c r="HB127" s="1"/>
      <c r="JO127" s="1"/>
      <c r="JS127" s="1"/>
    </row>
    <row r="128" spans="2:279" ht="18" customHeight="1" thickTop="1" x14ac:dyDescent="0.3">
      <c r="B128" s="6"/>
      <c r="C128" s="154" t="s">
        <v>639</v>
      </c>
      <c r="D128" s="154"/>
      <c r="E128" s="154"/>
      <c r="F128" s="154"/>
      <c r="G128" s="154"/>
      <c r="H128" s="154"/>
      <c r="I128" s="154"/>
      <c r="J128" s="154"/>
      <c r="K128" s="154"/>
      <c r="L128" s="154"/>
      <c r="M128" s="154"/>
      <c r="N128" s="154"/>
      <c r="O128" s="154"/>
      <c r="P128" s="154"/>
      <c r="Q128" s="154"/>
      <c r="R128" s="154"/>
      <c r="S128" s="154"/>
      <c r="T128" s="154"/>
      <c r="U128" s="154"/>
      <c r="V128" s="154"/>
      <c r="W128" s="154"/>
      <c r="X128" s="154"/>
      <c r="Y128" s="154"/>
      <c r="Z128" s="154"/>
      <c r="AA128" s="154"/>
      <c r="AB128" s="154"/>
      <c r="AC128" s="154"/>
      <c r="AD128" s="154"/>
      <c r="AE128" s="154"/>
      <c r="AF128" s="154"/>
      <c r="AG128" s="154"/>
      <c r="AH128" s="154"/>
      <c r="AI128" s="154"/>
      <c r="AJ128" s="154"/>
      <c r="AK128" s="154"/>
      <c r="AL128" s="154"/>
      <c r="AM128" s="154"/>
      <c r="AN128" s="154"/>
      <c r="AO128" s="154"/>
      <c r="AP128" s="8"/>
      <c r="AR128" s="6"/>
      <c r="AW128" s="223" t="str">
        <f t="shared" si="213"/>
        <v>Total RMS</v>
      </c>
      <c r="AX128" s="223"/>
      <c r="AY128" s="223"/>
      <c r="AZ128" s="223"/>
      <c r="BB128" s="185">
        <f>SQRT(SUM(BB112^2,BB113^2,BB114^2,BB115^2,BB116^2,BB117^2,BB118^2,BB119^2,BB120^2,BB121^2,BB122^2,BB123^2,BB124^2,BB125^2,BB126^2,BB127^2))</f>
        <v>279.5210003512147</v>
      </c>
      <c r="BC128" s="185"/>
      <c r="BD128" s="185"/>
      <c r="BE128" s="185"/>
      <c r="BG128" s="185">
        <f>SQRT(SUM(BG112^2,BG113^2,BG114^2,BG115^2,BG116^2,BG117^2,BG118^2,BG119^2,BG120^2,BG121^2,BG122^2,BG123^2,BG124^2,BG125^2,BG126^2,BG127^2))</f>
        <v>259.65358534796036</v>
      </c>
      <c r="BH128" s="185"/>
      <c r="BI128" s="185"/>
      <c r="BJ128" s="185"/>
      <c r="BL128" s="185">
        <f>SQRT(SUM(BL112^2,BL113^2,BL114^2,BL115^2,BL116^2,BL117^2,BL118^2,BL119^2,BL120^2,BL121^2,BL122^2,BL123^2,BL124^2,BL125^2,BL126^2,BL127^2))</f>
        <v>239.04503381017838</v>
      </c>
      <c r="BM128" s="185"/>
      <c r="BN128" s="185"/>
      <c r="BO128" s="185"/>
      <c r="BQ128" s="185">
        <f>SQRT(SUM(BQ112^2,BQ113^2,BQ114^2,BQ115^2,BQ116^2,BQ117^2,BQ118^2,BQ119^2,BQ120^2,BQ121^2,BQ122^2,BQ123^2,BQ124^2,BQ125^2,BQ126^2,BQ127^2))</f>
        <v>233.30930121271066</v>
      </c>
      <c r="BR128" s="185"/>
      <c r="BS128" s="185"/>
      <c r="BT128" s="185"/>
      <c r="BV128" s="185">
        <f>SQRT(SUM(BV112^2,BV113^2,BV114^2,BV115^2,BV116^2,BV117^2,BV118^2,BV119^2,BV120^2,BV121^2,BV122^2,BV123^2,BV124^2,BV125^2,BV126^2,BV127^2))</f>
        <v>1.0199421646886709E-3</v>
      </c>
      <c r="BW128" s="185"/>
      <c r="BX128" s="185"/>
      <c r="BY128" s="185"/>
      <c r="CF128" s="8"/>
      <c r="EA128" s="1">
        <f t="shared" si="211"/>
        <v>25.6</v>
      </c>
      <c r="EB128" s="1" t="str">
        <f t="shared" si="137"/>
        <v>25.1093503057326+37.1003063979656i</v>
      </c>
      <c r="EC128" s="1" t="str">
        <f t="shared" si="138"/>
        <v>10.4589014505988+20.7923767121631i</v>
      </c>
      <c r="ED128" s="52" t="str">
        <f t="shared" si="139"/>
        <v>2.96919451603707+8.15129358466921i</v>
      </c>
      <c r="EE128" s="1" t="str">
        <f t="shared" si="140"/>
        <v>1.83573799051869+5.40906510374041i</v>
      </c>
      <c r="EF128" s="1" t="str">
        <f t="shared" si="141"/>
        <v>251766.728768886+725206.18872052i</v>
      </c>
      <c r="EH128" s="1" t="str">
        <f t="shared" si="142"/>
        <v>1.01379423339973+2.63085555128687i</v>
      </c>
      <c r="EI128" s="1" t="str">
        <f t="shared" si="136"/>
        <v>0.0143880322809015+9.20834065977697i</v>
      </c>
      <c r="EJ128" s="1" t="str">
        <f t="shared" si="143"/>
        <v>0.609513607273897+2.09793961326846i</v>
      </c>
      <c r="EL128" s="52">
        <f t="shared" si="212"/>
        <v>25.6</v>
      </c>
      <c r="EM128" s="14">
        <f t="shared" si="144"/>
        <v>2.8194289633561418</v>
      </c>
      <c r="EN128" s="14">
        <f t="shared" si="144"/>
        <v>9.2083519004203307</v>
      </c>
      <c r="EO128" s="14">
        <f t="shared" si="144"/>
        <v>2.1846870389996487</v>
      </c>
      <c r="EQ128" s="1" t="str">
        <f t="shared" si="145"/>
        <v>0.227933232662916-0.0658353246217909i</v>
      </c>
      <c r="ER128" s="14">
        <f t="shared" si="146"/>
        <v>25.6</v>
      </c>
      <c r="ES128" s="2">
        <f t="shared" si="147"/>
        <v>0.23725060278158114</v>
      </c>
      <c r="EU128" s="1" t="str">
        <f t="shared" si="148"/>
        <v>0.772066767337087+0.0658353246217911i</v>
      </c>
      <c r="EV128" s="52">
        <f t="shared" si="149"/>
        <v>25.6</v>
      </c>
      <c r="EW128" s="2">
        <f t="shared" si="150"/>
        <v>0.77486862318356675</v>
      </c>
      <c r="HB128" s="1"/>
      <c r="JO128" s="1"/>
      <c r="JS128" s="1"/>
    </row>
    <row r="129" spans="2:279" ht="18" customHeight="1" x14ac:dyDescent="0.25">
      <c r="B129" s="6"/>
      <c r="G129" s="35" t="s">
        <v>105</v>
      </c>
      <c r="H129" s="53" t="s">
        <v>572</v>
      </c>
      <c r="I129" s="38"/>
      <c r="J129" s="38"/>
      <c r="K129" s="38"/>
      <c r="L129" s="38"/>
      <c r="M129" s="38"/>
      <c r="N129" s="38"/>
      <c r="O129" s="38"/>
      <c r="Q129" s="24"/>
      <c r="R129" s="24"/>
      <c r="S129" s="24"/>
      <c r="T129" s="24"/>
      <c r="U129" s="24"/>
      <c r="V129" s="24"/>
      <c r="W129" s="32" t="s">
        <v>107</v>
      </c>
      <c r="X129" s="234" t="s">
        <v>108</v>
      </c>
      <c r="Y129" s="234"/>
      <c r="Z129" s="234"/>
      <c r="AA129" s="234"/>
      <c r="AB129" s="234"/>
      <c r="AC129" s="234"/>
      <c r="AD129" s="234"/>
      <c r="AE129" s="234"/>
      <c r="AF129" s="234"/>
      <c r="AG129" s="234"/>
      <c r="AH129" s="234"/>
      <c r="AI129" s="234"/>
      <c r="AJ129" s="234"/>
      <c r="AK129" s="234"/>
      <c r="AL129" s="234"/>
      <c r="AM129" s="234"/>
      <c r="AN129" s="234"/>
      <c r="AO129" s="234"/>
      <c r="AP129" s="8"/>
      <c r="AR129" s="6"/>
      <c r="CF129" s="8"/>
      <c r="EA129" s="1">
        <f t="shared" si="211"/>
        <v>25.8</v>
      </c>
      <c r="EB129" s="1" t="str">
        <f t="shared" si="137"/>
        <v>25.3873010870635+37.2437463003476i</v>
      </c>
      <c r="EC129" s="1" t="str">
        <f t="shared" si="138"/>
        <v>10.5941033886681+20.9247094721951i</v>
      </c>
      <c r="ED129" s="52" t="str">
        <f t="shared" si="139"/>
        <v>3.01202129397115+8.23419769354691i</v>
      </c>
      <c r="EE129" s="1" t="str">
        <f t="shared" si="140"/>
        <v>1.86281876053135+5.47630765677405i</v>
      </c>
      <c r="EF129" s="1" t="str">
        <f t="shared" si="141"/>
        <v>255570.60667866+739637.359137739i</v>
      </c>
      <c r="EH129" s="1" t="str">
        <f t="shared" si="142"/>
        <v>1.02885696522975+2.6585054507406i</v>
      </c>
      <c r="EI129" s="1" t="str">
        <f t="shared" si="136"/>
        <v>0.0143880322809015+9.28028082118148i</v>
      </c>
      <c r="EJ129" s="1" t="str">
        <f t="shared" si="143"/>
        <v>0.617770307815234+2.11925727852499i</v>
      </c>
      <c r="EL129" s="52">
        <f t="shared" si="212"/>
        <v>25.8</v>
      </c>
      <c r="EM129" s="14">
        <f t="shared" si="144"/>
        <v>2.850648678199271</v>
      </c>
      <c r="EN129" s="14">
        <f t="shared" si="144"/>
        <v>9.2802919746881738</v>
      </c>
      <c r="EO129" s="14">
        <f t="shared" si="144"/>
        <v>2.207462698620132</v>
      </c>
      <c r="EQ129" s="1" t="str">
        <f t="shared" si="145"/>
        <v>0.228463987938431-0.0662138541302808i</v>
      </c>
      <c r="ER129" s="14">
        <f t="shared" si="146"/>
        <v>25.8</v>
      </c>
      <c r="ES129" s="2">
        <f t="shared" si="147"/>
        <v>0.23786565171019888</v>
      </c>
      <c r="EU129" s="1" t="str">
        <f t="shared" si="148"/>
        <v>0.771536012061567+0.0662138541302805i</v>
      </c>
      <c r="EV129" s="52">
        <f t="shared" si="149"/>
        <v>25.8</v>
      </c>
      <c r="EW129" s="2">
        <f t="shared" si="150"/>
        <v>0.77437206327879138</v>
      </c>
      <c r="HB129" s="1"/>
      <c r="JO129" s="1"/>
      <c r="JS129" s="1"/>
    </row>
    <row r="130" spans="2:279" ht="18" customHeight="1" x14ac:dyDescent="0.3">
      <c r="B130" s="6"/>
      <c r="AP130" s="8"/>
      <c r="AR130" s="6"/>
      <c r="AS130" s="154" t="s">
        <v>641</v>
      </c>
      <c r="AT130" s="154"/>
      <c r="AU130" s="154"/>
      <c r="AV130" s="154"/>
      <c r="AW130" s="154"/>
      <c r="AX130" s="154"/>
      <c r="AY130" s="154"/>
      <c r="AZ130" s="154"/>
      <c r="BA130" s="154"/>
      <c r="BB130" s="154"/>
      <c r="BC130" s="154"/>
      <c r="BD130" s="154"/>
      <c r="BE130" s="154"/>
      <c r="BF130" s="154"/>
      <c r="BG130" s="154"/>
      <c r="BH130" s="154"/>
      <c r="BI130" s="154"/>
      <c r="BJ130" s="154"/>
      <c r="BK130" s="154"/>
      <c r="BL130" s="154"/>
      <c r="BM130" s="154"/>
      <c r="BN130" s="154"/>
      <c r="BO130" s="154"/>
      <c r="BP130" s="154"/>
      <c r="BQ130" s="154"/>
      <c r="BR130" s="154"/>
      <c r="BS130" s="154"/>
      <c r="BT130" s="154"/>
      <c r="BU130" s="154"/>
      <c r="BV130" s="154"/>
      <c r="BW130" s="154"/>
      <c r="BX130" s="154"/>
      <c r="BY130" s="154"/>
      <c r="BZ130" s="154"/>
      <c r="CA130" s="154"/>
      <c r="CB130" s="154"/>
      <c r="CC130" s="154"/>
      <c r="CD130" s="154"/>
      <c r="CE130" s="154"/>
      <c r="CF130" s="8"/>
      <c r="EA130" s="1">
        <f t="shared" si="211"/>
        <v>26</v>
      </c>
      <c r="EB130" s="1" t="str">
        <f t="shared" si="137"/>
        <v>25.6648755783977+37.3844003825863i</v>
      </c>
      <c r="EC130" s="1" t="str">
        <f t="shared" si="138"/>
        <v>10.7296199534665+21.0556841221919i</v>
      </c>
      <c r="ED130" s="52" t="str">
        <f t="shared" si="139"/>
        <v>3.05507557780258+8.31659646205822i</v>
      </c>
      <c r="EE130" s="1" t="str">
        <f t="shared" si="140"/>
        <v>1.89006126827108+5.54316272210692i</v>
      </c>
      <c r="EF130" s="1" t="str">
        <f t="shared" si="141"/>
        <v>259399.960326978+753979.779056199i</v>
      </c>
      <c r="EH130" s="1" t="str">
        <f t="shared" si="142"/>
        <v>1.04399762547494+2.68595107127483i</v>
      </c>
      <c r="EI130" s="1" t="str">
        <f t="shared" si="136"/>
        <v>0.0143880322809015+9.35222098258599i</v>
      </c>
      <c r="EJ130" s="1" t="str">
        <f t="shared" si="143"/>
        <v>0.626084248872693+2.14045997762003i</v>
      </c>
      <c r="EL130" s="52">
        <f t="shared" si="212"/>
        <v>26</v>
      </c>
      <c r="EM130" s="14">
        <f t="shared" si="144"/>
        <v>2.8817120257374294</v>
      </c>
      <c r="EN130" s="14">
        <f t="shared" si="144"/>
        <v>9.3522320502965801</v>
      </c>
      <c r="EO130" s="14">
        <f t="shared" si="144"/>
        <v>2.2301458253844353</v>
      </c>
      <c r="EQ130" s="1" t="str">
        <f t="shared" si="145"/>
        <v>0.228974285327397-0.0665927121080171i</v>
      </c>
      <c r="ER130" s="14">
        <f t="shared" si="146"/>
        <v>26</v>
      </c>
      <c r="ES130" s="2">
        <f t="shared" si="147"/>
        <v>0.23846134413588602</v>
      </c>
      <c r="EU130" s="1" t="str">
        <f t="shared" si="148"/>
        <v>0.771025714672605+0.0665927121080171i</v>
      </c>
      <c r="EV130" s="52">
        <f t="shared" si="149"/>
        <v>26</v>
      </c>
      <c r="EW130" s="2">
        <f t="shared" si="150"/>
        <v>0.773896144190099</v>
      </c>
      <c r="HB130" s="1"/>
      <c r="JO130" s="1"/>
      <c r="JS130" s="1"/>
    </row>
    <row r="131" spans="2:279" ht="18" customHeight="1" x14ac:dyDescent="0.25">
      <c r="B131" s="6"/>
      <c r="L131" s="35" t="s">
        <v>120</v>
      </c>
      <c r="M131" s="236" t="str">
        <f>S17&amp;" kV"</f>
        <v>12.47 kV</v>
      </c>
      <c r="N131" s="236"/>
      <c r="O131" s="236"/>
      <c r="P131" s="236"/>
      <c r="Q131" s="236"/>
      <c r="R131" s="236"/>
      <c r="S131" s="236"/>
      <c r="T131" s="236"/>
      <c r="U131" s="236"/>
      <c r="V131" s="236"/>
      <c r="AP131" s="8"/>
      <c r="AR131" s="6"/>
      <c r="CF131" s="8"/>
      <c r="EA131" s="1">
        <f t="shared" si="211"/>
        <v>26.2</v>
      </c>
      <c r="EB131" s="1" t="str">
        <f t="shared" si="137"/>
        <v>25.942049767046+37.5222957723308i</v>
      </c>
      <c r="EC131" s="1" t="str">
        <f t="shared" si="138"/>
        <v>10.8654400813326+21.1853081121668i</v>
      </c>
      <c r="ED131" s="52" t="str">
        <f t="shared" si="139"/>
        <v>3.09835530354905+8.39849452963604i</v>
      </c>
      <c r="EE131" s="1" t="str">
        <f t="shared" si="140"/>
        <v>1.91746450847992+5.60963518278251i</v>
      </c>
      <c r="EF131" s="1" t="str">
        <f t="shared" si="141"/>
        <v>263254.700539138+768235.018004467i</v>
      </c>
      <c r="EH131" s="1" t="str">
        <f t="shared" si="142"/>
        <v>1.05921522473254+2.71319496810741i</v>
      </c>
      <c r="EI131" s="1" t="str">
        <f t="shared" si="136"/>
        <v>0.0143880322809015+9.42416114399049i</v>
      </c>
      <c r="EJ131" s="1" t="str">
        <f t="shared" si="143"/>
        <v>0.634454945764298+2.16154978279933i</v>
      </c>
      <c r="EL131" s="52">
        <f t="shared" si="212"/>
        <v>26.2</v>
      </c>
      <c r="EM131" s="14">
        <f t="shared" si="144"/>
        <v>2.9126214699594204</v>
      </c>
      <c r="EN131" s="14">
        <f t="shared" si="144"/>
        <v>9.4241721272148382</v>
      </c>
      <c r="EO131" s="14">
        <f t="shared" si="144"/>
        <v>2.252738453909954</v>
      </c>
      <c r="EQ131" s="1" t="str">
        <f t="shared" si="145"/>
        <v>0.22946481312592-0.0669718385522489i</v>
      </c>
      <c r="ER131" s="14">
        <f t="shared" si="146"/>
        <v>26.2</v>
      </c>
      <c r="ES131" s="2">
        <f t="shared" si="147"/>
        <v>0.23903833923030393</v>
      </c>
      <c r="EU131" s="1" t="str">
        <f t="shared" si="148"/>
        <v>0.770535186874081+0.0669718385522488i</v>
      </c>
      <c r="EV131" s="52">
        <f t="shared" si="149"/>
        <v>26.2</v>
      </c>
      <c r="EW131" s="2">
        <f t="shared" si="150"/>
        <v>0.77344017310335222</v>
      </c>
      <c r="HB131" s="1"/>
      <c r="JO131" s="1"/>
      <c r="JS131" s="1"/>
    </row>
    <row r="132" spans="2:279" ht="18" customHeight="1" x14ac:dyDescent="0.25">
      <c r="B132" s="6"/>
      <c r="L132" s="35" t="s">
        <v>122</v>
      </c>
      <c r="M132" s="231">
        <v>95</v>
      </c>
      <c r="N132" s="231"/>
      <c r="O132" s="231"/>
      <c r="P132" s="231"/>
      <c r="Q132" s="231"/>
      <c r="R132" s="231"/>
      <c r="S132" s="231"/>
      <c r="T132" s="231"/>
      <c r="U132" s="231"/>
      <c r="V132" s="231"/>
      <c r="AP132" s="27"/>
      <c r="AR132" s="6"/>
      <c r="AS132" s="180" t="s">
        <v>427</v>
      </c>
      <c r="AT132" s="180"/>
      <c r="AU132" s="180"/>
      <c r="AV132" s="180"/>
      <c r="AW132" s="180"/>
      <c r="AX132" s="180"/>
      <c r="AY132" s="180"/>
      <c r="AZ132" s="180"/>
      <c r="BB132" s="183" t="s">
        <v>574</v>
      </c>
      <c r="BC132" s="183"/>
      <c r="BD132" s="183"/>
      <c r="BE132" s="183"/>
      <c r="BG132" s="183" t="s">
        <v>575</v>
      </c>
      <c r="BH132" s="183"/>
      <c r="BI132" s="183"/>
      <c r="BJ132" s="183"/>
      <c r="BL132" s="183" t="s">
        <v>576</v>
      </c>
      <c r="BM132" s="183"/>
      <c r="BN132" s="183"/>
      <c r="BO132" s="183"/>
      <c r="BQ132" s="183" t="s">
        <v>577</v>
      </c>
      <c r="BR132" s="183"/>
      <c r="BS132" s="183"/>
      <c r="BT132" s="183"/>
      <c r="BV132" s="183" t="s">
        <v>578</v>
      </c>
      <c r="BW132" s="183"/>
      <c r="BX132" s="183"/>
      <c r="BY132" s="183"/>
      <c r="CA132" s="186" t="s">
        <v>589</v>
      </c>
      <c r="CB132" s="186"/>
      <c r="CC132" s="186"/>
      <c r="CD132" s="186"/>
      <c r="CF132" s="8"/>
      <c r="EA132" s="1">
        <f t="shared" si="211"/>
        <v>26.4</v>
      </c>
      <c r="EB132" s="1" t="str">
        <f t="shared" si="137"/>
        <v>26.2188001586826+37.6574595607744i</v>
      </c>
      <c r="EC132" s="1" t="str">
        <f t="shared" si="138"/>
        <v>11.0015527906424+21.3135888404248i</v>
      </c>
      <c r="ED132" s="52" t="str">
        <f t="shared" si="139"/>
        <v>3.14185840458111+8.479896386299i</v>
      </c>
      <c r="EE132" s="1" t="str">
        <f t="shared" si="140"/>
        <v>1.94502747283152+5.67572976178454i</v>
      </c>
      <c r="EF132" s="1" t="str">
        <f t="shared" si="141"/>
        <v>267134.737698895+782404.595674832i</v>
      </c>
      <c r="EH132" s="1" t="str">
        <f t="shared" si="142"/>
        <v>1.07450878364376+2.74023959787965i</v>
      </c>
      <c r="EI132" s="1" t="str">
        <f t="shared" si="136"/>
        <v>0.0143880322809015+9.496101305395i</v>
      </c>
      <c r="EJ132" s="1" t="str">
        <f t="shared" si="143"/>
        <v>0.642881925372173+2.18252866997692i</v>
      </c>
      <c r="EL132" s="52">
        <f t="shared" si="212"/>
        <v>26.4</v>
      </c>
      <c r="EM132" s="14">
        <f t="shared" si="144"/>
        <v>2.9433793809013507</v>
      </c>
      <c r="EN132" s="14">
        <f t="shared" si="144"/>
        <v>9.4961122054131994</v>
      </c>
      <c r="EO132" s="14">
        <f t="shared" si="144"/>
        <v>2.2752425288837794</v>
      </c>
      <c r="EQ132" s="1" t="str">
        <f t="shared" si="145"/>
        <v>0.229936228632973-0.0673511765432297i</v>
      </c>
      <c r="ER132" s="14">
        <f t="shared" si="146"/>
        <v>26.4</v>
      </c>
      <c r="ES132" s="2">
        <f t="shared" si="147"/>
        <v>0.23959726672003612</v>
      </c>
      <c r="EU132" s="1" t="str">
        <f t="shared" si="148"/>
        <v>0.770063771367031+0.0673511765432299i</v>
      </c>
      <c r="EV132" s="52">
        <f t="shared" si="149"/>
        <v>26.4</v>
      </c>
      <c r="EW132" s="2">
        <f t="shared" si="150"/>
        <v>0.77300348831927812</v>
      </c>
      <c r="HB132" s="1"/>
      <c r="JO132" s="1"/>
      <c r="JS132" s="1"/>
    </row>
    <row r="133" spans="2:279" ht="18" customHeight="1" x14ac:dyDescent="0.25">
      <c r="B133" s="6"/>
      <c r="L133" s="35" t="s">
        <v>124</v>
      </c>
      <c r="M133" s="231">
        <v>35</v>
      </c>
      <c r="N133" s="231"/>
      <c r="O133" s="231"/>
      <c r="P133" s="231"/>
      <c r="Q133" s="231"/>
      <c r="R133" s="231"/>
      <c r="S133" s="231"/>
      <c r="T133" s="231"/>
      <c r="U133" s="231"/>
      <c r="V133" s="231"/>
      <c r="AP133" s="8"/>
      <c r="AR133" s="6"/>
      <c r="AS133" s="180" t="s">
        <v>34</v>
      </c>
      <c r="AT133" s="180"/>
      <c r="AU133" s="180"/>
      <c r="AV133" s="180"/>
      <c r="AW133" s="180"/>
      <c r="AX133" s="180"/>
      <c r="AY133" s="180"/>
      <c r="AZ133" s="180"/>
      <c r="BB133" s="184">
        <f>AL40</f>
        <v>86.389388888888902</v>
      </c>
      <c r="BC133" s="184"/>
      <c r="BD133" s="184"/>
      <c r="BE133" s="184"/>
      <c r="BG133" s="184">
        <f>AL41</f>
        <v>60.472572222222226</v>
      </c>
      <c r="BH133" s="184"/>
      <c r="BI133" s="184"/>
      <c r="BJ133" s="184"/>
      <c r="BL133" s="184">
        <f>AL42</f>
        <v>38.011331111111112</v>
      </c>
      <c r="BM133" s="184"/>
      <c r="BN133" s="184"/>
      <c r="BO133" s="184"/>
      <c r="BP133" s="86"/>
      <c r="BQ133" s="184">
        <f>AL43</f>
        <v>32.087487301587302</v>
      </c>
      <c r="BR133" s="184"/>
      <c r="BS133" s="184"/>
      <c r="BT133" s="184"/>
      <c r="BV133" s="184">
        <f>AL44</f>
        <v>7343098.0555555578</v>
      </c>
      <c r="BW133" s="184"/>
      <c r="BX133" s="184"/>
      <c r="BY133" s="184"/>
      <c r="CA133" s="187"/>
      <c r="CB133" s="187"/>
      <c r="CC133" s="187"/>
      <c r="CD133" s="187"/>
      <c r="CF133" s="8"/>
      <c r="EA133" s="1">
        <f t="shared" si="211"/>
        <v>26.6</v>
      </c>
      <c r="EB133" s="1" t="str">
        <f t="shared" si="137"/>
        <v>26.4951037737642+37.7899187986414i</v>
      </c>
      <c r="EC133" s="1" t="str">
        <f t="shared" si="138"/>
        <v>11.1379471829808+21.4405336579732i</v>
      </c>
      <c r="ED133" s="52" t="str">
        <f t="shared" si="139"/>
        <v>3.18558281183373+8.5608063789699i</v>
      </c>
      <c r="EE133" s="1" t="str">
        <f t="shared" si="140"/>
        <v>1.97274915001496+5.74145102838202i</v>
      </c>
      <c r="EF133" s="1" t="str">
        <f t="shared" si="141"/>
        <v>271039.981753378+796489.983822019i</v>
      </c>
      <c r="EH133" s="1" t="str">
        <f t="shared" si="142"/>
        <v>1.08987733223305+2.76708732388646i</v>
      </c>
      <c r="EI133" s="1" t="str">
        <f t="shared" ref="EI133:EI196" si="219">COMPLEX((($S$17/1.732)/($T$124))*COS(ATAN($AF$124)),(EL133*($S$17/1.732)/($T$124))*SIN(ATAN($AF$124)))</f>
        <v>0.0143880322809015+9.56804146679951i</v>
      </c>
      <c r="EJ133" s="1" t="str">
        <f t="shared" si="143"/>
        <v>0.651364725262152+2.20339852416118i</v>
      </c>
      <c r="EL133" s="52">
        <f t="shared" si="212"/>
        <v>26.6</v>
      </c>
      <c r="EM133" s="14">
        <f t="shared" si="144"/>
        <v>2.9739880392040186</v>
      </c>
      <c r="EN133" s="14">
        <f t="shared" si="144"/>
        <v>9.5680522848627767</v>
      </c>
      <c r="EO133" s="14">
        <f t="shared" si="144"/>
        <v>2.2976599099064914</v>
      </c>
      <c r="EQ133" s="1" t="str">
        <f t="shared" si="145"/>
        <v>0.230389159882495-0.0677306720336951i</v>
      </c>
      <c r="ER133" s="14">
        <f t="shared" si="146"/>
        <v>26.6</v>
      </c>
      <c r="ES133" s="2">
        <f t="shared" si="147"/>
        <v>0.24013872849979406</v>
      </c>
      <c r="EU133" s="1" t="str">
        <f t="shared" si="148"/>
        <v>0.769610840117503+0.0677306720336948i</v>
      </c>
      <c r="EV133" s="52">
        <f t="shared" si="149"/>
        <v>26.6</v>
      </c>
      <c r="EW133" s="2">
        <f t="shared" si="150"/>
        <v>0.77258545751295671</v>
      </c>
      <c r="HB133" s="1"/>
      <c r="JO133" s="1"/>
      <c r="JS133" s="1"/>
    </row>
    <row r="134" spans="2:279" ht="18" customHeight="1" x14ac:dyDescent="0.25">
      <c r="B134" s="6"/>
      <c r="L134" s="35" t="s">
        <v>129</v>
      </c>
      <c r="M134" s="231" t="s">
        <v>130</v>
      </c>
      <c r="N134" s="231"/>
      <c r="O134" s="231"/>
      <c r="P134" s="231"/>
      <c r="Q134" s="231"/>
      <c r="R134" s="231"/>
      <c r="S134" s="231"/>
      <c r="T134" s="231"/>
      <c r="U134" s="231"/>
      <c r="V134" s="231"/>
      <c r="AP134" s="8"/>
      <c r="AR134" s="6"/>
      <c r="AS134" s="180" t="s">
        <v>78</v>
      </c>
      <c r="AT134" s="180"/>
      <c r="AU134" s="180"/>
      <c r="AV134" s="180"/>
      <c r="AW134" s="180"/>
      <c r="AX134" s="180"/>
      <c r="AY134" s="180"/>
      <c r="AZ134" s="180"/>
      <c r="BB134" s="181">
        <f>(BB135*BB135*BB133)/1000</f>
        <v>50.034247239070801</v>
      </c>
      <c r="BC134" s="181"/>
      <c r="BD134" s="181"/>
      <c r="BE134" s="181"/>
      <c r="BF134" s="52"/>
      <c r="BG134" s="181">
        <f>(BG135*BG135*BG133)/1000</f>
        <v>22.962276436014132</v>
      </c>
      <c r="BH134" s="181"/>
      <c r="BI134" s="181"/>
      <c r="BJ134" s="181"/>
      <c r="BK134" s="52"/>
      <c r="BL134" s="181">
        <f>(BL135*BL135*BL133)/1000</f>
        <v>8.4135586396044335</v>
      </c>
      <c r="BM134" s="181"/>
      <c r="BN134" s="181"/>
      <c r="BO134" s="181"/>
      <c r="BP134" s="134"/>
      <c r="BQ134" s="181">
        <f>(BQ135*BQ135*BQ133)/1000</f>
        <v>5.8236139909982922</v>
      </c>
      <c r="BR134" s="181"/>
      <c r="BS134" s="181"/>
      <c r="BT134" s="181"/>
      <c r="BU134" s="52"/>
      <c r="BV134" s="181">
        <f>(BV135*BV135*BV133)/1000</f>
        <v>6.6787495665909463E-5</v>
      </c>
      <c r="BW134" s="181"/>
      <c r="BX134" s="181"/>
      <c r="BY134" s="181"/>
      <c r="CA134" s="173">
        <f>SUM(BV134,BQ134,BL134,BG134,BB134)</f>
        <v>87.233763093183313</v>
      </c>
      <c r="CB134" s="174"/>
      <c r="CC134" s="174"/>
      <c r="CD134" s="175"/>
      <c r="CF134" s="8"/>
      <c r="EA134" s="1">
        <f t="shared" si="211"/>
        <v>26.8</v>
      </c>
      <c r="EB134" s="1" t="str">
        <f t="shared" ref="EB134:EB197" si="220">IMSUM(IMDIV(IMPRODUCT(COMPLEX($W$40/100,$W$40*EA134),COMPLEX($AL$40,0)),IMSUM(COMPLEX($W$40/100,$W$40*EA134),COMPLEX($AL$40,0))),COMPLEX(0,-$L$40/EA134))</f>
        <v>26.770938143782+37.9197004920998i</v>
      </c>
      <c r="EC134" s="1" t="str">
        <f t="shared" ref="EC134:EC197" si="221">IMSUM(IMDIV(IMPRODUCT(COMPLEX($W$41/100,$W$41*EA134),COMPLEX($AL$41,0)),IMSUM(COMPLEX($W$41/100,$W$41*EA134),COMPLEX($AL$41,0))),COMPLEX(0,-$L$41/EA134))</f>
        <v>11.2746124442671+21.5661498726392i</v>
      </c>
      <c r="ED134" s="52" t="str">
        <f t="shared" ref="ED134:ED197" si="222">IMSUM(IMDIV(IMPRODUCT(COMPLEX($W$42/100,$W$42*EA134),COMPLEX($AL$42,0)),IMSUM(COMPLEX($W$42/100,$W$42*EA134),COMPLEX($AL$42,0))),COMPLEX(0,-$L$42/EA134))</f>
        <v>3.22952645401733+8.64122871750663i</v>
      </c>
      <c r="EE134" s="1" t="str">
        <f t="shared" ref="EE134:EE197" si="223">IMSUM(IMDIV(IMPRODUCT(COMPLEX($W$43/100,$W$43*EA134),COMPLEX($AL$43,0)),IMSUM(COMPLEX($W$43/100,$W$43*EA134),COMPLEX($AL$43,0))),COMPLEX(0,-$L$43/EA134))</f>
        <v>2.00062852581859+5.80680340419017i</v>
      </c>
      <c r="EF134" s="1" t="str">
        <f t="shared" ref="EF134:EF197" si="224">IMSUM(IMDIV(IMPRODUCT(COMPLEX($W$44/100,$W$44*EA134),COMPLEX($AL$44,0)),IMSUM(COMPLEX($W$44/100,$W$44*EA134),COMPLEX($AL$44,0))),COMPLEX(0,-$L$44/EA134))</f>
        <v>274970.342218048+810492.608077079i</v>
      </c>
      <c r="EH134" s="1" t="str">
        <f t="shared" ref="EH134:EH197" si="225">IMDIV("1",IMSUM(IMDIV("1",EB134),IMDIV("1",EC134),IMDIV("1",ED134),IMDIV("1",EE134),IMDIV("1",EF134)))</f>
        <v>1.10531990931162+2.79374042098061i</v>
      </c>
      <c r="EI134" s="1" t="str">
        <f t="shared" si="219"/>
        <v>0.0143880322809015+9.63998162820402i</v>
      </c>
      <c r="EJ134" s="1" t="str">
        <f t="shared" ref="EJ134:EJ197" si="226">IMDIV(IMPRODUCT(EH134,EI134),IMSUM(EH134,EI134))</f>
        <v>0.659902892879465+2.22416114451736i</v>
      </c>
      <c r="EL134" s="52">
        <f t="shared" si="212"/>
        <v>26.8</v>
      </c>
      <c r="EM134" s="14">
        <f t="shared" ref="EM134:EO197" si="227">IMABS(EH134)</f>
        <v>3.0044496404069689</v>
      </c>
      <c r="EN134" s="14">
        <f t="shared" si="227"/>
        <v>9.6399923655355622</v>
      </c>
      <c r="EO134" s="14">
        <f t="shared" si="227"/>
        <v>2.3199923760244254</v>
      </c>
      <c r="EQ134" s="1" t="str">
        <f t="shared" ref="EQ134:EQ197" si="228">IMDIV(EH134,IMSUM(EH134,EI134))</f>
        <v>0.230824207260231-0.0681102736558341i</v>
      </c>
      <c r="ER134" s="14">
        <f t="shared" ref="ER134:ER197" si="229">EL134</f>
        <v>26.8</v>
      </c>
      <c r="ES134" s="2">
        <f t="shared" ref="ES134:ES197" si="230">IMABS(EQ134)</f>
        <v>0.2406633001410616</v>
      </c>
      <c r="EU134" s="1" t="str">
        <f t="shared" ref="EU134:EU197" si="231">IMDIV(EI134,IMSUM(EH134,EI134))</f>
        <v>0.769175792739772+0.0681102736558342i</v>
      </c>
      <c r="EV134" s="52">
        <f t="shared" ref="EV134:EV197" si="232">ER134</f>
        <v>26.8</v>
      </c>
      <c r="EW134" s="2">
        <f t="shared" ref="EW134:EW197" si="233">IMABS(EU134)</f>
        <v>0.77218547610941846</v>
      </c>
      <c r="HB134" s="1"/>
      <c r="JO134" s="1"/>
      <c r="JS134" s="1"/>
    </row>
    <row r="135" spans="2:279" ht="18" customHeight="1" x14ac:dyDescent="0.25">
      <c r="B135" s="6"/>
      <c r="L135" s="35" t="s">
        <v>131</v>
      </c>
      <c r="M135" s="231" t="s">
        <v>132</v>
      </c>
      <c r="N135" s="231"/>
      <c r="O135" s="231"/>
      <c r="P135" s="231"/>
      <c r="Q135" s="231"/>
      <c r="R135" s="231"/>
      <c r="S135" s="231"/>
      <c r="T135" s="231"/>
      <c r="U135" s="231"/>
      <c r="V135" s="231"/>
      <c r="AP135" s="8"/>
      <c r="AR135" s="6"/>
      <c r="AS135" s="180" t="s">
        <v>579</v>
      </c>
      <c r="AT135" s="180"/>
      <c r="AU135" s="180"/>
      <c r="AV135" s="180"/>
      <c r="AW135" s="180"/>
      <c r="AX135" s="180"/>
      <c r="AY135" s="180"/>
      <c r="AZ135" s="180"/>
      <c r="BB135" s="181">
        <f>$AM$46*P90</f>
        <v>24.065976273467054</v>
      </c>
      <c r="BC135" s="181"/>
      <c r="BD135" s="181"/>
      <c r="BE135" s="181"/>
      <c r="BF135" s="52"/>
      <c r="BG135" s="181">
        <f>$AM$46*R90</f>
        <v>19.486249080211518</v>
      </c>
      <c r="BH135" s="181"/>
      <c r="BI135" s="181"/>
      <c r="BJ135" s="181"/>
      <c r="BK135" s="52"/>
      <c r="BL135" s="181">
        <f>$AM$46*T90</f>
        <v>14.877615269906993</v>
      </c>
      <c r="BM135" s="181"/>
      <c r="BN135" s="181"/>
      <c r="BO135" s="181"/>
      <c r="BP135" s="134"/>
      <c r="BQ135" s="181">
        <f>$AM$46*V90</f>
        <v>13.471887126721832</v>
      </c>
      <c r="BR135" s="181"/>
      <c r="BS135" s="181"/>
      <c r="BT135" s="181"/>
      <c r="BU135" s="52"/>
      <c r="BV135" s="181">
        <f>$AM$46*X90</f>
        <v>9.5369150838870502E-5</v>
      </c>
      <c r="BW135" s="181"/>
      <c r="BX135" s="181"/>
      <c r="BY135" s="181"/>
      <c r="CA135" s="173">
        <f>SUM(BV135,BQ135,BL135,BG135,BB135)</f>
        <v>71.901823119458243</v>
      </c>
      <c r="CB135" s="174"/>
      <c r="CC135" s="174"/>
      <c r="CD135" s="175"/>
      <c r="CF135" s="8"/>
      <c r="EA135" s="1">
        <f t="shared" si="211"/>
        <v>27</v>
      </c>
      <c r="EB135" s="1" t="str">
        <f t="shared" si="220"/>
        <v>27.046281307351+38.0468315986173i</v>
      </c>
      <c r="EC135" s="1" t="str">
        <f t="shared" si="221"/>
        <v>11.4115378458372+21.6904447529138i</v>
      </c>
      <c r="ED135" s="52" t="str">
        <f t="shared" si="222"/>
        <v>3.27368725782703+8.72116748046181i</v>
      </c>
      <c r="EE135" s="1" t="str">
        <f t="shared" si="223"/>
        <v>2.0286645832135+5.8717911689608i</v>
      </c>
      <c r="EF135" s="1" t="str">
        <f t="shared" si="224"/>
        <v>278925.728181644+824413.849680533i</v>
      </c>
      <c r="EH135" s="1" t="str">
        <f t="shared" si="225"/>
        <v>1.12083556193843+2.82020108017536i</v>
      </c>
      <c r="EI135" s="1" t="str">
        <f t="shared" si="219"/>
        <v>0.0143880322809015+9.71192178960852i</v>
      </c>
      <c r="EJ135" s="1" t="str">
        <f t="shared" si="226"/>
        <v>0.66849598481285+2.24481824909456i</v>
      </c>
      <c r="EL135" s="52">
        <f t="shared" si="212"/>
        <v>27</v>
      </c>
      <c r="EM135" s="14">
        <f t="shared" si="227"/>
        <v>3.0347662989970257</v>
      </c>
      <c r="EN135" s="14">
        <f t="shared" si="227"/>
        <v>9.7119324474043616</v>
      </c>
      <c r="EO135" s="14">
        <f t="shared" si="227"/>
        <v>2.3422416299730626</v>
      </c>
      <c r="EQ135" s="1" t="str">
        <f t="shared" si="228"/>
        <v>0.231241945014206-0.0684899325440411i</v>
      </c>
      <c r="ER135" s="14">
        <f t="shared" si="229"/>
        <v>27</v>
      </c>
      <c r="ES135" s="2">
        <f t="shared" si="230"/>
        <v>0.24117153230396074</v>
      </c>
      <c r="EU135" s="1" t="str">
        <f t="shared" si="231"/>
        <v>0.768758054985792+0.0684899325440408i</v>
      </c>
      <c r="EV135" s="52">
        <f t="shared" si="232"/>
        <v>27</v>
      </c>
      <c r="EW135" s="2">
        <f t="shared" si="233"/>
        <v>0.77180296576615015</v>
      </c>
      <c r="HB135" s="1"/>
      <c r="JO135" s="1"/>
      <c r="JS135" s="1"/>
    </row>
    <row r="136" spans="2:279" ht="18" customHeight="1" x14ac:dyDescent="0.25">
      <c r="B136" s="6"/>
      <c r="L136" s="35" t="s">
        <v>430</v>
      </c>
      <c r="M136" s="231" t="s">
        <v>134</v>
      </c>
      <c r="N136" s="231"/>
      <c r="O136" s="231"/>
      <c r="P136" s="231"/>
      <c r="Q136" s="231"/>
      <c r="R136" s="231"/>
      <c r="S136" s="231"/>
      <c r="T136" s="231"/>
      <c r="U136" s="231"/>
      <c r="V136" s="231"/>
      <c r="AP136" s="8"/>
      <c r="AR136" s="6"/>
      <c r="AS136" s="180" t="s">
        <v>117</v>
      </c>
      <c r="AT136" s="180"/>
      <c r="AU136" s="180"/>
      <c r="AV136" s="180"/>
      <c r="AW136" s="180"/>
      <c r="AX136" s="180"/>
      <c r="AY136" s="180"/>
      <c r="AZ136" s="180"/>
      <c r="BB136" s="156">
        <v>3</v>
      </c>
      <c r="BC136" s="156"/>
      <c r="BD136" s="156"/>
      <c r="BE136" s="156"/>
      <c r="BG136" s="156">
        <v>3</v>
      </c>
      <c r="BH136" s="156"/>
      <c r="BI136" s="156"/>
      <c r="BJ136" s="156"/>
      <c r="BL136" s="156">
        <v>3</v>
      </c>
      <c r="BM136" s="156"/>
      <c r="BN136" s="156"/>
      <c r="BO136" s="156"/>
      <c r="BQ136" s="156">
        <v>3</v>
      </c>
      <c r="BR136" s="156"/>
      <c r="BS136" s="156"/>
      <c r="BT136" s="156"/>
      <c r="BV136" s="156">
        <v>3</v>
      </c>
      <c r="BW136" s="156"/>
      <c r="BX136" s="156"/>
      <c r="BY136" s="156"/>
      <c r="CF136" s="8"/>
      <c r="EA136" s="1">
        <f t="shared" si="211"/>
        <v>27.2</v>
      </c>
      <c r="EB136" s="1" t="str">
        <f t="shared" si="220"/>
        <v>27.3211118061466+38.171339022775i</v>
      </c>
      <c r="EC136" s="1" t="str">
        <f t="shared" si="221"/>
        <v>11.5487127454808+21.8134255315336i</v>
      </c>
      <c r="ED136" s="52" t="str">
        <f t="shared" si="222"/>
        <v>3.31806314815088+8.80062662058349i</v>
      </c>
      <c r="EE136" s="1" t="str">
        <f t="shared" si="223"/>
        <v>2.05685630243703+5.93641846611694i</v>
      </c>
      <c r="EF136" s="1" t="str">
        <f t="shared" si="224"/>
        <v>282906.048311151+838255.047139292i</v>
      </c>
      <c r="EH136" s="1" t="str">
        <f t="shared" si="225"/>
        <v>1.13642334493324+2.84647141296759i</v>
      </c>
      <c r="EI136" s="1" t="str">
        <f t="shared" si="219"/>
        <v>0.0143880322809015+9.78386195101303i</v>
      </c>
      <c r="EJ136" s="1" t="str">
        <f t="shared" si="226"/>
        <v>0.677143566120861+2.26537147924415i</v>
      </c>
      <c r="EL136" s="52">
        <f t="shared" si="212"/>
        <v>27.2</v>
      </c>
      <c r="EM136" s="14">
        <f t="shared" si="227"/>
        <v>3.0649400522279326</v>
      </c>
      <c r="EN136" s="14">
        <f t="shared" si="227"/>
        <v>9.783872530442812</v>
      </c>
      <c r="EO136" s="14">
        <f t="shared" si="227"/>
        <v>2.3644093021538604</v>
      </c>
      <c r="EQ136" s="1" t="str">
        <f t="shared" si="228"/>
        <v>0.231642922667026-0.0688696021719848i</v>
      </c>
      <c r="ER136" s="14">
        <f t="shared" si="229"/>
        <v>27.2</v>
      </c>
      <c r="ES136" s="2">
        <f t="shared" si="230"/>
        <v>0.24166395205956809</v>
      </c>
      <c r="EU136" s="1" t="str">
        <f t="shared" si="231"/>
        <v>0.768357077332975+0.0688696021719848i</v>
      </c>
      <c r="EV136" s="52">
        <f t="shared" si="232"/>
        <v>27.2</v>
      </c>
      <c r="EW136" s="2">
        <f t="shared" si="233"/>
        <v>0.77143737295453796</v>
      </c>
      <c r="HB136" s="1"/>
      <c r="JO136" s="1"/>
      <c r="JS136" s="1"/>
    </row>
    <row r="137" spans="2:279" ht="18" customHeight="1" x14ac:dyDescent="0.25">
      <c r="B137" s="6"/>
      <c r="L137" s="35" t="s">
        <v>136</v>
      </c>
      <c r="M137" s="231" t="s">
        <v>137</v>
      </c>
      <c r="N137" s="231"/>
      <c r="O137" s="231"/>
      <c r="P137" s="231"/>
      <c r="Q137" s="231"/>
      <c r="R137" s="231"/>
      <c r="S137" s="231"/>
      <c r="T137" s="231"/>
      <c r="U137" s="231"/>
      <c r="V137" s="231"/>
      <c r="AP137" s="8"/>
      <c r="AR137" s="6"/>
      <c r="CF137" s="8"/>
      <c r="EA137" s="1">
        <f t="shared" si="211"/>
        <v>27.4</v>
      </c>
      <c r="EB137" s="1" t="str">
        <f t="shared" si="220"/>
        <v>27.5954086806953+38.2932496120501i</v>
      </c>
      <c r="EC137" s="1" t="str">
        <f t="shared" si="221"/>
        <v>11.6861265884349+21.9350994088166i</v>
      </c>
      <c r="ED137" s="52" t="str">
        <f t="shared" si="222"/>
        <v>3.36265204827666+8.8796099700708i</v>
      </c>
      <c r="EE137" s="1" t="str">
        <f t="shared" si="223"/>
        <v>2.08520266107594+6.00068930804427i</v>
      </c>
      <c r="EF137" s="1" t="str">
        <f t="shared" si="224"/>
        <v>286911.210856767+852017.497810875i</v>
      </c>
      <c r="EH137" s="1" t="str">
        <f t="shared" si="225"/>
        <v>1.15208232043656+2.87255345540184i</v>
      </c>
      <c r="EI137" s="1" t="str">
        <f t="shared" si="219"/>
        <v>0.0143880322809015+9.85580211241754i</v>
      </c>
      <c r="EJ137" s="1" t="str">
        <f t="shared" si="226"/>
        <v>0.685845209714184+2.28582240375254i</v>
      </c>
      <c r="EL137" s="52">
        <f t="shared" si="212"/>
        <v>27.4</v>
      </c>
      <c r="EM137" s="14">
        <f t="shared" si="227"/>
        <v>3.0949728637265204</v>
      </c>
      <c r="EN137" s="14">
        <f t="shared" si="227"/>
        <v>9.8558126146252896</v>
      </c>
      <c r="EO137" s="14">
        <f t="shared" si="227"/>
        <v>2.3864969543632215</v>
      </c>
      <c r="EQ137" s="1" t="str">
        <f t="shared" si="228"/>
        <v>0.232027666337376-0.0692492382026374i</v>
      </c>
      <c r="ER137" s="14">
        <f t="shared" si="229"/>
        <v>27.4</v>
      </c>
      <c r="ES137" s="2">
        <f t="shared" si="230"/>
        <v>0.24214106412918548</v>
      </c>
      <c r="EU137" s="1" t="str">
        <f t="shared" si="231"/>
        <v>0.767972333662622+0.0692492382026371i</v>
      </c>
      <c r="EV137" s="52">
        <f t="shared" si="232"/>
        <v>27.4</v>
      </c>
      <c r="EW137" s="2">
        <f t="shared" si="233"/>
        <v>0.7710881676325082</v>
      </c>
      <c r="HB137" s="1"/>
      <c r="JO137" s="1"/>
      <c r="JS137" s="1"/>
    </row>
    <row r="138" spans="2:279" ht="18" customHeight="1" x14ac:dyDescent="0.25">
      <c r="B138" s="6"/>
      <c r="L138" s="35" t="s">
        <v>138</v>
      </c>
      <c r="M138" s="231" t="s">
        <v>139</v>
      </c>
      <c r="N138" s="231"/>
      <c r="O138" s="231"/>
      <c r="P138" s="231"/>
      <c r="Q138" s="231"/>
      <c r="R138" s="231"/>
      <c r="S138" s="231"/>
      <c r="T138" s="231"/>
      <c r="U138" s="231"/>
      <c r="V138" s="231"/>
      <c r="AP138" s="8"/>
      <c r="AR138" s="6"/>
      <c r="AS138" s="1" t="s">
        <v>640</v>
      </c>
      <c r="AT138" s="130" t="str">
        <f>"RMS current ratings specified above have an engineering margin of: "&amp;TEXT(AM46-1,"0%")</f>
        <v>RMS current ratings specified above have an engineering margin of: 50%</v>
      </c>
      <c r="CF138" s="8"/>
      <c r="EA138" s="1">
        <f t="shared" si="211"/>
        <v>27.6</v>
      </c>
      <c r="EB138" s="1" t="str">
        <f t="shared" si="220"/>
        <v>27.8691514660281+38.4125901525848i</v>
      </c>
      <c r="EC138" s="1" t="str">
        <f t="shared" si="221"/>
        <v>11.8237689083339+22.055473555765i</v>
      </c>
      <c r="ED138" s="52" t="str">
        <f t="shared" si="222"/>
        <v>3.40745188009736+8.95812124559708i</v>
      </c>
      <c r="EE138" s="1" t="str">
        <f t="shared" si="223"/>
        <v>2.11370263414945+6.0646075811518i</v>
      </c>
      <c r="EF138" s="1" t="str">
        <f t="shared" si="224"/>
        <v>290941.123656898+865702.459418977i</v>
      </c>
      <c r="EH138" s="1" t="str">
        <f t="shared" si="225"/>
        <v>1.16781155751179+2.89844917189354i</v>
      </c>
      <c r="EI138" s="1" t="str">
        <f t="shared" si="219"/>
        <v>0.0143880322809015+9.92774227382205i</v>
      </c>
      <c r="EJ138" s="1" t="str">
        <f t="shared" si="226"/>
        <v>0.694600495788929+2.30617252271067i</v>
      </c>
      <c r="EL138" s="52">
        <f t="shared" si="212"/>
        <v>27.6</v>
      </c>
      <c r="EM138" s="14">
        <f t="shared" si="227"/>
        <v>3.1248666268992125</v>
      </c>
      <c r="EN138" s="14">
        <f t="shared" si="227"/>
        <v>9.9277526999269234</v>
      </c>
      <c r="EO138" s="14">
        <f t="shared" si="227"/>
        <v>2.4085060832922802</v>
      </c>
      <c r="EQ138" s="1" t="str">
        <f t="shared" si="228"/>
        <v>0.23239667997755-0.0696287983500718i</v>
      </c>
      <c r="ER138" s="14">
        <f t="shared" si="229"/>
        <v>27.6</v>
      </c>
      <c r="ES138" s="2">
        <f t="shared" si="230"/>
        <v>0.24260335204663339</v>
      </c>
      <c r="EU138" s="1" t="str">
        <f t="shared" si="231"/>
        <v>0.76760332002245+0.0696287983500716i</v>
      </c>
      <c r="EV138" s="52">
        <f t="shared" si="232"/>
        <v>27.6</v>
      </c>
      <c r="EW138" s="2">
        <f t="shared" si="233"/>
        <v>0.77075484200176314</v>
      </c>
      <c r="HB138" s="1"/>
      <c r="JO138" s="1"/>
      <c r="JS138" s="1"/>
    </row>
    <row r="139" spans="2:279" ht="18" customHeight="1" x14ac:dyDescent="0.25">
      <c r="B139" s="6"/>
      <c r="L139" s="35" t="s">
        <v>431</v>
      </c>
      <c r="M139" s="231" t="s">
        <v>141</v>
      </c>
      <c r="N139" s="231"/>
      <c r="O139" s="231"/>
      <c r="P139" s="231"/>
      <c r="Q139" s="231"/>
      <c r="R139" s="231"/>
      <c r="S139" s="231"/>
      <c r="T139" s="231"/>
      <c r="U139" s="231"/>
      <c r="V139" s="231"/>
      <c r="AP139" s="8"/>
      <c r="AR139" s="6"/>
      <c r="CF139" s="8"/>
      <c r="EA139" s="1">
        <f t="shared" si="211"/>
        <v>27.8</v>
      </c>
      <c r="EB139" s="1" t="str">
        <f t="shared" si="220"/>
        <v>28.1423201872025+38.529387364947i</v>
      </c>
      <c r="EC139" s="1" t="str">
        <f t="shared" si="221"/>
        <v>11.9616293281162+22.1745551169467i</v>
      </c>
      <c r="ED139" s="52" t="str">
        <f t="shared" si="222"/>
        <v>3.45246056431529+9.03616405311142i</v>
      </c>
      <c r="EE139" s="1" t="str">
        <f t="shared" si="223"/>
        <v>2.14235519419214+6.12817705071328i</v>
      </c>
      <c r="EF139" s="1" t="str">
        <f t="shared" si="224"/>
        <v>294995.694143146+879311.151503544i</v>
      </c>
      <c r="EH139" s="1" t="str">
        <f t="shared" si="225"/>
        <v>1.1836101317859+2.92416045882865i</v>
      </c>
      <c r="EI139" s="1" t="str">
        <f t="shared" si="219"/>
        <v>0.0143880322809015+9.99968243522656i</v>
      </c>
      <c r="EJ139" s="1" t="str">
        <f t="shared" si="226"/>
        <v>0.703409011306223+2.32642327113956i</v>
      </c>
      <c r="EL139" s="52">
        <f t="shared" si="212"/>
        <v>27.8</v>
      </c>
      <c r="EM139" s="14">
        <f t="shared" si="227"/>
        <v>3.1546231681522934</v>
      </c>
      <c r="EN139" s="14">
        <f t="shared" si="227"/>
        <v>9.9996927863235641</v>
      </c>
      <c r="EO139" s="14">
        <f t="shared" si="227"/>
        <v>2.4304381238135826</v>
      </c>
      <c r="EQ139" s="1" t="str">
        <f t="shared" si="228"/>
        <v>0.232750446533183-0.0700082422519701i</v>
      </c>
      <c r="ER139" s="14">
        <f t="shared" si="229"/>
        <v>27.8</v>
      </c>
      <c r="ES139" s="2">
        <f t="shared" si="230"/>
        <v>0.24305127924906425</v>
      </c>
      <c r="EU139" s="1" t="str">
        <f t="shared" si="231"/>
        <v>0.767249553466818+0.0700082422519701i</v>
      </c>
      <c r="EV139" s="52">
        <f t="shared" si="232"/>
        <v>27.8</v>
      </c>
      <c r="EW139" s="2">
        <f t="shared" si="233"/>
        <v>0.770436909343161</v>
      </c>
      <c r="HB139" s="1"/>
      <c r="JO139" s="1"/>
      <c r="JS139" s="1"/>
    </row>
    <row r="140" spans="2:279" ht="18" customHeight="1" x14ac:dyDescent="0.25">
      <c r="B140" s="6"/>
      <c r="L140" s="35" t="s">
        <v>142</v>
      </c>
      <c r="M140" s="231" t="s">
        <v>143</v>
      </c>
      <c r="N140" s="231"/>
      <c r="O140" s="231"/>
      <c r="P140" s="231"/>
      <c r="Q140" s="231"/>
      <c r="R140" s="231"/>
      <c r="S140" s="231"/>
      <c r="T140" s="231"/>
      <c r="U140" s="231"/>
      <c r="V140" s="231"/>
      <c r="AP140" s="8"/>
      <c r="AR140" s="6"/>
      <c r="AT140" s="15"/>
      <c r="CF140" s="8"/>
      <c r="EA140" s="1">
        <f t="shared" si="211"/>
        <v>28</v>
      </c>
      <c r="EB140" s="1" t="str">
        <f t="shared" si="220"/>
        <v>28.4148953547022+38.6436678998996i</v>
      </c>
      <c r="EC140" s="1" t="str">
        <f t="shared" si="221"/>
        <v>12.0996975608893+22.2923512131694i</v>
      </c>
      <c r="ED140" s="52" t="str">
        <f t="shared" si="222"/>
        <v>3.49767602064469+9.11374189243041i</v>
      </c>
      <c r="EE140" s="1" t="str">
        <f t="shared" si="223"/>
        <v>2.17115931133649+6.19140136550046i</v>
      </c>
      <c r="EF140" s="1" t="str">
        <f t="shared" si="224"/>
        <v>299074.829345313+892844.75680874i</v>
      </c>
      <c r="EH140" s="1" t="str">
        <f t="shared" si="225"/>
        <v>1.19947712512462+2.94968914795515i</v>
      </c>
      <c r="EI140" s="1" t="str">
        <f t="shared" si="219"/>
        <v>0.0143880322809015+10.0716225966311i</v>
      </c>
      <c r="EJ140" s="1" t="str">
        <f t="shared" si="226"/>
        <v>0.712270349513749+2.3465760223902i</v>
      </c>
      <c r="EL140" s="52">
        <f t="shared" si="212"/>
        <v>28</v>
      </c>
      <c r="EM140" s="14">
        <f t="shared" si="227"/>
        <v>3.1842442499377461</v>
      </c>
      <c r="EN140" s="14">
        <f t="shared" si="227"/>
        <v>10.071632873791771</v>
      </c>
      <c r="EO140" s="14">
        <f t="shared" si="227"/>
        <v>2.4522944520699488</v>
      </c>
      <c r="EQ140" s="1" t="str">
        <f t="shared" si="228"/>
        <v>0.233089429030901-0.0703875313518645i</v>
      </c>
      <c r="ER140" s="14">
        <f t="shared" si="229"/>
        <v>28</v>
      </c>
      <c r="ES140" s="2">
        <f t="shared" si="230"/>
        <v>0.24348529010139636</v>
      </c>
      <c r="EU140" s="1" t="str">
        <f t="shared" si="231"/>
        <v>0.766910570969102+0.0703875313518647i</v>
      </c>
      <c r="EV140" s="52">
        <f t="shared" si="232"/>
        <v>28</v>
      </c>
      <c r="EW140" s="2">
        <f t="shared" si="233"/>
        <v>0.77013390292465622</v>
      </c>
      <c r="HB140" s="1"/>
      <c r="JO140" s="1"/>
      <c r="JS140" s="1"/>
    </row>
    <row r="141" spans="2:279" ht="18" customHeight="1" x14ac:dyDescent="0.25">
      <c r="B141" s="6"/>
      <c r="AP141" s="8"/>
      <c r="AR141" s="6"/>
      <c r="CF141" s="8"/>
      <c r="EA141" s="1">
        <f t="shared" si="211"/>
        <v>28.2</v>
      </c>
      <c r="EB141" s="1" t="str">
        <f t="shared" si="220"/>
        <v>28.6868579597205+38.7554583341834i</v>
      </c>
      <c r="EC141" s="1" t="str">
        <f t="shared" si="221"/>
        <v>12.2379634107521+22.4088689439561i</v>
      </c>
      <c r="ED141" s="52" t="str">
        <f t="shared" si="222"/>
        <v>3.54309616801325+9.1908581616297i</v>
      </c>
      <c r="EE141" s="1" t="str">
        <f t="shared" si="223"/>
        <v>2.20011395339534+6.25428406221825i</v>
      </c>
      <c r="EF141" s="1" t="str">
        <f t="shared" si="224"/>
        <v>303178.43589639+906304.42261195i</v>
      </c>
      <c r="EH141" s="1" t="str">
        <f t="shared" si="225"/>
        <v>1.21541162533924+2.97503700958061i</v>
      </c>
      <c r="EI141" s="1" t="str">
        <f t="shared" si="219"/>
        <v>0.0143880322809015+10.1435627580356i</v>
      </c>
      <c r="EJ141" s="1" t="str">
        <f t="shared" si="226"/>
        <v>0.721184109505679+2.36663209133426i</v>
      </c>
      <c r="EL141" s="52">
        <f t="shared" si="212"/>
        <v>28.2</v>
      </c>
      <c r="EM141" s="14">
        <f t="shared" si="227"/>
        <v>3.213731573635874</v>
      </c>
      <c r="EN141" s="14">
        <f t="shared" si="227"/>
        <v>10.14357296230868</v>
      </c>
      <c r="EO141" s="14">
        <f t="shared" si="227"/>
        <v>2.4740763883794434</v>
      </c>
      <c r="EQ141" s="1" t="str">
        <f t="shared" si="228"/>
        <v>0.233414071599063-0.0707666287902679i</v>
      </c>
      <c r="ER141" s="14">
        <f t="shared" si="229"/>
        <v>28.2</v>
      </c>
      <c r="ES141" s="2">
        <f t="shared" si="230"/>
        <v>0.24390581085901189</v>
      </c>
      <c r="EU141" s="1" t="str">
        <f t="shared" si="231"/>
        <v>0.766585928400938+0.0707666287902678i</v>
      </c>
      <c r="EV141" s="52">
        <f t="shared" si="232"/>
        <v>28.2</v>
      </c>
      <c r="EW141" s="2">
        <f t="shared" si="233"/>
        <v>0.76984537497647376</v>
      </c>
      <c r="HB141" s="1"/>
      <c r="JO141" s="1"/>
      <c r="JS141" s="1"/>
    </row>
    <row r="142" spans="2:279" ht="18" customHeight="1" x14ac:dyDescent="0.25">
      <c r="B142" s="6"/>
      <c r="C142" s="135" t="s">
        <v>638</v>
      </c>
      <c r="D142" s="230" t="str">
        <f>"Harmonic currents specified have an engineering margin of: "&amp;TEXT(T46-1,"0%")&amp;". The Fundamental current rating has an engineering margin of: "&amp;TEXT(T45-1,"0%")</f>
        <v>Harmonic currents specified have an engineering margin of: 50%. The Fundamental current rating has an engineering margin of: 50%</v>
      </c>
      <c r="E142" s="230"/>
      <c r="F142" s="230"/>
      <c r="G142" s="230"/>
      <c r="H142" s="230"/>
      <c r="I142" s="230"/>
      <c r="J142" s="230"/>
      <c r="K142" s="230"/>
      <c r="L142" s="230"/>
      <c r="M142" s="230"/>
      <c r="N142" s="230"/>
      <c r="O142" s="230"/>
      <c r="P142" s="230"/>
      <c r="Q142" s="230"/>
      <c r="R142" s="230"/>
      <c r="S142" s="230"/>
      <c r="T142" s="230"/>
      <c r="U142" s="230"/>
      <c r="V142" s="230"/>
      <c r="W142" s="230"/>
      <c r="X142" s="230"/>
      <c r="Y142" s="230"/>
      <c r="Z142" s="230"/>
      <c r="AA142" s="230"/>
      <c r="AB142" s="230"/>
      <c r="AC142" s="230"/>
      <c r="AD142" s="230"/>
      <c r="AE142" s="230"/>
      <c r="AF142" s="230"/>
      <c r="AG142" s="230"/>
      <c r="AH142" s="230"/>
      <c r="AI142" s="230"/>
      <c r="AJ142" s="230"/>
      <c r="AK142" s="230"/>
      <c r="AL142" s="230"/>
      <c r="AM142" s="230"/>
      <c r="AN142" s="230"/>
      <c r="AO142" s="230"/>
      <c r="AP142" s="8"/>
      <c r="AR142" s="6"/>
      <c r="CF142" s="8"/>
      <c r="EA142" s="1">
        <f t="shared" si="211"/>
        <v>28.4</v>
      </c>
      <c r="EB142" s="1" t="str">
        <f t="shared" si="220"/>
        <v>28.9581894693348+38.8647851663253i</v>
      </c>
      <c r="EC142" s="1" t="str">
        <f t="shared" si="221"/>
        <v>12.3764167735759+22.5241153898351i</v>
      </c>
      <c r="ED142" s="52" t="str">
        <f t="shared" si="222"/>
        <v>3.58871892476155+9.26751616124563i</v>
      </c>
      <c r="EE142" s="1" t="str">
        <f t="shared" si="223"/>
        <v>2.22921808594406+6.31682856975166i</v>
      </c>
      <c r="EF142" s="1" t="str">
        <f t="shared" si="224"/>
        <v>307306.420037608+919691.261996616i</v>
      </c>
      <c r="EH142" s="1" t="str">
        <f t="shared" si="225"/>
        <v>1.23141272592181+3.00020575558914i</v>
      </c>
      <c r="EI142" s="1" t="str">
        <f t="shared" si="219"/>
        <v>0.0143880322809015+10.2155029194401i</v>
      </c>
      <c r="EJ142" s="1" t="str">
        <f t="shared" si="226"/>
        <v>0.730149895817387+2.38659273736082i</v>
      </c>
      <c r="EL142" s="52">
        <f t="shared" si="212"/>
        <v>28.4</v>
      </c>
      <c r="EM142" s="14">
        <f t="shared" si="227"/>
        <v>3.2430867822851099</v>
      </c>
      <c r="EN142" s="14">
        <f t="shared" si="227"/>
        <v>10.215513051852174</v>
      </c>
      <c r="EO142" s="14">
        <f t="shared" si="227"/>
        <v>2.4957851999692506</v>
      </c>
      <c r="EQ142" s="1" t="str">
        <f t="shared" si="228"/>
        <v>0.2337248004264-0.0711454993038991i</v>
      </c>
      <c r="ER142" s="14">
        <f t="shared" si="229"/>
        <v>28.4</v>
      </c>
      <c r="ES142" s="2">
        <f t="shared" si="230"/>
        <v>0.24431325057303305</v>
      </c>
      <c r="EU142" s="1" t="str">
        <f t="shared" si="231"/>
        <v>0.766275199573603+0.0711454993038993i</v>
      </c>
      <c r="EV142" s="52">
        <f t="shared" si="232"/>
        <v>28.4</v>
      </c>
      <c r="EW142" s="2">
        <f t="shared" si="233"/>
        <v>0.76957089572876014</v>
      </c>
      <c r="HB142" s="1"/>
      <c r="JO142" s="1"/>
      <c r="JS142" s="1"/>
    </row>
    <row r="143" spans="2:279" ht="18" customHeight="1" x14ac:dyDescent="0.25">
      <c r="B143" s="6"/>
      <c r="D143" s="230"/>
      <c r="E143" s="230"/>
      <c r="F143" s="230"/>
      <c r="G143" s="230"/>
      <c r="H143" s="230"/>
      <c r="I143" s="230"/>
      <c r="J143" s="230"/>
      <c r="K143" s="230"/>
      <c r="L143" s="230"/>
      <c r="M143" s="230"/>
      <c r="N143" s="230"/>
      <c r="O143" s="230"/>
      <c r="P143" s="230"/>
      <c r="Q143" s="230"/>
      <c r="R143" s="230"/>
      <c r="S143" s="230"/>
      <c r="T143" s="230"/>
      <c r="U143" s="230"/>
      <c r="V143" s="230"/>
      <c r="W143" s="230"/>
      <c r="X143" s="230"/>
      <c r="Y143" s="230"/>
      <c r="Z143" s="230"/>
      <c r="AA143" s="230"/>
      <c r="AB143" s="230"/>
      <c r="AC143" s="230"/>
      <c r="AD143" s="230"/>
      <c r="AE143" s="230"/>
      <c r="AF143" s="230"/>
      <c r="AG143" s="230"/>
      <c r="AH143" s="230"/>
      <c r="AI143" s="230"/>
      <c r="AJ143" s="230"/>
      <c r="AK143" s="230"/>
      <c r="AL143" s="230"/>
      <c r="AM143" s="230"/>
      <c r="AN143" s="230"/>
      <c r="AO143" s="230"/>
      <c r="AP143" s="8"/>
      <c r="AR143" s="6"/>
      <c r="CF143" s="8"/>
      <c r="EA143" s="1">
        <f t="shared" si="211"/>
        <v>28.6</v>
      </c>
      <c r="EB143" s="1" t="str">
        <f t="shared" si="220"/>
        <v>29.2288718215792+38.9716748124803i</v>
      </c>
      <c r="EC143" s="1" t="str">
        <f t="shared" si="221"/>
        <v>12.5150476377433+22.6380976144523i</v>
      </c>
      <c r="ED143" s="52" t="str">
        <f t="shared" si="222"/>
        <v>3.63454220884162+9.34371909829586i</v>
      </c>
      <c r="EE143" s="1" t="str">
        <f t="shared" si="223"/>
        <v>2.25847067240244+6.37903821323364i</v>
      </c>
      <c r="EF143" s="1" t="str">
        <f t="shared" si="224"/>
        <v>311458.687623428+933006.355071727i</v>
      </c>
      <c r="EH143" s="1" t="str">
        <f t="shared" si="225"/>
        <v>1.24747952580633+3.02519704228958i</v>
      </c>
      <c r="EI143" s="1" t="str">
        <f t="shared" si="219"/>
        <v>0.0143880322809015+10.2874430808446i</v>
      </c>
      <c r="EJ143" s="1" t="str">
        <f t="shared" si="226"/>
        <v>0.73916731805211+2.40645916719278i</v>
      </c>
      <c r="EL143" s="52">
        <f t="shared" si="212"/>
        <v>28.6</v>
      </c>
      <c r="EM143" s="14">
        <f t="shared" si="227"/>
        <v>3.2723114631684451</v>
      </c>
      <c r="EN143" s="14">
        <f t="shared" si="227"/>
        <v>10.287453142400716</v>
      </c>
      <c r="EO143" s="14">
        <f t="shared" si="227"/>
        <v>2.5174221035500817</v>
      </c>
      <c r="EQ143" s="1" t="str">
        <f t="shared" si="228"/>
        <v>0.234022024662924-0.0715241091323158i</v>
      </c>
      <c r="ER143" s="14">
        <f t="shared" si="229"/>
        <v>28.6</v>
      </c>
      <c r="ES143" s="2">
        <f t="shared" si="230"/>
        <v>0.24470800194212208</v>
      </c>
      <c r="EU143" s="1" t="str">
        <f t="shared" si="231"/>
        <v>0.765977975337075+0.0715241091323156i</v>
      </c>
      <c r="EV143" s="52">
        <f t="shared" si="232"/>
        <v>28.6</v>
      </c>
      <c r="EW143" s="2">
        <f t="shared" si="233"/>
        <v>0.7693100525072164</v>
      </c>
      <c r="HB143" s="1"/>
      <c r="JO143" s="1"/>
      <c r="JS143" s="1"/>
    </row>
    <row r="144" spans="2:279" ht="18" customHeight="1" x14ac:dyDescent="0.25">
      <c r="B144" s="6"/>
      <c r="AP144" s="8"/>
      <c r="AR144" s="6"/>
      <c r="CF144" s="8"/>
      <c r="EA144" s="1">
        <f t="shared" si="211"/>
        <v>28.8</v>
      </c>
      <c r="EB144" s="1" t="str">
        <f t="shared" si="220"/>
        <v>29.4988874204217+39.0761536023135i</v>
      </c>
      <c r="EC144" s="1" t="str">
        <f t="shared" si="221"/>
        <v>12.6538460848486+22.7508226665175i</v>
      </c>
      <c r="ED144" s="52" t="str">
        <f t="shared" si="222"/>
        <v>3.68056393801364+9.4194700901282i</v>
      </c>
      <c r="EE144" s="1" t="str">
        <f t="shared" si="223"/>
        <v>2.28787067411637+6.44091621794265i</v>
      </c>
      <c r="EF144" s="1" t="str">
        <f t="shared" si="224"/>
        <v>315635.144126592+946250.750140513i</v>
      </c>
      <c r="EH144" s="1" t="str">
        <f t="shared" si="225"/>
        <v>1.26361112915346+3.05001247310623i</v>
      </c>
      <c r="EI144" s="1" t="str">
        <f t="shared" si="219"/>
        <v>0.0143880322809015+10.3593832422491i</v>
      </c>
      <c r="EJ144" s="1" t="str">
        <f t="shared" si="226"/>
        <v>0.748235990536605+2.42623253753604i</v>
      </c>
      <c r="EL144" s="52">
        <f t="shared" si="212"/>
        <v>28.8</v>
      </c>
      <c r="EM144" s="14">
        <f t="shared" si="227"/>
        <v>3.3014071502654838</v>
      </c>
      <c r="EN144" s="14">
        <f t="shared" si="227"/>
        <v>10.359393233933366</v>
      </c>
      <c r="EO144" s="14">
        <f t="shared" si="227"/>
        <v>2.5389882677422646</v>
      </c>
      <c r="EQ144" s="1" t="str">
        <f t="shared" si="228"/>
        <v>0.234306137267149-0.0719024259313219i</v>
      </c>
      <c r="ER144" s="14">
        <f t="shared" si="229"/>
        <v>28.8</v>
      </c>
      <c r="ES144" s="2">
        <f t="shared" si="230"/>
        <v>0.24509044211445968</v>
      </c>
      <c r="EU144" s="1" t="str">
        <f t="shared" si="231"/>
        <v>0.765693862732853+0.071902425931322i</v>
      </c>
      <c r="EV144" s="52">
        <f t="shared" si="232"/>
        <v>28.8</v>
      </c>
      <c r="EW144" s="2">
        <f t="shared" si="233"/>
        <v>0.76906244888277198</v>
      </c>
      <c r="HB144" s="1"/>
      <c r="JO144" s="1"/>
      <c r="JS144" s="1"/>
    </row>
    <row r="145" spans="2:279" ht="18" customHeight="1" thickBot="1" x14ac:dyDescent="0.3">
      <c r="B145" s="6"/>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8"/>
      <c r="AR145" s="6"/>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1"/>
      <c r="CE145" s="10"/>
      <c r="CF145" s="8"/>
      <c r="EA145" s="1">
        <f t="shared" si="211"/>
        <v>29</v>
      </c>
      <c r="EB145" s="1" t="str">
        <f t="shared" si="220"/>
        <v>29.7682191306529+39.1782477749302i</v>
      </c>
      <c r="EC145" s="1" t="str">
        <f t="shared" si="221"/>
        <v>12.7928022903558+22.8622975815918i</v>
      </c>
      <c r="ED145" s="52" t="str">
        <f t="shared" si="222"/>
        <v>3.72678203004128+9.49477216810491i</v>
      </c>
      <c r="EE145" s="1" t="str">
        <f t="shared" si="223"/>
        <v>2.31741705043928+6.50246571303774i</v>
      </c>
      <c r="EF145" s="1" t="str">
        <f t="shared" si="224"/>
        <v>319835.694643148+959425.464820812i</v>
      </c>
      <c r="EH145" s="1" t="str">
        <f t="shared" si="225"/>
        <v>1.27980664515668+3.07465360112236i</v>
      </c>
      <c r="EI145" s="1" t="str">
        <f t="shared" si="219"/>
        <v>0.0143880322809015+10.4313234036536i</v>
      </c>
      <c r="EJ145" s="1" t="str">
        <f t="shared" si="226"/>
        <v>0.757355532003475+2.44591395757277i</v>
      </c>
      <c r="EL145" s="52">
        <f t="shared" si="212"/>
        <v>29</v>
      </c>
      <c r="EM145" s="14">
        <f t="shared" si="227"/>
        <v>3.330375326578356</v>
      </c>
      <c r="EN145" s="14">
        <f t="shared" si="227"/>
        <v>10.431333326429764</v>
      </c>
      <c r="EO145" s="14">
        <f t="shared" si="227"/>
        <v>2.5604848153632069</v>
      </c>
      <c r="EQ145" s="1" t="str">
        <f t="shared" si="228"/>
        <v>0.23457751580333-0.0722804186925737i</v>
      </c>
      <c r="ER145" s="14">
        <f t="shared" si="229"/>
        <v>29</v>
      </c>
      <c r="ES145" s="2">
        <f t="shared" si="230"/>
        <v>0.24546093344325753</v>
      </c>
      <c r="EU145" s="1" t="str">
        <f t="shared" si="231"/>
        <v>0.765422484196668+0.0722804186925733i</v>
      </c>
      <c r="EV145" s="52">
        <f t="shared" si="232"/>
        <v>29</v>
      </c>
      <c r="EW145" s="2">
        <f t="shared" si="233"/>
        <v>0.76882770387140198</v>
      </c>
      <c r="HB145" s="1"/>
      <c r="JO145" s="1"/>
      <c r="JS145" s="1"/>
    </row>
    <row r="146" spans="2:279" ht="18" customHeight="1" x14ac:dyDescent="0.25">
      <c r="B146" s="6"/>
      <c r="D146" s="43"/>
      <c r="AO146" s="29" t="s">
        <v>148</v>
      </c>
      <c r="AP146" s="8"/>
      <c r="AR146" s="6"/>
      <c r="AT146" s="43" t="s">
        <v>84</v>
      </c>
      <c r="CE146" s="29" t="s">
        <v>149</v>
      </c>
      <c r="CF146" s="8"/>
      <c r="EA146" s="1">
        <f t="shared" si="211"/>
        <v>29.2</v>
      </c>
      <c r="EB146" s="1" t="str">
        <f t="shared" si="220"/>
        <v>30.0368502726913+39.2779834748607i</v>
      </c>
      <c r="EC146" s="1" t="str">
        <f t="shared" si="221"/>
        <v>12.9319065242186+22.9725293837266i</v>
      </c>
      <c r="ED146" s="52" t="str">
        <f t="shared" si="222"/>
        <v>3.77319440288535+9.56962828113179i</v>
      </c>
      <c r="EE146" s="1" t="str">
        <f t="shared" si="223"/>
        <v>2.34710875881324+6.5636897351394i</v>
      </c>
      <c r="EF146" s="1" t="str">
        <f t="shared" si="224"/>
        <v>324060.243897492+972531.487119419i</v>
      </c>
      <c r="EH146" s="1" t="str">
        <f t="shared" si="225"/>
        <v>1.29606518786795+3.09912193148597i</v>
      </c>
      <c r="EI146" s="1" t="str">
        <f t="shared" si="219"/>
        <v>0.0143880322809015+10.5032635650581i</v>
      </c>
      <c r="EJ146" s="1" t="str">
        <f t="shared" si="226"/>
        <v>0.766525565297848+2.46550449130996i</v>
      </c>
      <c r="EL146" s="52">
        <f t="shared" si="212"/>
        <v>29.2</v>
      </c>
      <c r="EM146" s="14">
        <f t="shared" si="227"/>
        <v>3.3592174263391339</v>
      </c>
      <c r="EN146" s="14">
        <f t="shared" si="227"/>
        <v>10.503273419870107</v>
      </c>
      <c r="EO146" s="14">
        <f t="shared" si="227"/>
        <v>2.5819128255858619</v>
      </c>
      <c r="EQ146" s="1" t="str">
        <f t="shared" si="228"/>
        <v>0.234836523192162-0.0726580576688787i</v>
      </c>
      <c r="ER146" s="14">
        <f t="shared" si="229"/>
        <v>29.2</v>
      </c>
      <c r="ES146" s="2">
        <f t="shared" si="230"/>
        <v>0.24581982419893833</v>
      </c>
      <c r="EU146" s="1" t="str">
        <f t="shared" si="231"/>
        <v>0.765163476807835+0.0726580576688784i</v>
      </c>
      <c r="EV146" s="52">
        <f t="shared" si="232"/>
        <v>29.2</v>
      </c>
      <c r="EW146" s="2">
        <f t="shared" si="233"/>
        <v>0.7686054511808178</v>
      </c>
      <c r="HB146" s="1"/>
      <c r="JO146" s="1"/>
      <c r="JS146" s="1"/>
    </row>
    <row r="147" spans="2:279" ht="18" customHeight="1" x14ac:dyDescent="0.25">
      <c r="B147" s="45"/>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7"/>
      <c r="AR147" s="45"/>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7"/>
      <c r="EA147" s="1">
        <f t="shared" si="211"/>
        <v>29.4</v>
      </c>
      <c r="EB147" s="1" t="str">
        <f t="shared" si="220"/>
        <v>30.3047646173141+39.3753867481052i</v>
      </c>
      <c r="EC147" s="1" t="str">
        <f t="shared" si="221"/>
        <v>13.0711491514607+23.0815250869607i</v>
      </c>
      <c r="ED147" s="52" t="str">
        <f t="shared" si="222"/>
        <v>3.81979897489596+9.64404129903755i</v>
      </c>
      <c r="EE147" s="1" t="str">
        <f t="shared" si="223"/>
        <v>2.37694475484982+6.62459123176311i</v>
      </c>
      <c r="EF147" s="1" t="str">
        <f t="shared" si="224"/>
        <v>328308.696247419+985569.776462604i</v>
      </c>
      <c r="EH147" s="1" t="str">
        <f t="shared" si="225"/>
        <v>1.31238587604109+3.12341892368643i</v>
      </c>
      <c r="EI147" s="1" t="str">
        <f t="shared" si="219"/>
        <v>0.0143880322809015+10.5752037264626i</v>
      </c>
      <c r="EJ147" s="1" t="str">
        <f t="shared" si="226"/>
        <v>0.775745717106343+2.48500515979262i</v>
      </c>
      <c r="EL147" s="52">
        <f t="shared" si="212"/>
        <v>29.4</v>
      </c>
      <c r="EM147" s="14">
        <f t="shared" si="227"/>
        <v>3.3879348371057314</v>
      </c>
      <c r="EN147" s="14">
        <f t="shared" si="227"/>
        <v>10.575213514235132</v>
      </c>
      <c r="EO147" s="14">
        <f t="shared" si="227"/>
        <v>2.6032733359762243</v>
      </c>
      <c r="EQ147" s="1" t="str">
        <f t="shared" si="228"/>
        <v>0.235083508418051-0.0730353143047082i</v>
      </c>
      <c r="ER147" s="14">
        <f t="shared" si="229"/>
        <v>29.4</v>
      </c>
      <c r="ES147" s="2">
        <f t="shared" si="230"/>
        <v>0.24616744924081121</v>
      </c>
      <c r="EU147" s="1" t="str">
        <f t="shared" si="231"/>
        <v>0.764916491581951+0.0730353143047083i</v>
      </c>
      <c r="EV147" s="52">
        <f t="shared" si="232"/>
        <v>29.4</v>
      </c>
      <c r="EW147" s="2">
        <f t="shared" si="233"/>
        <v>0.76839533850071506</v>
      </c>
      <c r="HB147" s="1"/>
      <c r="JO147" s="1"/>
      <c r="JS147" s="1"/>
    </row>
    <row r="148" spans="2:279" ht="18" customHeight="1" x14ac:dyDescent="0.25">
      <c r="EA148" s="1">
        <f t="shared" si="211"/>
        <v>29.6</v>
      </c>
      <c r="EB148" s="1" t="str">
        <f t="shared" si="220"/>
        <v>30.5719463803165+39.4704835382439i</v>
      </c>
      <c r="EC148" s="1" t="str">
        <f t="shared" si="221"/>
        <v>13.2105206327173+23.1892916966835i</v>
      </c>
      <c r="ED148" s="52" t="str">
        <f t="shared" si="222"/>
        <v>3.86659366500303+9.71801401581166i</v>
      </c>
      <c r="EE148" s="1" t="str">
        <f t="shared" si="223"/>
        <v>2.40692399241067+6.68517306461281i</v>
      </c>
      <c r="EF148" s="1" t="str">
        <f t="shared" si="224"/>
        <v>332580.95568916+998541.264684854i</v>
      </c>
      <c r="EH148" s="1" t="str">
        <f t="shared" si="225"/>
        <v>1.32876783299138+3.14754599371028i</v>
      </c>
      <c r="EI148" s="1" t="str">
        <f t="shared" si="219"/>
        <v>0.0143880322809015+10.6471438878671i</v>
      </c>
      <c r="EJ148" s="1" t="str">
        <f t="shared" si="226"/>
        <v>0.785015617706575+2.50441694319123i</v>
      </c>
      <c r="EL148" s="52">
        <f t="shared" si="212"/>
        <v>29.6</v>
      </c>
      <c r="EM148" s="14">
        <f t="shared" si="227"/>
        <v>3.4165289017530998</v>
      </c>
      <c r="EN148" s="14">
        <f t="shared" si="227"/>
        <v>10.647153609506097</v>
      </c>
      <c r="EO148" s="14">
        <f t="shared" si="227"/>
        <v>2.6245673444182263</v>
      </c>
      <c r="EQ148" s="1" t="str">
        <f t="shared" si="228"/>
        <v>0.235318807195897-0.0734121611715082i</v>
      </c>
      <c r="ER148" s="14">
        <f t="shared" si="229"/>
        <v>29.6</v>
      </c>
      <c r="ES148" s="2">
        <f t="shared" si="230"/>
        <v>0.24650413065093099</v>
      </c>
      <c r="EU148" s="1" t="str">
        <f t="shared" si="231"/>
        <v>0.764681192804102+0.073412161171508i</v>
      </c>
      <c r="EV148" s="52">
        <f t="shared" si="232"/>
        <v>29.6</v>
      </c>
      <c r="EW148" s="2">
        <f t="shared" si="233"/>
        <v>0.76819702683372559</v>
      </c>
      <c r="HB148" s="1"/>
      <c r="JO148" s="1"/>
      <c r="JS148" s="1"/>
    </row>
    <row r="149" spans="2:279" ht="18" customHeight="1" x14ac:dyDescent="0.25">
      <c r="B149" s="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5"/>
      <c r="AR149" s="3"/>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5"/>
      <c r="EA149" s="1">
        <f t="shared" si="211"/>
        <v>29.8</v>
      </c>
      <c r="EB149" s="1" t="str">
        <f t="shared" si="220"/>
        <v>30.8383802171073+39.563299682618i</v>
      </c>
      <c r="EC149" s="1" t="str">
        <f t="shared" si="221"/>
        <v>13.3500115247401+23.2958362108733i</v>
      </c>
      <c r="ED149" s="52" t="str">
        <f t="shared" si="222"/>
        <v>3.91357639290512+9.79154915270777i</v>
      </c>
      <c r="EE149" s="1" t="str">
        <f t="shared" si="223"/>
        <v>2.43704542368773+6.74543801274047i</v>
      </c>
      <c r="EF149" s="1" t="str">
        <f t="shared" si="224"/>
        <v>336876.925862458+1011446.85697791i</v>
      </c>
      <c r="EH149" s="1" t="str">
        <f t="shared" si="225"/>
        <v>1.34521018646998+3.17150451608373i</v>
      </c>
      <c r="EI149" s="1" t="str">
        <f t="shared" si="219"/>
        <v>0.0143880322809015+10.7190840492716i</v>
      </c>
      <c r="EJ149" s="1" t="str">
        <f t="shared" si="226"/>
        <v>0.794334900735494+2.52374078277174i</v>
      </c>
      <c r="EL149" s="52">
        <f t="shared" si="212"/>
        <v>29.8</v>
      </c>
      <c r="EM149" s="14">
        <f t="shared" si="227"/>
        <v>3.4450009203659282</v>
      </c>
      <c r="EN149" s="14">
        <f t="shared" si="227"/>
        <v>10.719093705664754</v>
      </c>
      <c r="EO149" s="14">
        <f t="shared" si="227"/>
        <v>2.6457958109332211</v>
      </c>
      <c r="EQ149" s="1" t="str">
        <f t="shared" si="228"/>
        <v>0.23554274260009-0.0737885719074268i</v>
      </c>
      <c r="ER149" s="14">
        <f t="shared" si="229"/>
        <v>29.8</v>
      </c>
      <c r="ES149" s="2">
        <f t="shared" si="230"/>
        <v>0.24683017833261345</v>
      </c>
      <c r="EU149" s="1" t="str">
        <f t="shared" si="231"/>
        <v>0.764457257399912+0.0737885719074269i</v>
      </c>
      <c r="EV149" s="52">
        <f t="shared" si="232"/>
        <v>29.8</v>
      </c>
      <c r="EW149" s="2">
        <f t="shared" si="233"/>
        <v>0.76801018986438774</v>
      </c>
      <c r="HB149" s="1"/>
      <c r="JO149" s="1"/>
      <c r="JS149" s="1"/>
    </row>
    <row r="150" spans="2:279" ht="18" customHeight="1" x14ac:dyDescent="0.25">
      <c r="B150" s="6"/>
      <c r="AN150" s="7"/>
      <c r="AP150" s="8"/>
      <c r="AR150" s="6"/>
      <c r="CD150" s="7"/>
      <c r="CF150" s="8"/>
      <c r="EA150" s="1">
        <f t="shared" si="211"/>
        <v>30</v>
      </c>
      <c r="EB150" s="1" t="str">
        <f t="shared" si="220"/>
        <v>31.1040512172462+39.6538609085859i</v>
      </c>
      <c r="EC150" s="1" t="str">
        <f t="shared" si="221"/>
        <v>13.4896124808627+23.401165621215i</v>
      </c>
      <c r="ED150" s="52" t="str">
        <f t="shared" si="222"/>
        <v>3.96074507925692+9.86464936121704i</v>
      </c>
      <c r="EE150" s="1" t="str">
        <f t="shared" si="223"/>
        <v>2.46730799928316+6.80538877557823i</v>
      </c>
      <c r="EF150" s="1" t="str">
        <f t="shared" si="224"/>
        <v>341196.510055598+1024287.43280169i</v>
      </c>
      <c r="EH150" s="1" t="str">
        <f t="shared" si="225"/>
        <v>1.3617120685517+3.19529582580852i</v>
      </c>
      <c r="EI150" s="1" t="str">
        <f t="shared" si="219"/>
        <v>0.0143880322809015+10.7910242106761i</v>
      </c>
      <c r="EJ150" s="1" t="str">
        <f t="shared" si="226"/>
        <v>0.803703202974921+2.54297758275559i</v>
      </c>
      <c r="EL150" s="52">
        <f t="shared" si="212"/>
        <v>30</v>
      </c>
      <c r="EM150" s="14">
        <f t="shared" si="227"/>
        <v>3.4733521520382444</v>
      </c>
      <c r="EN150" s="14">
        <f t="shared" si="227"/>
        <v>10.791033802693359</v>
      </c>
      <c r="EO150" s="14">
        <f t="shared" si="227"/>
        <v>2.6669596594004963</v>
      </c>
      <c r="EQ150" s="1" t="str">
        <f t="shared" si="228"/>
        <v>0.235755625658147-0.0741645211610923i</v>
      </c>
      <c r="ER150" s="14">
        <f t="shared" si="229"/>
        <v>30</v>
      </c>
      <c r="ES150" s="2">
        <f t="shared" si="230"/>
        <v>0.24714589057582659</v>
      </c>
      <c r="EU150" s="1" t="str">
        <f t="shared" si="231"/>
        <v>0.764244374341855+0.0741645211610923i</v>
      </c>
      <c r="EV150" s="52">
        <f t="shared" si="232"/>
        <v>30</v>
      </c>
      <c r="EW150" s="2">
        <f t="shared" si="233"/>
        <v>0.76783451336354214</v>
      </c>
      <c r="HB150" s="1"/>
      <c r="JO150" s="1"/>
      <c r="JS150" s="1"/>
    </row>
    <row r="151" spans="2:279" ht="18" customHeight="1" x14ac:dyDescent="0.25">
      <c r="B151" s="6"/>
      <c r="AN151" s="9"/>
      <c r="AP151" s="8"/>
      <c r="AR151" s="6"/>
      <c r="CD151" s="9"/>
      <c r="CF151" s="8"/>
      <c r="EA151" s="1">
        <f t="shared" si="211"/>
        <v>30.2</v>
      </c>
      <c r="EB151" s="1" t="str">
        <f t="shared" si="220"/>
        <v>31.368944898928+39.7421928298564i</v>
      </c>
      <c r="EC151" s="1" t="str">
        <f t="shared" si="221"/>
        <v>13.6293142514314+23.5052869141061i</v>
      </c>
      <c r="ED151" s="52" t="str">
        <f t="shared" si="222"/>
        <v>4.00809764585448+9.9373172259193i</v>
      </c>
      <c r="EE151" s="1" t="str">
        <f t="shared" si="223"/>
        <v>2.49771066828906+6.86502797584936i</v>
      </c>
      <c r="EF151" s="1" t="str">
        <f t="shared" si="224"/>
        <v>345539.611210498+1037063.84675923i</v>
      </c>
      <c r="EH151" s="1" t="str">
        <f t="shared" si="225"/>
        <v>1.37827261553522+3.21892122019801i</v>
      </c>
      <c r="EI151" s="1" t="str">
        <f t="shared" si="219"/>
        <v>0.0143880322809015+10.8629643720806i</v>
      </c>
      <c r="EJ151" s="1" t="str">
        <f t="shared" si="226"/>
        <v>0.813120164153165+2.56212821207737i</v>
      </c>
      <c r="EL151" s="52">
        <f t="shared" si="212"/>
        <v>30.2</v>
      </c>
      <c r="EM151" s="14">
        <f t="shared" si="227"/>
        <v>3.5015838165857667</v>
      </c>
      <c r="EN151" s="14">
        <f t="shared" si="227"/>
        <v>10.86297390057462</v>
      </c>
      <c r="EO151" s="14">
        <f t="shared" si="227"/>
        <v>2.688059779185584</v>
      </c>
      <c r="EQ151" s="1" t="str">
        <f t="shared" si="228"/>
        <v>0.235957755911355-0.0745399845391463i</v>
      </c>
      <c r="ER151" s="14">
        <f t="shared" si="229"/>
        <v>30.2</v>
      </c>
      <c r="ES151" s="2">
        <f t="shared" si="230"/>
        <v>0.2474515545916387</v>
      </c>
      <c r="EU151" s="1" t="str">
        <f t="shared" si="231"/>
        <v>0.764042244088646+0.0745399845391463i</v>
      </c>
      <c r="EV151" s="52">
        <f t="shared" si="232"/>
        <v>30.2</v>
      </c>
      <c r="EW151" s="2">
        <f t="shared" si="233"/>
        <v>0.76766969462595713</v>
      </c>
      <c r="HB151" s="1"/>
      <c r="JO151" s="1"/>
      <c r="JS151" s="1"/>
    </row>
    <row r="152" spans="2:279" ht="18" customHeight="1" thickBot="1" x14ac:dyDescent="0.3">
      <c r="B152" s="6"/>
      <c r="C152" s="104" t="s">
        <v>489</v>
      </c>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1"/>
      <c r="AO152" s="10"/>
      <c r="AP152" s="8"/>
      <c r="AR152" s="6"/>
      <c r="AS152" s="104" t="s">
        <v>489</v>
      </c>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1"/>
      <c r="CE152" s="10"/>
      <c r="CF152" s="8"/>
      <c r="EA152" s="1">
        <f t="shared" si="211"/>
        <v>30.4</v>
      </c>
      <c r="EB152" s="1" t="str">
        <f t="shared" si="220"/>
        <v>31.6330472034192+39.8283209429065i</v>
      </c>
      <c r="EC152" s="1" t="str">
        <f t="shared" si="221"/>
        <v>13.769107684198+23.6082070715548i</v>
      </c>
      <c r="ED152" s="52" t="str">
        <f t="shared" si="222"/>
        <v>4.05563201581931+10.0095552672161i</v>
      </c>
      <c r="EE152" s="1" t="str">
        <f t="shared" si="223"/>
        <v>2.52825237836665+6.9243581623625i</v>
      </c>
      <c r="EF152" s="1" t="str">
        <f t="shared" si="224"/>
        <v>349906.131927755+1049776.92943693i</v>
      </c>
      <c r="EH152" s="1" t="str">
        <f t="shared" si="225"/>
        <v>1.39489096785437+3.2423819606191i</v>
      </c>
      <c r="EI152" s="1" t="str">
        <f t="shared" si="219"/>
        <v>0.0143880322809015+10.9349045334852i</v>
      </c>
      <c r="EJ152" s="1" t="str">
        <f t="shared" si="226"/>
        <v>0.82258542676115+2.58119350604647i</v>
      </c>
      <c r="EL152" s="52">
        <f t="shared" si="212"/>
        <v>30.4</v>
      </c>
      <c r="EM152" s="14">
        <f t="shared" si="227"/>
        <v>3.5296970961755139</v>
      </c>
      <c r="EN152" s="14">
        <f t="shared" si="227"/>
        <v>10.934913999291815</v>
      </c>
      <c r="EO152" s="14">
        <f t="shared" si="227"/>
        <v>2.7090970266818224</v>
      </c>
      <c r="EQ152" s="1" t="str">
        <f t="shared" si="228"/>
        <v>0.236149421944494-0.0749149385572188i</v>
      </c>
      <c r="ER152" s="14">
        <f t="shared" si="229"/>
        <v>30.4</v>
      </c>
      <c r="ES152" s="2">
        <f t="shared" si="230"/>
        <v>0.24774744701762427</v>
      </c>
      <c r="EU152" s="1" t="str">
        <f t="shared" si="231"/>
        <v>0.763850578055506+0.0749149385572187i</v>
      </c>
      <c r="EV152" s="52">
        <f t="shared" si="232"/>
        <v>30.4</v>
      </c>
      <c r="EW152" s="2">
        <f t="shared" si="233"/>
        <v>0.76751544193896359</v>
      </c>
      <c r="HB152" s="1"/>
      <c r="JO152" s="1"/>
      <c r="JS152" s="1"/>
    </row>
    <row r="153" spans="2:279" ht="18" customHeight="1" x14ac:dyDescent="0.25">
      <c r="B153" s="6"/>
      <c r="AN153" s="9"/>
      <c r="AP153" s="8"/>
      <c r="AR153" s="6"/>
      <c r="CD153" s="9"/>
      <c r="CF153" s="8"/>
      <c r="EA153" s="1">
        <f t="shared" si="211"/>
        <v>30.6</v>
      </c>
      <c r="EB153" s="1" t="str">
        <f t="shared" si="220"/>
        <v>31.8963444894528+39.9122706234825i</v>
      </c>
      <c r="EC153" s="1" t="str">
        <f t="shared" si="221"/>
        <v>13.9089837246785+23.7099330719795i</v>
      </c>
      <c r="ED153" s="52" t="str">
        <f t="shared" si="222"/>
        <v>4.10334611378055+10.0813659439522i</v>
      </c>
      <c r="EE153" s="1" t="str">
        <f t="shared" si="223"/>
        <v>2.55893207582525+6.98338181269574i</v>
      </c>
      <c r="EF153" s="1" t="str">
        <f t="shared" si="224"/>
        <v>354295.974471717+1062427.48821199i</v>
      </c>
      <c r="EH153" s="1" t="str">
        <f t="shared" si="225"/>
        <v>1.41156626999982+3.2656792741458i</v>
      </c>
      <c r="EI153" s="1" t="str">
        <f t="shared" si="219"/>
        <v>0.0143880322809015+11.0068446948897i</v>
      </c>
      <c r="EJ153" s="1" t="str">
        <f t="shared" si="226"/>
        <v>0.832098635882144+2.60017426791889i</v>
      </c>
      <c r="EL153" s="52">
        <f t="shared" si="212"/>
        <v>30.6</v>
      </c>
      <c r="EM153" s="14">
        <f t="shared" si="227"/>
        <v>3.5576931368776932</v>
      </c>
      <c r="EN153" s="14">
        <f t="shared" si="227"/>
        <v>11.006854098828351</v>
      </c>
      <c r="EO153" s="14">
        <f t="shared" si="227"/>
        <v>2.730072226770651</v>
      </c>
      <c r="EQ153" s="1" t="str">
        <f t="shared" si="228"/>
        <v>0.236330901886645-0.0752893605941018i</v>
      </c>
      <c r="ER153" s="14">
        <f t="shared" si="229"/>
        <v>30.6</v>
      </c>
      <c r="ES153" s="2">
        <f t="shared" si="230"/>
        <v>0.24803383439608337</v>
      </c>
      <c r="EU153" s="1" t="str">
        <f t="shared" si="231"/>
        <v>0.763669098113355+0.0752893605941017i</v>
      </c>
      <c r="EV153" s="52">
        <f t="shared" si="232"/>
        <v>30.6</v>
      </c>
      <c r="EW153" s="2">
        <f t="shared" si="233"/>
        <v>0.7673714740801445</v>
      </c>
      <c r="HB153" s="1"/>
      <c r="JO153" s="1"/>
      <c r="JS153" s="1"/>
    </row>
    <row r="154" spans="2:279" ht="18" customHeight="1" x14ac:dyDescent="0.3">
      <c r="B154" s="6"/>
      <c r="C154" s="178" t="s">
        <v>145</v>
      </c>
      <c r="D154" s="178"/>
      <c r="E154" s="178"/>
      <c r="F154" s="178"/>
      <c r="G154" s="178"/>
      <c r="H154" s="178"/>
      <c r="I154" s="178"/>
      <c r="J154" s="178"/>
      <c r="K154" s="178"/>
      <c r="L154" s="178"/>
      <c r="M154" s="178"/>
      <c r="N154" s="178"/>
      <c r="O154" s="178"/>
      <c r="P154" s="178"/>
      <c r="Q154" s="178"/>
      <c r="R154" s="178"/>
      <c r="S154" s="178"/>
      <c r="T154" s="178"/>
      <c r="U154" s="178"/>
      <c r="V154" s="178"/>
      <c r="W154" s="178"/>
      <c r="X154" s="178"/>
      <c r="Y154" s="178"/>
      <c r="Z154" s="178"/>
      <c r="AA154" s="178"/>
      <c r="AB154" s="178"/>
      <c r="AC154" s="178"/>
      <c r="AD154" s="178"/>
      <c r="AE154" s="178"/>
      <c r="AF154" s="178"/>
      <c r="AG154" s="178"/>
      <c r="AH154" s="178"/>
      <c r="AI154" s="178"/>
      <c r="AJ154" s="178"/>
      <c r="AK154" s="178"/>
      <c r="AL154" s="178"/>
      <c r="AM154" s="178"/>
      <c r="AN154" s="178"/>
      <c r="AO154" s="178"/>
      <c r="AP154" s="8"/>
      <c r="AR154" s="6"/>
      <c r="AS154" s="30" t="s">
        <v>135</v>
      </c>
      <c r="CF154" s="8"/>
      <c r="EA154" s="1">
        <f t="shared" si="211"/>
        <v>30.8</v>
      </c>
      <c r="EB154" s="1" t="str">
        <f t="shared" si="220"/>
        <v>32.1588235275856+39.99406712319i</v>
      </c>
      <c r="EC154" s="1" t="str">
        <f t="shared" si="221"/>
        <v>14.048933416475+23.8104718909123i</v>
      </c>
      <c r="ED154" s="52" t="str">
        <f t="shared" si="222"/>
        <v>4.15123786605535+10.1527516559299i</v>
      </c>
      <c r="EE154" s="1" t="str">
        <f t="shared" si="223"/>
        <v>2.58974870570093+7.04210133577463i</v>
      </c>
      <c r="EF154" s="1" t="str">
        <f t="shared" si="224"/>
        <v>358709.040775543+1075016.30802826i</v>
      </c>
      <c r="EH154" s="1" t="str">
        <f t="shared" si="225"/>
        <v>1.42829767045011+3.28881435512966i</v>
      </c>
      <c r="EI154" s="1" t="str">
        <f t="shared" si="219"/>
        <v>0.0143880322809015+11.0787848562942i</v>
      </c>
      <c r="EJ154" s="1" t="str">
        <f t="shared" si="226"/>
        <v>0.841659439034004+2.61907127038505i</v>
      </c>
      <c r="EL154" s="52">
        <f t="shared" si="212"/>
        <v>30.8</v>
      </c>
      <c r="EM154" s="14">
        <f t="shared" si="227"/>
        <v>3.5855730501441654</v>
      </c>
      <c r="EN154" s="14">
        <f t="shared" si="227"/>
        <v>11.078794199168366</v>
      </c>
      <c r="EO154" s="14">
        <f t="shared" si="227"/>
        <v>2.7509861742057873</v>
      </c>
      <c r="EQ154" s="1" t="str">
        <f t="shared" si="228"/>
        <v>0.236502463884892-0.0756632288488637i</v>
      </c>
      <c r="ER154" s="14">
        <f t="shared" si="229"/>
        <v>30.8</v>
      </c>
      <c r="ES154" s="2">
        <f t="shared" si="230"/>
        <v>0.2483109736267412</v>
      </c>
      <c r="EU154" s="1" t="str">
        <f t="shared" si="231"/>
        <v>0.763497536115106+0.0756632288488633i</v>
      </c>
      <c r="EV154" s="52">
        <f t="shared" si="232"/>
        <v>30.8</v>
      </c>
      <c r="EW154" s="2">
        <f t="shared" si="233"/>
        <v>0.76723751984224076</v>
      </c>
      <c r="HB154" s="1"/>
      <c r="JO154" s="1"/>
      <c r="JS154" s="1"/>
    </row>
    <row r="155" spans="2:279" ht="18" customHeight="1" x14ac:dyDescent="0.25">
      <c r="B155" s="6"/>
      <c r="C155" s="233" t="s">
        <v>467</v>
      </c>
      <c r="D155" s="233"/>
      <c r="E155" s="233"/>
      <c r="F155" s="233"/>
      <c r="G155" s="233"/>
      <c r="H155" s="233"/>
      <c r="I155" s="233"/>
      <c r="J155" s="233"/>
      <c r="K155" s="233"/>
      <c r="L155" s="233"/>
      <c r="M155" s="233"/>
      <c r="N155" s="233"/>
      <c r="O155" s="233"/>
      <c r="P155" s="233"/>
      <c r="Q155" s="233"/>
      <c r="R155" s="233"/>
      <c r="S155" s="233"/>
      <c r="T155" s="233"/>
      <c r="U155" s="233"/>
      <c r="V155" s="233"/>
      <c r="W155" s="233"/>
      <c r="X155" s="233"/>
      <c r="Y155" s="233"/>
      <c r="Z155" s="233"/>
      <c r="AA155" s="233"/>
      <c r="AB155" s="233"/>
      <c r="AC155" s="233"/>
      <c r="AD155" s="233"/>
      <c r="AE155" s="233"/>
      <c r="AF155" s="233"/>
      <c r="AG155" s="233"/>
      <c r="AH155" s="233"/>
      <c r="AI155" s="233"/>
      <c r="AJ155" s="233"/>
      <c r="AK155" s="233"/>
      <c r="AL155" s="233"/>
      <c r="AM155" s="233"/>
      <c r="AN155" s="233"/>
      <c r="AO155" s="233"/>
      <c r="AP155" s="8"/>
      <c r="AR155" s="6"/>
      <c r="CF155" s="8"/>
      <c r="EA155" s="1">
        <f t="shared" si="211"/>
        <v>31</v>
      </c>
      <c r="EB155" s="1" t="str">
        <f t="shared" si="220"/>
        <v>32.4204714945232+40.0737355661751i</v>
      </c>
      <c r="EC155" s="1" t="str">
        <f t="shared" si="221"/>
        <v>14.1889479015652+23.9098305016129i</v>
      </c>
      <c r="ED155" s="52" t="str">
        <f t="shared" si="222"/>
        <v>4.19930520082767+10.2237147463211i</v>
      </c>
      <c r="EE155" s="1" t="str">
        <f t="shared" si="223"/>
        <v>2.62070121183468+7.10051907434934i</v>
      </c>
      <c r="EF155" s="1" t="str">
        <f t="shared" si="224"/>
        <v>363145.232446289+1087544.15214222i</v>
      </c>
      <c r="EH155" s="1" t="str">
        <f t="shared" si="225"/>
        <v>1.44508432161115+3.31178836669163i</v>
      </c>
      <c r="EI155" s="1" t="str">
        <f t="shared" si="219"/>
        <v>0.0143880322809015+11.1507250176987i</v>
      </c>
      <c r="EJ155" s="1" t="str">
        <f t="shared" si="226"/>
        <v>0.851267486022809+2.63788525697878i</v>
      </c>
      <c r="EL155" s="52">
        <f t="shared" si="212"/>
        <v>31</v>
      </c>
      <c r="EM155" s="14">
        <f t="shared" si="227"/>
        <v>3.6133379142173196</v>
      </c>
      <c r="EN155" s="14">
        <f t="shared" si="227"/>
        <v>11.15073430029631</v>
      </c>
      <c r="EO155" s="14">
        <f t="shared" si="227"/>
        <v>2.7718396349258008</v>
      </c>
      <c r="EQ155" s="1" t="str">
        <f t="shared" si="228"/>
        <v>0.236664366552624-0.07603652230069i</v>
      </c>
      <c r="ER155" s="14">
        <f t="shared" si="229"/>
        <v>31</v>
      </c>
      <c r="ES155" s="2">
        <f t="shared" si="230"/>
        <v>0.24857911239550701</v>
      </c>
      <c r="EU155" s="1" t="str">
        <f t="shared" si="231"/>
        <v>0.763335633447378+0.0760365223006901i</v>
      </c>
      <c r="EV155" s="52">
        <f t="shared" si="232"/>
        <v>31</v>
      </c>
      <c r="EW155" s="2">
        <f t="shared" si="233"/>
        <v>0.76711331758358425</v>
      </c>
      <c r="HB155" s="1"/>
      <c r="JO155" s="1"/>
      <c r="JS155" s="1"/>
    </row>
    <row r="156" spans="2:279" ht="18" customHeight="1" x14ac:dyDescent="0.25">
      <c r="B156" s="6"/>
      <c r="C156" s="153"/>
      <c r="D156" s="153"/>
      <c r="E156" s="153"/>
      <c r="F156" s="153"/>
      <c r="G156" s="153"/>
      <c r="H156" s="153"/>
      <c r="I156" s="153"/>
      <c r="J156" s="153"/>
      <c r="K156" s="153"/>
      <c r="L156" s="153"/>
      <c r="M156" s="153"/>
      <c r="N156" s="153"/>
      <c r="O156" s="153"/>
      <c r="P156" s="153"/>
      <c r="Q156" s="153"/>
      <c r="R156" s="153"/>
      <c r="S156" s="153"/>
      <c r="T156" s="153"/>
      <c r="U156" s="153"/>
      <c r="V156" s="153"/>
      <c r="W156" s="153"/>
      <c r="X156" s="153"/>
      <c r="Y156" s="153"/>
      <c r="Z156" s="153"/>
      <c r="AA156" s="153"/>
      <c r="AB156" s="153"/>
      <c r="AC156" s="153"/>
      <c r="AD156" s="153"/>
      <c r="AE156" s="153"/>
      <c r="AF156" s="153"/>
      <c r="AG156" s="153"/>
      <c r="AH156" s="153"/>
      <c r="AI156" s="153"/>
      <c r="AJ156" s="153"/>
      <c r="AK156" s="153"/>
      <c r="AL156" s="153"/>
      <c r="AM156" s="153"/>
      <c r="AN156" s="153"/>
      <c r="AO156" s="153"/>
      <c r="AP156" s="8"/>
      <c r="AR156" s="6"/>
      <c r="CF156" s="8"/>
      <c r="EA156" s="1">
        <f t="shared" si="211"/>
        <v>31.2</v>
      </c>
      <c r="EB156" s="1" t="str">
        <f t="shared" si="220"/>
        <v>32.6812759674184+40.1513009458962i</v>
      </c>
      <c r="EC156" s="1" t="str">
        <f t="shared" si="221"/>
        <v>14.3290184205558+24.0080158755981i</v>
      </c>
      <c r="ED156" s="52" t="str">
        <f t="shared" si="222"/>
        <v>4.24754604832513+10.2942575039809i</v>
      </c>
      <c r="EE156" s="1" t="str">
        <f t="shared" si="223"/>
        <v>2.65178853695033+7.1586373073753i</v>
      </c>
      <c r="EF156" s="1" t="str">
        <f t="shared" si="224"/>
        <v>367604.450769964+1100011.76284012i</v>
      </c>
      <c r="EH156" s="1" t="str">
        <f t="shared" si="225"/>
        <v>1.46192537976372+3.33460244214016i</v>
      </c>
      <c r="EI156" s="1" t="str">
        <f t="shared" si="219"/>
        <v>0.0143880322809015+11.2226651791032i</v>
      </c>
      <c r="EJ156" s="1" t="str">
        <f t="shared" si="226"/>
        <v>0.860922428807291+2.65661694341219i</v>
      </c>
      <c r="EL156" s="52">
        <f t="shared" si="212"/>
        <v>31.2</v>
      </c>
      <c r="EM156" s="14">
        <f t="shared" si="227"/>
        <v>3.6409887754735544</v>
      </c>
      <c r="EN156" s="14">
        <f t="shared" si="227"/>
        <v>11.222674402197027</v>
      </c>
      <c r="EO156" s="14">
        <f t="shared" si="227"/>
        <v>2.7926333472993137</v>
      </c>
      <c r="EQ156" s="1" t="str">
        <f t="shared" si="228"/>
        <v>0.236816859394012-0.0764092206712517i</v>
      </c>
      <c r="ER156" s="14">
        <f t="shared" si="229"/>
        <v>31.2</v>
      </c>
      <c r="ES156" s="2">
        <f t="shared" si="230"/>
        <v>0.24883848958075452</v>
      </c>
      <c r="EU156" s="1" t="str">
        <f t="shared" si="231"/>
        <v>0.763183140605985+0.0764092206712514i</v>
      </c>
      <c r="EV156" s="52">
        <f t="shared" si="232"/>
        <v>31.2</v>
      </c>
      <c r="EW156" s="2">
        <f t="shared" si="233"/>
        <v>0.76699861480240161</v>
      </c>
      <c r="HB156" s="1"/>
      <c r="JO156" s="1"/>
      <c r="JS156" s="1"/>
    </row>
    <row r="157" spans="2:279" ht="18" customHeight="1" x14ac:dyDescent="0.25">
      <c r="B157" s="6"/>
      <c r="C157" s="153"/>
      <c r="D157" s="153"/>
      <c r="E157" s="153"/>
      <c r="F157" s="153"/>
      <c r="G157" s="153"/>
      <c r="H157" s="153"/>
      <c r="I157" s="153"/>
      <c r="J157" s="153"/>
      <c r="K157" s="153"/>
      <c r="L157" s="153"/>
      <c r="M157" s="153"/>
      <c r="N157" s="153"/>
      <c r="O157" s="153"/>
      <c r="P157" s="153"/>
      <c r="Q157" s="153"/>
      <c r="R157" s="153"/>
      <c r="S157" s="153"/>
      <c r="T157" s="153"/>
      <c r="U157" s="153"/>
      <c r="V157" s="153"/>
      <c r="W157" s="153"/>
      <c r="X157" s="153"/>
      <c r="Y157" s="153"/>
      <c r="Z157" s="153"/>
      <c r="AA157" s="153"/>
      <c r="AB157" s="153"/>
      <c r="AC157" s="153"/>
      <c r="AD157" s="153"/>
      <c r="AE157" s="153"/>
      <c r="AF157" s="153"/>
      <c r="AG157" s="153"/>
      <c r="AH157" s="153"/>
      <c r="AI157" s="153"/>
      <c r="AJ157" s="153"/>
      <c r="AK157" s="153"/>
      <c r="AL157" s="153"/>
      <c r="AM157" s="153"/>
      <c r="AN157" s="153"/>
      <c r="AO157" s="153"/>
      <c r="AP157" s="8"/>
      <c r="AR157" s="6"/>
      <c r="CF157" s="8"/>
      <c r="EA157" s="1">
        <f t="shared" si="211"/>
        <v>31.4</v>
      </c>
      <c r="EB157" s="1" t="str">
        <f t="shared" si="220"/>
        <v>32.9412249181451+40.2267881219917i</v>
      </c>
      <c r="EC157" s="1" t="str">
        <f t="shared" si="221"/>
        <v>14.4691363129045+24.1050349830927i</v>
      </c>
      <c r="ED157" s="52" t="str">
        <f t="shared" si="222"/>
        <v>4.29595834099427+10.3643821656692i</v>
      </c>
      <c r="EE157" s="1" t="str">
        <f t="shared" si="223"/>
        <v>2.68300962273208+7.21645825230155i</v>
      </c>
      <c r="EF157" s="1" t="str">
        <f t="shared" si="224"/>
        <v>372086.596716609+1112419.86212787i</v>
      </c>
      <c r="EH157" s="1" t="str">
        <f t="shared" si="225"/>
        <v>1.47882000501789+3.35725768631951i</v>
      </c>
      <c r="EI157" s="1" t="str">
        <f t="shared" si="219"/>
        <v>0.0143880322809015+11.2946053405077i</v>
      </c>
      <c r="EJ157" s="1" t="str">
        <f t="shared" si="226"/>
        <v>0.870623921372997+2.67526701884148i</v>
      </c>
      <c r="EL157" s="52">
        <f t="shared" si="212"/>
        <v>31.4</v>
      </c>
      <c r="EM157" s="14">
        <f t="shared" si="227"/>
        <v>3.6685266497045572</v>
      </c>
      <c r="EN157" s="14">
        <f t="shared" si="227"/>
        <v>11.294614504855753</v>
      </c>
      <c r="EO157" s="14">
        <f t="shared" si="227"/>
        <v>2.8133680233072735</v>
      </c>
      <c r="EQ157" s="1" t="str">
        <f t="shared" si="228"/>
        <v>0.236960183206127-0.0767813043894063i</v>
      </c>
      <c r="ER157" s="14">
        <f t="shared" si="229"/>
        <v>31.4</v>
      </c>
      <c r="ES157" s="2">
        <f t="shared" si="230"/>
        <v>0.24908933563848121</v>
      </c>
      <c r="EU157" s="1" t="str">
        <f t="shared" si="231"/>
        <v>0.763039816793873+0.0767813043894062i</v>
      </c>
      <c r="EV157" s="52">
        <f t="shared" si="232"/>
        <v>31.4</v>
      </c>
      <c r="EW157" s="2">
        <f t="shared" si="233"/>
        <v>0.7668931677336589</v>
      </c>
      <c r="HB157" s="1"/>
      <c r="JO157" s="1"/>
      <c r="JS157" s="1"/>
    </row>
    <row r="158" spans="2:279" ht="18" customHeight="1" x14ac:dyDescent="0.25">
      <c r="B158" s="6"/>
      <c r="C158" s="153"/>
      <c r="D158" s="153"/>
      <c r="E158" s="153"/>
      <c r="F158" s="153"/>
      <c r="G158" s="153"/>
      <c r="H158" s="153"/>
      <c r="I158" s="153"/>
      <c r="J158" s="153"/>
      <c r="K158" s="153"/>
      <c r="L158" s="153"/>
      <c r="M158" s="153"/>
      <c r="N158" s="153"/>
      <c r="O158" s="153"/>
      <c r="P158" s="153"/>
      <c r="Q158" s="153"/>
      <c r="R158" s="153"/>
      <c r="S158" s="153"/>
      <c r="T158" s="153"/>
      <c r="U158" s="153"/>
      <c r="V158" s="153"/>
      <c r="W158" s="153"/>
      <c r="X158" s="153"/>
      <c r="Y158" s="153"/>
      <c r="Z158" s="153"/>
      <c r="AA158" s="153"/>
      <c r="AB158" s="153"/>
      <c r="AC158" s="153"/>
      <c r="AD158" s="153"/>
      <c r="AE158" s="153"/>
      <c r="AF158" s="153"/>
      <c r="AG158" s="153"/>
      <c r="AH158" s="153"/>
      <c r="AI158" s="153"/>
      <c r="AJ158" s="153"/>
      <c r="AK158" s="153"/>
      <c r="AL158" s="153"/>
      <c r="AM158" s="153"/>
      <c r="AN158" s="153"/>
      <c r="AO158" s="153"/>
      <c r="AP158" s="8"/>
      <c r="AR158" s="6"/>
      <c r="CF158" s="8"/>
      <c r="EA158" s="1">
        <f t="shared" si="211"/>
        <v>31.6</v>
      </c>
      <c r="EB158" s="1" t="str">
        <f t="shared" si="220"/>
        <v>33.200306707556+40.3002218172428i</v>
      </c>
      <c r="EC158" s="1" t="str">
        <f t="shared" si="221"/>
        <v>14.6092930171083+24.200894793404i</v>
      </c>
      <c r="ED158" s="52" t="str">
        <f t="shared" si="222"/>
        <v>4.34454001367378+10.4340909181817i</v>
      </c>
      <c r="EE158" s="1" t="str">
        <f t="shared" si="223"/>
        <v>2.71436340990154+7.27398406727104i</v>
      </c>
      <c r="EF158" s="1" t="str">
        <f t="shared" si="224"/>
        <v>376591.570945371+1124769.15239458i</v>
      </c>
      <c r="EH158" s="1" t="str">
        <f t="shared" si="225"/>
        <v>1.49576736127427+3.3797551768923i</v>
      </c>
      <c r="EI158" s="1" t="str">
        <f t="shared" si="219"/>
        <v>0.0143880322809015+11.3665455019122i</v>
      </c>
      <c r="EJ158" s="1" t="str">
        <f t="shared" si="226"/>
        <v>0.880371619615636+2.69383614706728i</v>
      </c>
      <c r="EL158" s="52">
        <f t="shared" si="212"/>
        <v>31.6</v>
      </c>
      <c r="EM158" s="14">
        <f t="shared" si="227"/>
        <v>3.6959525233400514</v>
      </c>
      <c r="EN158" s="14">
        <f t="shared" si="227"/>
        <v>11.366554608258097</v>
      </c>
      <c r="EO158" s="14">
        <f t="shared" si="227"/>
        <v>2.8340443496654997</v>
      </c>
      <c r="EQ158" s="1" t="str">
        <f t="shared" si="228"/>
        <v>0.237094570460045-0.0771527545580756i</v>
      </c>
      <c r="ER158" s="14">
        <f t="shared" si="229"/>
        <v>31.6</v>
      </c>
      <c r="ES158" s="2">
        <f t="shared" si="230"/>
        <v>0.24933187296760093</v>
      </c>
      <c r="EU158" s="1" t="str">
        <f t="shared" si="231"/>
        <v>0.762905429539956+0.0771527545580755i</v>
      </c>
      <c r="EV158" s="52">
        <f t="shared" si="232"/>
        <v>31.6</v>
      </c>
      <c r="EW158" s="2">
        <f t="shared" si="233"/>
        <v>0.76679674096688977</v>
      </c>
      <c r="HB158" s="1"/>
      <c r="JO158" s="1"/>
      <c r="JS158" s="1"/>
    </row>
    <row r="159" spans="2:279" ht="18" customHeight="1" x14ac:dyDescent="0.25">
      <c r="B159" s="6"/>
      <c r="C159" s="178" t="s">
        <v>289</v>
      </c>
      <c r="D159" s="178"/>
      <c r="E159" s="178"/>
      <c r="F159" s="178"/>
      <c r="G159" s="178"/>
      <c r="H159" s="178"/>
      <c r="I159" s="178"/>
      <c r="J159" s="178"/>
      <c r="K159" s="178"/>
      <c r="L159" s="178"/>
      <c r="M159" s="178"/>
      <c r="N159" s="178"/>
      <c r="O159" s="178"/>
      <c r="P159" s="178"/>
      <c r="Q159" s="178"/>
      <c r="R159" s="178"/>
      <c r="S159" s="178"/>
      <c r="T159" s="178"/>
      <c r="U159" s="178"/>
      <c r="V159" s="178"/>
      <c r="W159" s="178"/>
      <c r="X159" s="178"/>
      <c r="Y159" s="178"/>
      <c r="Z159" s="178"/>
      <c r="AA159" s="178"/>
      <c r="AB159" s="178"/>
      <c r="AC159" s="178"/>
      <c r="AD159" s="178"/>
      <c r="AE159" s="178"/>
      <c r="AF159" s="178"/>
      <c r="AG159" s="178"/>
      <c r="AH159" s="178"/>
      <c r="AI159" s="178"/>
      <c r="AJ159" s="178"/>
      <c r="AK159" s="178"/>
      <c r="AL159" s="178"/>
      <c r="AM159" s="178"/>
      <c r="AN159" s="178"/>
      <c r="AO159" s="178"/>
      <c r="AP159" s="8"/>
      <c r="AR159" s="6"/>
      <c r="CF159" s="8"/>
      <c r="EA159" s="1">
        <f t="shared" si="211"/>
        <v>31.8</v>
      </c>
      <c r="EB159" s="1" t="str">
        <f t="shared" si="220"/>
        <v>33.4585100797245+40.371626614633i</v>
      </c>
      <c r="EC159" s="1" t="str">
        <f t="shared" si="221"/>
        <v>14.7494800708602+24.2956022752267i</v>
      </c>
      <c r="ED159" s="52" t="str">
        <f t="shared" si="222"/>
        <v>4.39328900376635+10.5033859003958i</v>
      </c>
      <c r="EE159" s="1" t="str">
        <f t="shared" si="223"/>
        <v>2.74584883829456+7.33121685323655i</v>
      </c>
      <c r="EF159" s="1" t="str">
        <f t="shared" si="224"/>
        <v>381119.273809555+1137060.31705115i</v>
      </c>
      <c r="EH159" s="1" t="str">
        <f t="shared" si="225"/>
        <v>1.51276661619098+3.40209596555984i</v>
      </c>
      <c r="EI159" s="1" t="str">
        <f t="shared" si="219"/>
        <v>0.0143880322809015+11.4384856633167i</v>
      </c>
      <c r="EJ159" s="1" t="str">
        <f t="shared" si="226"/>
        <v>0.890165181232885+2.71232496767389i</v>
      </c>
      <c r="EL159" s="52">
        <f t="shared" si="212"/>
        <v>31.8</v>
      </c>
      <c r="EM159" s="14">
        <f t="shared" si="227"/>
        <v>3.7232673546148214</v>
      </c>
      <c r="EN159" s="14">
        <f t="shared" si="227"/>
        <v>11.438494712390026</v>
      </c>
      <c r="EO159" s="14">
        <f t="shared" si="227"/>
        <v>2.8546629888914281</v>
      </c>
      <c r="EQ159" s="1" t="str">
        <f t="shared" si="228"/>
        <v>0.23722024566223-0.0775235529231318i</v>
      </c>
      <c r="ER159" s="14">
        <f t="shared" si="229"/>
        <v>31.8</v>
      </c>
      <c r="ES159" s="2">
        <f t="shared" si="230"/>
        <v>0.24956631625657011</v>
      </c>
      <c r="EU159" s="1" t="str">
        <f t="shared" si="231"/>
        <v>0.762779754337773+0.0775235529231319i</v>
      </c>
      <c r="EV159" s="52">
        <f t="shared" si="232"/>
        <v>31.8</v>
      </c>
      <c r="EW159" s="2">
        <f t="shared" si="233"/>
        <v>0.76670910708391804</v>
      </c>
      <c r="HB159" s="1"/>
      <c r="JO159" s="1"/>
      <c r="JS159" s="1"/>
    </row>
    <row r="160" spans="2:279" ht="18" customHeight="1" x14ac:dyDescent="0.25">
      <c r="B160" s="6"/>
      <c r="C160" s="233" t="s">
        <v>583</v>
      </c>
      <c r="D160" s="233"/>
      <c r="E160" s="233"/>
      <c r="F160" s="233"/>
      <c r="G160" s="233"/>
      <c r="H160" s="233"/>
      <c r="I160" s="233"/>
      <c r="J160" s="233"/>
      <c r="K160" s="233"/>
      <c r="L160" s="233"/>
      <c r="M160" s="233"/>
      <c r="N160" s="233"/>
      <c r="O160" s="233"/>
      <c r="P160" s="233"/>
      <c r="Q160" s="233"/>
      <c r="R160" s="233"/>
      <c r="S160" s="233"/>
      <c r="T160" s="233"/>
      <c r="U160" s="233"/>
      <c r="V160" s="233"/>
      <c r="W160" s="233"/>
      <c r="X160" s="233"/>
      <c r="Y160" s="233"/>
      <c r="Z160" s="233"/>
      <c r="AA160" s="233"/>
      <c r="AB160" s="233"/>
      <c r="AC160" s="233"/>
      <c r="AD160" s="233"/>
      <c r="AE160" s="233"/>
      <c r="AF160" s="233"/>
      <c r="AG160" s="233"/>
      <c r="AH160" s="233"/>
      <c r="AI160" s="233"/>
      <c r="AJ160" s="233"/>
      <c r="AK160" s="233"/>
      <c r="AL160" s="233"/>
      <c r="AM160" s="233"/>
      <c r="AN160" s="233"/>
      <c r="AO160" s="233"/>
      <c r="AP160" s="8"/>
      <c r="AR160" s="6"/>
      <c r="CF160" s="8"/>
      <c r="EA160" s="1">
        <f t="shared" si="211"/>
        <v>32</v>
      </c>
      <c r="EB160" s="1" t="str">
        <f t="shared" si="220"/>
        <v>33.7158241561773+40.4410269545066i</v>
      </c>
      <c r="EC160" s="1" t="str">
        <f t="shared" si="221"/>
        <v>14.889689111174+24.3891643968809i</v>
      </c>
      <c r="ED160" s="52" t="str">
        <f t="shared" si="222"/>
        <v>4.44220325140806+10.5722692052354i</v>
      </c>
      <c r="EE160" s="1" t="str">
        <f t="shared" si="223"/>
        <v>2.77746484693747+7.38815865599598i</v>
      </c>
      <c r="EF160" s="1" t="str">
        <f t="shared" si="224"/>
        <v>385669.605361717+1149294.02114487i</v>
      </c>
      <c r="EH160" s="1" t="str">
        <f t="shared" si="225"/>
        <v>1.52981694115619+3.42428107922399i</v>
      </c>
      <c r="EI160" s="1" t="str">
        <f t="shared" si="219"/>
        <v>0.0143880322809015+11.5104258247212i</v>
      </c>
      <c r="EJ160" s="1" t="str">
        <f t="shared" si="226"/>
        <v>0.90000426562394+2.73073409711098i</v>
      </c>
      <c r="EL160" s="52">
        <f t="shared" si="212"/>
        <v>32</v>
      </c>
      <c r="EM160" s="14">
        <f t="shared" si="227"/>
        <v>3.7504720746833855</v>
      </c>
      <c r="EN160" s="14">
        <f t="shared" si="227"/>
        <v>11.510434817237863</v>
      </c>
      <c r="EO160" s="14">
        <f t="shared" si="227"/>
        <v>2.8752245803181724</v>
      </c>
      <c r="EQ160" s="1" t="str">
        <f t="shared" si="228"/>
        <v>0.237337425697367-0.0778936818441514i</v>
      </c>
      <c r="ER160" s="14">
        <f t="shared" si="229"/>
        <v>32</v>
      </c>
      <c r="ES160" s="2">
        <f t="shared" si="230"/>
        <v>0.2497928728124385</v>
      </c>
      <c r="EU160" s="1" t="str">
        <f t="shared" si="231"/>
        <v>0.762662574302632+0.0778936818441513i</v>
      </c>
      <c r="EV160" s="52">
        <f t="shared" si="232"/>
        <v>32</v>
      </c>
      <c r="EW160" s="2">
        <f t="shared" si="233"/>
        <v>0.76663004631514109</v>
      </c>
      <c r="HB160" s="1"/>
      <c r="JO160" s="1"/>
      <c r="JS160" s="1"/>
    </row>
    <row r="161" spans="2:279" ht="18" customHeight="1" x14ac:dyDescent="0.25">
      <c r="B161" s="6"/>
      <c r="C161" s="153"/>
      <c r="D161" s="153"/>
      <c r="E161" s="153"/>
      <c r="F161" s="153"/>
      <c r="G161" s="153"/>
      <c r="H161" s="153"/>
      <c r="I161" s="153"/>
      <c r="J161" s="153"/>
      <c r="K161" s="153"/>
      <c r="L161" s="153"/>
      <c r="M161" s="153"/>
      <c r="N161" s="153"/>
      <c r="O161" s="153"/>
      <c r="P161" s="153"/>
      <c r="Q161" s="153"/>
      <c r="R161" s="153"/>
      <c r="S161" s="153"/>
      <c r="T161" s="153"/>
      <c r="U161" s="153"/>
      <c r="V161" s="153"/>
      <c r="W161" s="153"/>
      <c r="X161" s="153"/>
      <c r="Y161" s="153"/>
      <c r="Z161" s="153"/>
      <c r="AA161" s="153"/>
      <c r="AB161" s="153"/>
      <c r="AC161" s="153"/>
      <c r="AD161" s="153"/>
      <c r="AE161" s="153"/>
      <c r="AF161" s="153"/>
      <c r="AG161" s="153"/>
      <c r="AH161" s="153"/>
      <c r="AI161" s="153"/>
      <c r="AJ161" s="153"/>
      <c r="AK161" s="153"/>
      <c r="AL161" s="153"/>
      <c r="AM161" s="153"/>
      <c r="AN161" s="153"/>
      <c r="AO161" s="153"/>
      <c r="AP161" s="8"/>
      <c r="AR161" s="6"/>
      <c r="CF161" s="8"/>
      <c r="EA161" s="1">
        <f t="shared" si="211"/>
        <v>32.200000000000003</v>
      </c>
      <c r="EB161" s="1" t="str">
        <f t="shared" si="220"/>
        <v>33.9722384301217+40.5084471318237i</v>
      </c>
      <c r="EC161" s="1" t="str">
        <f t="shared" si="221"/>
        <v>15.0299118744788+24.4815881264872i</v>
      </c>
      <c r="ED161" s="52" t="str">
        <f t="shared" si="222"/>
        <v>4.49128069963647+10.6407428815565i</v>
      </c>
      <c r="EE161" s="1" t="str">
        <f t="shared" si="223"/>
        <v>2.80921037412307+7.44481146815049i</v>
      </c>
      <c r="EF161" s="1" t="str">
        <f t="shared" si="224"/>
        <v>390242.465358727+1161470.91195123i</v>
      </c>
      <c r="EH161" s="1" t="str">
        <f t="shared" si="225"/>
        <v>1.54691751126569+3.44631152109321i</v>
      </c>
      <c r="EI161" s="1" t="str">
        <f t="shared" si="219"/>
        <v>0.0143880322809015+11.5823659861257i</v>
      </c>
      <c r="EJ161" s="1" t="str">
        <f t="shared" si="226"/>
        <v>0.909888533796441+2.74906412972104i</v>
      </c>
      <c r="EL161" s="52">
        <f t="shared" si="212"/>
        <v>32.200000000000003</v>
      </c>
      <c r="EM161" s="14">
        <f t="shared" si="227"/>
        <v>3.7775675886845796</v>
      </c>
      <c r="EN161" s="14">
        <f t="shared" si="227"/>
        <v>11.582374922788265</v>
      </c>
      <c r="EO161" s="14">
        <f t="shared" si="227"/>
        <v>2.8957297410589158</v>
      </c>
      <c r="EQ161" s="1" t="str">
        <f t="shared" si="228"/>
        <v>0.237446320153741-0.0782631242669185i</v>
      </c>
      <c r="ER161" s="14">
        <f t="shared" si="229"/>
        <v>32.200000000000003</v>
      </c>
      <c r="ES161" s="2">
        <f t="shared" si="230"/>
        <v>0.25001174287335381</v>
      </c>
      <c r="EU161" s="1" t="str">
        <f t="shared" si="231"/>
        <v>0.76255367984626+0.0782631242669185i</v>
      </c>
      <c r="EV161" s="52">
        <f t="shared" si="232"/>
        <v>32.200000000000003</v>
      </c>
      <c r="EW161" s="2">
        <f t="shared" si="233"/>
        <v>0.7665593462133844</v>
      </c>
      <c r="HB161" s="1"/>
      <c r="JO161" s="1"/>
      <c r="JS161" s="1"/>
    </row>
    <row r="162" spans="2:279" ht="18" customHeight="1" x14ac:dyDescent="0.25">
      <c r="B162" s="6"/>
      <c r="C162" s="153"/>
      <c r="D162" s="153"/>
      <c r="E162" s="153"/>
      <c r="F162" s="153"/>
      <c r="G162" s="153"/>
      <c r="H162" s="153"/>
      <c r="I162" s="153"/>
      <c r="J162" s="153"/>
      <c r="K162" s="153"/>
      <c r="L162" s="153"/>
      <c r="M162" s="153"/>
      <c r="N162" s="153"/>
      <c r="O162" s="153"/>
      <c r="P162" s="153"/>
      <c r="Q162" s="153"/>
      <c r="R162" s="153"/>
      <c r="S162" s="153"/>
      <c r="T162" s="153"/>
      <c r="U162" s="153"/>
      <c r="V162" s="153"/>
      <c r="W162" s="153"/>
      <c r="X162" s="153"/>
      <c r="Y162" s="153"/>
      <c r="Z162" s="153"/>
      <c r="AA162" s="153"/>
      <c r="AB162" s="153"/>
      <c r="AC162" s="153"/>
      <c r="AD162" s="153"/>
      <c r="AE162" s="153"/>
      <c r="AF162" s="153"/>
      <c r="AG162" s="153"/>
      <c r="AH162" s="153"/>
      <c r="AI162" s="153"/>
      <c r="AJ162" s="153"/>
      <c r="AK162" s="153"/>
      <c r="AL162" s="153"/>
      <c r="AM162" s="153"/>
      <c r="AN162" s="153"/>
      <c r="AO162" s="153"/>
      <c r="AP162" s="8"/>
      <c r="AR162" s="6"/>
      <c r="CF162" s="8"/>
      <c r="EA162" s="1">
        <f t="shared" si="211"/>
        <v>32.4</v>
      </c>
      <c r="EB162" s="1" t="str">
        <f t="shared" si="220"/>
        <v>34.2277427606695+40.5739112935168i</v>
      </c>
      <c r="EC162" s="1" t="str">
        <f t="shared" si="221"/>
        <v>15.1701401966829+24.5728804320845i</v>
      </c>
      <c r="ED162" s="52" t="str">
        <f t="shared" si="222"/>
        <v>4.54051929455667+10.7088089359581i</v>
      </c>
      <c r="EE162" s="1" t="str">
        <f t="shared" si="223"/>
        <v>2.84108435748613+7.50117723098882i</v>
      </c>
      <c r="EF162" s="1" t="str">
        <f t="shared" si="224"/>
        <v>394837.75326683+1173591.61954353i</v>
      </c>
      <c r="EH162" s="1" t="str">
        <f t="shared" si="225"/>
        <v>1.5640675053049+3.4681882717362i</v>
      </c>
      <c r="EI162" s="1" t="str">
        <f t="shared" si="219"/>
        <v>0.0143880322809015+11.6543061475302i</v>
      </c>
      <c r="EJ162" s="1" t="str">
        <f t="shared" si="226"/>
        <v>0.919817648280087+2.7673156387158i</v>
      </c>
      <c r="EL162" s="52">
        <f t="shared" si="212"/>
        <v>32.4</v>
      </c>
      <c r="EM162" s="14">
        <f t="shared" si="227"/>
        <v>3.8045547767589336</v>
      </c>
      <c r="EN162" s="14">
        <f t="shared" si="227"/>
        <v>11.654315029028224</v>
      </c>
      <c r="EO162" s="14">
        <f t="shared" si="227"/>
        <v>2.9161790669244825</v>
      </c>
      <c r="EQ162" s="1" t="str">
        <f t="shared" si="228"/>
        <v>0.237547131632172-0.078631863697534i</v>
      </c>
      <c r="ER162" s="14">
        <f t="shared" si="229"/>
        <v>32.4</v>
      </c>
      <c r="ES162" s="2">
        <f t="shared" si="230"/>
        <v>0.25022311990545565</v>
      </c>
      <c r="EU162" s="1" t="str">
        <f t="shared" si="231"/>
        <v>0.762452868367828+0.0786318636975339i</v>
      </c>
      <c r="EV162" s="52">
        <f t="shared" si="232"/>
        <v>32.4</v>
      </c>
      <c r="EW162" s="2">
        <f t="shared" si="233"/>
        <v>0.76649680134419074</v>
      </c>
      <c r="HB162" s="1"/>
      <c r="JO162" s="1"/>
      <c r="JS162" s="1"/>
    </row>
    <row r="163" spans="2:279" ht="18" customHeight="1" x14ac:dyDescent="0.25">
      <c r="B163" s="6"/>
      <c r="C163" s="153"/>
      <c r="D163" s="153"/>
      <c r="E163" s="153"/>
      <c r="F163" s="153"/>
      <c r="G163" s="153"/>
      <c r="H163" s="153"/>
      <c r="I163" s="153"/>
      <c r="J163" s="153"/>
      <c r="K163" s="153"/>
      <c r="L163" s="153"/>
      <c r="M163" s="153"/>
      <c r="N163" s="153"/>
      <c r="O163" s="153"/>
      <c r="P163" s="153"/>
      <c r="Q163" s="153"/>
      <c r="R163" s="153"/>
      <c r="S163" s="153"/>
      <c r="T163" s="153"/>
      <c r="U163" s="153"/>
      <c r="V163" s="153"/>
      <c r="W163" s="153"/>
      <c r="X163" s="153"/>
      <c r="Y163" s="153"/>
      <c r="Z163" s="153"/>
      <c r="AA163" s="153"/>
      <c r="AB163" s="153"/>
      <c r="AC163" s="153"/>
      <c r="AD163" s="153"/>
      <c r="AE163" s="153"/>
      <c r="AF163" s="153"/>
      <c r="AG163" s="153"/>
      <c r="AH163" s="153"/>
      <c r="AI163" s="153"/>
      <c r="AJ163" s="153"/>
      <c r="AK163" s="153"/>
      <c r="AL163" s="153"/>
      <c r="AM163" s="153"/>
      <c r="AN163" s="153"/>
      <c r="AO163" s="153"/>
      <c r="AP163" s="8"/>
      <c r="AR163" s="6"/>
      <c r="CF163" s="8"/>
      <c r="EA163" s="1">
        <f t="shared" si="211"/>
        <v>32.6</v>
      </c>
      <c r="EB163" s="1" t="str">
        <f t="shared" si="220"/>
        <v>34.4823273670641+40.6374434359444i</v>
      </c>
      <c r="EC163" s="1" t="str">
        <f t="shared" si="221"/>
        <v>15.3103660132085+24.6630482816914i</v>
      </c>
      <c r="ED163" s="52" t="str">
        <f t="shared" si="222"/>
        <v>4.58991698550537+10.7764693345227i</v>
      </c>
      <c r="EE163" s="1" t="str">
        <f t="shared" si="223"/>
        <v>2.87308573407843+7.55725783630074i</v>
      </c>
      <c r="EF163" s="1" t="str">
        <f t="shared" si="224"/>
        <v>399455.368266716+1185656.75734188i</v>
      </c>
      <c r="EH163" s="1" t="str">
        <f t="shared" si="225"/>
        <v>1.58126610573505+3.48991229008604i</v>
      </c>
      <c r="EI163" s="1" t="str">
        <f t="shared" si="219"/>
        <v>0.0143880322809015+11.7262463089347i</v>
      </c>
      <c r="EJ163" s="1" t="str">
        <f t="shared" si="226"/>
        <v>0.929791273046487+2.78548917710472i</v>
      </c>
      <c r="EL163" s="52">
        <f t="shared" si="212"/>
        <v>32.6</v>
      </c>
      <c r="EM163" s="14">
        <f t="shared" si="227"/>
        <v>3.8314344950214245</v>
      </c>
      <c r="EN163" s="14">
        <f t="shared" si="227"/>
        <v>11.726255135945047</v>
      </c>
      <c r="EO163" s="14">
        <f t="shared" si="227"/>
        <v>2.9365731332968599</v>
      </c>
      <c r="EQ163" s="1" t="str">
        <f t="shared" si="228"/>
        <v>0.23764005603952-0.0789998841780351i</v>
      </c>
      <c r="ER163" s="14">
        <f t="shared" si="229"/>
        <v>32.6</v>
      </c>
      <c r="ES163" s="2">
        <f t="shared" si="230"/>
        <v>0.25042719088511367</v>
      </c>
      <c r="EU163" s="1" t="str">
        <f t="shared" si="231"/>
        <v>0.762359943960483+0.0789998841780352i</v>
      </c>
      <c r="EV163" s="52">
        <f t="shared" si="232"/>
        <v>32.6</v>
      </c>
      <c r="EW163" s="2">
        <f t="shared" si="233"/>
        <v>0.76644221299167348</v>
      </c>
      <c r="HB163" s="1"/>
      <c r="JO163" s="1"/>
      <c r="JS163" s="1"/>
    </row>
    <row r="164" spans="2:279" ht="18" customHeight="1" x14ac:dyDescent="0.25">
      <c r="B164" s="6"/>
      <c r="C164" s="153"/>
      <c r="D164" s="153"/>
      <c r="E164" s="153"/>
      <c r="F164" s="153"/>
      <c r="G164" s="153"/>
      <c r="H164" s="153"/>
      <c r="I164" s="153"/>
      <c r="J164" s="153"/>
      <c r="K164" s="153"/>
      <c r="L164" s="153"/>
      <c r="M164" s="153"/>
      <c r="N164" s="153"/>
      <c r="O164" s="153"/>
      <c r="P164" s="153"/>
      <c r="Q164" s="153"/>
      <c r="R164" s="153"/>
      <c r="S164" s="153"/>
      <c r="T164" s="153"/>
      <c r="U164" s="153"/>
      <c r="V164" s="153"/>
      <c r="W164" s="153"/>
      <c r="X164" s="153"/>
      <c r="Y164" s="153"/>
      <c r="Z164" s="153"/>
      <c r="AA164" s="153"/>
      <c r="AB164" s="153"/>
      <c r="AC164" s="153"/>
      <c r="AD164" s="153"/>
      <c r="AE164" s="153"/>
      <c r="AF164" s="153"/>
      <c r="AG164" s="153"/>
      <c r="AH164" s="153"/>
      <c r="AI164" s="153"/>
      <c r="AJ164" s="153"/>
      <c r="AK164" s="153"/>
      <c r="AL164" s="153"/>
      <c r="AM164" s="153"/>
      <c r="AN164" s="153"/>
      <c r="AO164" s="153"/>
      <c r="AP164" s="8"/>
      <c r="AR164" s="6"/>
      <c r="CF164" s="8"/>
      <c r="EA164" s="1">
        <f t="shared" si="211"/>
        <v>32.799999999999997</v>
      </c>
      <c r="EB164" s="1" t="str">
        <f t="shared" si="220"/>
        <v>34.7359828229117+40.6990674024468i</v>
      </c>
      <c r="EC164" s="1" t="str">
        <f t="shared" si="221"/>
        <v>15.4505813589968+24.7520986433154i</v>
      </c>
      <c r="ED164" s="52" t="str">
        <f t="shared" si="222"/>
        <v>4.63947172521331+10.8437260044857i</v>
      </c>
      <c r="EE164" s="1" t="str">
        <f t="shared" si="223"/>
        <v>2.90521344044355+7.61305512812318i</v>
      </c>
      <c r="EF164" s="1" t="str">
        <f t="shared" si="224"/>
        <v>404095.209258585+1197666.92264175i</v>
      </c>
      <c r="EH164" s="1" t="str">
        <f t="shared" si="225"/>
        <v>1.5985124986833+3.51148451439686i</v>
      </c>
      <c r="EI164" s="1" t="str">
        <f t="shared" si="219"/>
        <v>0.0143880322809015+11.7981864703392i</v>
      </c>
      <c r="EJ164" s="1" t="str">
        <f t="shared" si="226"/>
        <v>0.939809073434938+2.80358527857797i</v>
      </c>
      <c r="EL164" s="52">
        <f t="shared" si="212"/>
        <v>32.799999999999997</v>
      </c>
      <c r="EM164" s="14">
        <f t="shared" si="227"/>
        <v>3.8582075764914046</v>
      </c>
      <c r="EN164" s="14">
        <f t="shared" si="227"/>
        <v>11.798195243526353</v>
      </c>
      <c r="EO164" s="14">
        <f t="shared" si="227"/>
        <v>2.9569124959609048</v>
      </c>
      <c r="EQ164" s="1" t="str">
        <f t="shared" si="228"/>
        <v>0.237725282867573-0.0793671702634256i</v>
      </c>
      <c r="ER164" s="14">
        <f t="shared" si="229"/>
        <v>32.799999999999997</v>
      </c>
      <c r="ES164" s="2">
        <f t="shared" si="230"/>
        <v>0.25062413656727317</v>
      </c>
      <c r="EU164" s="1" t="str">
        <f t="shared" si="231"/>
        <v>0.762274717132424+0.0793671702634252i</v>
      </c>
      <c r="EV164" s="52">
        <f t="shared" si="232"/>
        <v>32.799999999999997</v>
      </c>
      <c r="EW164" s="2">
        <f t="shared" si="233"/>
        <v>0.76639538887896541</v>
      </c>
      <c r="HB164" s="1"/>
      <c r="JO164" s="1"/>
      <c r="JS164" s="1"/>
    </row>
    <row r="165" spans="2:279" ht="18" customHeight="1" x14ac:dyDescent="0.25">
      <c r="B165" s="6"/>
      <c r="C165" s="153"/>
      <c r="D165" s="153"/>
      <c r="E165" s="153"/>
      <c r="F165" s="153"/>
      <c r="G165" s="153"/>
      <c r="H165" s="153"/>
      <c r="I165" s="153"/>
      <c r="J165" s="153"/>
      <c r="K165" s="153"/>
      <c r="L165" s="153"/>
      <c r="M165" s="153"/>
      <c r="N165" s="153"/>
      <c r="O165" s="153"/>
      <c r="P165" s="153"/>
      <c r="Q165" s="153"/>
      <c r="R165" s="153"/>
      <c r="S165" s="153"/>
      <c r="T165" s="153"/>
      <c r="U165" s="153"/>
      <c r="V165" s="153"/>
      <c r="W165" s="153"/>
      <c r="X165" s="153"/>
      <c r="Y165" s="153"/>
      <c r="Z165" s="153"/>
      <c r="AA165" s="153"/>
      <c r="AB165" s="153"/>
      <c r="AC165" s="153"/>
      <c r="AD165" s="153"/>
      <c r="AE165" s="153"/>
      <c r="AF165" s="153"/>
      <c r="AG165" s="153"/>
      <c r="AH165" s="153"/>
      <c r="AI165" s="153"/>
      <c r="AJ165" s="153"/>
      <c r="AK165" s="153"/>
      <c r="AL165" s="153"/>
      <c r="AM165" s="153"/>
      <c r="AN165" s="153"/>
      <c r="AO165" s="153"/>
      <c r="AP165" s="8"/>
      <c r="AR165" s="6"/>
      <c r="CF165" s="8"/>
      <c r="EA165" s="1">
        <f t="shared" si="211"/>
        <v>33</v>
      </c>
      <c r="EB165" s="1" t="str">
        <f t="shared" si="220"/>
        <v>34.9887000504218+40.7588068809978i</v>
      </c>
      <c r="EC165" s="1" t="str">
        <f t="shared" si="221"/>
        <v>15.5907783684855+24.8400384849152i</v>
      </c>
      <c r="ED165" s="52" t="str">
        <f t="shared" si="222"/>
        <v>4.68918146996556+10.9105808358417i</v>
      </c>
      <c r="EE165" s="1" t="str">
        <f t="shared" si="223"/>
        <v>2.93746641269093+7.66857090442093i</v>
      </c>
      <c r="EF165" s="1" t="str">
        <f t="shared" si="224"/>
        <v>408757.174867193+1209622.69712351i</v>
      </c>
      <c r="EH165" s="1" t="str">
        <f t="shared" si="225"/>
        <v>1.61580587393603+3.53290586315629i</v>
      </c>
      <c r="EI165" s="1" t="str">
        <f t="shared" si="219"/>
        <v>0.0143880322809015+11.8701266317438i</v>
      </c>
      <c r="EJ165" s="1" t="str">
        <f t="shared" si="226"/>
        <v>0.949870716083534+2.82160445834706i</v>
      </c>
      <c r="EL165" s="52">
        <f t="shared" si="212"/>
        <v>33</v>
      </c>
      <c r="EM165" s="14">
        <f t="shared" si="227"/>
        <v>3.8848748319823985</v>
      </c>
      <c r="EN165" s="14">
        <f t="shared" si="227"/>
        <v>11.87013535176016</v>
      </c>
      <c r="EO165" s="14">
        <f t="shared" si="227"/>
        <v>2.9771976918970386</v>
      </c>
      <c r="EQ165" s="1" t="str">
        <f t="shared" si="228"/>
        <v>0.237802995458235-0.0797337070000025i</v>
      </c>
      <c r="ER165" s="14">
        <f t="shared" si="229"/>
        <v>33</v>
      </c>
      <c r="ES165" s="2">
        <f t="shared" si="230"/>
        <v>0.25081413174076056</v>
      </c>
      <c r="EU165" s="1" t="str">
        <f t="shared" si="231"/>
        <v>0.762197004541764+0.0797337070000024i</v>
      </c>
      <c r="EV165" s="52">
        <f t="shared" si="232"/>
        <v>33</v>
      </c>
      <c r="EW165" s="2">
        <f t="shared" si="233"/>
        <v>0.76635614290250198</v>
      </c>
      <c r="HB165" s="1"/>
      <c r="JO165" s="1"/>
      <c r="JS165" s="1"/>
    </row>
    <row r="166" spans="2:279" ht="18" customHeight="1" x14ac:dyDescent="0.25">
      <c r="B166" s="6"/>
      <c r="C166" s="153"/>
      <c r="D166" s="153"/>
      <c r="E166" s="153"/>
      <c r="F166" s="153"/>
      <c r="G166" s="153"/>
      <c r="H166" s="153"/>
      <c r="I166" s="153"/>
      <c r="J166" s="153"/>
      <c r="K166" s="153"/>
      <c r="L166" s="153"/>
      <c r="M166" s="153"/>
      <c r="N166" s="153"/>
      <c r="O166" s="153"/>
      <c r="P166" s="153"/>
      <c r="Q166" s="153"/>
      <c r="R166" s="153"/>
      <c r="S166" s="153"/>
      <c r="T166" s="153"/>
      <c r="U166" s="153"/>
      <c r="V166" s="153"/>
      <c r="W166" s="153"/>
      <c r="X166" s="153"/>
      <c r="Y166" s="153"/>
      <c r="Z166" s="153"/>
      <c r="AA166" s="153"/>
      <c r="AB166" s="153"/>
      <c r="AC166" s="153"/>
      <c r="AD166" s="153"/>
      <c r="AE166" s="153"/>
      <c r="AF166" s="153"/>
      <c r="AG166" s="153"/>
      <c r="AH166" s="153"/>
      <c r="AI166" s="153"/>
      <c r="AJ166" s="153"/>
      <c r="AK166" s="153"/>
      <c r="AL166" s="153"/>
      <c r="AM166" s="153"/>
      <c r="AN166" s="153"/>
      <c r="AO166" s="153"/>
      <c r="AP166" s="8"/>
      <c r="AR166" s="6"/>
      <c r="CF166" s="8"/>
      <c r="EA166" s="1">
        <f t="shared" si="211"/>
        <v>33.200000000000003</v>
      </c>
      <c r="EB166" s="1" t="str">
        <f t="shared" si="220"/>
        <v>35.2404703146592+40.8166854019599i</v>
      </c>
      <c r="EC166" s="1" t="str">
        <f t="shared" si="221"/>
        <v>15.7309492755578+24.9268747743171i</v>
      </c>
      <c r="ED166" s="52" t="str">
        <f t="shared" si="222"/>
        <v>4.73904417976016+10.9770356828856i</v>
      </c>
      <c r="EE166" s="1" t="str">
        <f t="shared" si="223"/>
        <v>2.96984358656981+7.72380691870571i</v>
      </c>
      <c r="EF166" s="1" t="str">
        <f t="shared" si="224"/>
        <v>413441.16344693+1221524.64734356i</v>
      </c>
      <c r="EH166" s="1" t="str">
        <f t="shared" si="225"/>
        <v>1.63314542493546+3.55417723595536i</v>
      </c>
      <c r="EI166" s="1" t="str">
        <f t="shared" si="219"/>
        <v>0.0143880322809015+11.9420667931483i</v>
      </c>
      <c r="EJ166" s="1" t="str">
        <f t="shared" si="226"/>
        <v>0.959975868865291+2.8395472139447i</v>
      </c>
      <c r="EL166" s="52">
        <f t="shared" si="212"/>
        <v>33.200000000000003</v>
      </c>
      <c r="EM166" s="14">
        <f t="shared" si="227"/>
        <v>3.9114370509533836</v>
      </c>
      <c r="EN166" s="14">
        <f t="shared" si="227"/>
        <v>11.942075460634479</v>
      </c>
      <c r="EO166" s="14">
        <f t="shared" si="227"/>
        <v>2.9974292400363312</v>
      </c>
      <c r="EQ166" s="1" t="str">
        <f t="shared" si="228"/>
        <v>0.237873371255727-0.0800994799049118i</v>
      </c>
      <c r="ER166" s="14">
        <f t="shared" si="229"/>
        <v>33.200000000000003</v>
      </c>
      <c r="ES166" s="2">
        <f t="shared" si="230"/>
        <v>0.25099734547122665</v>
      </c>
      <c r="EU166" s="1" t="str">
        <f t="shared" si="231"/>
        <v>0.76212662874427+0.0800994799049114i</v>
      </c>
      <c r="EV166" s="52">
        <f t="shared" si="232"/>
        <v>33.200000000000003</v>
      </c>
      <c r="EW166" s="2">
        <f t="shared" si="233"/>
        <v>0.76632429487922649</v>
      </c>
      <c r="HB166" s="1"/>
      <c r="JO166" s="1"/>
      <c r="JS166" s="1"/>
    </row>
    <row r="167" spans="2:279" ht="18" customHeight="1" x14ac:dyDescent="0.25">
      <c r="B167" s="6"/>
      <c r="C167" s="153"/>
      <c r="D167" s="153"/>
      <c r="E167" s="153"/>
      <c r="F167" s="153"/>
      <c r="G167" s="153"/>
      <c r="H167" s="153"/>
      <c r="I167" s="153"/>
      <c r="J167" s="153"/>
      <c r="K167" s="153"/>
      <c r="L167" s="153"/>
      <c r="M167" s="153"/>
      <c r="N167" s="153"/>
      <c r="O167" s="153"/>
      <c r="P167" s="153"/>
      <c r="Q167" s="153"/>
      <c r="R167" s="153"/>
      <c r="S167" s="153"/>
      <c r="T167" s="153"/>
      <c r="U167" s="153"/>
      <c r="V167" s="153"/>
      <c r="W167" s="153"/>
      <c r="X167" s="153"/>
      <c r="Y167" s="153"/>
      <c r="Z167" s="153"/>
      <c r="AA167" s="153"/>
      <c r="AB167" s="153"/>
      <c r="AC167" s="153"/>
      <c r="AD167" s="153"/>
      <c r="AE167" s="153"/>
      <c r="AF167" s="153"/>
      <c r="AG167" s="153"/>
      <c r="AH167" s="153"/>
      <c r="AI167" s="153"/>
      <c r="AJ167" s="153"/>
      <c r="AK167" s="153"/>
      <c r="AL167" s="153"/>
      <c r="AM167" s="153"/>
      <c r="AN167" s="153"/>
      <c r="AO167" s="153"/>
      <c r="AP167" s="8"/>
      <c r="AR167" s="6"/>
      <c r="CF167" s="8"/>
      <c r="EA167" s="1">
        <f t="shared" si="211"/>
        <v>33.4</v>
      </c>
      <c r="EB167" s="1" t="str">
        <f t="shared" si="220"/>
        <v>35.4912852178116+40.8727263359341i</v>
      </c>
      <c r="EC167" s="1" t="str">
        <f t="shared" si="221"/>
        <v>15.8710864134652+25.0126144790874i</v>
      </c>
      <c r="ED167" s="52" t="str">
        <f t="shared" si="222"/>
        <v>4.78905781846453+11.0430923656939i</v>
      </c>
      <c r="EE167" s="1" t="str">
        <f t="shared" si="223"/>
        <v>3.00234389754231+7.7787648815952i</v>
      </c>
      <c r="EF167" s="1" t="str">
        <f t="shared" si="224"/>
        <v>418147.073086865+1233373.32520759i</v>
      </c>
      <c r="EH167" s="1" t="str">
        <f t="shared" si="225"/>
        <v>1.65053034877906+3.57529951431827i</v>
      </c>
      <c r="EI167" s="1" t="str">
        <f t="shared" si="219"/>
        <v>0.0143880322809015+12.0140069545528i</v>
      </c>
      <c r="EJ167" s="1" t="str">
        <f t="shared" si="226"/>
        <v>0.970124200829117+2.85741402598696i</v>
      </c>
      <c r="EL167" s="52">
        <f t="shared" si="212"/>
        <v>33.4</v>
      </c>
      <c r="EM167" s="14">
        <f t="shared" si="227"/>
        <v>3.9378950023235992</v>
      </c>
      <c r="EN167" s="14">
        <f t="shared" si="227"/>
        <v>12.014015570137902</v>
      </c>
      <c r="EO167" s="14">
        <f t="shared" si="227"/>
        <v>3.0176076419808688</v>
      </c>
      <c r="EQ167" s="1" t="str">
        <f t="shared" si="228"/>
        <v>0.237936582046566-0.0804644749468439i</v>
      </c>
      <c r="ER167" s="14">
        <f t="shared" si="229"/>
        <v>33.4</v>
      </c>
      <c r="ES167" s="2">
        <f t="shared" si="230"/>
        <v>0.25117394133244303</v>
      </c>
      <c r="EU167" s="1" t="str">
        <f t="shared" si="231"/>
        <v>0.762063417953432+0.0804644749468436i</v>
      </c>
      <c r="EV167" s="52">
        <f t="shared" si="232"/>
        <v>33.4</v>
      </c>
      <c r="EW167" s="2">
        <f t="shared" si="233"/>
        <v>0.76629967030616575</v>
      </c>
      <c r="HB167" s="1"/>
      <c r="JO167" s="1"/>
      <c r="JS167" s="1"/>
    </row>
    <row r="168" spans="2:279" ht="18" customHeight="1" x14ac:dyDescent="0.25">
      <c r="B168" s="6"/>
      <c r="C168" s="153"/>
      <c r="D168" s="153"/>
      <c r="E168" s="153"/>
      <c r="F168" s="153"/>
      <c r="G168" s="153"/>
      <c r="H168" s="153"/>
      <c r="I168" s="153"/>
      <c r="J168" s="153"/>
      <c r="K168" s="153"/>
      <c r="L168" s="153"/>
      <c r="M168" s="153"/>
      <c r="N168" s="153"/>
      <c r="O168" s="153"/>
      <c r="P168" s="153"/>
      <c r="Q168" s="153"/>
      <c r="R168" s="153"/>
      <c r="S168" s="153"/>
      <c r="T168" s="153"/>
      <c r="U168" s="153"/>
      <c r="V168" s="153"/>
      <c r="W168" s="153"/>
      <c r="X168" s="153"/>
      <c r="Y168" s="153"/>
      <c r="Z168" s="153"/>
      <c r="AA168" s="153"/>
      <c r="AB168" s="153"/>
      <c r="AC168" s="153"/>
      <c r="AD168" s="153"/>
      <c r="AE168" s="153"/>
      <c r="AF168" s="153"/>
      <c r="AG168" s="153"/>
      <c r="AH168" s="153"/>
      <c r="AI168" s="153"/>
      <c r="AJ168" s="153"/>
      <c r="AK168" s="153"/>
      <c r="AL168" s="153"/>
      <c r="AM168" s="153"/>
      <c r="AN168" s="153"/>
      <c r="AO168" s="153"/>
      <c r="AP168" s="8"/>
      <c r="AR168" s="6"/>
      <c r="CF168" s="8"/>
      <c r="EA168" s="1">
        <f t="shared" si="211"/>
        <v>33.6</v>
      </c>
      <c r="EB168" s="1" t="str">
        <f t="shared" si="220"/>
        <v>35.7411366934752+40.9269528917112i</v>
      </c>
      <c r="EC168" s="1" t="str">
        <f t="shared" si="221"/>
        <v>16.0111822147225+25.0972645663674i</v>
      </c>
      <c r="ED168" s="52" t="str">
        <f t="shared" si="222"/>
        <v>4.83922035397046+11.1087526715492i</v>
      </c>
      <c r="EE168" s="1" t="str">
        <f t="shared" si="223"/>
        <v>3.03496628085667+7.83344646231566i</v>
      </c>
      <c r="EF168" s="1" t="str">
        <f t="shared" si="224"/>
        <v>422874.801615773+1245169.26842709i</v>
      </c>
      <c r="EH168" s="1" t="str">
        <f t="shared" si="225"/>
        <v>1.66795984622158+3.59627356249447i</v>
      </c>
      <c r="EI168" s="1" t="str">
        <f t="shared" si="219"/>
        <v>0.0143880322809015+12.0859471159573i</v>
      </c>
      <c r="EJ168" s="1" t="str">
        <f t="shared" si="226"/>
        <v>0.98031538214502+2.87520535889941i</v>
      </c>
      <c r="EL168" s="52">
        <f t="shared" si="212"/>
        <v>33.6</v>
      </c>
      <c r="EM168" s="14">
        <f t="shared" si="227"/>
        <v>3.9642494352530573</v>
      </c>
      <c r="EN168" s="14">
        <f t="shared" si="227"/>
        <v>12.085955680259195</v>
      </c>
      <c r="EO168" s="14">
        <f t="shared" si="227"/>
        <v>3.0377333826907886</v>
      </c>
      <c r="EQ168" s="1" t="str">
        <f t="shared" si="228"/>
        <v>0.237992794188018-0.0808286785277931i</v>
      </c>
      <c r="ER168" s="14">
        <f t="shared" si="229"/>
        <v>33.6</v>
      </c>
      <c r="ES168" s="2">
        <f t="shared" si="230"/>
        <v>0.25134407762660654</v>
      </c>
      <c r="EU168" s="1" t="str">
        <f t="shared" si="231"/>
        <v>0.76200720581198+0.0808286785277928i</v>
      </c>
      <c r="EV168" s="52">
        <f t="shared" si="232"/>
        <v>33.6</v>
      </c>
      <c r="EW168" s="2">
        <f t="shared" si="233"/>
        <v>0.76628210013149245</v>
      </c>
      <c r="HB168" s="1"/>
      <c r="JO168" s="1"/>
      <c r="JS168" s="1"/>
    </row>
    <row r="169" spans="2:279" ht="18" customHeight="1" x14ac:dyDescent="0.25">
      <c r="B169" s="6"/>
      <c r="C169" s="153"/>
      <c r="D169" s="153"/>
      <c r="E169" s="153"/>
      <c r="F169" s="153"/>
      <c r="G169" s="153"/>
      <c r="H169" s="153"/>
      <c r="I169" s="153"/>
      <c r="J169" s="153"/>
      <c r="K169" s="153"/>
      <c r="L169" s="153"/>
      <c r="M169" s="153"/>
      <c r="N169" s="153"/>
      <c r="O169" s="153"/>
      <c r="P169" s="153"/>
      <c r="Q169" s="153"/>
      <c r="R169" s="153"/>
      <c r="S169" s="153"/>
      <c r="T169" s="153"/>
      <c r="U169" s="153"/>
      <c r="V169" s="153"/>
      <c r="W169" s="153"/>
      <c r="X169" s="153"/>
      <c r="Y169" s="153"/>
      <c r="Z169" s="153"/>
      <c r="AA169" s="153"/>
      <c r="AB169" s="153"/>
      <c r="AC169" s="153"/>
      <c r="AD169" s="153"/>
      <c r="AE169" s="153"/>
      <c r="AF169" s="153"/>
      <c r="AG169" s="153"/>
      <c r="AH169" s="153"/>
      <c r="AI169" s="153"/>
      <c r="AJ169" s="153"/>
      <c r="AK169" s="153"/>
      <c r="AL169" s="153"/>
      <c r="AM169" s="153"/>
      <c r="AN169" s="153"/>
      <c r="AO169" s="153"/>
      <c r="AP169" s="8"/>
      <c r="AR169" s="6"/>
      <c r="CF169" s="8"/>
      <c r="EA169" s="1">
        <f t="shared" si="211"/>
        <v>33.799999999999997</v>
      </c>
      <c r="EB169" s="1" t="str">
        <f t="shared" si="220"/>
        <v>35.9900170009605+40.9793881143191i</v>
      </c>
      <c r="EC169" s="1" t="str">
        <f t="shared" si="221"/>
        <v>16.1512292109783+25.1808320026694i</v>
      </c>
      <c r="ED169" s="52" t="str">
        <f t="shared" si="222"/>
        <v>4.88952975834654+11.1740183563074i</v>
      </c>
      <c r="EE169" s="1" t="str">
        <f t="shared" si="223"/>
        <v>3.06770967161937+7.88785329014896i</v>
      </c>
      <c r="EF169" s="1" t="str">
        <f t="shared" si="224"/>
        <v>427624.246607217+1256913.00095966i</v>
      </c>
      <c r="EH169" s="1" t="str">
        <f t="shared" si="225"/>
        <v>1.68543312167932+3.61710022821407i</v>
      </c>
      <c r="EI169" s="1" t="str">
        <f t="shared" si="219"/>
        <v>0.0143880322809015+12.1578872773618i</v>
      </c>
      <c r="EJ169" s="1" t="str">
        <f t="shared" si="226"/>
        <v>0.990549084053462+2.89292166160915i</v>
      </c>
      <c r="EL169" s="52">
        <f t="shared" si="212"/>
        <v>33.799999999999997</v>
      </c>
      <c r="EM169" s="14">
        <f t="shared" si="227"/>
        <v>3.9905010798895892</v>
      </c>
      <c r="EN169" s="14">
        <f t="shared" si="227"/>
        <v>12.157895790987387</v>
      </c>
      <c r="EO169" s="14">
        <f t="shared" si="227"/>
        <v>3.0578069311397997</v>
      </c>
      <c r="EQ169" s="1" t="str">
        <f t="shared" si="228"/>
        <v>0.238042168825626-0.081192077465813i</v>
      </c>
      <c r="ER169" s="14">
        <f t="shared" si="229"/>
        <v>33.799999999999997</v>
      </c>
      <c r="ES169" s="2">
        <f t="shared" si="230"/>
        <v>0.25150790759421937</v>
      </c>
      <c r="EU169" s="1" t="str">
        <f t="shared" si="231"/>
        <v>0.761957831174372+0.0811920774658127i</v>
      </c>
      <c r="EV169" s="52">
        <f t="shared" si="232"/>
        <v>33.799999999999997</v>
      </c>
      <c r="EW169" s="2">
        <f t="shared" si="233"/>
        <v>0.76627142053659236</v>
      </c>
      <c r="HB169" s="1"/>
      <c r="JO169" s="1"/>
      <c r="JS169" s="1"/>
    </row>
    <row r="170" spans="2:279" ht="18" customHeight="1" x14ac:dyDescent="0.25">
      <c r="B170" s="6"/>
      <c r="C170" s="153"/>
      <c r="D170" s="153"/>
      <c r="E170" s="153"/>
      <c r="F170" s="153"/>
      <c r="G170" s="153"/>
      <c r="H170" s="153"/>
      <c r="I170" s="153"/>
      <c r="J170" s="153"/>
      <c r="K170" s="153"/>
      <c r="L170" s="153"/>
      <c r="M170" s="153"/>
      <c r="N170" s="153"/>
      <c r="O170" s="153"/>
      <c r="P170" s="153"/>
      <c r="Q170" s="153"/>
      <c r="R170" s="153"/>
      <c r="S170" s="153"/>
      <c r="T170" s="153"/>
      <c r="U170" s="153"/>
      <c r="V170" s="153"/>
      <c r="W170" s="153"/>
      <c r="X170" s="153"/>
      <c r="Y170" s="153"/>
      <c r="Z170" s="153"/>
      <c r="AA170" s="153"/>
      <c r="AB170" s="153"/>
      <c r="AC170" s="153"/>
      <c r="AD170" s="153"/>
      <c r="AE170" s="153"/>
      <c r="AF170" s="153"/>
      <c r="AG170" s="153"/>
      <c r="AH170" s="153"/>
      <c r="AI170" s="153"/>
      <c r="AJ170" s="153"/>
      <c r="AK170" s="153"/>
      <c r="AL170" s="153"/>
      <c r="AM170" s="153"/>
      <c r="AN170" s="153"/>
      <c r="AO170" s="153"/>
      <c r="AP170" s="8"/>
      <c r="AR170" s="6"/>
      <c r="CF170" s="8"/>
      <c r="EA170" s="1">
        <f t="shared" si="211"/>
        <v>34</v>
      </c>
      <c r="EB170" s="1" t="str">
        <f t="shared" si="220"/>
        <v>36.2379187196236+41.0300548831674i</v>
      </c>
      <c r="EC170" s="1" t="str">
        <f t="shared" si="221"/>
        <v>16.2912200328593+25.2633237536406i</v>
      </c>
      <c r="ED170" s="52" t="str">
        <f t="shared" si="222"/>
        <v>4.93998400798909+11.2388911457127i</v>
      </c>
      <c r="EE170" s="1" t="str">
        <f t="shared" si="223"/>
        <v>3.10057300486719+7.94198695582767i</v>
      </c>
      <c r="EF170" s="1" t="str">
        <f t="shared" si="224"/>
        <v>432395.305384563+1268605.03343363i</v>
      </c>
      <c r="EH170" s="1" t="str">
        <f t="shared" si="225"/>
        <v>1.70294938323662+3.6377803434093i</v>
      </c>
      <c r="EI170" s="1" t="str">
        <f t="shared" si="219"/>
        <v>0.0143880322809015+12.2298274387663i</v>
      </c>
      <c r="EJ170" s="1" t="str">
        <f t="shared" si="226"/>
        <v>1.00082497881851+2.91056336820485i</v>
      </c>
      <c r="EL170" s="52">
        <f t="shared" si="212"/>
        <v>34</v>
      </c>
      <c r="EM170" s="14">
        <f t="shared" si="227"/>
        <v>4.0166506480849273</v>
      </c>
      <c r="EN170" s="14">
        <f t="shared" si="227"/>
        <v>12.229835902311773</v>
      </c>
      <c r="EO170" s="14">
        <f t="shared" si="227"/>
        <v>3.0778287409410923</v>
      </c>
      <c r="EQ170" s="1" t="str">
        <f t="shared" si="228"/>
        <v>0.238084862100444-0.0815546589787064i</v>
      </c>
      <c r="ER170" s="14">
        <f t="shared" si="229"/>
        <v>34</v>
      </c>
      <c r="ES170" s="2">
        <f t="shared" si="230"/>
        <v>0.25166557961413899</v>
      </c>
      <c r="EU170" s="1" t="str">
        <f t="shared" si="231"/>
        <v>0.761915137899556+0.0815546589787063i</v>
      </c>
      <c r="EV170" s="52">
        <f t="shared" si="232"/>
        <v>34</v>
      </c>
      <c r="EW170" s="2">
        <f t="shared" si="233"/>
        <v>0.7662674727284412</v>
      </c>
      <c r="HB170" s="1"/>
      <c r="JO170" s="1"/>
      <c r="JS170" s="1"/>
    </row>
    <row r="171" spans="2:279" ht="18" customHeight="1" x14ac:dyDescent="0.25">
      <c r="B171" s="6"/>
      <c r="C171" s="153"/>
      <c r="D171" s="153"/>
      <c r="E171" s="153"/>
      <c r="F171" s="153"/>
      <c r="G171" s="153"/>
      <c r="H171" s="153"/>
      <c r="I171" s="153"/>
      <c r="J171" s="153"/>
      <c r="K171" s="153"/>
      <c r="L171" s="153"/>
      <c r="M171" s="153"/>
      <c r="N171" s="153"/>
      <c r="O171" s="153"/>
      <c r="P171" s="153"/>
      <c r="Q171" s="153"/>
      <c r="R171" s="153"/>
      <c r="S171" s="153"/>
      <c r="T171" s="153"/>
      <c r="U171" s="153"/>
      <c r="V171" s="153"/>
      <c r="W171" s="153"/>
      <c r="X171" s="153"/>
      <c r="Y171" s="153"/>
      <c r="Z171" s="153"/>
      <c r="AA171" s="153"/>
      <c r="AB171" s="153"/>
      <c r="AC171" s="153"/>
      <c r="AD171" s="153"/>
      <c r="AE171" s="153"/>
      <c r="AF171" s="153"/>
      <c r="AG171" s="153"/>
      <c r="AH171" s="153"/>
      <c r="AI171" s="153"/>
      <c r="AJ171" s="153"/>
      <c r="AK171" s="153"/>
      <c r="AL171" s="153"/>
      <c r="AM171" s="153"/>
      <c r="AN171" s="153"/>
      <c r="AO171" s="153"/>
      <c r="AP171" s="8"/>
      <c r="AR171" s="6"/>
      <c r="CF171" s="8"/>
      <c r="EA171" s="1">
        <f t="shared" si="211"/>
        <v>34.200000000000003</v>
      </c>
      <c r="EB171" s="1" t="str">
        <f t="shared" si="220"/>
        <v>36.4848347432217+41.0789759102882i</v>
      </c>
      <c r="EC171" s="1" t="str">
        <f t="shared" si="221"/>
        <v>16.43114740979+25.3447467837915i</v>
      </c>
      <c r="ED171" s="52" t="str">
        <f t="shared" si="222"/>
        <v>4.9905810837711+11.303372736661i</v>
      </c>
      <c r="EE171" s="1" t="str">
        <f t="shared" si="223"/>
        <v>3.13355521563862+7.99584901287946i</v>
      </c>
      <c r="EF171" s="1" t="str">
        <f t="shared" si="224"/>
        <v>437187.87502601+1280245.8635578i</v>
      </c>
      <c r="EH171" s="1" t="str">
        <f t="shared" si="225"/>
        <v>1.72050784265411+3.65831472490321i</v>
      </c>
      <c r="EI171" s="1" t="str">
        <f t="shared" si="219"/>
        <v>0.0143880322809015+12.3017676001708i</v>
      </c>
      <c r="EJ171" s="1" t="str">
        <f t="shared" si="226"/>
        <v>1.01114273968448+2.92813089856633i</v>
      </c>
      <c r="EL171" s="52">
        <f t="shared" si="212"/>
        <v>34.200000000000003</v>
      </c>
      <c r="EM171" s="14">
        <f t="shared" si="227"/>
        <v>4.0426988340807615</v>
      </c>
      <c r="EN171" s="14">
        <f t="shared" si="227"/>
        <v>12.30177601422189</v>
      </c>
      <c r="EO171" s="14">
        <f t="shared" si="227"/>
        <v>3.0977992509450156</v>
      </c>
      <c r="EQ171" s="1" t="str">
        <f t="shared" si="228"/>
        <v>0.238121025346528-0.0819164106685811i</v>
      </c>
      <c r="ER171" s="14">
        <f t="shared" si="229"/>
        <v>34.200000000000003</v>
      </c>
      <c r="ES171" s="2">
        <f t="shared" si="230"/>
        <v>0.25181723739431633</v>
      </c>
      <c r="EU171" s="1" t="str">
        <f t="shared" si="231"/>
        <v>0.761878974653473+0.0819164106685811i</v>
      </c>
      <c r="EV171" s="52">
        <f t="shared" si="232"/>
        <v>34.200000000000003</v>
      </c>
      <c r="EW171" s="2">
        <f t="shared" si="233"/>
        <v>0.76627010274174923</v>
      </c>
      <c r="HB171" s="1"/>
      <c r="JO171" s="1"/>
      <c r="JS171" s="1"/>
    </row>
    <row r="172" spans="2:279" ht="18" customHeight="1" x14ac:dyDescent="0.25">
      <c r="B172" s="6"/>
      <c r="C172" s="153"/>
      <c r="D172" s="153"/>
      <c r="E172" s="153"/>
      <c r="F172" s="153"/>
      <c r="G172" s="153"/>
      <c r="H172" s="153"/>
      <c r="I172" s="153"/>
      <c r="J172" s="153"/>
      <c r="K172" s="153"/>
      <c r="L172" s="153"/>
      <c r="M172" s="153"/>
      <c r="N172" s="153"/>
      <c r="O172" s="153"/>
      <c r="P172" s="153"/>
      <c r="Q172" s="153"/>
      <c r="R172" s="153"/>
      <c r="S172" s="153"/>
      <c r="T172" s="153"/>
      <c r="U172" s="153"/>
      <c r="V172" s="153"/>
      <c r="W172" s="153"/>
      <c r="X172" s="153"/>
      <c r="Y172" s="153"/>
      <c r="Z172" s="153"/>
      <c r="AA172" s="153"/>
      <c r="AB172" s="153"/>
      <c r="AC172" s="153"/>
      <c r="AD172" s="153"/>
      <c r="AE172" s="153"/>
      <c r="AF172" s="153"/>
      <c r="AG172" s="153"/>
      <c r="AH172" s="153"/>
      <c r="AI172" s="153"/>
      <c r="AJ172" s="153"/>
      <c r="AK172" s="153"/>
      <c r="AL172" s="153"/>
      <c r="AM172" s="153"/>
      <c r="AN172" s="153"/>
      <c r="AO172" s="153"/>
      <c r="AP172" s="8"/>
      <c r="AR172" s="6"/>
      <c r="CF172" s="8"/>
      <c r="EA172" s="1">
        <f t="shared" si="211"/>
        <v>34.4</v>
      </c>
      <c r="EB172" s="1" t="str">
        <f t="shared" si="220"/>
        <v>36.7307582742997+41.1261737386711i</v>
      </c>
      <c r="EC172" s="1" t="str">
        <f t="shared" si="221"/>
        <v>16.571004169789+25.4251080561982i</v>
      </c>
      <c r="ED172" s="52" t="str">
        <f t="shared" si="222"/>
        <v>5.04131897118905+11.3674647984145i</v>
      </c>
      <c r="EE172" s="1" t="str">
        <f t="shared" si="223"/>
        <v>3.16665523904491+8.04944097892343i</v>
      </c>
      <c r="EF172" s="1" t="str">
        <f t="shared" si="224"/>
        <v>442001.852369636+1291835.97651695i</v>
      </c>
      <c r="EH172" s="1" t="str">
        <f t="shared" si="225"/>
        <v>1.7381077153789+3.67870417506734i</v>
      </c>
      <c r="EI172" s="1" t="str">
        <f t="shared" si="219"/>
        <v>0.0143880322809015+12.3737077615753i</v>
      </c>
      <c r="EJ172" s="1" t="str">
        <f t="shared" si="226"/>
        <v>1.02150204083608+2.94562465896538i</v>
      </c>
      <c r="EL172" s="52">
        <f t="shared" si="212"/>
        <v>34.4</v>
      </c>
      <c r="EM172" s="14">
        <f t="shared" si="227"/>
        <v>4.0686463151664514</v>
      </c>
      <c r="EN172" s="14">
        <f t="shared" si="227"/>
        <v>12.373716126707521</v>
      </c>
      <c r="EO172" s="14">
        <f t="shared" si="227"/>
        <v>3.117718885810135</v>
      </c>
      <c r="EQ172" s="1" t="str">
        <f t="shared" si="228"/>
        <v>0.238150805279215-0.0822773205072357i</v>
      </c>
      <c r="ER172" s="14">
        <f t="shared" si="229"/>
        <v>34.4</v>
      </c>
      <c r="ES172" s="2">
        <f t="shared" si="230"/>
        <v>0.25196302015373001</v>
      </c>
      <c r="EU172" s="1" t="str">
        <f t="shared" si="231"/>
        <v>0.761849194720788+0.0822773205072359i</v>
      </c>
      <c r="EV172" s="52">
        <f t="shared" si="232"/>
        <v>34.4</v>
      </c>
      <c r="EW172" s="2">
        <f t="shared" si="233"/>
        <v>0.76627916125036555</v>
      </c>
      <c r="HB172" s="1"/>
      <c r="JO172" s="1"/>
      <c r="JS172" s="1"/>
    </row>
    <row r="173" spans="2:279" ht="18" customHeight="1" x14ac:dyDescent="0.25">
      <c r="B173" s="6"/>
      <c r="AP173" s="8"/>
      <c r="AR173" s="6"/>
      <c r="CF173" s="8"/>
      <c r="EA173" s="1">
        <f t="shared" si="211"/>
        <v>34.6</v>
      </c>
      <c r="EB173" s="1" t="str">
        <f t="shared" si="220"/>
        <v>36.9756828186065+41.1716707406937i</v>
      </c>
      <c r="EC173" s="1" t="str">
        <f t="shared" si="221"/>
        <v>16.7107832392413+25.5044145321746i</v>
      </c>
      <c r="ED173" s="52" t="str">
        <f t="shared" si="222"/>
        <v>5.0921956605079+11.4311689737691i</v>
      </c>
      <c r="EE173" s="1" t="str">
        <f t="shared" si="223"/>
        <v>3.19987201034048+8.10276433691962i</v>
      </c>
      <c r="EF173" s="1" t="str">
        <f t="shared" si="224"/>
        <v>446837.134018408+1303375.84535355i</v>
      </c>
      <c r="EH173" s="1" t="str">
        <f t="shared" si="225"/>
        <v>1.75574822055607+3.69894948245008i</v>
      </c>
      <c r="EI173" s="1" t="str">
        <f t="shared" si="219"/>
        <v>0.0143880322809015+12.4456479229798i</v>
      </c>
      <c r="EJ173" s="1" t="str">
        <f t="shared" si="226"/>
        <v>1.03190255736139+2.96304504263941i</v>
      </c>
      <c r="EL173" s="52">
        <f t="shared" si="212"/>
        <v>34.6</v>
      </c>
      <c r="EM173" s="14">
        <f t="shared" si="227"/>
        <v>4.0944937523097433</v>
      </c>
      <c r="EN173" s="14">
        <f t="shared" si="227"/>
        <v>12.445656239758687</v>
      </c>
      <c r="EO173" s="14">
        <f t="shared" si="227"/>
        <v>3.1375880565490046</v>
      </c>
      <c r="EQ173" s="1" t="str">
        <f t="shared" si="228"/>
        <v>0.238174344174684-0.0826373768222971i</v>
      </c>
      <c r="ER173" s="14">
        <f t="shared" si="229"/>
        <v>34.6</v>
      </c>
      <c r="ES173" s="2">
        <f t="shared" si="230"/>
        <v>0.25210306279597472</v>
      </c>
      <c r="EU173" s="1" t="str">
        <f t="shared" si="231"/>
        <v>0.761825655825315+0.0826373768222969i</v>
      </c>
      <c r="EV173" s="52">
        <f t="shared" si="232"/>
        <v>34.6</v>
      </c>
      <c r="EW173" s="2">
        <f t="shared" si="233"/>
        <v>0.76629450338739968</v>
      </c>
      <c r="HB173" s="1"/>
      <c r="JO173" s="1"/>
      <c r="JS173" s="1"/>
    </row>
    <row r="174" spans="2:279" ht="18" customHeight="1" x14ac:dyDescent="0.3">
      <c r="B174" s="6"/>
      <c r="C174" s="30" t="s">
        <v>102</v>
      </c>
      <c r="AP174" s="8"/>
      <c r="AR174" s="6"/>
      <c r="CF174" s="8"/>
      <c r="EA174" s="1">
        <f t="shared" si="211"/>
        <v>34.799999999999997</v>
      </c>
      <c r="EB174" s="1" t="str">
        <f t="shared" si="220"/>
        <v>37.2196021795459+41.2154891166433i</v>
      </c>
      <c r="EC174" s="1" t="str">
        <f t="shared" si="221"/>
        <v>16.8504776426475+25.5826731709201i</v>
      </c>
      <c r="ED174" s="52" t="str">
        <f t="shared" si="222"/>
        <v>5.14320914690405+11.4944868801763i</v>
      </c>
      <c r="EE174" s="1" t="str">
        <f t="shared" si="223"/>
        <v>3.23320446499296+8.15582053637423i</v>
      </c>
      <c r="EF174" s="1" t="str">
        <f t="shared" si="224"/>
        <v>451693.616345198+1314865.93133619i</v>
      </c>
      <c r="EH174" s="1" t="str">
        <f t="shared" si="225"/>
        <v>1.77342858104168+3.7190514223766i</v>
      </c>
      <c r="EI174" s="1" t="str">
        <f t="shared" si="219"/>
        <v>0.0143880322809015+12.5175880843843i</v>
      </c>
      <c r="EJ174" s="1" t="str">
        <f t="shared" si="226"/>
        <v>1.04234396521799+2.98039243033911i</v>
      </c>
      <c r="EL174" s="52">
        <f t="shared" si="212"/>
        <v>34.799999999999997</v>
      </c>
      <c r="EM174" s="14">
        <f t="shared" si="227"/>
        <v>4.1202417907614253</v>
      </c>
      <c r="EN174" s="14">
        <f t="shared" si="227"/>
        <v>12.51759635336564</v>
      </c>
      <c r="EO174" s="14">
        <f t="shared" si="227"/>
        <v>3.157407161049874</v>
      </c>
      <c r="EQ174" s="1" t="str">
        <f t="shared" si="228"/>
        <v>0.238191780041262-0.08299656828409i</v>
      </c>
      <c r="ER174" s="14">
        <f t="shared" si="229"/>
        <v>34.799999999999997</v>
      </c>
      <c r="ES174" s="2">
        <f t="shared" si="230"/>
        <v>0.25223749607495027</v>
      </c>
      <c r="EU174" s="1" t="str">
        <f t="shared" si="231"/>
        <v>0.761808219958738+0.0829965682840899i</v>
      </c>
      <c r="EV174" s="52">
        <f t="shared" si="232"/>
        <v>34.799999999999997</v>
      </c>
      <c r="EW174" s="2">
        <f t="shared" si="233"/>
        <v>0.76631598857366701</v>
      </c>
      <c r="HB174" s="1"/>
      <c r="JO174" s="1"/>
      <c r="JS174" s="1"/>
    </row>
    <row r="175" spans="2:279" ht="18" customHeight="1" x14ac:dyDescent="0.3">
      <c r="B175" s="6"/>
      <c r="C175" s="154" t="s">
        <v>104</v>
      </c>
      <c r="D175" s="154"/>
      <c r="E175" s="154"/>
      <c r="F175" s="154"/>
      <c r="G175" s="154"/>
      <c r="H175" s="154"/>
      <c r="I175" s="154"/>
      <c r="J175" s="154"/>
      <c r="K175" s="154"/>
      <c r="L175" s="154"/>
      <c r="M175" s="154"/>
      <c r="N175" s="154"/>
      <c r="O175" s="154"/>
      <c r="P175" s="154"/>
      <c r="Q175" s="154"/>
      <c r="R175" s="154"/>
      <c r="S175" s="154"/>
      <c r="T175" s="154"/>
      <c r="U175" s="154"/>
      <c r="V175" s="154"/>
      <c r="W175" s="154"/>
      <c r="X175" s="154"/>
      <c r="Y175" s="154"/>
      <c r="Z175" s="154"/>
      <c r="AA175" s="154"/>
      <c r="AB175" s="154"/>
      <c r="AC175" s="154"/>
      <c r="AD175" s="154"/>
      <c r="AE175" s="154"/>
      <c r="AF175" s="154"/>
      <c r="AG175" s="154"/>
      <c r="AH175" s="154"/>
      <c r="AI175" s="154"/>
      <c r="AJ175" s="154"/>
      <c r="AK175" s="154"/>
      <c r="AL175" s="154"/>
      <c r="AM175" s="154"/>
      <c r="AN175" s="154"/>
      <c r="AO175" s="154"/>
      <c r="AP175" s="8"/>
      <c r="AR175" s="6"/>
      <c r="CF175" s="8"/>
      <c r="EA175" s="1">
        <f t="shared" ref="EA175:EA238" si="234">ROUND(EA174+0.2,1)</f>
        <v>35</v>
      </c>
      <c r="EB175" s="1" t="str">
        <f t="shared" si="220"/>
        <v>37.462510452662+41.2576508933303i</v>
      </c>
      <c r="EC175" s="1" t="str">
        <f t="shared" si="221"/>
        <v>16.9900805023512+25.6598909291434i</v>
      </c>
      <c r="ED175" s="52" t="str">
        <f t="shared" si="222"/>
        <v>5.19435743060639+11.5574201108222i</v>
      </c>
      <c r="EE175" s="1" t="str">
        <f t="shared" si="223"/>
        <v>3.26665153875267+8.20861099450202i</v>
      </c>
      <c r="EF175" s="1" t="str">
        <f t="shared" si="224"/>
        <v>456571.195497795+1326306.68431554i</v>
      </c>
      <c r="EH175" s="1" t="str">
        <f t="shared" si="225"/>
        <v>1.79114802341694+3.73901075752243i</v>
      </c>
      <c r="EI175" s="1" t="str">
        <f t="shared" si="219"/>
        <v>0.0143880322809015+12.5895282457888i</v>
      </c>
      <c r="EJ175" s="1" t="str">
        <f t="shared" si="226"/>
        <v>1.05282594120164+2.99766719085178i</v>
      </c>
      <c r="EL175" s="52">
        <f t="shared" ref="EL175:EL238" si="235">ROUND(EL174+0.2,1)</f>
        <v>35</v>
      </c>
      <c r="EM175" s="14">
        <f t="shared" si="227"/>
        <v>4.1458910606356829</v>
      </c>
      <c r="EN175" s="14">
        <f t="shared" si="227"/>
        <v>12.589536467518847</v>
      </c>
      <c r="EO175" s="14">
        <f t="shared" si="227"/>
        <v>3.1771765845757334</v>
      </c>
      <c r="EQ175" s="1" t="str">
        <f t="shared" si="228"/>
        <v>0.238203246782907-0.0833548838931705i</v>
      </c>
      <c r="ER175" s="14">
        <f t="shared" si="229"/>
        <v>35</v>
      </c>
      <c r="ES175" s="2">
        <f t="shared" si="230"/>
        <v>0.25236644675305475</v>
      </c>
      <c r="EU175" s="1" t="str">
        <f t="shared" si="231"/>
        <v>0.761796753217095+0.0833548838931706i</v>
      </c>
      <c r="EV175" s="52">
        <f t="shared" si="232"/>
        <v>35</v>
      </c>
      <c r="EW175" s="2">
        <f t="shared" si="233"/>
        <v>0.76634348035391497</v>
      </c>
      <c r="HB175" s="1"/>
      <c r="JO175" s="1"/>
      <c r="JS175" s="1"/>
    </row>
    <row r="176" spans="2:279" ht="18" customHeight="1" x14ac:dyDescent="0.25">
      <c r="B176" s="6"/>
      <c r="D176" s="180" t="s">
        <v>109</v>
      </c>
      <c r="E176" s="180"/>
      <c r="F176" s="180"/>
      <c r="G176" s="180"/>
      <c r="H176" s="180"/>
      <c r="I176" s="180"/>
      <c r="J176" s="180"/>
      <c r="K176" s="180"/>
      <c r="L176" s="180"/>
      <c r="M176" s="180"/>
      <c r="N176" s="180"/>
      <c r="O176" s="180"/>
      <c r="P176" s="180"/>
      <c r="Q176" s="180"/>
      <c r="R176" s="226">
        <f>0.1*SUM(AE29:AH33)*3</f>
        <v>2253.7912840766162</v>
      </c>
      <c r="S176" s="226"/>
      <c r="T176" s="226"/>
      <c r="U176" s="226"/>
      <c r="V176" s="1" t="str">
        <f>"Watts, 3-Phase or "&amp;ROUND(R176*3.412141,0)&amp;" BTUs/Hour"</f>
        <v>Watts, 3-Phase or 7690 BTUs/Hour</v>
      </c>
      <c r="AP176" s="8"/>
      <c r="AR176" s="6"/>
      <c r="CF176" s="8"/>
      <c r="EA176" s="1">
        <f t="shared" si="234"/>
        <v>35.200000000000003</v>
      </c>
      <c r="EB176" s="1" t="str">
        <f t="shared" si="220"/>
        <v>37.7044020201643+41.2981779227934i</v>
      </c>
      <c r="EC176" s="1" t="str">
        <f t="shared" si="221"/>
        <v>17.1295850382448+25.7360747606655i</v>
      </c>
      <c r="ED176" s="52" t="str">
        <f t="shared" si="222"/>
        <v>5.24563851703522+11.6199702356642i</v>
      </c>
      <c r="EE176" s="1" t="str">
        <f t="shared" si="223"/>
        <v>3.30021216772162+8.26113709734748i</v>
      </c>
      <c r="EF176" s="1" t="str">
        <f t="shared" si="224"/>
        <v>461469.767403899+1337698.54306799i</v>
      </c>
      <c r="EH176" s="1" t="str">
        <f t="shared" si="225"/>
        <v>1.80890577800342+3.75882823846142i</v>
      </c>
      <c r="EI176" s="1" t="str">
        <f t="shared" si="219"/>
        <v>0.0143880322809015+12.6614684071933i</v>
      </c>
      <c r="EJ176" s="1" t="str">
        <f t="shared" si="226"/>
        <v>1.06334816291753+3.01486968150137i</v>
      </c>
      <c r="EL176" s="52">
        <f t="shared" si="235"/>
        <v>35.200000000000003</v>
      </c>
      <c r="EM176" s="14">
        <f t="shared" si="227"/>
        <v>4.1714421774668216</v>
      </c>
      <c r="EN176" s="14">
        <f t="shared" si="227"/>
        <v>12.661476582209001</v>
      </c>
      <c r="EO176" s="14">
        <f t="shared" si="227"/>
        <v>3.1968967002416981</v>
      </c>
      <c r="EQ176" s="1" t="str">
        <f t="shared" si="228"/>
        <v>0.238208874355297-0.0837123129684972i</v>
      </c>
      <c r="ER176" s="14">
        <f t="shared" si="229"/>
        <v>35.200000000000003</v>
      </c>
      <c r="ES176" s="2">
        <f t="shared" si="230"/>
        <v>0.25249003775229095</v>
      </c>
      <c r="EU176" s="1" t="str">
        <f t="shared" si="231"/>
        <v>0.761791125644704+0.0837123129684973i</v>
      </c>
      <c r="EV176" s="52">
        <f t="shared" si="232"/>
        <v>35.200000000000003</v>
      </c>
      <c r="EW176" s="2">
        <f t="shared" si="233"/>
        <v>0.76637684624051672</v>
      </c>
      <c r="HB176" s="1"/>
      <c r="JO176" s="1"/>
      <c r="JS176" s="1"/>
    </row>
    <row r="177" spans="2:279" ht="18" customHeight="1" x14ac:dyDescent="0.25">
      <c r="B177" s="6"/>
      <c r="D177" s="232" t="s">
        <v>110</v>
      </c>
      <c r="E177" s="232"/>
      <c r="F177" s="232"/>
      <c r="G177" s="232"/>
      <c r="H177" s="232"/>
      <c r="I177" s="232"/>
      <c r="J177" s="232"/>
      <c r="K177" s="232"/>
      <c r="L177" s="232"/>
      <c r="M177" s="232"/>
      <c r="N177" s="232"/>
      <c r="O177" s="232"/>
      <c r="P177" s="232"/>
      <c r="Q177" s="232"/>
      <c r="R177" s="199">
        <f>(1.9*CA13+12)*SUM(U29:X33)*3</f>
        <v>7665.4375644172742</v>
      </c>
      <c r="S177" s="199"/>
      <c r="T177" s="199"/>
      <c r="U177" s="199"/>
      <c r="V177" s="1" t="str">
        <f>"Watts, 3-Phase or "&amp;ROUND(R177*3.412141,0)&amp;" BTUs/Hour"</f>
        <v>Watts, 3-Phase or 26156 BTUs/Hour</v>
      </c>
      <c r="AP177" s="8"/>
      <c r="AR177" s="6"/>
      <c r="CF177" s="8"/>
      <c r="EA177" s="1">
        <f t="shared" si="234"/>
        <v>35.4</v>
      </c>
      <c r="EB177" s="1" t="str">
        <f t="shared" si="220"/>
        <v>37.9452715454903+41.3370918810909i</v>
      </c>
      <c r="EC177" s="1" t="str">
        <f t="shared" si="221"/>
        <v>17.2689845674543+25.8112316160014i</v>
      </c>
      <c r="ED177" s="52" t="str">
        <f t="shared" si="222"/>
        <v>5.29705041693956+11.6821388024283i</v>
      </c>
      <c r="EE177" s="1" t="str">
        <f t="shared" si="223"/>
        <v>3.33388528842197+8.31340020086652i</v>
      </c>
      <c r="EF177" s="1" t="str">
        <f t="shared" si="224"/>
        <v>466389.227776114+1349041.93562763i</v>
      </c>
      <c r="EH177" s="1" t="str">
        <f t="shared" si="225"/>
        <v>1.82670107887936+3.7785046041895i</v>
      </c>
      <c r="EI177" s="1" t="str">
        <f t="shared" si="219"/>
        <v>0.0143880322809015+12.7334085685978i</v>
      </c>
      <c r="EJ177" s="1" t="str">
        <f t="shared" si="226"/>
        <v>1.07391030875394+3.03200024862661i</v>
      </c>
      <c r="EL177" s="52">
        <f t="shared" si="235"/>
        <v>35.4</v>
      </c>
      <c r="EM177" s="14">
        <f t="shared" si="227"/>
        <v>4.1968957427437088</v>
      </c>
      <c r="EN177" s="14">
        <f t="shared" si="227"/>
        <v>12.733416697427003</v>
      </c>
      <c r="EO177" s="14">
        <f t="shared" si="227"/>
        <v>3.2165678694720254</v>
      </c>
      <c r="EQ177" s="1" t="str">
        <f t="shared" si="228"/>
        <v>0.238208788914896-0.0840688451362022i</v>
      </c>
      <c r="ER177" s="14">
        <f t="shared" si="229"/>
        <v>35.4</v>
      </c>
      <c r="ES177" s="2">
        <f t="shared" si="230"/>
        <v>0.25260838829863952</v>
      </c>
      <c r="EU177" s="1" t="str">
        <f t="shared" si="231"/>
        <v>0.761791211085104+0.0840688451362021i</v>
      </c>
      <c r="EV177" s="52">
        <f t="shared" si="232"/>
        <v>35.4</v>
      </c>
      <c r="EW177" s="2">
        <f t="shared" si="233"/>
        <v>0.76641595756419645</v>
      </c>
      <c r="HB177" s="1"/>
      <c r="JO177" s="1"/>
      <c r="JS177" s="1"/>
    </row>
    <row r="178" spans="2:279" ht="18" customHeight="1" x14ac:dyDescent="0.25">
      <c r="B178" s="6"/>
      <c r="D178" s="225" t="str">
        <f>"High-Pass Resistor Losses, "&amp;AK17&amp;" Hertz:"</f>
        <v>High-Pass Resistor Losses, 60 Hertz:</v>
      </c>
      <c r="E178" s="225"/>
      <c r="F178" s="225"/>
      <c r="G178" s="225"/>
      <c r="H178" s="225"/>
      <c r="I178" s="225"/>
      <c r="J178" s="225"/>
      <c r="K178" s="225"/>
      <c r="L178" s="225"/>
      <c r="M178" s="225"/>
      <c r="N178" s="225"/>
      <c r="O178" s="225"/>
      <c r="P178" s="225"/>
      <c r="Q178" s="225"/>
      <c r="R178" s="185">
        <f>SUM(CP91:CT91)</f>
        <v>4692.7442476776705</v>
      </c>
      <c r="S178" s="185"/>
      <c r="T178" s="185"/>
      <c r="U178" s="185"/>
      <c r="V178" s="1" t="str">
        <f>"Watts, 3-Phase or "&amp;ROUND(R178*3.412141,0)&amp;" BTUs/Hour"</f>
        <v>Watts, 3-Phase or 16012 BTUs/Hour</v>
      </c>
      <c r="AP178" s="8"/>
      <c r="AR178" s="6"/>
      <c r="CF178" s="8"/>
      <c r="EA178" s="1">
        <f t="shared" si="234"/>
        <v>35.6</v>
      </c>
      <c r="EB178" s="1" t="str">
        <f t="shared" si="220"/>
        <v>38.1851139679116+41.3744142671825i</v>
      </c>
      <c r="EC178" s="1" t="str">
        <f t="shared" si="221"/>
        <v>17.4082725040028+25.8853684419249i</v>
      </c>
      <c r="ED178" s="52" t="str">
        <f t="shared" si="222"/>
        <v>5.3485911465319+11.7439273375669i</v>
      </c>
      <c r="EE178" s="1" t="str">
        <f t="shared" si="223"/>
        <v>3.36766983786398+8.36540163197018i</v>
      </c>
      <c r="EF178" s="1" t="str">
        <f t="shared" si="224"/>
        <v>471329.472116945+1360337.27960715i</v>
      </c>
      <c r="EH178" s="1" t="str">
        <f t="shared" si="225"/>
        <v>1.84453316389662+3.79804058262536i</v>
      </c>
      <c r="EI178" s="1" t="str">
        <f t="shared" si="219"/>
        <v>0.0143880322809015+12.8053487300024i</v>
      </c>
      <c r="EJ178" s="1" t="str">
        <f t="shared" si="226"/>
        <v>1.08451205785811+3.04905922803807i</v>
      </c>
      <c r="EL178" s="52">
        <f t="shared" si="235"/>
        <v>35.6</v>
      </c>
      <c r="EM178" s="14">
        <f t="shared" si="227"/>
        <v>4.2222523444227793</v>
      </c>
      <c r="EN178" s="14">
        <f t="shared" si="227"/>
        <v>12.805356813164051</v>
      </c>
      <c r="EO178" s="14">
        <f t="shared" si="227"/>
        <v>3.2361904424374877</v>
      </c>
      <c r="EQ178" s="1" t="str">
        <f t="shared" si="228"/>
        <v>0.238203112961356-0.0844244703189121i</v>
      </c>
      <c r="ER178" s="14">
        <f t="shared" si="229"/>
        <v>35.6</v>
      </c>
      <c r="ES178" s="2">
        <f t="shared" si="230"/>
        <v>0.25272161406003524</v>
      </c>
      <c r="EU178" s="1" t="str">
        <f t="shared" si="231"/>
        <v>0.761796887038642+0.0844244703189117i</v>
      </c>
      <c r="EV178" s="52">
        <f t="shared" si="232"/>
        <v>35.6</v>
      </c>
      <c r="EW178" s="2">
        <f t="shared" si="233"/>
        <v>0.76646068933141909</v>
      </c>
      <c r="HB178" s="1"/>
      <c r="JO178" s="1"/>
      <c r="JS178" s="1"/>
    </row>
    <row r="179" spans="2:279" ht="18" customHeight="1" thickBot="1" x14ac:dyDescent="0.3">
      <c r="B179" s="6"/>
      <c r="D179" s="225" t="str">
        <f>"Iron-Core Reactor Losses, "&amp;AK17&amp;" Hertz:"</f>
        <v>Iron-Core Reactor Losses, 60 Hertz:</v>
      </c>
      <c r="E179" s="225"/>
      <c r="F179" s="225"/>
      <c r="G179" s="225"/>
      <c r="H179" s="225"/>
      <c r="I179" s="225"/>
      <c r="J179" s="225"/>
      <c r="K179" s="225"/>
      <c r="L179" s="225"/>
      <c r="M179" s="225"/>
      <c r="N179" s="225"/>
      <c r="O179" s="225"/>
      <c r="P179" s="225"/>
      <c r="Q179" s="225"/>
      <c r="R179" s="227">
        <f>SUM((N(BB107)*COS(ATAN(100))*F74^2),(N(BG107)*COS(ATAN(100))*H74^2),(N(BL107)*COS(ATAN(100))*J74^2),(N(BQ107)*COS(ATAN(100))*L74^2),(N(BV107)*COS(ATAN(100))*N74^2))</f>
        <v>767.14251210689827</v>
      </c>
      <c r="S179" s="227"/>
      <c r="T179" s="227"/>
      <c r="U179" s="227"/>
      <c r="V179" s="1" t="str">
        <f>"Watts, 3-Phase or "&amp;ROUND(R179*3.412141,0)&amp;" BTUs/Hour"</f>
        <v>Watts, 3-Phase or 2618 BTUs/Hour</v>
      </c>
      <c r="AP179" s="8"/>
      <c r="AR179" s="6"/>
      <c r="CF179" s="8"/>
      <c r="EA179" s="1">
        <f t="shared" si="234"/>
        <v>35.799999999999997</v>
      </c>
      <c r="EB179" s="1" t="str">
        <f t="shared" si="220"/>
        <v>38.4239244971821+41.4101664018942i</v>
      </c>
      <c r="EC179" s="1" t="str">
        <f t="shared" si="221"/>
        <v>17.547442358455+25.9584921810166i</v>
      </c>
      <c r="ED179" s="52" t="str">
        <f t="shared" si="222"/>
        <v>5.40025872762141+11.8053373471807i</v>
      </c>
      <c r="EE179" s="1" t="str">
        <f t="shared" si="223"/>
        <v>3.40156475361346+8.41714268953192i</v>
      </c>
      <c r="EF179" s="1" t="str">
        <f t="shared" si="224"/>
        <v>476290.395723764+1371584.98250777i</v>
      </c>
      <c r="EH179" s="1" t="str">
        <f t="shared" si="225"/>
        <v>1.86240127469843+3.81743689108905i</v>
      </c>
      <c r="EI179" s="1" t="str">
        <f t="shared" si="219"/>
        <v>0.0143880322809015+12.8772888914069i</v>
      </c>
      <c r="EJ179" s="1" t="str">
        <f t="shared" si="226"/>
        <v>1.09515309011409+3.0660469454555i</v>
      </c>
      <c r="EL179" s="52">
        <f t="shared" si="235"/>
        <v>35.799999999999997</v>
      </c>
      <c r="EM179" s="14">
        <f t="shared" si="227"/>
        <v>4.2475125574206336</v>
      </c>
      <c r="EN179" s="14">
        <f t="shared" si="227"/>
        <v>12.877296929411255</v>
      </c>
      <c r="EO179" s="14">
        <f t="shared" si="227"/>
        <v>3.255764758474335</v>
      </c>
      <c r="EQ179" s="1" t="str">
        <f t="shared" si="228"/>
        <v>0.238191965473615-0.084779178725603i</v>
      </c>
      <c r="ER179" s="14">
        <f t="shared" si="229"/>
        <v>35.799999999999997</v>
      </c>
      <c r="ES179" s="2">
        <f t="shared" si="230"/>
        <v>0.25282982727829312</v>
      </c>
      <c r="EU179" s="1" t="str">
        <f t="shared" si="231"/>
        <v>0.761808034526382+0.0847791787256025i</v>
      </c>
      <c r="EV179" s="52">
        <f t="shared" si="232"/>
        <v>35.799999999999997</v>
      </c>
      <c r="EW179" s="2">
        <f t="shared" si="233"/>
        <v>0.76651092008812038</v>
      </c>
      <c r="HB179" s="1"/>
      <c r="JO179" s="1"/>
      <c r="JS179" s="1"/>
    </row>
    <row r="180" spans="2:279" ht="18" customHeight="1" thickTop="1" x14ac:dyDescent="0.25">
      <c r="B180" s="6"/>
      <c r="D180" s="180" t="str">
        <f>"Total "&amp;AK17&amp;" Hz Losses:"</f>
        <v>Total 60 Hz Losses:</v>
      </c>
      <c r="E180" s="180"/>
      <c r="F180" s="180"/>
      <c r="G180" s="180"/>
      <c r="H180" s="180"/>
      <c r="I180" s="180"/>
      <c r="J180" s="180"/>
      <c r="K180" s="180"/>
      <c r="L180" s="180"/>
      <c r="M180" s="180"/>
      <c r="N180" s="180"/>
      <c r="O180" s="180"/>
      <c r="P180" s="180"/>
      <c r="Q180" s="180"/>
      <c r="R180" s="224">
        <f>SUM(R176:U179)</f>
        <v>15379.11560827846</v>
      </c>
      <c r="S180" s="224"/>
      <c r="T180" s="224"/>
      <c r="U180" s="224"/>
      <c r="V180" s="1" t="str">
        <f>"Watts, 3-Phase or "&amp;ROUND(R180*3.412141,0)&amp;" BTUs/Hour"</f>
        <v>Watts, 3-Phase or 52476 BTUs/Hour</v>
      </c>
      <c r="AP180" s="8"/>
      <c r="AR180" s="6"/>
      <c r="CF180" s="8"/>
      <c r="EA180" s="1">
        <f t="shared" si="234"/>
        <v>36</v>
      </c>
      <c r="EB180" s="1" t="str">
        <f t="shared" si="220"/>
        <v>38.6616986082313+41.4443694269692i</v>
      </c>
      <c r="EC180" s="1" t="str">
        <f t="shared" si="221"/>
        <v>17.6864877375422+26.0306097711964i</v>
      </c>
      <c r="ED180" s="52" t="str">
        <f t="shared" si="222"/>
        <v>5.45205118774508+11.8663703179043i</v>
      </c>
      <c r="EE180" s="1" t="str">
        <f t="shared" si="223"/>
        <v>3.4355689738587+8.46862464535974i</v>
      </c>
      <c r="EF180" s="1" t="str">
        <f t="shared" si="224"/>
        <v>481271.893693779+1382785.44201888i</v>
      </c>
      <c r="EH180" s="1" t="str">
        <f t="shared" si="225"/>
        <v>1.88030465673783+3.83669423675975i</v>
      </c>
      <c r="EI180" s="1" t="str">
        <f t="shared" si="219"/>
        <v>0.0143880322809015+12.9492290528114i</v>
      </c>
      <c r="EJ180" s="1" t="str">
        <f t="shared" si="226"/>
        <v>1.10583308612275+3.0829637169263i</v>
      </c>
      <c r="EL180" s="52">
        <f t="shared" si="235"/>
        <v>36</v>
      </c>
      <c r="EM180" s="14">
        <f t="shared" si="227"/>
        <v>4.2726769440873298</v>
      </c>
      <c r="EN180" s="14">
        <f t="shared" si="227"/>
        <v>12.949237046160201</v>
      </c>
      <c r="EO180" s="14">
        <f t="shared" si="227"/>
        <v>3.2752911464857277</v>
      </c>
      <c r="EQ180" s="1" t="str">
        <f t="shared" si="228"/>
        <v>0.238175462039993-0.0851329608419473i</v>
      </c>
      <c r="ER180" s="14">
        <f t="shared" si="229"/>
        <v>36</v>
      </c>
      <c r="ES180" s="2">
        <f t="shared" si="230"/>
        <v>0.25293313689526864</v>
      </c>
      <c r="EU180" s="1" t="str">
        <f t="shared" si="231"/>
        <v>0.761824537960004+0.0851329608419469i</v>
      </c>
      <c r="EV180" s="52">
        <f t="shared" si="232"/>
        <v>36</v>
      </c>
      <c r="EW180" s="2">
        <f t="shared" si="233"/>
        <v>0.76656653178943968</v>
      </c>
      <c r="HB180" s="1"/>
      <c r="JO180" s="1"/>
      <c r="JS180" s="1"/>
    </row>
    <row r="181" spans="2:279" ht="18" customHeight="1" x14ac:dyDescent="0.25">
      <c r="B181" s="6"/>
      <c r="AP181" s="8"/>
      <c r="AR181" s="6"/>
      <c r="CF181" s="8"/>
      <c r="EA181" s="1">
        <f t="shared" si="234"/>
        <v>36.200000000000003</v>
      </c>
      <c r="EB181" s="1" t="str">
        <f t="shared" si="220"/>
        <v>38.8984320359046+41.4770443042016i</v>
      </c>
      <c r="EC181" s="1" t="str">
        <f t="shared" si="221"/>
        <v>17.8254023437683+26.101728145243i</v>
      </c>
      <c r="ED181" s="52" t="str">
        <f t="shared" si="222"/>
        <v>5.50396656029668+11.9270277177575i</v>
      </c>
      <c r="EE181" s="1" t="str">
        <f t="shared" si="223"/>
        <v>3.46968143747684+8.51984874513451i</v>
      </c>
      <c r="EF181" s="1" t="str">
        <f t="shared" si="224"/>
        <v>486273.860928994+1393939.04630777i</v>
      </c>
      <c r="EH181" s="1" t="str">
        <f t="shared" si="225"/>
        <v>1.89824255929649+3.85581331711321i</v>
      </c>
      <c r="EI181" s="1" t="str">
        <f t="shared" si="219"/>
        <v>0.0143880322809015+13.0211692142159i</v>
      </c>
      <c r="EJ181" s="1" t="str">
        <f t="shared" si="226"/>
        <v>1.11655172718338+3.09980984922591i</v>
      </c>
      <c r="EL181" s="52">
        <f t="shared" si="235"/>
        <v>36.200000000000003</v>
      </c>
      <c r="EM181" s="14">
        <f t="shared" si="227"/>
        <v>4.2977460546607524</v>
      </c>
      <c r="EN181" s="14">
        <f t="shared" si="227"/>
        <v>13.021177163402578</v>
      </c>
      <c r="EO181" s="14">
        <f t="shared" si="227"/>
        <v>3.2947699253262206</v>
      </c>
      <c r="EQ181" s="1" t="str">
        <f t="shared" si="228"/>
        <v>0.238153714982605-0.0854858074211289i</v>
      </c>
      <c r="ER181" s="14">
        <f t="shared" si="229"/>
        <v>36.200000000000003</v>
      </c>
      <c r="ES181" s="2">
        <f t="shared" si="230"/>
        <v>0.25303164867355665</v>
      </c>
      <c r="EU181" s="1" t="str">
        <f t="shared" si="231"/>
        <v>0.761846285017395+0.0854858074211289i</v>
      </c>
      <c r="EV181" s="52">
        <f t="shared" si="232"/>
        <v>36.200000000000003</v>
      </c>
      <c r="EW181" s="2">
        <f t="shared" si="233"/>
        <v>0.76662740967516185</v>
      </c>
      <c r="HB181" s="1"/>
      <c r="JO181" s="1"/>
      <c r="JS181" s="1"/>
    </row>
    <row r="182" spans="2:279" ht="18" customHeight="1" x14ac:dyDescent="0.3">
      <c r="B182" s="6"/>
      <c r="C182" s="154" t="s">
        <v>119</v>
      </c>
      <c r="D182" s="154"/>
      <c r="E182" s="154"/>
      <c r="F182" s="154"/>
      <c r="G182" s="154"/>
      <c r="H182" s="154"/>
      <c r="I182" s="154"/>
      <c r="J182" s="154"/>
      <c r="K182" s="154"/>
      <c r="L182" s="154"/>
      <c r="M182" s="154"/>
      <c r="N182" s="154"/>
      <c r="O182" s="154"/>
      <c r="P182" s="154"/>
      <c r="Q182" s="154"/>
      <c r="R182" s="154"/>
      <c r="S182" s="154"/>
      <c r="T182" s="154"/>
      <c r="U182" s="154"/>
      <c r="V182" s="154"/>
      <c r="W182" s="154"/>
      <c r="X182" s="154"/>
      <c r="Y182" s="154"/>
      <c r="Z182" s="154"/>
      <c r="AA182" s="154"/>
      <c r="AB182" s="154"/>
      <c r="AC182" s="154"/>
      <c r="AD182" s="154"/>
      <c r="AE182" s="154"/>
      <c r="AF182" s="154"/>
      <c r="AG182" s="154"/>
      <c r="AH182" s="154"/>
      <c r="AI182" s="154"/>
      <c r="AJ182" s="154"/>
      <c r="AK182" s="154"/>
      <c r="AL182" s="154"/>
      <c r="AM182" s="154"/>
      <c r="AN182" s="154"/>
      <c r="AO182" s="154"/>
      <c r="AP182" s="8"/>
      <c r="AR182" s="6"/>
      <c r="CF182" s="8"/>
      <c r="EA182" s="1">
        <f t="shared" si="234"/>
        <v>36.4</v>
      </c>
      <c r="EB182" s="1" t="str">
        <f t="shared" si="220"/>
        <v>39.1341207697503+41.5082118146502i</v>
      </c>
      <c r="EC182" s="1" t="str">
        <f t="shared" si="221"/>
        <v>17.964179974998+26.1718542303015i</v>
      </c>
      <c r="ED182" s="52" t="str">
        <f t="shared" si="222"/>
        <v>5.55600288465399+11.9873109969645i</v>
      </c>
      <c r="EE182" s="1" t="str">
        <f t="shared" si="223"/>
        <v>3.5039010840995+8.5708162093158i</v>
      </c>
      <c r="EF182" s="1" t="str">
        <f t="shared" si="224"/>
        <v>491296.192141146+1405046.17429962i</v>
      </c>
      <c r="EH182" s="1" t="str">
        <f t="shared" si="225"/>
        <v>1.916214235504+3.87479482034046i</v>
      </c>
      <c r="EI182" s="1" t="str">
        <f t="shared" si="219"/>
        <v>0.0143880322809015+13.0931093756204i</v>
      </c>
      <c r="EJ182" s="1" t="str">
        <f t="shared" si="226"/>
        <v>1.12730869527711+3.11658564024138i</v>
      </c>
      <c r="EL182" s="52">
        <f t="shared" si="235"/>
        <v>36.4</v>
      </c>
      <c r="EM182" s="14">
        <f t="shared" si="227"/>
        <v>4.3227204277035352</v>
      </c>
      <c r="EN182" s="14">
        <f t="shared" si="227"/>
        <v>13.093117281130256</v>
      </c>
      <c r="EO182" s="14">
        <f t="shared" si="227"/>
        <v>3.3142014041705661</v>
      </c>
      <c r="EQ182" s="1" t="str">
        <f t="shared" si="228"/>
        <v>0.238126833476367-0.0858377094750921i</v>
      </c>
      <c r="ER182" s="14">
        <f t="shared" si="229"/>
        <v>36.4</v>
      </c>
      <c r="ES182" s="2">
        <f t="shared" si="230"/>
        <v>0.25312546531199059</v>
      </c>
      <c r="EU182" s="1" t="str">
        <f t="shared" si="231"/>
        <v>0.76187316652363+0.0858377094750917i</v>
      </c>
      <c r="EV182" s="52">
        <f t="shared" si="232"/>
        <v>36.4</v>
      </c>
      <c r="EW182" s="2">
        <f t="shared" si="233"/>
        <v>0.76669344215055935</v>
      </c>
      <c r="HB182" s="1"/>
      <c r="JO182" s="1"/>
      <c r="JS182" s="1"/>
    </row>
    <row r="183" spans="2:279" ht="18" customHeight="1" x14ac:dyDescent="0.25">
      <c r="B183" s="6"/>
      <c r="D183" s="180" t="s">
        <v>35</v>
      </c>
      <c r="E183" s="180"/>
      <c r="F183" s="180"/>
      <c r="G183" s="180"/>
      <c r="H183" s="180"/>
      <c r="I183" s="180"/>
      <c r="J183" s="180"/>
      <c r="K183" s="180"/>
      <c r="L183" s="180"/>
      <c r="M183" s="180"/>
      <c r="N183" s="180"/>
      <c r="O183" s="180"/>
      <c r="P183" s="180"/>
      <c r="Q183" s="180"/>
      <c r="R183" s="226">
        <f>SUM(CP92:CT92)</f>
        <v>111618.9398765668</v>
      </c>
      <c r="S183" s="226"/>
      <c r="T183" s="226"/>
      <c r="U183" s="226"/>
      <c r="V183" s="1" t="str">
        <f>"Watts, 3-Phase or "&amp;ROUND(R183*3.412141,0)&amp;" BTUs/Hour"</f>
        <v>Watts, 3-Phase or 380860 BTUs/Hour</v>
      </c>
      <c r="AP183" s="8"/>
      <c r="AR183" s="6"/>
      <c r="CF183" s="8"/>
      <c r="EA183" s="1">
        <f t="shared" si="234"/>
        <v>36.6</v>
      </c>
      <c r="EB183" s="1" t="str">
        <f t="shared" si="220"/>
        <v>39.3687610488574+41.5378925579328i</v>
      </c>
      <c r="EC183" s="1" t="str">
        <f t="shared" si="221"/>
        <v>18.1028145240268+26.2409949473791i</v>
      </c>
      <c r="ED183" s="52" t="str">
        <f t="shared" si="222"/>
        <v>5.60815820630372+12.0472215887404i</v>
      </c>
      <c r="EE183" s="1" t="str">
        <f t="shared" si="223"/>
        <v>3.53822685417845+8.62152823401656i</v>
      </c>
      <c r="EF183" s="1" t="str">
        <f t="shared" si="224"/>
        <v>496338.781856665+1416107.19594847i</v>
      </c>
      <c r="EH183" s="1" t="str">
        <f t="shared" si="225"/>
        <v>1.93421894235754+3.89363942574794i</v>
      </c>
      <c r="EI183" s="1" t="str">
        <f t="shared" si="219"/>
        <v>0.0143880322809015+13.1650495370249i</v>
      </c>
      <c r="EJ183" s="1" t="str">
        <f t="shared" si="226"/>
        <v>1.13810367305199+3.1332913793386i</v>
      </c>
      <c r="EL183" s="52">
        <f t="shared" si="235"/>
        <v>36.6</v>
      </c>
      <c r="EM183" s="14">
        <f t="shared" si="227"/>
        <v>4.347600590522716</v>
      </c>
      <c r="EN183" s="14">
        <f t="shared" si="227"/>
        <v>13.165057399335273</v>
      </c>
      <c r="EO183" s="14">
        <f t="shared" si="227"/>
        <v>3.3335858828672791</v>
      </c>
      <c r="EQ183" s="1" t="str">
        <f t="shared" si="228"/>
        <v>0.238094923662881-0.086188658266213i</v>
      </c>
      <c r="ER183" s="14">
        <f t="shared" si="229"/>
        <v>36.6</v>
      </c>
      <c r="ES183" s="2">
        <f t="shared" si="230"/>
        <v>0.25321468655621687</v>
      </c>
      <c r="EU183" s="1" t="str">
        <f t="shared" si="231"/>
        <v>0.761905076337122+0.0861886582662132i</v>
      </c>
      <c r="EV183" s="52">
        <f t="shared" si="232"/>
        <v>36.6</v>
      </c>
      <c r="EW183" s="2">
        <f t="shared" si="233"/>
        <v>0.76676452067241996</v>
      </c>
      <c r="HB183" s="1"/>
      <c r="JO183" s="1"/>
      <c r="JS183" s="1"/>
    </row>
    <row r="184" spans="2:279" ht="18" customHeight="1" thickBot="1" x14ac:dyDescent="0.3">
      <c r="B184" s="6"/>
      <c r="D184" s="180" t="s">
        <v>121</v>
      </c>
      <c r="E184" s="180"/>
      <c r="F184" s="180"/>
      <c r="G184" s="180"/>
      <c r="H184" s="180"/>
      <c r="I184" s="180"/>
      <c r="J184" s="180"/>
      <c r="K184" s="180"/>
      <c r="L184" s="180"/>
      <c r="M184" s="180"/>
      <c r="N184" s="180"/>
      <c r="O184" s="180"/>
      <c r="P184" s="180"/>
      <c r="Q184" s="180"/>
      <c r="R184" s="227">
        <f>SUM(CI92:CM92)</f>
        <v>2944.1291567943563</v>
      </c>
      <c r="S184" s="227"/>
      <c r="T184" s="227"/>
      <c r="U184" s="227"/>
      <c r="V184" s="1" t="str">
        <f>"Watts, 3-Phase or "&amp;ROUND(R184*3.412141,0)&amp;" BTUs/Hour"</f>
        <v>Watts, 3-Phase or 10046 BTUs/Hour</v>
      </c>
      <c r="AP184" s="8"/>
      <c r="AR184" s="6"/>
      <c r="CF184" s="8"/>
      <c r="EA184" s="1">
        <f t="shared" si="234"/>
        <v>36.799999999999997</v>
      </c>
      <c r="EB184" s="1" t="str">
        <f t="shared" si="220"/>
        <v>39.6023493567426+41.5661069515985i</v>
      </c>
      <c r="EC184" s="1" t="str">
        <f t="shared" si="221"/>
        <v>18.2412999781345+26.3091572108327i</v>
      </c>
      <c r="ED184" s="52" t="str">
        <f t="shared" si="222"/>
        <v>5.66043057696476+12.1067609100483i</v>
      </c>
      <c r="EE184" s="1" t="str">
        <f t="shared" si="223"/>
        <v>3.5726576890501+8.671985991848i</v>
      </c>
      <c r="EF184" s="1" t="str">
        <f t="shared" si="224"/>
        <v>501401.524421582+1427122.47249914i</v>
      </c>
      <c r="EH184" s="1" t="str">
        <f t="shared" si="225"/>
        <v>1.95225594074189+3.9123478041404i</v>
      </c>
      <c r="EI184" s="1" t="str">
        <f t="shared" si="219"/>
        <v>0.0143880322809015+13.2369896984294i</v>
      </c>
      <c r="EJ184" s="1" t="str">
        <f t="shared" si="226"/>
        <v>1.14893634380943+3.14992734771407i</v>
      </c>
      <c r="EL184" s="52">
        <f t="shared" si="235"/>
        <v>36.799999999999997</v>
      </c>
      <c r="EM184" s="14">
        <f t="shared" si="227"/>
        <v>4.3723870595733185</v>
      </c>
      <c r="EN184" s="14">
        <f t="shared" si="227"/>
        <v>13.236997518009854</v>
      </c>
      <c r="EO184" s="14">
        <f t="shared" si="227"/>
        <v>3.352923652277692</v>
      </c>
      <c r="EQ184" s="1" t="str">
        <f t="shared" si="228"/>
        <v>0.238058088759416-0.0865386452993577i</v>
      </c>
      <c r="ER184" s="14">
        <f t="shared" si="229"/>
        <v>36.799999999999997</v>
      </c>
      <c r="ES184" s="2">
        <f t="shared" si="230"/>
        <v>0.25329940930455019</v>
      </c>
      <c r="EU184" s="1" t="str">
        <f t="shared" si="231"/>
        <v>0.761941911240584+0.0865386452993576i</v>
      </c>
      <c r="EV184" s="52">
        <f t="shared" si="232"/>
        <v>36.799999999999997</v>
      </c>
      <c r="EW184" s="2">
        <f t="shared" si="233"/>
        <v>0.76684053963989285</v>
      </c>
      <c r="HB184" s="1"/>
      <c r="JO184" s="1"/>
      <c r="JS184" s="1"/>
    </row>
    <row r="185" spans="2:279" ht="18" customHeight="1" thickTop="1" x14ac:dyDescent="0.25">
      <c r="B185" s="6"/>
      <c r="D185" s="180" t="s">
        <v>123</v>
      </c>
      <c r="E185" s="180"/>
      <c r="F185" s="180"/>
      <c r="G185" s="180"/>
      <c r="H185" s="180"/>
      <c r="I185" s="180"/>
      <c r="J185" s="180"/>
      <c r="K185" s="180"/>
      <c r="L185" s="180"/>
      <c r="M185" s="180"/>
      <c r="N185" s="180"/>
      <c r="O185" s="180"/>
      <c r="P185" s="180"/>
      <c r="Q185" s="180"/>
      <c r="R185" s="224">
        <f>SUM(R183:U184)</f>
        <v>114563.06903336116</v>
      </c>
      <c r="S185" s="224"/>
      <c r="T185" s="224"/>
      <c r="U185" s="224"/>
      <c r="V185" s="1" t="str">
        <f>"Watts, 3-Phase or "&amp;ROUND(R185*3.412141,0)&amp;" BTUs/Hour"</f>
        <v>Watts, 3-Phase or 390905 BTUs/Hour</v>
      </c>
      <c r="AP185" s="8"/>
      <c r="AR185" s="6"/>
      <c r="CF185" s="8"/>
      <c r="EA185" s="1">
        <f t="shared" si="234"/>
        <v>37</v>
      </c>
      <c r="EB185" s="1" t="str">
        <f t="shared" si="220"/>
        <v>39.834882416289+41.5928752305751i</v>
      </c>
      <c r="EC185" s="1" t="str">
        <f t="shared" si="221"/>
        <v>18.379630418622+26.3763479278473i</v>
      </c>
      <c r="ED185" s="52" t="str">
        <f t="shared" si="222"/>
        <v>5.71281805470907+12.1659303623259i</v>
      </c>
      <c r="EE185" s="1" t="str">
        <f t="shared" si="223"/>
        <v>3.60719253099973+8.72219063273475i</v>
      </c>
      <c r="EF185" s="1" t="str">
        <f t="shared" si="224"/>
        <v>506484.314006463+1438092.35674075i</v>
      </c>
      <c r="EH185" s="1" t="str">
        <f t="shared" si="225"/>
        <v>1.97032449544936+3.93092061818706i</v>
      </c>
      <c r="EI185" s="1" t="str">
        <f t="shared" si="219"/>
        <v>0.0143880322809015+13.3089298598339i</v>
      </c>
      <c r="EJ185" s="1" t="str">
        <f t="shared" si="226"/>
        <v>1.15980639149219+3.16649381873205i</v>
      </c>
      <c r="EL185" s="52">
        <f t="shared" si="235"/>
        <v>37</v>
      </c>
      <c r="EM185" s="14">
        <f t="shared" si="227"/>
        <v>4.3970803408461752</v>
      </c>
      <c r="EN185" s="14">
        <f t="shared" si="227"/>
        <v>13.308937637146375</v>
      </c>
      <c r="EO185" s="34">
        <f t="shared" si="227"/>
        <v>3.3722149946013849</v>
      </c>
      <c r="EQ185" s="1" t="str">
        <f t="shared" si="228"/>
        <v>0.238016429163282-0.0868876623143035i</v>
      </c>
      <c r="ER185" s="14">
        <f t="shared" si="229"/>
        <v>37</v>
      </c>
      <c r="ES185" s="2">
        <f t="shared" si="230"/>
        <v>0.25337972770938894</v>
      </c>
      <c r="EU185" s="1" t="str">
        <f t="shared" si="231"/>
        <v>0.761983570836716+0.0868876623143031i</v>
      </c>
      <c r="EV185" s="52">
        <f t="shared" si="232"/>
        <v>37</v>
      </c>
      <c r="EW185" s="2">
        <f t="shared" si="233"/>
        <v>0.76692139629007416</v>
      </c>
      <c r="HB185" s="1"/>
      <c r="JO185" s="1"/>
      <c r="JS185" s="1"/>
    </row>
    <row r="186" spans="2:279" ht="18" customHeight="1" x14ac:dyDescent="0.25">
      <c r="B186" s="6"/>
      <c r="AP186" s="8"/>
      <c r="AR186" s="6"/>
      <c r="CF186" s="8"/>
      <c r="EA186" s="1">
        <f t="shared" si="234"/>
        <v>37.200000000000003</v>
      </c>
      <c r="EB186" s="1" t="str">
        <f t="shared" si="220"/>
        <v>40.0663571847388+41.6182174466924i</v>
      </c>
      <c r="EC186" s="1" t="str">
        <f t="shared" si="221"/>
        <v>18.5178000203323+26.4425739979071i</v>
      </c>
      <c r="ED186" s="52" t="str">
        <f t="shared" si="222"/>
        <v>5.76531870408112+12.2247313321852i</v>
      </c>
      <c r="EE186" s="1" t="str">
        <f t="shared" si="223"/>
        <v>3.64183032332518+8.77214328470312i</v>
      </c>
      <c r="EF186" s="1" t="str">
        <f t="shared" si="224"/>
        <v>511587.04461129+1449017.19325189i</v>
      </c>
      <c r="EH186" s="1" t="str">
        <f t="shared" si="225"/>
        <v>1.98842387520032+3.94935852277194i</v>
      </c>
      <c r="EI186" s="1" t="str">
        <f t="shared" si="219"/>
        <v>0.0143880322809015+13.3808700212384i</v>
      </c>
      <c r="EJ186" s="1" t="str">
        <f t="shared" si="226"/>
        <v>1.17071350067362+3.18299105824777i</v>
      </c>
      <c r="EL186" s="52">
        <f t="shared" si="235"/>
        <v>37.200000000000003</v>
      </c>
      <c r="EM186" s="14">
        <f t="shared" si="227"/>
        <v>4.4216809302411244</v>
      </c>
      <c r="EN186" s="14">
        <f t="shared" si="227"/>
        <v>13.380877756737389</v>
      </c>
      <c r="EO186" s="14">
        <f t="shared" si="227"/>
        <v>3.3914601836885452</v>
      </c>
      <c r="EQ186" s="1" t="str">
        <f t="shared" si="228"/>
        <v>0.237970042551771-0.0872357012785234i</v>
      </c>
      <c r="ER186" s="14">
        <f t="shared" si="229"/>
        <v>37.200000000000003</v>
      </c>
      <c r="ES186" s="2">
        <f t="shared" si="230"/>
        <v>0.25345573327436782</v>
      </c>
      <c r="EU186" s="1" t="str">
        <f t="shared" si="231"/>
        <v>0.762029957448232+0.0872357012785235i</v>
      </c>
      <c r="EV186" s="52">
        <f t="shared" si="232"/>
        <v>37.200000000000003</v>
      </c>
      <c r="EW186" s="2">
        <f t="shared" si="233"/>
        <v>0.76700699059794109</v>
      </c>
      <c r="HB186" s="1"/>
      <c r="JO186" s="1"/>
      <c r="JS186" s="1"/>
    </row>
    <row r="187" spans="2:279" ht="18" customHeight="1" x14ac:dyDescent="0.35">
      <c r="B187" s="6"/>
      <c r="D187" s="180" t="s">
        <v>126</v>
      </c>
      <c r="E187" s="180"/>
      <c r="F187" s="180"/>
      <c r="G187" s="180"/>
      <c r="H187" s="180"/>
      <c r="I187" s="180"/>
      <c r="J187" s="180"/>
      <c r="K187" s="180"/>
      <c r="L187" s="180"/>
      <c r="M187" s="180"/>
      <c r="N187" s="180"/>
      <c r="O187" s="180"/>
      <c r="P187" s="180"/>
      <c r="Q187" s="180"/>
      <c r="R187" s="199">
        <f>SUM(R185,R180)</f>
        <v>129942.18464163961</v>
      </c>
      <c r="S187" s="199"/>
      <c r="T187" s="199"/>
      <c r="U187" s="199"/>
      <c r="V187" s="1" t="str">
        <f>"Watts, 3-Phase or "&amp;ROUND(R187*3.412141,0)&amp;" BTUs/Hour"</f>
        <v>Watts, 3-Phase or 443381 BTUs/Hour</v>
      </c>
      <c r="AK187" s="55"/>
      <c r="AN187" s="55"/>
      <c r="AO187" s="55"/>
      <c r="AP187" s="8"/>
      <c r="AR187" s="6"/>
      <c r="CF187" s="8"/>
      <c r="EA187" s="1">
        <f t="shared" si="234"/>
        <v>37.4</v>
      </c>
      <c r="EB187" s="1" t="str">
        <f t="shared" si="220"/>
        <v>40.2967708487377+41.6421534682768i</v>
      </c>
      <c r="EC187" s="1" t="str">
        <f t="shared" si="221"/>
        <v>18.6558030511559+26.5078423122613i</v>
      </c>
      <c r="ED187" s="52" t="str">
        <f t="shared" si="222"/>
        <v>5.81793059621451+12.2831651920843i</v>
      </c>
      <c r="EE187" s="1" t="str">
        <f t="shared" si="223"/>
        <v>3.67657001039987+8.82184505464161i</v>
      </c>
      <c r="EF187" s="1" t="str">
        <f t="shared" si="224"/>
        <v>516709.610070387+1459897.31863803i</v>
      </c>
      <c r="EH187" s="1" t="str">
        <f t="shared" si="225"/>
        <v>2.00655335266323+3.96766216532896i</v>
      </c>
      <c r="EI187" s="1" t="str">
        <f t="shared" si="219"/>
        <v>0.0143880322809015+13.4528101826429i</v>
      </c>
      <c r="EJ187" s="1" t="str">
        <f t="shared" si="226"/>
        <v>1.1816573565481+3.19941932491706i</v>
      </c>
      <c r="EL187" s="52">
        <f t="shared" si="235"/>
        <v>37.4</v>
      </c>
      <c r="EM187" s="14">
        <f t="shared" si="227"/>
        <v>4.4461893139256841</v>
      </c>
      <c r="EN187" s="14">
        <f t="shared" si="227"/>
        <v>13.452817876775608</v>
      </c>
      <c r="EO187" s="14">
        <f t="shared" si="227"/>
        <v>3.4106594853395995</v>
      </c>
      <c r="EQ187" s="1" t="str">
        <f t="shared" si="228"/>
        <v>0.237919023977899-0.0875827543802741i</v>
      </c>
      <c r="ER187" s="14">
        <f t="shared" si="229"/>
        <v>37.4</v>
      </c>
      <c r="ES187" s="2">
        <f t="shared" si="230"/>
        <v>0.25352751494745396</v>
      </c>
      <c r="EU187" s="1" t="str">
        <f t="shared" si="231"/>
        <v>0.762080976022099+0.0875827543802737i</v>
      </c>
      <c r="EV187" s="52">
        <f t="shared" si="232"/>
        <v>37.4</v>
      </c>
      <c r="EW187" s="2">
        <f t="shared" si="233"/>
        <v>0.76709722518050505</v>
      </c>
      <c r="HB187" s="1"/>
      <c r="JO187" s="1"/>
      <c r="JS187" s="1"/>
    </row>
    <row r="188" spans="2:279" ht="18" customHeight="1" x14ac:dyDescent="0.25">
      <c r="B188" s="6"/>
      <c r="AP188" s="8"/>
      <c r="AR188" s="6"/>
      <c r="CF188" s="8"/>
      <c r="EA188" s="1">
        <f t="shared" si="234"/>
        <v>37.6</v>
      </c>
      <c r="EB188" s="1" t="str">
        <f t="shared" si="220"/>
        <v>40.5261208194357+41.6647029798185i</v>
      </c>
      <c r="EC188" s="1" t="str">
        <f t="shared" si="221"/>
        <v>18.793633871521+26.5721597533835i</v>
      </c>
      <c r="ED188" s="52" t="str">
        <f t="shared" si="222"/>
        <v>5.87065180894743+12.3412333009727i</v>
      </c>
      <c r="EE188" s="1" t="str">
        <f t="shared" si="223"/>
        <v>3.7114105377354+8.87129702903622i</v>
      </c>
      <c r="EF188" s="1" t="str">
        <f t="shared" si="224"/>
        <v>521851.904057274+1470733.06176114i</v>
      </c>
      <c r="EH188" s="1" t="str">
        <f t="shared" si="225"/>
        <v>2.02471220447516+3.9858321861623i</v>
      </c>
      <c r="EI188" s="1" t="str">
        <f t="shared" si="219"/>
        <v>0.0143880322809015+13.5247503440474i</v>
      </c>
      <c r="EJ188" s="1" t="str">
        <f t="shared" si="226"/>
        <v>1.19263764492274+3.21577887049358i</v>
      </c>
      <c r="EL188" s="52">
        <f t="shared" si="235"/>
        <v>37.6</v>
      </c>
      <c r="EM188" s="14">
        <f t="shared" si="227"/>
        <v>4.4706059686800845</v>
      </c>
      <c r="EN188" s="14">
        <f t="shared" si="227"/>
        <v>13.524757997253893</v>
      </c>
      <c r="EO188" s="14">
        <f t="shared" si="227"/>
        <v>3.4298131575932564</v>
      </c>
      <c r="EQ188" s="1" t="str">
        <f t="shared" si="228"/>
        <v>0.237863465962169-0.0879288140220225i</v>
      </c>
      <c r="ER188" s="14">
        <f t="shared" si="229"/>
        <v>37.6</v>
      </c>
      <c r="ES188" s="2">
        <f t="shared" si="230"/>
        <v>0.25359515921021708</v>
      </c>
      <c r="EU188" s="1" t="str">
        <f t="shared" si="231"/>
        <v>0.762136534037831+0.0879288140220224i</v>
      </c>
      <c r="EV188" s="52">
        <f t="shared" si="232"/>
        <v>37.6</v>
      </c>
      <c r="EW188" s="2">
        <f t="shared" si="233"/>
        <v>0.76719200520503161</v>
      </c>
      <c r="HB188" s="1"/>
      <c r="JO188" s="1"/>
      <c r="JS188" s="1"/>
    </row>
    <row r="189" spans="2:279" ht="18" customHeight="1" x14ac:dyDescent="0.25">
      <c r="B189" s="6"/>
      <c r="AP189" s="8"/>
      <c r="AR189" s="6"/>
      <c r="CF189" s="8"/>
      <c r="EA189" s="1">
        <f t="shared" si="234"/>
        <v>37.799999999999997</v>
      </c>
      <c r="EB189" s="1" t="str">
        <f t="shared" si="220"/>
        <v>40.7544047276423+41.6858854817069i</v>
      </c>
      <c r="EC189" s="1" t="str">
        <f t="shared" si="221"/>
        <v>18.93128693387+26.6355331944283i</v>
      </c>
      <c r="ED189" s="52" t="str">
        <f t="shared" si="222"/>
        <v>5.92348042693555+12.3989370049129i</v>
      </c>
      <c r="EE189" s="1" t="str">
        <f t="shared" si="223"/>
        <v>3.74635085204339+8.92050027468092i</v>
      </c>
      <c r="EF189" s="1" t="str">
        <f t="shared" si="224"/>
        <v>527013.820089562+1481524.74396218i</v>
      </c>
      <c r="EH189" s="1" t="str">
        <f t="shared" si="225"/>
        <v>2.04289971126209+4.00386921875347i</v>
      </c>
      <c r="EI189" s="1" t="str">
        <f t="shared" si="219"/>
        <v>0.0143880322809015+13.5966905054519i</v>
      </c>
      <c r="EJ189" s="1" t="str">
        <f t="shared" si="226"/>
        <v>1.2036540522101+3.23206994011379i</v>
      </c>
      <c r="EL189" s="52">
        <f t="shared" si="235"/>
        <v>37.799999999999997</v>
      </c>
      <c r="EM189" s="14">
        <f t="shared" si="227"/>
        <v>4.4949313622297122</v>
      </c>
      <c r="EN189" s="14">
        <f t="shared" si="227"/>
        <v>13.596698118165262</v>
      </c>
      <c r="EO189" s="14">
        <f t="shared" si="227"/>
        <v>3.4489214510030459</v>
      </c>
      <c r="EQ189" s="1" t="str">
        <f t="shared" si="228"/>
        <v>0.237803458580522-0.0882738728141438i</v>
      </c>
      <c r="ER189" s="14">
        <f t="shared" si="229"/>
        <v>37.799999999999997</v>
      </c>
      <c r="ES189" s="2">
        <f t="shared" si="230"/>
        <v>0.25365875016341477</v>
      </c>
      <c r="EU189" s="1" t="str">
        <f t="shared" si="231"/>
        <v>0.762196541419476+0.0882738728141435i</v>
      </c>
      <c r="EV189" s="52">
        <f t="shared" si="232"/>
        <v>37.799999999999997</v>
      </c>
      <c r="EW189" s="2">
        <f t="shared" si="233"/>
        <v>0.7672912383009588</v>
      </c>
      <c r="HB189" s="1"/>
      <c r="JO189" s="1"/>
      <c r="JS189" s="1"/>
    </row>
    <row r="190" spans="2:279" ht="18" customHeight="1" x14ac:dyDescent="0.25">
      <c r="B190" s="6"/>
      <c r="AP190" s="8"/>
      <c r="AR190" s="6"/>
      <c r="CF190" s="8"/>
      <c r="EA190" s="1">
        <f t="shared" si="234"/>
        <v>38</v>
      </c>
      <c r="EB190" s="1" t="str">
        <f t="shared" si="220"/>
        <v>40.9816204190384+41.7057202900337i</v>
      </c>
      <c r="EC190" s="1" t="str">
        <f t="shared" si="221"/>
        <v>19.068756782122+26.6979694986839i</v>
      </c>
      <c r="ED190" s="52" t="str">
        <f t="shared" si="222"/>
        <v>5.97641454176323+12.4562776376761i</v>
      </c>
      <c r="EE190" s="1" t="str">
        <f t="shared" si="223"/>
        <v>3.78138990129694+8.96945583936316i</v>
      </c>
      <c r="EF190" s="1" t="str">
        <f t="shared" si="224"/>
        <v>532195.251533793+1492272.67927632i</v>
      </c>
      <c r="EH190" s="1" t="str">
        <f t="shared" si="225"/>
        <v>2.06111515765906+4.0217738900542i</v>
      </c>
      <c r="EI190" s="1" t="str">
        <f t="shared" si="219"/>
        <v>0.0143880322809015+13.6686306668564i</v>
      </c>
      <c r="EJ190" s="1" t="str">
        <f t="shared" si="226"/>
        <v>1.214706265422+3.24829277257031i</v>
      </c>
      <c r="EL190" s="52">
        <f t="shared" si="235"/>
        <v>38</v>
      </c>
      <c r="EM190" s="14">
        <f t="shared" si="227"/>
        <v>4.5191659535641771</v>
      </c>
      <c r="EN190" s="14">
        <f t="shared" si="227"/>
        <v>13.668638239502869</v>
      </c>
      <c r="EO190" s="14">
        <f t="shared" si="227"/>
        <v>3.4679846089029827</v>
      </c>
      <c r="EQ190" s="1" t="str">
        <f t="shared" si="228"/>
        <v>0.237739089548656-0.0886179235689101i</v>
      </c>
      <c r="ER190" s="14">
        <f t="shared" si="229"/>
        <v>38</v>
      </c>
      <c r="ES190" s="2">
        <f t="shared" si="230"/>
        <v>0.25371836960907873</v>
      </c>
      <c r="EU190" s="1" t="str">
        <f t="shared" si="231"/>
        <v>0.762260910451343+0.08861792356891i</v>
      </c>
      <c r="EV190" s="52">
        <f t="shared" si="232"/>
        <v>38</v>
      </c>
      <c r="EW190" s="2">
        <f t="shared" si="233"/>
        <v>0.76739483447556234</v>
      </c>
      <c r="HB190" s="1"/>
      <c r="JO190" s="1"/>
      <c r="JS190" s="1"/>
    </row>
    <row r="191" spans="2:279" ht="18" customHeight="1" x14ac:dyDescent="0.25">
      <c r="B191" s="6"/>
      <c r="AP191" s="8"/>
      <c r="AR191" s="6"/>
      <c r="CF191" s="8"/>
      <c r="EA191" s="1">
        <f t="shared" si="234"/>
        <v>38.200000000000003</v>
      </c>
      <c r="EB191" s="1" t="str">
        <f t="shared" si="220"/>
        <v>41.2077659494452+41.7242265364622i</v>
      </c>
      <c r="EC191" s="1" t="str">
        <f t="shared" si="221"/>
        <v>19.2060380511216+26.7594755190224i</v>
      </c>
      <c r="ED191" s="52" t="str">
        <f t="shared" si="222"/>
        <v>6.02945225205254+12.5132565213156i</v>
      </c>
      <c r="EE191" s="1" t="str">
        <f t="shared" si="223"/>
        <v>3.81652663479145+9.01816475252788i</v>
      </c>
      <c r="EF191" s="1" t="str">
        <f t="shared" si="224"/>
        <v>537396.091610293+1502977.17464149i</v>
      </c>
      <c r="EH191" s="1" t="str">
        <f t="shared" si="225"/>
        <v>2.0793578323303+4.03954682076743i</v>
      </c>
      <c r="EI191" s="1" t="str">
        <f t="shared" si="219"/>
        <v>0.0143880322809015+13.7405708282609i</v>
      </c>
      <c r="EJ191" s="1" t="str">
        <f t="shared" si="226"/>
        <v>1.22579397216416+3.26444760057434i</v>
      </c>
      <c r="EL191" s="52">
        <f t="shared" si="235"/>
        <v>38.200000000000003</v>
      </c>
      <c r="EM191" s="14">
        <f t="shared" si="227"/>
        <v>4.543310193245186</v>
      </c>
      <c r="EN191" s="14">
        <f t="shared" si="227"/>
        <v>13.740578361260029</v>
      </c>
      <c r="EO191" s="14">
        <f t="shared" si="227"/>
        <v>3.4870028676629388</v>
      </c>
      <c r="EQ191" s="1" t="str">
        <f t="shared" si="228"/>
        <v>0.237670444302913-0.0889609592947329i</v>
      </c>
      <c r="ER191" s="14">
        <f t="shared" si="229"/>
        <v>38.200000000000003</v>
      </c>
      <c r="ES191" s="2">
        <f t="shared" si="230"/>
        <v>0.25377409712928384</v>
      </c>
      <c r="EU191" s="1" t="str">
        <f t="shared" si="231"/>
        <v>0.762329555697089+0.0889609592947331i</v>
      </c>
      <c r="EV191" s="52">
        <f t="shared" si="232"/>
        <v>38.200000000000003</v>
      </c>
      <c r="EW191" s="2">
        <f t="shared" si="233"/>
        <v>0.76750270603298887</v>
      </c>
      <c r="HB191" s="1"/>
      <c r="JO191" s="1"/>
      <c r="JS191" s="1"/>
    </row>
    <row r="192" spans="2:279" ht="18" customHeight="1" x14ac:dyDescent="0.25">
      <c r="B192" s="6"/>
      <c r="AP192" s="8"/>
      <c r="AR192" s="6"/>
      <c r="CF192" s="8"/>
      <c r="EA192" s="1">
        <f t="shared" si="234"/>
        <v>38.4</v>
      </c>
      <c r="EB192" s="1" t="str">
        <f t="shared" si="220"/>
        <v>41.4328395801501+41.7414231681605i</v>
      </c>
      <c r="EC192" s="1" t="str">
        <f t="shared" si="221"/>
        <v>19.3431254660751+26.8200580973489i</v>
      </c>
      <c r="ED192" s="52" t="str">
        <f t="shared" si="222"/>
        <v>6.08259166357047+12.5698749667173i</v>
      </c>
      <c r="EE192" s="1" t="str">
        <f t="shared" si="223"/>
        <v>3.85176000320474+9.06662802591749i</v>
      </c>
      <c r="EF192" s="1" t="str">
        <f t="shared" si="224"/>
        <v>542616.233398005+1513638.53010031i</v>
      </c>
      <c r="EH192" s="1" t="str">
        <f t="shared" si="225"/>
        <v>2.09762702798917+4.05718862561564i</v>
      </c>
      <c r="EI192" s="1" t="str">
        <f t="shared" si="219"/>
        <v>0.0143880322809015+13.8125109896655i</v>
      </c>
      <c r="EJ192" s="1" t="str">
        <f t="shared" si="226"/>
        <v>1.23691686063193+3.28053465100758i</v>
      </c>
      <c r="EL192" s="52">
        <f t="shared" si="235"/>
        <v>38.4</v>
      </c>
      <c r="EM192" s="14">
        <f t="shared" si="227"/>
        <v>4.5673645237024392</v>
      </c>
      <c r="EN192" s="14">
        <f t="shared" si="227"/>
        <v>13.81251848343028</v>
      </c>
      <c r="EO192" s="14">
        <f t="shared" si="227"/>
        <v>3.5059764569342127</v>
      </c>
      <c r="EQ192" s="1" t="str">
        <f t="shared" si="228"/>
        <v>0.237597606077858-0.0893029731906613i</v>
      </c>
      <c r="ER192" s="14">
        <f t="shared" si="229"/>
        <v>38.4</v>
      </c>
      <c r="ES192" s="2">
        <f t="shared" si="230"/>
        <v>0.25382601016172662</v>
      </c>
      <c r="EU192" s="1" t="str">
        <f t="shared" si="231"/>
        <v>0.762402393922144+0.0893029731906614i</v>
      </c>
      <c r="EV192" s="52">
        <f t="shared" si="232"/>
        <v>38.4</v>
      </c>
      <c r="EW192" s="2">
        <f t="shared" si="233"/>
        <v>0.76761476749663171</v>
      </c>
      <c r="HB192" s="1"/>
      <c r="JO192" s="1"/>
      <c r="JS192" s="1"/>
    </row>
    <row r="193" spans="2:279" ht="18" customHeight="1" x14ac:dyDescent="0.25">
      <c r="B193" s="6"/>
      <c r="AP193" s="8"/>
      <c r="AR193" s="6"/>
      <c r="CF193" s="8"/>
      <c r="EA193" s="1">
        <f t="shared" si="234"/>
        <v>38.6</v>
      </c>
      <c r="EB193" s="1" t="str">
        <f t="shared" si="220"/>
        <v>41.6568397732918+41.7573289477969i</v>
      </c>
      <c r="EC193" s="1" t="str">
        <f t="shared" si="221"/>
        <v>19.4800138419743+26.8797240640497i</v>
      </c>
      <c r="ED193" s="52" t="str">
        <f t="shared" si="222"/>
        <v>6.13583088933395+12.6261342741293i</v>
      </c>
      <c r="EE193" s="1" t="str">
        <f t="shared" si="223"/>
        <v>3.8870889586568+9.11484665419174i</v>
      </c>
      <c r="EF193" s="1" t="str">
        <f t="shared" si="224"/>
        <v>547855.569839294+1524257.03899563i</v>
      </c>
      <c r="EH193" s="1" t="str">
        <f t="shared" si="225"/>
        <v>2.1159220414178+4.07469991359772i</v>
      </c>
      <c r="EI193" s="1" t="str">
        <f t="shared" si="219"/>
        <v>0.0143880322809015+13.88445115107i</v>
      </c>
      <c r="EJ193" s="1" t="str">
        <f t="shared" si="226"/>
        <v>1.24807461960665+3.29655414516399i</v>
      </c>
      <c r="EL193" s="52">
        <f t="shared" si="235"/>
        <v>38.6</v>
      </c>
      <c r="EM193" s="14">
        <f t="shared" si="227"/>
        <v>4.5913293795186307</v>
      </c>
      <c r="EN193" s="14">
        <f t="shared" si="227"/>
        <v>13.884458606007005</v>
      </c>
      <c r="EO193" s="14">
        <f t="shared" si="227"/>
        <v>3.5249055998855012</v>
      </c>
      <c r="EQ193" s="1" t="str">
        <f t="shared" si="228"/>
        <v>0.237520655980741-0.0896439586411092i</v>
      </c>
      <c r="ER193" s="14">
        <f t="shared" si="229"/>
        <v>38.6</v>
      </c>
      <c r="ES193" s="2">
        <f t="shared" si="230"/>
        <v>0.2538741840722889</v>
      </c>
      <c r="EU193" s="1" t="str">
        <f t="shared" si="231"/>
        <v>0.76247934401926+0.0896439586411092i</v>
      </c>
      <c r="EV193" s="52">
        <f t="shared" si="232"/>
        <v>38.6</v>
      </c>
      <c r="EW193" s="2">
        <f t="shared" si="233"/>
        <v>0.76773093553463756</v>
      </c>
      <c r="HB193" s="1"/>
      <c r="JO193" s="1"/>
      <c r="JS193" s="1"/>
    </row>
    <row r="194" spans="2:279" ht="18" customHeight="1" thickBot="1" x14ac:dyDescent="0.3">
      <c r="B194" s="6"/>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1"/>
      <c r="AO194" s="10"/>
      <c r="AP194" s="8"/>
      <c r="AR194" s="6"/>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1"/>
      <c r="CE194" s="10"/>
      <c r="CF194" s="8"/>
      <c r="EA194" s="1">
        <f t="shared" si="234"/>
        <v>38.799999999999997</v>
      </c>
      <c r="EB194" s="1" t="str">
        <f t="shared" si="220"/>
        <v>41.8797651873026+41.7719624535962i</v>
      </c>
      <c r="EC194" s="1" t="str">
        <f t="shared" si="221"/>
        <v>19.6166980830089+26.9384802374399i</v>
      </c>
      <c r="ED194" s="52" t="str">
        <f t="shared" si="222"/>
        <v>6.18916804971302+12.6820357336689i</v>
      </c>
      <c r="EE194" s="1" t="str">
        <f t="shared" si="223"/>
        <v>3.92251245476879+9.16282161552598i</v>
      </c>
      <c r="EF194" s="1" t="str">
        <f t="shared" si="224"/>
        <v>553113.993744779+1534832.98816021i</v>
      </c>
      <c r="EH194" s="1" t="str">
        <f t="shared" si="225"/>
        <v>2.13424217348665+4.09208128823453i</v>
      </c>
      <c r="EI194" s="1" t="str">
        <f t="shared" si="219"/>
        <v>0.0143880322809015+13.9563913124745i</v>
      </c>
      <c r="EJ194" s="1" t="str">
        <f t="shared" si="226"/>
        <v>1.25926693845307+3.31250629898203i</v>
      </c>
      <c r="EL194" s="52">
        <f t="shared" si="235"/>
        <v>38.799999999999997</v>
      </c>
      <c r="EM194" s="14">
        <f t="shared" si="227"/>
        <v>4.6152051877038129</v>
      </c>
      <c r="EN194" s="14">
        <f t="shared" si="227"/>
        <v>13.956398728984016</v>
      </c>
      <c r="EO194" s="14">
        <f t="shared" si="227"/>
        <v>3.5437905134300185</v>
      </c>
      <c r="EQ194" s="1" t="str">
        <f t="shared" si="228"/>
        <v>0.237439673062948-0.089983909210812i</v>
      </c>
      <c r="ER194" s="14">
        <f t="shared" si="229"/>
        <v>38.799999999999997</v>
      </c>
      <c r="ES194" s="2">
        <f t="shared" si="230"/>
        <v>0.25391869222469482</v>
      </c>
      <c r="EU194" s="1" t="str">
        <f t="shared" si="231"/>
        <v>0.762560326937053+0.0899839092108122i</v>
      </c>
      <c r="EV194" s="52">
        <f t="shared" si="232"/>
        <v>38.799999999999997</v>
      </c>
      <c r="EW194" s="2">
        <f t="shared" si="233"/>
        <v>0.76785112888840956</v>
      </c>
      <c r="HB194" s="1"/>
      <c r="JO194" s="1"/>
      <c r="JS194" s="1"/>
    </row>
    <row r="195" spans="2:279" ht="18" customHeight="1" x14ac:dyDescent="0.25">
      <c r="B195" s="6"/>
      <c r="D195" s="43" t="s">
        <v>84</v>
      </c>
      <c r="AO195" s="29" t="s">
        <v>189</v>
      </c>
      <c r="AP195" s="8"/>
      <c r="AR195" s="6"/>
      <c r="AT195" s="43" t="s">
        <v>84</v>
      </c>
      <c r="CE195" s="29" t="s">
        <v>190</v>
      </c>
      <c r="CF195" s="8"/>
      <c r="EA195" s="1">
        <f t="shared" si="234"/>
        <v>39</v>
      </c>
      <c r="EB195" s="1" t="str">
        <f t="shared" si="220"/>
        <v>42.1016146724111+41.7853420794545i</v>
      </c>
      <c r="EC195" s="1" t="str">
        <f t="shared" si="221"/>
        <v>19.753173181967+26.996333423213i</v>
      </c>
      <c r="ED195" s="52" t="str">
        <f t="shared" si="222"/>
        <v>6.24260127253222+12.7375806258121i</v>
      </c>
      <c r="EE195" s="1" t="str">
        <f t="shared" si="223"/>
        <v>3.95802944672158+9.21055387219016i</v>
      </c>
      <c r="EF195" s="1" t="str">
        <f t="shared" si="224"/>
        <v>558391.397798083+1545366.65810016i</v>
      </c>
      <c r="EH195" s="1" t="str">
        <f t="shared" si="225"/>
        <v>2.1525867291736+4.10933334780404i</v>
      </c>
      <c r="EI195" s="1" t="str">
        <f t="shared" si="219"/>
        <v>0.0143880322809015+14.028331473879i</v>
      </c>
      <c r="EJ195" s="1" t="str">
        <f t="shared" si="226"/>
        <v>1.27049350711719+3.32839132326773i</v>
      </c>
      <c r="EL195" s="52">
        <f t="shared" si="235"/>
        <v>39</v>
      </c>
      <c r="EM195" s="14">
        <f t="shared" si="227"/>
        <v>4.6389923679597338</v>
      </c>
      <c r="EN195" s="14">
        <f t="shared" si="227"/>
        <v>14.028338852355153</v>
      </c>
      <c r="EO195" s="14">
        <f t="shared" si="227"/>
        <v>3.5626314084438828</v>
      </c>
      <c r="EQ195" s="1" t="str">
        <f t="shared" si="228"/>
        <v>0.237354734388617-0.0903228186399862i</v>
      </c>
      <c r="ER195" s="14">
        <f t="shared" si="229"/>
        <v>39</v>
      </c>
      <c r="ES195" s="2">
        <f t="shared" si="230"/>
        <v>0.25395960604742396</v>
      </c>
      <c r="EU195" s="1" t="str">
        <f t="shared" si="231"/>
        <v>0.762645265611386+0.0903228186399864i</v>
      </c>
      <c r="EV195" s="52">
        <f t="shared" si="232"/>
        <v>39</v>
      </c>
      <c r="EW195" s="2">
        <f t="shared" si="233"/>
        <v>0.76797526830395602</v>
      </c>
      <c r="HB195" s="1"/>
      <c r="JO195" s="1"/>
      <c r="JS195" s="1"/>
    </row>
    <row r="196" spans="2:279" ht="18" customHeight="1" x14ac:dyDescent="0.25">
      <c r="B196" s="45"/>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7"/>
      <c r="AR196" s="45"/>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7"/>
      <c r="EA196" s="1">
        <f t="shared" si="234"/>
        <v>39.200000000000003</v>
      </c>
      <c r="EB196" s="1" t="str">
        <f t="shared" si="220"/>
        <v>42.3223872662037+41.7974860351114i</v>
      </c>
      <c r="EC196" s="1" t="str">
        <f t="shared" si="221"/>
        <v>19.8894342196249+27.0532904138908i</v>
      </c>
      <c r="ED196" s="52" t="str">
        <f t="shared" si="222"/>
        <v>6.29612869316941+12.792770221861i</v>
      </c>
      <c r="EE196" s="1" t="str">
        <f t="shared" si="223"/>
        <v>3.99363889131354+9.25804437110788i</v>
      </c>
      <c r="EF196" s="1" t="str">
        <f t="shared" si="224"/>
        <v>563687.67456065+1555858.32317303i</v>
      </c>
      <c r="EH196" s="1" t="str">
        <f t="shared" si="225"/>
        <v>2.17095501758294+4.12645668556596i</v>
      </c>
      <c r="EI196" s="1" t="str">
        <f t="shared" si="219"/>
        <v>0.0143880322809015+14.1002716352835i</v>
      </c>
      <c r="EJ196" s="1" t="str">
        <f t="shared" si="226"/>
        <v>1.28175401612512+3.34420942390891i</v>
      </c>
      <c r="EL196" s="52">
        <f t="shared" si="235"/>
        <v>39.200000000000003</v>
      </c>
      <c r="EM196" s="14">
        <f t="shared" si="227"/>
        <v>4.6626913329342896</v>
      </c>
      <c r="EN196" s="14">
        <f t="shared" si="227"/>
        <v>14.100278976114385</v>
      </c>
      <c r="EO196" s="14">
        <f t="shared" si="227"/>
        <v>3.5814284899763162</v>
      </c>
      <c r="EQ196" s="1" t="str">
        <f t="shared" si="228"/>
        <v>0.23726591510052-0.0906606808396988i</v>
      </c>
      <c r="ER196" s="14">
        <f t="shared" si="229"/>
        <v>39.200000000000003</v>
      </c>
      <c r="ES196" s="2">
        <f t="shared" si="230"/>
        <v>0.25399699509798318</v>
      </c>
      <c r="EU196" s="1" t="str">
        <f t="shared" si="231"/>
        <v>0.762734084899478+0.0906606808396984i</v>
      </c>
      <c r="EV196" s="52">
        <f t="shared" si="232"/>
        <v>39.200000000000003</v>
      </c>
      <c r="EW196" s="2">
        <f t="shared" si="233"/>
        <v>0.76810327646597232</v>
      </c>
      <c r="HB196" s="1"/>
      <c r="JO196" s="1"/>
      <c r="JS196" s="1"/>
    </row>
    <row r="197" spans="2:279" ht="18" customHeight="1" x14ac:dyDescent="0.25">
      <c r="EA197" s="1">
        <f t="shared" si="234"/>
        <v>39.4</v>
      </c>
      <c r="EB197" s="1" t="str">
        <f t="shared" si="220"/>
        <v>42.5420821892457+41.8084123463775i</v>
      </c>
      <c r="EC197" s="1" t="str">
        <f t="shared" si="221"/>
        <v>20.0254763641263+27.1093579882753i</v>
      </c>
      <c r="ED197" s="52" t="str">
        <f t="shared" si="222"/>
        <v>6.34974845465326+12.8476057843945i</v>
      </c>
      <c r="EE197" s="1" t="str">
        <f t="shared" si="223"/>
        <v>4.02933974701795+9.30529404439697i</v>
      </c>
      <c r="EF197" s="1" t="str">
        <f t="shared" si="224"/>
        <v>569002.716476482+1566308.25176029i</v>
      </c>
      <c r="EH197" s="1" t="str">
        <f t="shared" si="225"/>
        <v>2.18934635196381+4.14345188997665i</v>
      </c>
      <c r="EI197" s="1" t="str">
        <f t="shared" ref="EI197:EI250" si="236">COMPLEX((($S$17/1.732)/($T$124))*COS(ATAN($AF$124)),(EL197*($S$17/1.732)/($T$124))*SIN(ATAN($AF$124)))</f>
        <v>0.0143880322809015+14.172211796688i</v>
      </c>
      <c r="EJ197" s="1" t="str">
        <f t="shared" si="226"/>
        <v>1.29304815658235+3.35996080208119i</v>
      </c>
      <c r="EL197" s="52">
        <f t="shared" si="235"/>
        <v>39.4</v>
      </c>
      <c r="EM197" s="14">
        <f t="shared" si="227"/>
        <v>4.686302488466608</v>
      </c>
      <c r="EN197" s="14">
        <f t="shared" si="227"/>
        <v>14.172219100255802</v>
      </c>
      <c r="EO197" s="14">
        <f t="shared" si="227"/>
        <v>3.6001819574520235</v>
      </c>
      <c r="EQ197" s="1" t="str">
        <f t="shared" si="228"/>
        <v>0.237173288483361-0.0909974898874195i</v>
      </c>
      <c r="ER197" s="14">
        <f t="shared" si="229"/>
        <v>39.4</v>
      </c>
      <c r="ES197" s="2">
        <f t="shared" si="230"/>
        <v>0.25403092712467629</v>
      </c>
      <c r="EU197" s="1" t="str">
        <f t="shared" si="231"/>
        <v>0.762826711516642+0.0909974898874197i</v>
      </c>
      <c r="EV197" s="52">
        <f t="shared" si="232"/>
        <v>39.4</v>
      </c>
      <c r="EW197" s="2">
        <f t="shared" si="233"/>
        <v>0.7682350779345507</v>
      </c>
      <c r="HB197" s="1"/>
      <c r="JO197" s="1"/>
      <c r="JS197" s="1"/>
    </row>
    <row r="198" spans="2:279" ht="18" customHeight="1" x14ac:dyDescent="0.25">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5"/>
      <c r="AR198" s="3"/>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5"/>
      <c r="EA198" s="1">
        <f t="shared" si="234"/>
        <v>39.6</v>
      </c>
      <c r="EB198" s="1" t="str">
        <f t="shared" ref="EB198:EB250" si="237">IMSUM(IMDIV(IMPRODUCT(COMPLEX($W$40/100,$W$40*EA198),COMPLEX($AL$40,0)),IMSUM(COMPLEX($W$40/100,$W$40*EA198),COMPLEX($AL$40,0))),COMPLEX(0,-$L$40/EA198))</f>
        <v>42.7606988407631+41.8181388554163i</v>
      </c>
      <c r="EC198" s="1" t="str">
        <f t="shared" ref="EC198:EC250" si="238">IMSUM(IMDIV(IMPRODUCT(COMPLEX($W$41/100,$W$41*EA198),COMPLEX($AL$41,0)),IMSUM(COMPLEX($W$41/100,$W$41*EA198),COMPLEX($AL$41,0))),COMPLEX(0,-$L$41/EA198))</f>
        <v>20.1612948703525+27.1645429109034i</v>
      </c>
      <c r="ED198" s="52" t="str">
        <f t="shared" ref="ED198:ED250" si="239">IMSUM(IMDIV(IMPRODUCT(COMPLEX($W$42/100,$W$42*EA198),COMPLEX($AL$42,0)),IMSUM(COMPLEX($W$42/100,$W$42*EA198),COMPLEX($AL$42,0))),COMPLEX(0,-$L$42/EA198))</f>
        <v>6.4034587077584+12.9020885677001i</v>
      </c>
      <c r="EE198" s="1" t="str">
        <f t="shared" ref="EE198:EE250" si="240">IMSUM(IMDIV(IMPRODUCT(COMPLEX($W$43/100,$W$43*EA198),COMPLEX($AL$43,0)),IMSUM(COMPLEX($W$43/100,$W$43*EA198),COMPLEX($AL$43,0))),COMPLEX(0,-$L$43/EA198))</f>
        <v>4.06513097403947+9.3523038098927i</v>
      </c>
      <c r="EF198" s="1" t="str">
        <f t="shared" ref="EF198:EF250" si="241">IMSUM(IMDIV(IMPRODUCT(COMPLEX($W$44/100,$W$44*EA198),COMPLEX($AL$44,0)),IMSUM(COMPLEX($W$44/100,$W$44*EA198),COMPLEX($AL$44,0))),COMPLEX(0,-$L$44/EA198))</f>
        <v>574336.415876894+1576716.70643448i</v>
      </c>
      <c r="EH198" s="1" t="str">
        <f t="shared" ref="EH198:EH250" si="242">IMDIV("1",IMSUM(IMDIV("1",EB198),IMDIV("1",EC198),IMDIV("1",ED198),IMDIV("1",EE198),IMDIV("1",EF198)))</f>
        <v>2.20776004972842+4.1603195448947i</v>
      </c>
      <c r="EI198" s="1" t="str">
        <f t="shared" si="236"/>
        <v>0.0143880322809015+14.2441519580925i</v>
      </c>
      <c r="EJ198" s="1" t="str">
        <f t="shared" ref="EJ198:EJ250" si="243">IMDIV(IMPRODUCT(EH198,EI198),IMSUM(EH198,EI198))</f>
        <v>1.30437562017374+3.37564565444563i</v>
      </c>
      <c r="EL198" s="52">
        <f t="shared" si="235"/>
        <v>39.6</v>
      </c>
      <c r="EM198" s="14">
        <f t="shared" ref="EM198:EO250" si="244">IMABS(EH198)</f>
        <v>4.7098262338232484</v>
      </c>
      <c r="EN198" s="14">
        <f t="shared" si="244"/>
        <v>14.244159224773616</v>
      </c>
      <c r="EO198" s="14">
        <f t="shared" si="244"/>
        <v>3.6188920048657565</v>
      </c>
      <c r="EQ198" s="1" t="str">
        <f t="shared" ref="EQ198:EQ250" si="245">IMDIV(EH198,IMSUM(EH198,EI198))</f>
        <v>0.237076926024568-0.0913332400227538i</v>
      </c>
      <c r="ER198" s="14">
        <f t="shared" ref="ER198:ER250" si="246">EL198</f>
        <v>39.6</v>
      </c>
      <c r="ES198" s="2">
        <f t="shared" ref="ES198:ES250" si="247">IMABS(EQ198)</f>
        <v>0.25406146812594871</v>
      </c>
      <c r="EU198" s="1" t="str">
        <f t="shared" ref="EU198:EU250" si="248">IMDIV(EI198,IMSUM(EH198,EI198))</f>
        <v>0.762923073975432+0.0913332400227537i</v>
      </c>
      <c r="EV198" s="52">
        <f t="shared" ref="EV198:EV250" si="249">ER198</f>
        <v>39.6</v>
      </c>
      <c r="EW198" s="2">
        <f t="shared" ref="EW198:EW250" si="250">IMABS(EU198)</f>
        <v>0.76837059908430683</v>
      </c>
      <c r="HB198" s="1"/>
      <c r="JO198" s="1"/>
      <c r="JS198" s="1"/>
    </row>
    <row r="199" spans="2:279" ht="18" customHeight="1" x14ac:dyDescent="0.25">
      <c r="B199" s="6"/>
      <c r="AN199" s="7"/>
      <c r="AP199" s="8"/>
      <c r="AR199" s="6"/>
      <c r="CD199" s="7"/>
      <c r="CF199" s="8"/>
      <c r="EA199" s="1">
        <f t="shared" si="234"/>
        <v>39.799999999999997</v>
      </c>
      <c r="EB199" s="1" t="str">
        <f t="shared" si="237"/>
        <v>42.9782367943842+41.826683221077i</v>
      </c>
      <c r="EC199" s="1" t="str">
        <f t="shared" si="238"/>
        <v>20.2968850792818+27.2188519315051i</v>
      </c>
      <c r="ED199" s="52" t="str">
        <f t="shared" si="239"/>
        <v>6.45725761109882+12.9562198181889i</v>
      </c>
      <c r="EE199" s="1" t="str">
        <f t="shared" si="240"/>
        <v>4.10101153437055+9.3990745716529i</v>
      </c>
      <c r="EF199" s="1" t="str">
        <f t="shared" si="241"/>
        <v>579688.664985226+1587083.94412135i</v>
      </c>
      <c r="EH199" s="1" t="str">
        <f t="shared" si="242"/>
        <v>2.22619543246984+4.1770602297775i</v>
      </c>
      <c r="EI199" s="1" t="str">
        <f t="shared" si="236"/>
        <v>0.0143880322809015+14.316092119497i</v>
      </c>
      <c r="EJ199" s="1" t="str">
        <f t="shared" si="243"/>
        <v>1.31573609916408+3.39126417333922i</v>
      </c>
      <c r="EL199" s="52">
        <f t="shared" si="235"/>
        <v>39.799999999999997</v>
      </c>
      <c r="EM199" s="14">
        <f t="shared" si="244"/>
        <v>4.7332629619257833</v>
      </c>
      <c r="EN199" s="14">
        <f t="shared" si="244"/>
        <v>14.316099349662151</v>
      </c>
      <c r="EO199" s="14">
        <f t="shared" si="244"/>
        <v>3.6375588209701371</v>
      </c>
      <c r="EQ199" s="1" t="str">
        <f t="shared" si="245"/>
        <v>0.236976897472751-0.0916679256433513i</v>
      </c>
      <c r="ER199" s="14">
        <f t="shared" si="246"/>
        <v>39.799999999999997</v>
      </c>
      <c r="ES199" s="2">
        <f t="shared" si="247"/>
        <v>0.25408868240747307</v>
      </c>
      <c r="EU199" s="1" t="str">
        <f t="shared" si="248"/>
        <v>0.763023102527249+0.0916679256433512i</v>
      </c>
      <c r="EV199" s="52">
        <f t="shared" si="249"/>
        <v>39.799999999999997</v>
      </c>
      <c r="EW199" s="2">
        <f t="shared" si="250"/>
        <v>0.76850976804596549</v>
      </c>
      <c r="HB199" s="1"/>
      <c r="JO199" s="1"/>
      <c r="JS199" s="1"/>
    </row>
    <row r="200" spans="2:279" ht="18" customHeight="1" x14ac:dyDescent="0.25">
      <c r="B200" s="6"/>
      <c r="AN200" s="9"/>
      <c r="AP200" s="8"/>
      <c r="AR200" s="6"/>
      <c r="CD200" s="9"/>
      <c r="CF200" s="8"/>
      <c r="EA200" s="1">
        <f t="shared" si="234"/>
        <v>40</v>
      </c>
      <c r="EB200" s="1" t="str">
        <f t="shared" si="237"/>
        <v>43.1946957939412+41.8340629192786i</v>
      </c>
      <c r="EC200" s="1" t="str">
        <f t="shared" si="238"/>
        <v>20.4322424173406+27.2722917844646i</v>
      </c>
      <c r="ED200" s="52" t="str">
        <f t="shared" si="239"/>
        <v>6.51114333121914+13.0100007747927i</v>
      </c>
      <c r="EE200" s="1" t="str">
        <f t="shared" si="240"/>
        <v>4.13698039184674+9.44560722044712i</v>
      </c>
      <c r="EF200" s="1" t="str">
        <f t="shared" si="241"/>
        <v>585059.355921584+1597410.21625709i</v>
      </c>
      <c r="EH200" s="1" t="str">
        <f t="shared" si="242"/>
        <v>2.24465182597947+4.19367451986905i</v>
      </c>
      <c r="EI200" s="1" t="str">
        <f t="shared" si="236"/>
        <v>0.0143880322809015+14.3880322809015i</v>
      </c>
      <c r="EJ200" s="1" t="str">
        <f t="shared" si="243"/>
        <v>1.32712928639924+3.40681654695755i</v>
      </c>
      <c r="EL200" s="52">
        <f t="shared" si="235"/>
        <v>40</v>
      </c>
      <c r="EM200" s="14">
        <f t="shared" si="244"/>
        <v>4.7566130595700002</v>
      </c>
      <c r="EN200" s="14">
        <f t="shared" si="244"/>
        <v>14.388039474915843</v>
      </c>
      <c r="EO200" s="14">
        <f t="shared" si="244"/>
        <v>3.6561825894561557</v>
      </c>
      <c r="EQ200" s="1" t="str">
        <f t="shared" si="245"/>
        <v>0.236873270893867-0.0920015413009758i</v>
      </c>
      <c r="ER200" s="14">
        <f t="shared" si="246"/>
        <v>40</v>
      </c>
      <c r="ES200" s="2">
        <f t="shared" si="247"/>
        <v>0.25411263263701483</v>
      </c>
      <c r="EU200" s="1" t="str">
        <f t="shared" si="248"/>
        <v>0.76312672910613+0.0920015413009754i</v>
      </c>
      <c r="EV200" s="52">
        <f t="shared" si="249"/>
        <v>40</v>
      </c>
      <c r="EW200" s="2">
        <f t="shared" si="250"/>
        <v>0.76865251465013484</v>
      </c>
      <c r="HB200" s="1"/>
      <c r="JO200" s="1"/>
      <c r="JS200" s="1"/>
    </row>
    <row r="201" spans="2:279" ht="18" customHeight="1" thickBot="1" x14ac:dyDescent="0.3">
      <c r="B201" s="6"/>
      <c r="C201" s="104" t="s">
        <v>489</v>
      </c>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1"/>
      <c r="AO201" s="10"/>
      <c r="AP201" s="8"/>
      <c r="AR201" s="6"/>
      <c r="AS201" s="104" t="s">
        <v>489</v>
      </c>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1"/>
      <c r="CE201" s="10"/>
      <c r="CF201" s="8"/>
      <c r="EA201" s="1">
        <f t="shared" si="234"/>
        <v>40.200000000000003</v>
      </c>
      <c r="EB201" s="1" t="str">
        <f t="shared" si="237"/>
        <v>43.4100757493338+41.8402952434428i</v>
      </c>
      <c r="EC201" s="1" t="str">
        <f t="shared" si="238"/>
        <v>20.5673623957463+27.3248691882856i</v>
      </c>
      <c r="ED201" s="52" t="str">
        <f t="shared" si="239"/>
        <v>6.56511404268408+13.0634326693467i</v>
      </c>
      <c r="EE201" s="1" t="str">
        <f t="shared" si="240"/>
        <v>4.17303651220158+9.49190263422866i</v>
      </c>
      <c r="EF201" s="1" t="str">
        <f t="shared" si="241"/>
        <v>590448.380707523+1607695.76894077i</v>
      </c>
      <c r="EH201" s="1" t="str">
        <f t="shared" si="242"/>
        <v>2.2631285602639+4.21016298637959i</v>
      </c>
      <c r="EI201" s="1" t="str">
        <f t="shared" si="236"/>
        <v>0.0143880322809015+14.459972442306i</v>
      </c>
      <c r="EJ201" s="1" t="str">
        <f t="shared" si="243"/>
        <v>1.33855487530765+3.42230295953069i</v>
      </c>
      <c r="EL201" s="52">
        <f t="shared" si="235"/>
        <v>40.200000000000003</v>
      </c>
      <c r="EM201" s="14">
        <f t="shared" si="244"/>
        <v>4.7798769076371475</v>
      </c>
      <c r="EN201" s="14">
        <f t="shared" si="244"/>
        <v>14.459979600529245</v>
      </c>
      <c r="EO201" s="14">
        <f t="shared" si="244"/>
        <v>3.6747634891272121</v>
      </c>
      <c r="EQ201" s="1" t="str">
        <f t="shared" si="245"/>
        <v>0.236766112725233-0.0923340816977251i</v>
      </c>
      <c r="ER201" s="14">
        <f t="shared" si="246"/>
        <v>40.200000000000003</v>
      </c>
      <c r="ES201" s="2">
        <f t="shared" si="247"/>
        <v>0.25413337989721052</v>
      </c>
      <c r="EU201" s="1" t="str">
        <f t="shared" si="248"/>
        <v>0.763233887274766+0.092334081697725i</v>
      </c>
      <c r="EV201" s="52">
        <f t="shared" si="249"/>
        <v>40.200000000000003</v>
      </c>
      <c r="EW201" s="2">
        <f t="shared" si="250"/>
        <v>0.76879877037330946</v>
      </c>
      <c r="HB201" s="1"/>
      <c r="JO201" s="1"/>
      <c r="JS201" s="1"/>
    </row>
    <row r="202" spans="2:279" ht="18" customHeight="1" x14ac:dyDescent="0.25">
      <c r="B202" s="6"/>
      <c r="AN202" s="9"/>
      <c r="AP202" s="8"/>
      <c r="AR202" s="6"/>
      <c r="CD202" s="9"/>
      <c r="CF202" s="8"/>
      <c r="EA202" s="1">
        <f t="shared" si="234"/>
        <v>40.4</v>
      </c>
      <c r="EB202" s="1" t="str">
        <f t="shared" si="237"/>
        <v>43.6243767324513+41.8453973049736i</v>
      </c>
      <c r="EC202" s="1" t="str">
        <f t="shared" si="238"/>
        <v>20.7022406098404+27.3765908450618i</v>
      </c>
      <c r="ED202" s="52" t="str">
        <f t="shared" si="239"/>
        <v>6.6191679281659+13.1165167269552i</v>
      </c>
      <c r="EE202" s="1" t="str">
        <f t="shared" si="240"/>
        <v>4.20917886312097+9.53796167859202i</v>
      </c>
      <c r="EF202" s="1" t="str">
        <f t="shared" si="241"/>
        <v>595855.631270731+1617940.84308221i</v>
      </c>
      <c r="EH202" s="1" t="str">
        <f t="shared" si="242"/>
        <v>2.28162496956145+4.22652619665729i</v>
      </c>
      <c r="EI202" s="1" t="str">
        <f t="shared" si="236"/>
        <v>0.0143880322809015+14.5319126037105i</v>
      </c>
      <c r="EJ202" s="1" t="str">
        <f t="shared" si="243"/>
        <v>1.35001255990244+3.43772359149226i</v>
      </c>
      <c r="EL202" s="52">
        <f t="shared" si="235"/>
        <v>40.4</v>
      </c>
      <c r="EM202" s="14">
        <f t="shared" si="244"/>
        <v>4.8030548812975917</v>
      </c>
      <c r="EN202" s="14">
        <f t="shared" si="244"/>
        <v>14.531919726497014</v>
      </c>
      <c r="EO202" s="14">
        <f t="shared" si="244"/>
        <v>3.6933016940668115</v>
      </c>
      <c r="EQ202" s="1" t="str">
        <f t="shared" si="245"/>
        <v>0.236655487827473-0.0926655416823998i</v>
      </c>
      <c r="ER202" s="14">
        <f t="shared" si="246"/>
        <v>40.4</v>
      </c>
      <c r="ES202" s="2">
        <f t="shared" si="247"/>
        <v>0.25415098373634476</v>
      </c>
      <c r="EU202" s="1" t="str">
        <f t="shared" si="248"/>
        <v>0.763344512172526+0.0926655416823996i</v>
      </c>
      <c r="EV202" s="52">
        <f t="shared" si="249"/>
        <v>40.4</v>
      </c>
      <c r="EW202" s="2">
        <f t="shared" si="250"/>
        <v>0.76894846828588215</v>
      </c>
      <c r="HB202" s="1"/>
      <c r="JO202" s="1"/>
      <c r="JS202" s="1"/>
    </row>
    <row r="203" spans="2:279" ht="18" customHeight="1" x14ac:dyDescent="0.25">
      <c r="B203" s="6"/>
      <c r="C203" s="46"/>
      <c r="D203" s="46"/>
      <c r="E203" s="46"/>
      <c r="F203" s="46"/>
      <c r="G203" s="46"/>
      <c r="H203" s="46"/>
      <c r="I203" s="46"/>
      <c r="J203" s="46"/>
      <c r="K203" s="46"/>
      <c r="L203" s="46"/>
      <c r="M203" s="46"/>
      <c r="N203" s="46"/>
      <c r="O203" s="46"/>
      <c r="P203" s="46"/>
      <c r="Q203" s="46"/>
      <c r="R203" s="46"/>
      <c r="S203" s="46"/>
      <c r="T203" s="46"/>
      <c r="U203" s="46"/>
      <c r="V203" s="46"/>
      <c r="W203" s="46"/>
      <c r="X203" s="46"/>
      <c r="Y203" s="46"/>
      <c r="Z203" s="46"/>
      <c r="AA203" s="46"/>
      <c r="AB203" s="46"/>
      <c r="AC203" s="46"/>
      <c r="AD203" s="46"/>
      <c r="AE203" s="46"/>
      <c r="AF203" s="46"/>
      <c r="AG203" s="46"/>
      <c r="AH203" s="46"/>
      <c r="AI203" s="46"/>
      <c r="AJ203" s="46"/>
      <c r="AK203" s="46"/>
      <c r="AL203" s="46"/>
      <c r="AM203" s="46"/>
      <c r="AN203" s="46"/>
      <c r="AO203" s="46"/>
      <c r="AP203" s="8"/>
      <c r="AR203" s="6"/>
      <c r="AT203" s="24"/>
      <c r="AU203" s="177" t="s">
        <v>180</v>
      </c>
      <c r="AV203" s="177"/>
      <c r="AW203" s="177"/>
      <c r="AX203" s="177"/>
      <c r="AY203" s="177"/>
      <c r="AZ203" s="177"/>
      <c r="BA203" s="177"/>
      <c r="BB203" s="24" t="s">
        <v>181</v>
      </c>
      <c r="CF203" s="8"/>
      <c r="EA203" s="1">
        <f t="shared" si="234"/>
        <v>40.6</v>
      </c>
      <c r="EB203" s="1" t="str">
        <f t="shared" si="237"/>
        <v>43.8375989731572+41.8493860337826i</v>
      </c>
      <c r="EC203" s="1" t="str">
        <f t="shared" si="238"/>
        <v>20.8368727384163+27.4274634399515i</v>
      </c>
      <c r="ED203" s="52" t="str">
        <f t="shared" si="239"/>
        <v>6.67330317852992+13.1692541663431i</v>
      </c>
      <c r="EE203" s="1" t="str">
        <f t="shared" si="240"/>
        <v>4.24540641429679+9.58378520721466i</v>
      </c>
      <c r="EF203" s="1" t="str">
        <f t="shared" si="241"/>
        <v>601280.999449687+1628145.67454534i</v>
      </c>
      <c r="EH203" s="1" t="str">
        <f t="shared" si="242"/>
        <v>2.3001403923583+4.24276471435232i</v>
      </c>
      <c r="EI203" s="1" t="str">
        <f t="shared" si="236"/>
        <v>0.0143880322809015+14.603852765115i</v>
      </c>
      <c r="EJ203" s="1" t="str">
        <f t="shared" si="243"/>
        <v>1.36150203478394+3.45307861964213i</v>
      </c>
      <c r="EL203" s="52">
        <f t="shared" si="235"/>
        <v>40.6</v>
      </c>
      <c r="EM203" s="14">
        <f t="shared" si="244"/>
        <v>4.8261473502071315</v>
      </c>
      <c r="EN203" s="14">
        <f t="shared" si="244"/>
        <v>14.603859852813914</v>
      </c>
      <c r="EO203" s="14">
        <f t="shared" si="244"/>
        <v>3.711797373800247</v>
      </c>
      <c r="EQ203" s="1" t="str">
        <f t="shared" si="245"/>
        <v>0.236541459534489-0.0929959162470157i</v>
      </c>
      <c r="ER203" s="14">
        <f t="shared" si="246"/>
        <v>40.6</v>
      </c>
      <c r="ES203" s="2">
        <f t="shared" si="247"/>
        <v>0.25416550221721323</v>
      </c>
      <c r="EU203" s="1" t="str">
        <f t="shared" si="248"/>
        <v>0.763458540465512+0.0929959162470157i</v>
      </c>
      <c r="EV203" s="52">
        <f t="shared" si="249"/>
        <v>40.6</v>
      </c>
      <c r="EW203" s="2">
        <f t="shared" si="250"/>
        <v>0.76910154300219147</v>
      </c>
      <c r="HB203" s="1"/>
      <c r="JO203" s="1"/>
      <c r="JS203" s="1"/>
    </row>
    <row r="204" spans="2:279" ht="18" customHeight="1" x14ac:dyDescent="0.3">
      <c r="B204" s="6"/>
      <c r="C204" s="30" t="s">
        <v>174</v>
      </c>
      <c r="AP204" s="8"/>
      <c r="AR204" s="6"/>
      <c r="AT204" s="24"/>
      <c r="AU204" s="177" t="s">
        <v>182</v>
      </c>
      <c r="AV204" s="177"/>
      <c r="AW204" s="177"/>
      <c r="AX204" s="177"/>
      <c r="AY204" s="177"/>
      <c r="AZ204" s="177"/>
      <c r="BA204" s="177"/>
      <c r="BB204" s="24" t="s">
        <v>183</v>
      </c>
      <c r="CF204" s="8"/>
      <c r="EA204" s="1">
        <f t="shared" si="234"/>
        <v>40.799999999999997</v>
      </c>
      <c r="EB204" s="1" t="str">
        <f t="shared" si="237"/>
        <v>44.0497428553335+41.852278178859i</v>
      </c>
      <c r="EC204" s="1" t="str">
        <f t="shared" si="238"/>
        <v>20.9712545430375+27.4774936406585i</v>
      </c>
      <c r="ED204" s="52" t="str">
        <f t="shared" si="239"/>
        <v>6.72751799291837+13.2216462001926i</v>
      </c>
      <c r="EE204" s="1" t="str">
        <f t="shared" si="240"/>
        <v>4.28171813748003+9.62937406228439i</v>
      </c>
      <c r="EF204" s="1" t="str">
        <f t="shared" si="241"/>
        <v>606724.376998326+1638310.49428753i</v>
      </c>
      <c r="EH204" s="1" t="str">
        <f t="shared" si="242"/>
        <v>2.31867417140404+4.25887909957354i</v>
      </c>
      <c r="EI204" s="1" t="str">
        <f t="shared" si="236"/>
        <v>0.0143880322809015+14.6757929265195i</v>
      </c>
      <c r="EJ204" s="1" t="str">
        <f t="shared" si="243"/>
        <v>1.37302299514258+3.4683682173028i</v>
      </c>
      <c r="EL204" s="52">
        <f t="shared" si="235"/>
        <v>40.799999999999997</v>
      </c>
      <c r="EM204" s="14">
        <f t="shared" si="244"/>
        <v>4.8491546786961264</v>
      </c>
      <c r="EN204" s="14">
        <f t="shared" si="244"/>
        <v>14.675799979474805</v>
      </c>
      <c r="EO204" s="14">
        <f t="shared" si="244"/>
        <v>3.7302506934503086</v>
      </c>
      <c r="EQ204" s="1" t="str">
        <f t="shared" si="245"/>
        <v>0.236424089701532-0.0933252005234441i</v>
      </c>
      <c r="ER204" s="14">
        <f t="shared" si="246"/>
        <v>40.799999999999997</v>
      </c>
      <c r="ES204" s="2">
        <f t="shared" si="247"/>
        <v>0.25417699196414117</v>
      </c>
      <c r="EU204" s="1" t="str">
        <f t="shared" si="248"/>
        <v>0.76357591029847+0.0933252005234443i</v>
      </c>
      <c r="EV204" s="52">
        <f t="shared" si="249"/>
        <v>40.799999999999997</v>
      </c>
      <c r="EW204" s="2">
        <f t="shared" si="250"/>
        <v>0.76925793063242331</v>
      </c>
      <c r="HB204" s="1"/>
      <c r="JO204" s="1"/>
      <c r="JS204" s="1"/>
    </row>
    <row r="205" spans="2:279" ht="18" customHeight="1" x14ac:dyDescent="0.25">
      <c r="B205" s="6"/>
      <c r="AP205" s="8"/>
      <c r="AR205" s="6"/>
      <c r="AT205" s="24"/>
      <c r="AU205" s="177" t="s">
        <v>56</v>
      </c>
      <c r="AV205" s="177"/>
      <c r="AW205" s="177"/>
      <c r="AX205" s="177"/>
      <c r="AY205" s="177"/>
      <c r="AZ205" s="177"/>
      <c r="BA205" s="177"/>
      <c r="BB205" s="24" t="s">
        <v>184</v>
      </c>
      <c r="CF205" s="8"/>
      <c r="EA205" s="1">
        <f t="shared" si="234"/>
        <v>41</v>
      </c>
      <c r="EB205" s="1" t="str">
        <f t="shared" si="237"/>
        <v>44.2608089129855+41.8540903088806i</v>
      </c>
      <c r="EC205" s="1" t="str">
        <f t="shared" si="238"/>
        <v>21.1053818673506+27.526688096918i</v>
      </c>
      <c r="ED205" s="52" t="str">
        <f t="shared" si="239"/>
        <v>6.78181057883171+13.2736940354656i</v>
      </c>
      <c r="EE205" s="1" t="str">
        <f t="shared" si="240"/>
        <v>4.31811300653322+9.67472907491284i</v>
      </c>
      <c r="EF205" s="1" t="str">
        <f t="shared" si="241"/>
        <v>612185.655590647+1648435.52849446i</v>
      </c>
      <c r="EH205" s="1" t="str">
        <f t="shared" si="242"/>
        <v>2.33722565372672+4.27486990903827i</v>
      </c>
      <c r="EI205" s="1" t="str">
        <f t="shared" si="236"/>
        <v>0.0143880322809015+14.7477330879241i</v>
      </c>
      <c r="EJ205" s="1" t="str">
        <f t="shared" si="243"/>
        <v>1.38457513676222+3.48359255447001i</v>
      </c>
      <c r="EL205" s="52">
        <f t="shared" si="235"/>
        <v>41</v>
      </c>
      <c r="EM205" s="14">
        <f t="shared" si="244"/>
        <v>4.8720772259519007</v>
      </c>
      <c r="EN205" s="14">
        <f t="shared" si="244"/>
        <v>14.747740106474762</v>
      </c>
      <c r="EO205" s="14">
        <f t="shared" si="244"/>
        <v>3.7486618138875918</v>
      </c>
      <c r="EQ205" s="1" t="str">
        <f t="shared" si="245"/>
        <v>0.236303438751476-0.0936533897801772i</v>
      </c>
      <c r="ER205" s="14">
        <f t="shared" si="246"/>
        <v>41</v>
      </c>
      <c r="ES205" s="2">
        <f t="shared" si="247"/>
        <v>0.25418550820825797</v>
      </c>
      <c r="EU205" s="1" t="str">
        <f t="shared" si="248"/>
        <v>0.763696561248523+0.0936533897801769i</v>
      </c>
      <c r="EV205" s="52">
        <f t="shared" si="249"/>
        <v>41</v>
      </c>
      <c r="EW205" s="2">
        <f t="shared" si="250"/>
        <v>0.7694175687363376</v>
      </c>
      <c r="HB205" s="1"/>
      <c r="JO205" s="1"/>
      <c r="JS205" s="1"/>
    </row>
    <row r="206" spans="2:279" ht="18" customHeight="1" x14ac:dyDescent="0.25">
      <c r="B206" s="6"/>
      <c r="C206" s="163" t="s">
        <v>293</v>
      </c>
      <c r="D206" s="163"/>
      <c r="E206" s="163"/>
      <c r="F206" s="163"/>
      <c r="G206" s="163"/>
      <c r="H206" s="163"/>
      <c r="I206" s="163"/>
      <c r="J206" s="163"/>
      <c r="K206" s="163"/>
      <c r="L206" s="163"/>
      <c r="M206" s="163"/>
      <c r="N206" s="163"/>
      <c r="O206" s="163"/>
      <c r="P206" s="163"/>
      <c r="Q206" s="163"/>
      <c r="R206" s="163"/>
      <c r="S206" s="163"/>
      <c r="T206" s="163"/>
      <c r="U206" s="163"/>
      <c r="V206" s="163"/>
      <c r="W206" s="163"/>
      <c r="X206" s="163"/>
      <c r="Y206" s="163"/>
      <c r="Z206" s="163"/>
      <c r="AA206" s="163"/>
      <c r="AB206" s="163"/>
      <c r="AC206" s="163"/>
      <c r="AD206" s="163"/>
      <c r="AE206" s="163"/>
      <c r="AF206" s="163"/>
      <c r="AG206" s="163"/>
      <c r="AH206" s="163"/>
      <c r="AI206" s="163"/>
      <c r="AJ206" s="163"/>
      <c r="AK206" s="163"/>
      <c r="AL206" s="163"/>
      <c r="AM206" s="163"/>
      <c r="AN206" s="163"/>
      <c r="AP206" s="8"/>
      <c r="AR206" s="6"/>
      <c r="AU206" s="177" t="s">
        <v>52</v>
      </c>
      <c r="AV206" s="177"/>
      <c r="AW206" s="177"/>
      <c r="AX206" s="177"/>
      <c r="AY206" s="177"/>
      <c r="AZ206" s="177"/>
      <c r="BA206" s="177"/>
      <c r="BB206" s="24" t="s">
        <v>185</v>
      </c>
      <c r="CF206" s="8"/>
      <c r="EA206" s="1">
        <f t="shared" si="234"/>
        <v>41.2</v>
      </c>
      <c r="EB206" s="1" t="str">
        <f t="shared" si="237"/>
        <v>44.4707978264075+41.854838812867i</v>
      </c>
      <c r="EC206" s="1" t="str">
        <f t="shared" si="238"/>
        <v>21.23925063639+27.5750534399887i</v>
      </c>
      <c r="ED206" s="52" t="str">
        <f t="shared" si="239"/>
        <v>6.83617915220873+13.3253988737137i</v>
      </c>
      <c r="EE206" s="1" t="str">
        <f t="shared" si="240"/>
        <v>4.35458999748229+9.71985106553487i</v>
      </c>
      <c r="EF206" s="1" t="str">
        <f t="shared" si="241"/>
        <v>617664.726825352+1658520.99871129i</v>
      </c>
      <c r="EH206" s="1" t="str">
        <f t="shared" si="242"/>
        <v>2.35579419064748+4.29073769621528i</v>
      </c>
      <c r="EI206" s="1" t="str">
        <f t="shared" si="236"/>
        <v>0.0143880322809015+14.8196732493286i</v>
      </c>
      <c r="EJ206" s="1" t="str">
        <f t="shared" si="243"/>
        <v>1.39615815602374+3.49875179795754i</v>
      </c>
      <c r="EL206" s="52">
        <f t="shared" si="235"/>
        <v>41.2</v>
      </c>
      <c r="EM206" s="14">
        <f t="shared" si="244"/>
        <v>4.8949153461945825</v>
      </c>
      <c r="EN206" s="14">
        <f t="shared" si="244"/>
        <v>14.819680233808644</v>
      </c>
      <c r="EO206" s="14">
        <f t="shared" si="244"/>
        <v>3.7670308918752879</v>
      </c>
      <c r="EQ206" s="1" t="str">
        <f t="shared" si="245"/>
        <v>0.236179565719357-0.0939804794192195i</v>
      </c>
      <c r="ER206" s="14">
        <f t="shared" si="246"/>
        <v>41.2</v>
      </c>
      <c r="ES206" s="2">
        <f t="shared" si="247"/>
        <v>0.25419110483109048</v>
      </c>
      <c r="EU206" s="1" t="str">
        <f t="shared" si="248"/>
        <v>0.763820434280642+0.0939804794192193i</v>
      </c>
      <c r="EV206" s="52">
        <f t="shared" si="249"/>
        <v>41.2</v>
      </c>
      <c r="EW206" s="2">
        <f t="shared" si="250"/>
        <v>0.76958039627873498</v>
      </c>
      <c r="HB206" s="1"/>
      <c r="JO206" s="1"/>
      <c r="JS206" s="1"/>
    </row>
    <row r="207" spans="2:279" ht="18" customHeight="1" x14ac:dyDescent="0.25">
      <c r="B207" s="6"/>
      <c r="C207" s="163"/>
      <c r="D207" s="163"/>
      <c r="E207" s="163"/>
      <c r="F207" s="163"/>
      <c r="G207" s="163"/>
      <c r="H207" s="163"/>
      <c r="I207" s="163"/>
      <c r="J207" s="163"/>
      <c r="K207" s="163"/>
      <c r="L207" s="163"/>
      <c r="M207" s="163"/>
      <c r="N207" s="163"/>
      <c r="O207" s="163"/>
      <c r="P207" s="163"/>
      <c r="Q207" s="163"/>
      <c r="R207" s="163"/>
      <c r="S207" s="163"/>
      <c r="T207" s="163"/>
      <c r="U207" s="163"/>
      <c r="V207" s="163"/>
      <c r="W207" s="163"/>
      <c r="X207" s="163"/>
      <c r="Y207" s="163"/>
      <c r="Z207" s="163"/>
      <c r="AA207" s="163"/>
      <c r="AB207" s="163"/>
      <c r="AC207" s="163"/>
      <c r="AD207" s="163"/>
      <c r="AE207" s="163"/>
      <c r="AF207" s="163"/>
      <c r="AG207" s="163"/>
      <c r="AH207" s="163"/>
      <c r="AI207" s="163"/>
      <c r="AJ207" s="163"/>
      <c r="AK207" s="163"/>
      <c r="AL207" s="163"/>
      <c r="AM207" s="163"/>
      <c r="AN207" s="163"/>
      <c r="AP207" s="8"/>
      <c r="AR207" s="6"/>
      <c r="AU207" s="177" t="s">
        <v>195</v>
      </c>
      <c r="AV207" s="177"/>
      <c r="AW207" s="177"/>
      <c r="AX207" s="177"/>
      <c r="AY207" s="177"/>
      <c r="AZ207" s="177"/>
      <c r="BA207" s="177"/>
      <c r="BB207" s="24" t="s">
        <v>259</v>
      </c>
      <c r="CF207" s="8"/>
      <c r="EA207" s="1">
        <f t="shared" si="234"/>
        <v>41.4</v>
      </c>
      <c r="EB207" s="1" t="str">
        <f t="shared" si="237"/>
        <v>44.6797104184084+41.8545399008714i</v>
      </c>
      <c r="EC207" s="1" t="str">
        <f t="shared" si="238"/>
        <v>21.3728568558787+27.6225962821521i</v>
      </c>
      <c r="ED207" s="52" t="str">
        <f t="shared" si="239"/>
        <v>6.89062193750437+13.3767619113737i</v>
      </c>
      <c r="EE207" s="1" t="str">
        <f t="shared" si="240"/>
        <v>4.39114808856785+9.76474084429581i</v>
      </c>
      <c r="EF207" s="1" t="str">
        <f t="shared" si="241"/>
        <v>623161.48223042+1668567.12196977i</v>
      </c>
      <c r="EH207" s="1" t="str">
        <f t="shared" si="242"/>
        <v>2.37437913779469+4.30648301146139i</v>
      </c>
      <c r="EI207" s="1" t="str">
        <f t="shared" si="236"/>
        <v>0.0143880322809015+14.8916134107331i</v>
      </c>
      <c r="EJ207" s="1" t="str">
        <f t="shared" si="243"/>
        <v>1.40777174990918+3.51384611153666i</v>
      </c>
      <c r="EL207" s="52">
        <f t="shared" si="235"/>
        <v>41.4</v>
      </c>
      <c r="EM207" s="14">
        <f t="shared" si="244"/>
        <v>4.9176693888467353</v>
      </c>
      <c r="EN207" s="14">
        <f t="shared" si="244"/>
        <v>14.891620361471709</v>
      </c>
      <c r="EO207" s="14">
        <f t="shared" si="244"/>
        <v>3.7853580802090128</v>
      </c>
      <c r="EQ207" s="1" t="str">
        <f t="shared" si="245"/>
        <v>0.236052528295249-0.0943064649730884i</v>
      </c>
      <c r="ER207" s="14">
        <f t="shared" si="246"/>
        <v>41.4</v>
      </c>
      <c r="ES207" s="2">
        <f t="shared" si="247"/>
        <v>0.25419383440654042</v>
      </c>
      <c r="EU207" s="1" t="str">
        <f t="shared" si="248"/>
        <v>0.763947471704751+0.0943064649730883i</v>
      </c>
      <c r="EV207" s="52">
        <f t="shared" si="249"/>
        <v>41.4</v>
      </c>
      <c r="EW207" s="2">
        <f t="shared" si="250"/>
        <v>0.76974635358655752</v>
      </c>
      <c r="HB207" s="1"/>
      <c r="JO207" s="1"/>
      <c r="JS207" s="1"/>
    </row>
    <row r="208" spans="2:279" ht="18" customHeight="1" x14ac:dyDescent="0.25">
      <c r="B208" s="6"/>
      <c r="AP208" s="8"/>
      <c r="AR208" s="6"/>
      <c r="BA208" s="35" t="s">
        <v>196</v>
      </c>
      <c r="BB208" s="1" t="s">
        <v>197</v>
      </c>
      <c r="CF208" s="8"/>
      <c r="EA208" s="1">
        <f t="shared" si="234"/>
        <v>41.6</v>
      </c>
      <c r="EB208" s="1" t="str">
        <f t="shared" si="237"/>
        <v>44.8875476505978+41.8532096047108i</v>
      </c>
      <c r="EC208" s="1" t="str">
        <f t="shared" si="238"/>
        <v>21.5061966115214+27.6693232162175i</v>
      </c>
      <c r="ED208" s="52" t="str">
        <f t="shared" si="239"/>
        <v>6.94513716776574+13.4277843400523i</v>
      </c>
      <c r="EE208" s="1" t="str">
        <f t="shared" si="240"/>
        <v>4.42778626029581+9.80939921142485i</v>
      </c>
      <c r="EF208" s="1" t="str">
        <f t="shared" si="241"/>
        <v>628675.813267699+1678574.11091175i</v>
      </c>
      <c r="EH208" s="1" t="str">
        <f t="shared" si="242"/>
        <v>2.39297985511742+4.32210640215182i</v>
      </c>
      <c r="EI208" s="1" t="str">
        <f t="shared" si="236"/>
        <v>0.0143880322809015+14.9635535721376i</v>
      </c>
      <c r="EJ208" s="1" t="str">
        <f t="shared" si="243"/>
        <v>1.41941561600588+3.52887565607029i</v>
      </c>
      <c r="EL208" s="52">
        <f t="shared" si="235"/>
        <v>41.6</v>
      </c>
      <c r="EM208" s="14">
        <f t="shared" si="244"/>
        <v>4.9403396986967945</v>
      </c>
      <c r="EN208" s="14">
        <f t="shared" si="244"/>
        <v>14.963560489459214</v>
      </c>
      <c r="EO208" s="14">
        <f t="shared" si="244"/>
        <v>3.803643527851535</v>
      </c>
      <c r="EQ208" s="1" t="str">
        <f t="shared" si="245"/>
        <v>0.235922382865565-0.0946313421019243i</v>
      </c>
      <c r="ER208" s="14">
        <f t="shared" si="246"/>
        <v>41.6</v>
      </c>
      <c r="ES208" s="2">
        <f t="shared" si="247"/>
        <v>0.25419374824133201</v>
      </c>
      <c r="EU208" s="1" t="str">
        <f t="shared" si="248"/>
        <v>0.764077617134437+0.0946313421019243i</v>
      </c>
      <c r="EV208" s="52">
        <f t="shared" si="249"/>
        <v>41.6</v>
      </c>
      <c r="EW208" s="2">
        <f t="shared" si="250"/>
        <v>0.76991538230759538</v>
      </c>
      <c r="HB208" s="1"/>
      <c r="JO208" s="1"/>
      <c r="JS208" s="1"/>
    </row>
    <row r="209" spans="2:279" ht="18" customHeight="1" x14ac:dyDescent="0.35">
      <c r="B209" s="6"/>
      <c r="AP209" s="8"/>
      <c r="AR209" s="6"/>
      <c r="BA209" s="35" t="s">
        <v>186</v>
      </c>
      <c r="BB209" s="1" t="s">
        <v>187</v>
      </c>
      <c r="CF209" s="8"/>
      <c r="EA209" s="1">
        <f t="shared" si="234"/>
        <v>41.8</v>
      </c>
      <c r="EB209" s="1" t="str">
        <f t="shared" si="237"/>
        <v>45.0943106197315+41.8508637787323i</v>
      </c>
      <c r="EC209" s="1" t="str">
        <f t="shared" si="238"/>
        <v>21.6392660682936+27.715240815035i</v>
      </c>
      <c r="ED209" s="52" t="str">
        <f t="shared" si="239"/>
        <v>6.99972308470627+13.4784673467969i</v>
      </c>
      <c r="EE209" s="1" t="str">
        <f t="shared" si="240"/>
        <v>4.46450349548735+9.85382695759677i</v>
      </c>
      <c r="EF209" s="1" t="str">
        <f t="shared" si="241"/>
        <v>634207.611337445+1688542.17390897i</v>
      </c>
      <c r="EH209" s="1" t="str">
        <f t="shared" si="242"/>
        <v>2.41159570689856+4.33760841280453i</v>
      </c>
      <c r="EI209" s="1" t="str">
        <f t="shared" si="236"/>
        <v>0.0143880322809015+15.0354937335421i</v>
      </c>
      <c r="EJ209" s="1" t="str">
        <f t="shared" si="243"/>
        <v>1.43108945251125+3.54384058964213i</v>
      </c>
      <c r="EL209" s="52">
        <f t="shared" si="235"/>
        <v>41.8</v>
      </c>
      <c r="EM209" s="14">
        <f t="shared" si="244"/>
        <v>4.962926616056718</v>
      </c>
      <c r="EN209" s="14">
        <f t="shared" si="244"/>
        <v>15.035500617766495</v>
      </c>
      <c r="EO209" s="14">
        <f t="shared" si="244"/>
        <v>3.8218873800628965</v>
      </c>
      <c r="EQ209" s="1" t="str">
        <f t="shared" si="245"/>
        <v>0.235789184552825-0.0949551065907084i</v>
      </c>
      <c r="ER209" s="14">
        <f t="shared" si="246"/>
        <v>41.8</v>
      </c>
      <c r="ES209" s="2">
        <f t="shared" si="247"/>
        <v>0.25419089641397258</v>
      </c>
      <c r="EU209" s="1" t="str">
        <f t="shared" si="248"/>
        <v>0.764210815447177+0.0949551065907085i</v>
      </c>
      <c r="EV209" s="52">
        <f t="shared" si="249"/>
        <v>41.8</v>
      </c>
      <c r="EW209" s="2">
        <f t="shared" si="250"/>
        <v>0.77008742537071206</v>
      </c>
      <c r="HB209" s="1"/>
      <c r="JO209" s="1"/>
      <c r="JS209" s="1"/>
    </row>
    <row r="210" spans="2:279" ht="18" customHeight="1" x14ac:dyDescent="0.25">
      <c r="B210" s="6"/>
      <c r="AP210" s="8"/>
      <c r="AR210" s="6"/>
      <c r="CF210" s="8"/>
      <c r="EA210" s="1">
        <f t="shared" si="234"/>
        <v>42</v>
      </c>
      <c r="EB210" s="1" t="str">
        <f t="shared" si="237"/>
        <v>45.3000005541175+41.8475181006142i</v>
      </c>
      <c r="EC210" s="1" t="str">
        <f t="shared" si="238"/>
        <v>21.7720614697244+27.7603556310142i</v>
      </c>
      <c r="ED210" s="52" t="str">
        <f t="shared" si="239"/>
        <v>7.054377938778+13.5288121143562i</v>
      </c>
      <c r="EE210" s="1" t="str">
        <f t="shared" si="240"/>
        <v>4.50129877932839+9.89802486428223i</v>
      </c>
      <c r="EF210" s="1" t="str">
        <f t="shared" si="241"/>
        <v>639756.767782886+1698471.51517951i</v>
      </c>
      <c r="EH210" s="1" t="str">
        <f t="shared" si="242"/>
        <v>2.43022606176717+4.35298958519902i</v>
      </c>
      <c r="EI210" s="1" t="str">
        <f t="shared" si="236"/>
        <v>0.0143880322809015+15.1074338949466i</v>
      </c>
      <c r="EJ210" s="1" t="str">
        <f t="shared" si="243"/>
        <v>1.44279295823748+3.55874106768108i</v>
      </c>
      <c r="EL210" s="52">
        <f t="shared" si="235"/>
        <v>42</v>
      </c>
      <c r="EM210" s="14">
        <f t="shared" si="244"/>
        <v>4.9854304769140549</v>
      </c>
      <c r="EN210" s="14">
        <f t="shared" si="244"/>
        <v>15.107440746388988</v>
      </c>
      <c r="EO210" s="14">
        <f t="shared" si="244"/>
        <v>3.8400897785259565</v>
      </c>
      <c r="EQ210" s="1" t="str">
        <f t="shared" si="245"/>
        <v>0.235652987253985-0.0952777543465707i</v>
      </c>
      <c r="ER210" s="14">
        <f t="shared" si="246"/>
        <v>42</v>
      </c>
      <c r="ES210" s="2">
        <f t="shared" si="247"/>
        <v>0.25418532781231157</v>
      </c>
      <c r="EU210" s="1" t="str">
        <f t="shared" si="248"/>
        <v>0.764347012746016+0.0952777543465707i</v>
      </c>
      <c r="EV210" s="52">
        <f t="shared" si="249"/>
        <v>42</v>
      </c>
      <c r="EW210" s="2">
        <f t="shared" si="250"/>
        <v>0.77026242694752023</v>
      </c>
      <c r="HB210" s="1"/>
      <c r="JO210" s="1"/>
      <c r="JS210" s="1"/>
    </row>
    <row r="211" spans="2:279" ht="18" customHeight="1" x14ac:dyDescent="0.25">
      <c r="B211" s="6"/>
      <c r="AP211" s="8"/>
      <c r="AR211" s="6"/>
      <c r="AS211" s="215" t="s">
        <v>265</v>
      </c>
      <c r="AT211" s="216"/>
      <c r="AU211" s="216"/>
      <c r="AV211" s="216"/>
      <c r="AW211" s="216"/>
      <c r="AX211" s="216"/>
      <c r="AY211" s="216"/>
      <c r="AZ211" s="216"/>
      <c r="BA211" s="216"/>
      <c r="BB211" s="216"/>
      <c r="BC211" s="216"/>
      <c r="BD211" s="216"/>
      <c r="BE211" s="216"/>
      <c r="BF211" s="216"/>
      <c r="BG211" s="216"/>
      <c r="BH211" s="216"/>
      <c r="BI211" s="216"/>
      <c r="BJ211" s="216"/>
      <c r="BK211" s="216"/>
      <c r="BL211" s="216"/>
      <c r="BM211" s="216"/>
      <c r="BN211" s="216"/>
      <c r="BO211" s="216"/>
      <c r="BP211" s="216"/>
      <c r="BQ211" s="216"/>
      <c r="BR211" s="216"/>
      <c r="BS211" s="216"/>
      <c r="BT211" s="216"/>
      <c r="BU211" s="216"/>
      <c r="BV211" s="216"/>
      <c r="BW211" s="216"/>
      <c r="BX211" s="216"/>
      <c r="BY211" s="216"/>
      <c r="BZ211" s="216"/>
      <c r="CA211" s="216"/>
      <c r="CB211" s="216"/>
      <c r="CC211" s="216"/>
      <c r="CD211" s="216"/>
      <c r="CE211" s="216"/>
      <c r="CF211" s="8"/>
      <c r="EA211" s="1">
        <f t="shared" si="234"/>
        <v>42.2</v>
      </c>
      <c r="EB211" s="1" t="str">
        <f t="shared" si="237"/>
        <v>45.5046188100807+41.8431880722011i</v>
      </c>
      <c r="EC211" s="1" t="str">
        <f t="shared" si="238"/>
        <v>21.904579137176+27.804674195653i</v>
      </c>
      <c r="ED211" s="52" t="str">
        <f t="shared" si="239"/>
        <v>7.10909998924195+13.5788198214287i</v>
      </c>
      <c r="EE211" s="1" t="str">
        <f t="shared" si="240"/>
        <v>4.53817109941833+9.94199370408549i</v>
      </c>
      <c r="EF211" s="1" t="str">
        <f t="shared" si="241"/>
        <v>645323.173894726+1708362.33490073i</v>
      </c>
      <c r="EH211" s="1" t="str">
        <f t="shared" si="242"/>
        <v>2.44887029271062+4.3682504584895i</v>
      </c>
      <c r="EI211" s="1" t="str">
        <f t="shared" si="236"/>
        <v>0.0143880322809015+15.1793740563511i</v>
      </c>
      <c r="EJ211" s="1" t="str">
        <f t="shared" si="243"/>
        <v>1.4545258326168+3.5735772430809i</v>
      </c>
      <c r="EL211" s="52">
        <f t="shared" si="235"/>
        <v>42.2</v>
      </c>
      <c r="EM211" s="14">
        <f t="shared" si="244"/>
        <v>5.007851613078639</v>
      </c>
      <c r="EN211" s="14">
        <f t="shared" si="244"/>
        <v>15.179380875322215</v>
      </c>
      <c r="EO211" s="14">
        <f t="shared" si="244"/>
        <v>3.858250861467575</v>
      </c>
      <c r="EQ211" s="1" t="str">
        <f t="shared" si="245"/>
        <v>0.235513843677361-0.0955992813962054i</v>
      </c>
      <c r="ER211" s="14">
        <f t="shared" si="246"/>
        <v>42.2</v>
      </c>
      <c r="ES211" s="2">
        <f t="shared" si="247"/>
        <v>0.25417709016973833</v>
      </c>
      <c r="EU211" s="1" t="str">
        <f t="shared" si="248"/>
        <v>0.76448615632264+0.0955992813962054i</v>
      </c>
      <c r="EV211" s="52">
        <f t="shared" si="249"/>
        <v>42.2</v>
      </c>
      <c r="EW211" s="2">
        <f t="shared" si="250"/>
        <v>0.77044033241545373</v>
      </c>
      <c r="HB211" s="1"/>
      <c r="JO211" s="1"/>
      <c r="JS211" s="1"/>
    </row>
    <row r="212" spans="2:279" ht="18" customHeight="1" x14ac:dyDescent="0.25">
      <c r="B212" s="6"/>
      <c r="AP212" s="8"/>
      <c r="AR212" s="6"/>
      <c r="AS212" s="217" t="s">
        <v>266</v>
      </c>
      <c r="AT212" s="217"/>
      <c r="AU212" s="217"/>
      <c r="AV212" s="217"/>
      <c r="AW212" s="217"/>
      <c r="AX212" s="217"/>
      <c r="AY212" s="217"/>
      <c r="AZ212" s="217"/>
      <c r="BA212" s="217"/>
      <c r="BB212" s="217"/>
      <c r="BC212" s="217"/>
      <c r="BD212" s="217"/>
      <c r="BE212" s="217"/>
      <c r="BF212" s="217"/>
      <c r="BG212" s="217"/>
      <c r="BH212" s="217"/>
      <c r="BI212" s="217"/>
      <c r="BJ212" s="217"/>
      <c r="BK212" s="217"/>
      <c r="BL212" s="217"/>
      <c r="BM212" s="217"/>
      <c r="BN212" s="217"/>
      <c r="BO212" s="217"/>
      <c r="BP212" s="217"/>
      <c r="BQ212" s="217"/>
      <c r="BR212" s="217"/>
      <c r="BS212" s="217"/>
      <c r="BT212" s="217"/>
      <c r="BU212" s="217"/>
      <c r="BV212" s="217"/>
      <c r="BW212" s="217"/>
      <c r="BX212" s="217"/>
      <c r="BY212" s="217"/>
      <c r="BZ212" s="217"/>
      <c r="CA212" s="217"/>
      <c r="CB212" s="217"/>
      <c r="CC212" s="217"/>
      <c r="CD212" s="217"/>
      <c r="CE212" s="217"/>
      <c r="CF212" s="8"/>
      <c r="EA212" s="1">
        <f t="shared" si="234"/>
        <v>42.4</v>
      </c>
      <c r="EB212" s="1" t="str">
        <f t="shared" si="237"/>
        <v>45.7081668684874+41.8378890203712i</v>
      </c>
      <c r="EC212" s="1" t="str">
        <f t="shared" si="238"/>
        <v>22.0368154691183+27.8482030190719i</v>
      </c>
      <c r="ED212" s="52" t="str">
        <f t="shared" si="239"/>
        <v>7.16388750423671+13.6284916429005i</v>
      </c>
      <c r="EE212" s="1" t="str">
        <f t="shared" si="240"/>
        <v>4.57511944581824+9.98573424107225i</v>
      </c>
      <c r="EF212" s="1" t="str">
        <f t="shared" si="241"/>
        <v>650906.72091566+1718214.82931905i</v>
      </c>
      <c r="EH212" s="1" t="str">
        <f t="shared" si="242"/>
        <v>2.46752777708583+4.38339156931291i</v>
      </c>
      <c r="EI212" s="1" t="str">
        <f t="shared" si="236"/>
        <v>0.0143880322809015+15.2513142177556i</v>
      </c>
      <c r="EJ212" s="1" t="str">
        <f t="shared" si="243"/>
        <v>1.46628777570674+3.58834926631556i</v>
      </c>
      <c r="EL212" s="52">
        <f t="shared" si="235"/>
        <v>42.4</v>
      </c>
      <c r="EM212" s="14">
        <f t="shared" si="244"/>
        <v>5.030190352324019</v>
      </c>
      <c r="EN212" s="14">
        <f t="shared" si="244"/>
        <v>15.251321004561769</v>
      </c>
      <c r="EO212" s="14">
        <f t="shared" si="244"/>
        <v>3.8763707637756268</v>
      </c>
      <c r="EQ212" s="1" t="str">
        <f t="shared" si="245"/>
        <v>0.235371805378219-0.0959196838833625i</v>
      </c>
      <c r="ER212" s="14">
        <f t="shared" si="246"/>
        <v>42.4</v>
      </c>
      <c r="ES212" s="2">
        <f t="shared" si="247"/>
        <v>0.25416623010007922</v>
      </c>
      <c r="EU212" s="1" t="str">
        <f t="shared" si="248"/>
        <v>0.764628194621781+0.0959196838833624i</v>
      </c>
      <c r="EV212" s="52">
        <f t="shared" si="249"/>
        <v>42.4</v>
      </c>
      <c r="EW212" s="2">
        <f t="shared" si="250"/>
        <v>0.7706210883221718</v>
      </c>
      <c r="HB212" s="1"/>
      <c r="JO212" s="1"/>
      <c r="JS212" s="1"/>
    </row>
    <row r="213" spans="2:279" ht="18" customHeight="1" x14ac:dyDescent="0.25">
      <c r="B213" s="6"/>
      <c r="AP213" s="8"/>
      <c r="AR213" s="6"/>
      <c r="AS213" s="217"/>
      <c r="AT213" s="217"/>
      <c r="AU213" s="217"/>
      <c r="AV213" s="217"/>
      <c r="AW213" s="217"/>
      <c r="AX213" s="217"/>
      <c r="AY213" s="217"/>
      <c r="AZ213" s="217"/>
      <c r="BA213" s="217"/>
      <c r="BB213" s="217"/>
      <c r="BC213" s="217"/>
      <c r="BD213" s="217"/>
      <c r="BE213" s="217"/>
      <c r="BF213" s="217"/>
      <c r="BG213" s="217"/>
      <c r="BH213" s="217"/>
      <c r="BI213" s="217"/>
      <c r="BJ213" s="217"/>
      <c r="BK213" s="217"/>
      <c r="BL213" s="217"/>
      <c r="BM213" s="217"/>
      <c r="BN213" s="217"/>
      <c r="BO213" s="217"/>
      <c r="BP213" s="217"/>
      <c r="BQ213" s="217"/>
      <c r="BR213" s="217"/>
      <c r="BS213" s="217"/>
      <c r="BT213" s="217"/>
      <c r="BU213" s="217"/>
      <c r="BV213" s="217"/>
      <c r="BW213" s="217"/>
      <c r="BX213" s="217"/>
      <c r="BY213" s="217"/>
      <c r="BZ213" s="217"/>
      <c r="CA213" s="217"/>
      <c r="CB213" s="217"/>
      <c r="CC213" s="217"/>
      <c r="CD213" s="217"/>
      <c r="CE213" s="217"/>
      <c r="CF213" s="8"/>
      <c r="EA213" s="1">
        <f t="shared" si="234"/>
        <v>42.6</v>
      </c>
      <c r="EB213" s="1" t="str">
        <f t="shared" si="237"/>
        <v>45.9106463313278+41.8316360979337i</v>
      </c>
      <c r="EC213" s="1" t="str">
        <f t="shared" si="238"/>
        <v>22.1687669403994+27.8909485895564i</v>
      </c>
      <c r="ED213" s="52" t="str">
        <f t="shared" si="239"/>
        <v>7.21873876084533+13.677828750073i</v>
      </c>
      <c r="EE213" s="1" t="str">
        <f t="shared" si="240"/>
        <v>4.61214281109845+10.0292472310857i</v>
      </c>
      <c r="EF213" s="1" t="str">
        <f t="shared" si="241"/>
        <v>656507.300044828+1728029.19085647i</v>
      </c>
      <c r="EH213" s="1" t="str">
        <f t="shared" si="242"/>
        <v>2.48619789663019+4.39841345189175i</v>
      </c>
      <c r="EI213" s="1" t="str">
        <f t="shared" si="236"/>
        <v>0.0143880322809015+15.3232543791601i</v>
      </c>
      <c r="EJ213" s="1" t="str">
        <f t="shared" si="243"/>
        <v>1.47807848819578+3.60305728555019i</v>
      </c>
      <c r="EL213" s="52">
        <f t="shared" si="235"/>
        <v>42.6</v>
      </c>
      <c r="EM213" s="14">
        <f t="shared" si="244"/>
        <v>5.0524470185238641</v>
      </c>
      <c r="EN213" s="14">
        <f t="shared" si="244"/>
        <v>15.323261134103342</v>
      </c>
      <c r="EO213" s="14">
        <f t="shared" si="244"/>
        <v>3.8944496171119516</v>
      </c>
      <c r="EQ213" s="1" t="str">
        <f t="shared" si="245"/>
        <v>0.235226922793088-0.0962389580664343i</v>
      </c>
      <c r="ER213" s="14">
        <f t="shared" si="246"/>
        <v>42.6</v>
      </c>
      <c r="ES213" s="2">
        <f t="shared" si="247"/>
        <v>0.25415279313125461</v>
      </c>
      <c r="EU213" s="1" t="str">
        <f t="shared" si="248"/>
        <v>0.764773077206915+0.0962389580664345i</v>
      </c>
      <c r="EV213" s="52">
        <f t="shared" si="249"/>
        <v>42.6</v>
      </c>
      <c r="EW213" s="2">
        <f t="shared" si="250"/>
        <v>0.77080464235125556</v>
      </c>
      <c r="HB213" s="1"/>
      <c r="JO213" s="1"/>
      <c r="JS213" s="1"/>
    </row>
    <row r="214" spans="2:279" ht="18" customHeight="1" x14ac:dyDescent="0.25">
      <c r="B214" s="6"/>
      <c r="AP214" s="8"/>
      <c r="AR214" s="6"/>
      <c r="AS214" s="217"/>
      <c r="AT214" s="217"/>
      <c r="AU214" s="217"/>
      <c r="AV214" s="217"/>
      <c r="AW214" s="217"/>
      <c r="AX214" s="217"/>
      <c r="AY214" s="217"/>
      <c r="AZ214" s="217"/>
      <c r="BA214" s="217"/>
      <c r="BB214" s="217"/>
      <c r="BC214" s="217"/>
      <c r="BD214" s="217"/>
      <c r="BE214" s="217"/>
      <c r="BF214" s="217"/>
      <c r="BG214" s="217"/>
      <c r="BH214" s="217"/>
      <c r="BI214" s="217"/>
      <c r="BJ214" s="217"/>
      <c r="BK214" s="217"/>
      <c r="BL214" s="217"/>
      <c r="BM214" s="217"/>
      <c r="BN214" s="217"/>
      <c r="BO214" s="217"/>
      <c r="BP214" s="217"/>
      <c r="BQ214" s="217"/>
      <c r="BR214" s="217"/>
      <c r="BS214" s="217"/>
      <c r="BT214" s="217"/>
      <c r="BU214" s="217"/>
      <c r="BV214" s="217"/>
      <c r="BW214" s="217"/>
      <c r="BX214" s="217"/>
      <c r="BY214" s="217"/>
      <c r="BZ214" s="217"/>
      <c r="CA214" s="217"/>
      <c r="CB214" s="217"/>
      <c r="CC214" s="217"/>
      <c r="CD214" s="217"/>
      <c r="CE214" s="217"/>
      <c r="CF214" s="8"/>
      <c r="EA214" s="1">
        <f t="shared" si="234"/>
        <v>42.8</v>
      </c>
      <c r="EB214" s="1" t="str">
        <f t="shared" si="237"/>
        <v>46.1120589183575+41.8244442845571i</v>
      </c>
      <c r="EC214" s="1" t="str">
        <f t="shared" si="238"/>
        <v>22.300430101513+27.9329173731093i</v>
      </c>
      <c r="ED214" s="52" t="str">
        <f t="shared" si="239"/>
        <v>7.2736520451599+13.7268323108793i</v>
      </c>
      <c r="EE214" s="1" t="str">
        <f t="shared" si="240"/>
        <v>4.64924019038525+10.0725334220531i</v>
      </c>
      <c r="EF214" s="1" t="str">
        <f t="shared" si="241"/>
        <v>662124.80244232+1737805.60821423i</v>
      </c>
      <c r="EH214" s="1" t="str">
        <f t="shared" si="242"/>
        <v>2.50488003747177+4.41331663813214i</v>
      </c>
      <c r="EI214" s="1" t="str">
        <f t="shared" si="236"/>
        <v>0.0143880322809015+15.3951945405646i</v>
      </c>
      <c r="EJ214" s="1" t="str">
        <f t="shared" si="243"/>
        <v>1.48989767140901+3.61770144674802i</v>
      </c>
      <c r="EL214" s="52">
        <f t="shared" si="235"/>
        <v>42.8</v>
      </c>
      <c r="EM214" s="14">
        <f t="shared" si="244"/>
        <v>5.0746219317835441</v>
      </c>
      <c r="EN214" s="14">
        <f t="shared" si="244"/>
        <v>15.395201263942701</v>
      </c>
      <c r="EO214" s="14">
        <f t="shared" si="244"/>
        <v>3.912487550021432</v>
      </c>
      <c r="EQ214" s="1" t="str">
        <f t="shared" si="245"/>
        <v>0.23507924527283-0.0965571003161185i</v>
      </c>
      <c r="ER214" s="14">
        <f t="shared" si="246"/>
        <v>42.8</v>
      </c>
      <c r="ES214" s="2">
        <f t="shared" si="247"/>
        <v>0.25413682373772661</v>
      </c>
      <c r="EU214" s="1" t="str">
        <f t="shared" si="248"/>
        <v>0.764920754727172+0.0965571003161187i</v>
      </c>
      <c r="EV214" s="52">
        <f t="shared" si="249"/>
        <v>42.8</v>
      </c>
      <c r="EW214" s="2">
        <f t="shared" si="250"/>
        <v>0.77099094328911766</v>
      </c>
      <c r="HB214" s="1"/>
      <c r="JO214" s="1"/>
      <c r="JS214" s="1"/>
    </row>
    <row r="215" spans="2:279" ht="18" customHeight="1" x14ac:dyDescent="0.25">
      <c r="B215" s="6"/>
      <c r="AP215" s="8"/>
      <c r="AR215" s="6"/>
      <c r="AS215" s="217"/>
      <c r="AT215" s="217"/>
      <c r="AU215" s="217"/>
      <c r="AV215" s="217"/>
      <c r="AW215" s="217"/>
      <c r="AX215" s="217"/>
      <c r="AY215" s="217"/>
      <c r="AZ215" s="217"/>
      <c r="BA215" s="217"/>
      <c r="BB215" s="217"/>
      <c r="BC215" s="217"/>
      <c r="BD215" s="217"/>
      <c r="BE215" s="217"/>
      <c r="BF215" s="217"/>
      <c r="BG215" s="217"/>
      <c r="BH215" s="217"/>
      <c r="BI215" s="217"/>
      <c r="BJ215" s="217"/>
      <c r="BK215" s="217"/>
      <c r="BL215" s="217"/>
      <c r="BM215" s="217"/>
      <c r="BN215" s="217"/>
      <c r="BO215" s="217"/>
      <c r="BP215" s="217"/>
      <c r="BQ215" s="217"/>
      <c r="BR215" s="217"/>
      <c r="BS215" s="217"/>
      <c r="BT215" s="217"/>
      <c r="BU215" s="217"/>
      <c r="BV215" s="217"/>
      <c r="BW215" s="217"/>
      <c r="BX215" s="217"/>
      <c r="BY215" s="217"/>
      <c r="BZ215" s="217"/>
      <c r="CA215" s="217"/>
      <c r="CB215" s="217"/>
      <c r="CC215" s="217"/>
      <c r="CD215" s="217"/>
      <c r="CE215" s="217"/>
      <c r="CF215" s="8"/>
      <c r="EA215" s="1">
        <f t="shared" si="234"/>
        <v>43</v>
      </c>
      <c r="EB215" s="1" t="str">
        <f t="shared" si="237"/>
        <v>46.3124064637977+41.8163283877233i</v>
      </c>
      <c r="EC215" s="1" t="str">
        <f t="shared" si="238"/>
        <v>22.4318015778622+27.9741158130091i</v>
      </c>
      <c r="ED215" s="52" t="str">
        <f t="shared" si="239"/>
        <v>7.32862565234491+13.7755034900927i</v>
      </c>
      <c r="EE215" s="1" t="str">
        <f t="shared" si="240"/>
        <v>4.68641058140758+10.1155935542816i</v>
      </c>
      <c r="EF215" s="1" t="str">
        <f t="shared" si="241"/>
        <v>667759.119233589+1747544.26647324i</v>
      </c>
      <c r="EH215" s="1" t="str">
        <f t="shared" si="242"/>
        <v>2.52357359013912+4.42810165771729i</v>
      </c>
      <c r="EI215" s="1" t="str">
        <f t="shared" si="236"/>
        <v>0.0143880322809015+15.4671347019691i</v>
      </c>
      <c r="EJ215" s="1" t="str">
        <f t="shared" si="243"/>
        <v>1.50174502731421+3.63228189377341i</v>
      </c>
      <c r="EL215" s="52">
        <f t="shared" si="235"/>
        <v>43</v>
      </c>
      <c r="EM215" s="14">
        <f t="shared" si="244"/>
        <v>5.096715408567194</v>
      </c>
      <c r="EN215" s="14">
        <f t="shared" si="244"/>
        <v>15.467141394075687</v>
      </c>
      <c r="EO215" s="14">
        <f t="shared" si="244"/>
        <v>3.9304846880374824</v>
      </c>
      <c r="EQ215" s="1" t="str">
        <f t="shared" si="245"/>
        <v>0.234928821114563-0.0968741071131643i</v>
      </c>
      <c r="ER215" s="14">
        <f t="shared" si="246"/>
        <v>43</v>
      </c>
      <c r="ES215" s="2">
        <f t="shared" si="247"/>
        <v>0.25411836537183052</v>
      </c>
      <c r="EU215" s="1" t="str">
        <f t="shared" si="248"/>
        <v>0.765071178885437+0.0968741071131642i</v>
      </c>
      <c r="EV215" s="52">
        <f t="shared" si="249"/>
        <v>43</v>
      </c>
      <c r="EW215" s="2">
        <f t="shared" si="250"/>
        <v>0.7711799409931025</v>
      </c>
      <c r="HB215" s="1"/>
      <c r="JO215" s="1"/>
      <c r="JS215" s="1"/>
    </row>
    <row r="216" spans="2:279" ht="18" customHeight="1" x14ac:dyDescent="0.25">
      <c r="B216" s="6"/>
      <c r="AP216" s="8"/>
      <c r="AR216" s="6"/>
      <c r="AS216" s="217"/>
      <c r="AT216" s="217"/>
      <c r="AU216" s="217"/>
      <c r="AV216" s="217"/>
      <c r="AW216" s="217"/>
      <c r="AX216" s="217"/>
      <c r="AY216" s="217"/>
      <c r="AZ216" s="217"/>
      <c r="BA216" s="217"/>
      <c r="BB216" s="217"/>
      <c r="BC216" s="217"/>
      <c r="BD216" s="217"/>
      <c r="BE216" s="217"/>
      <c r="BF216" s="217"/>
      <c r="BG216" s="217"/>
      <c r="BH216" s="217"/>
      <c r="BI216" s="217"/>
      <c r="BJ216" s="217"/>
      <c r="BK216" s="217"/>
      <c r="BL216" s="217"/>
      <c r="BM216" s="217"/>
      <c r="BN216" s="217"/>
      <c r="BO216" s="217"/>
      <c r="BP216" s="217"/>
      <c r="BQ216" s="217"/>
      <c r="BR216" s="217"/>
      <c r="BS216" s="217"/>
      <c r="BT216" s="217"/>
      <c r="BU216" s="217"/>
      <c r="BV216" s="217"/>
      <c r="BW216" s="217"/>
      <c r="BX216" s="217"/>
      <c r="BY216" s="217"/>
      <c r="BZ216" s="217"/>
      <c r="CA216" s="217"/>
      <c r="CB216" s="217"/>
      <c r="CC216" s="217"/>
      <c r="CD216" s="217"/>
      <c r="CE216" s="217"/>
      <c r="CF216" s="8"/>
      <c r="EA216" s="1">
        <f t="shared" si="234"/>
        <v>43.2</v>
      </c>
      <c r="EB216" s="1" t="str">
        <f t="shared" si="237"/>
        <v>46.5116909130917+41.8073030437118i</v>
      </c>
      <c r="EC216" s="1" t="str">
        <f t="shared" si="238"/>
        <v>22.5628780690204+28.0145503293789i</v>
      </c>
      <c r="ED216" s="52" t="str">
        <f t="shared" si="239"/>
        <v>7.38365788669842+13.8238434495241i</v>
      </c>
      <c r="EE216" s="1" t="str">
        <f t="shared" si="240"/>
        <v>4.72365298454245+10.1584283607446i</v>
      </c>
      <c r="EF216" s="1" t="str">
        <f t="shared" si="241"/>
        <v>673410.141513871+1757245.34719191i</v>
      </c>
      <c r="EH216" s="1" t="str">
        <f t="shared" si="242"/>
        <v>2.54227794957035+4.44276903819634i</v>
      </c>
      <c r="EI216" s="1" t="str">
        <f t="shared" si="236"/>
        <v>0.0143880322809015+15.5390748633736i</v>
      </c>
      <c r="EJ216" s="1" t="str">
        <f t="shared" si="243"/>
        <v>1.51362025852787+3.64679876849102i</v>
      </c>
      <c r="EL216" s="52">
        <f t="shared" si="235"/>
        <v>43.2</v>
      </c>
      <c r="EM216" s="14">
        <f t="shared" si="244"/>
        <v>5.1187277618200842</v>
      </c>
      <c r="EN216" s="14">
        <f t="shared" si="244"/>
        <v>15.539081524498227</v>
      </c>
      <c r="EO216" s="14">
        <f t="shared" si="244"/>
        <v>3.9484411537838069</v>
      </c>
      <c r="EQ216" s="1" t="str">
        <f t="shared" si="245"/>
        <v>0.234775697592419-0.0971899750461886i</v>
      </c>
      <c r="ER216" s="14">
        <f t="shared" si="246"/>
        <v>43.2</v>
      </c>
      <c r="ES216" s="2">
        <f t="shared" si="247"/>
        <v>0.25409746049397219</v>
      </c>
      <c r="EU216" s="1" t="str">
        <f t="shared" si="248"/>
        <v>0.765224302407583+0.0971899750461888i</v>
      </c>
      <c r="EV216" s="52">
        <f t="shared" si="249"/>
        <v>43.2</v>
      </c>
      <c r="EW216" s="2">
        <f t="shared" si="250"/>
        <v>0.77137158636071823</v>
      </c>
      <c r="HB216" s="1"/>
      <c r="JO216" s="1"/>
      <c r="JS216" s="1"/>
    </row>
    <row r="217" spans="2:279" ht="18" customHeight="1" x14ac:dyDescent="0.25">
      <c r="B217" s="6"/>
      <c r="AP217" s="8"/>
      <c r="AR217" s="6"/>
      <c r="CF217" s="8"/>
      <c r="EA217" s="1">
        <f t="shared" si="234"/>
        <v>43.4</v>
      </c>
      <c r="EB217" s="1" t="str">
        <f t="shared" si="237"/>
        <v>46.7099143197198+41.7973827186069i</v>
      </c>
      <c r="EC217" s="1" t="str">
        <f t="shared" si="238"/>
        <v>22.6936563479897+28.0542273187613i</v>
      </c>
      <c r="ED217" s="52" t="str">
        <f t="shared" si="239"/>
        <v>7.43874706171161+13.8718533482108i</v>
      </c>
      <c r="EE217" s="1" t="str">
        <f t="shared" si="240"/>
        <v>4.76096640286007+10.201038567359i</v>
      </c>
      <c r="EF217" s="1" t="str">
        <f t="shared" si="241"/>
        <v>679077.760352608+1766909.02850109i</v>
      </c>
      <c r="EH217" s="1" t="str">
        <f t="shared" si="242"/>
        <v>2.56099251512172+4.45731930506898i</v>
      </c>
      <c r="EI217" s="1" t="str">
        <f t="shared" si="236"/>
        <v>0.0143880322809015+15.6110150247781i</v>
      </c>
      <c r="EJ217" s="1" t="str">
        <f t="shared" si="243"/>
        <v>1.5255230683215+3.66125221086127i</v>
      </c>
      <c r="EL217" s="52">
        <f t="shared" si="235"/>
        <v>43.4</v>
      </c>
      <c r="EM217" s="14">
        <f t="shared" si="244"/>
        <v>5.140659301086786</v>
      </c>
      <c r="EN217" s="14">
        <f t="shared" si="244"/>
        <v>15.611021655206313</v>
      </c>
      <c r="EO217" s="14">
        <f t="shared" si="244"/>
        <v>3.9663570670727037</v>
      </c>
      <c r="EQ217" s="1" t="str">
        <f t="shared" si="245"/>
        <v>0.23461992098724-0.0975047008095639i</v>
      </c>
      <c r="ER217" s="14">
        <f t="shared" si="246"/>
        <v>43.4</v>
      </c>
      <c r="ES217" s="2">
        <f t="shared" si="247"/>
        <v>0.2540741506017905</v>
      </c>
      <c r="EU217" s="1" t="str">
        <f t="shared" si="248"/>
        <v>0.765380079012759+0.0975047008095637i</v>
      </c>
      <c r="EV217" s="52">
        <f t="shared" si="249"/>
        <v>43.4</v>
      </c>
      <c r="EW217" s="2">
        <f t="shared" si="250"/>
        <v>0.77156583129992207</v>
      </c>
      <c r="HB217" s="1"/>
      <c r="JO217" s="1"/>
      <c r="JS217" s="1"/>
    </row>
    <row r="218" spans="2:279" ht="18" customHeight="1" x14ac:dyDescent="0.25">
      <c r="B218" s="6"/>
      <c r="AP218" s="8"/>
      <c r="AR218" s="6"/>
      <c r="AS218" s="178" t="s">
        <v>470</v>
      </c>
      <c r="AT218" s="178"/>
      <c r="AU218" s="178"/>
      <c r="AV218" s="178"/>
      <c r="AW218" s="178"/>
      <c r="AX218" s="178"/>
      <c r="AY218" s="178"/>
      <c r="AZ218" s="178"/>
      <c r="BA218" s="178"/>
      <c r="BB218" s="178"/>
      <c r="BC218" s="178"/>
      <c r="BD218" s="178"/>
      <c r="BE218" s="178"/>
      <c r="BF218" s="178"/>
      <c r="BG218" s="178"/>
      <c r="BH218" s="178"/>
      <c r="BI218" s="178"/>
      <c r="BJ218" s="178"/>
      <c r="BK218" s="178"/>
      <c r="BL218" s="178"/>
      <c r="BM218" s="178"/>
      <c r="BN218" s="178"/>
      <c r="BO218" s="178"/>
      <c r="BP218" s="178"/>
      <c r="BQ218" s="178"/>
      <c r="BR218" s="178"/>
      <c r="BS218" s="178"/>
      <c r="BT218" s="178"/>
      <c r="BU218" s="178"/>
      <c r="BV218" s="178"/>
      <c r="BW218" s="178"/>
      <c r="BX218" s="178"/>
      <c r="BY218" s="178"/>
      <c r="BZ218" s="178"/>
      <c r="CA218" s="178"/>
      <c r="CB218" s="178"/>
      <c r="CC218" s="178"/>
      <c r="CD218" s="178"/>
      <c r="CE218" s="178"/>
      <c r="CF218" s="8"/>
      <c r="EA218" s="1">
        <f t="shared" si="234"/>
        <v>43.6</v>
      </c>
      <c r="EB218" s="1" t="str">
        <f t="shared" si="237"/>
        <v>46.9070788420705+41.7865817093302i</v>
      </c>
      <c r="EC218" s="1" t="str">
        <f t="shared" si="238"/>
        <v>22.8241332604571+28.093153153705i</v>
      </c>
      <c r="ED218" s="52" t="str">
        <f t="shared" si="239"/>
        <v>7.49389150012645+13.9195343425972i</v>
      </c>
      <c r="EE218" s="1" t="str">
        <f t="shared" si="240"/>
        <v>4.79834984216833+10.243424893253i</v>
      </c>
      <c r="EF218" s="1" t="str">
        <f t="shared" si="241"/>
        <v>684761.866797812+1776535.48519632i</v>
      </c>
      <c r="EH218" s="1" t="str">
        <f t="shared" si="242"/>
        <v>2.57971669057567+4.471752981866i</v>
      </c>
      <c r="EI218" s="1" t="str">
        <f t="shared" si="236"/>
        <v>0.0143880322809015+15.6829551861827i</v>
      </c>
      <c r="EJ218" s="1" t="str">
        <f t="shared" si="243"/>
        <v>1.53745316062808+3.67564235903258i</v>
      </c>
      <c r="EL218" s="52">
        <f t="shared" si="235"/>
        <v>43.6</v>
      </c>
      <c r="EM218" s="14">
        <f t="shared" si="244"/>
        <v>5.1625103326252182</v>
      </c>
      <c r="EN218" s="14">
        <f t="shared" si="244"/>
        <v>15.682961786196117</v>
      </c>
      <c r="EO218" s="14">
        <f t="shared" si="244"/>
        <v>3.9842325450003369</v>
      </c>
      <c r="EQ218" s="1" t="str">
        <f t="shared" si="245"/>
        <v>0.234461536615229-0.0978182812013779i</v>
      </c>
      <c r="ER218" s="14">
        <f t="shared" si="246"/>
        <v>43.6</v>
      </c>
      <c r="ES218" s="2">
        <f t="shared" si="247"/>
        <v>0.25404847625830429</v>
      </c>
      <c r="EU218" s="1" t="str">
        <f t="shared" si="248"/>
        <v>0.765538463384771+0.0978182812013778i</v>
      </c>
      <c r="EV218" s="52">
        <f t="shared" si="249"/>
        <v>43.6</v>
      </c>
      <c r="EW218" s="2">
        <f t="shared" si="250"/>
        <v>0.77176262870050161</v>
      </c>
      <c r="HB218" s="1"/>
      <c r="JO218" s="1"/>
      <c r="JS218" s="1"/>
    </row>
    <row r="219" spans="2:279" ht="18" customHeight="1" x14ac:dyDescent="0.25">
      <c r="B219" s="6"/>
      <c r="AP219" s="8"/>
      <c r="AR219" s="6"/>
      <c r="CF219" s="8"/>
      <c r="EA219" s="1">
        <f t="shared" si="234"/>
        <v>43.8</v>
      </c>
      <c r="EB219" s="1" t="str">
        <f t="shared" si="237"/>
        <v>47.1031867403689+41.7749141446967i</v>
      </c>
      <c r="EC219" s="1" t="str">
        <f t="shared" si="238"/>
        <v>22.9543057240486+28.1313341823583i</v>
      </c>
      <c r="ED219" s="52" t="str">
        <f t="shared" si="239"/>
        <v>7.54908953399167+13.9668875867059i</v>
      </c>
      <c r="EE219" s="1" t="str">
        <f t="shared" si="240"/>
        <v>4.83580231105665+10.2855880510252i</v>
      </c>
      <c r="EF219" s="1" t="str">
        <f t="shared" si="241"/>
        <v>690462.351880433+1786124.88882755i</v>
      </c>
      <c r="EH219" s="1" t="str">
        <f t="shared" si="242"/>
        <v>2.59844988414829+4.4860705902258i</v>
      </c>
      <c r="EI219" s="1" t="str">
        <f t="shared" si="236"/>
        <v>0.0143880322809015+15.7548953475872i</v>
      </c>
      <c r="EJ219" s="1" t="str">
        <f t="shared" si="243"/>
        <v>1.54941024004853+3.68996934942993i</v>
      </c>
      <c r="EL219" s="52">
        <f t="shared" si="235"/>
        <v>43.8</v>
      </c>
      <c r="EM219" s="14">
        <f t="shared" si="244"/>
        <v>5.1842811595166314</v>
      </c>
      <c r="EN219" s="14">
        <f t="shared" si="244"/>
        <v>15.754901917463583</v>
      </c>
      <c r="EO219" s="14">
        <f t="shared" si="244"/>
        <v>4.0020677020384827</v>
      </c>
      <c r="EQ219" s="1" t="str">
        <f t="shared" si="245"/>
        <v>0.234300588855602-0.0981307131214558i</v>
      </c>
      <c r="ER219" s="14">
        <f t="shared" si="246"/>
        <v>43.8</v>
      </c>
      <c r="ES219" s="2">
        <f t="shared" si="247"/>
        <v>0.25402047711908443</v>
      </c>
      <c r="EU219" s="1" t="str">
        <f t="shared" si="248"/>
        <v>0.765699411144398+0.0981307131214557i</v>
      </c>
      <c r="EV219" s="52">
        <f t="shared" si="249"/>
        <v>43.8</v>
      </c>
      <c r="EW219" s="2">
        <f t="shared" si="250"/>
        <v>0.77196193240638711</v>
      </c>
      <c r="HB219" s="1"/>
      <c r="JO219" s="1"/>
      <c r="JS219" s="1"/>
    </row>
    <row r="220" spans="2:279" ht="18" customHeight="1" x14ac:dyDescent="0.3">
      <c r="B220" s="6"/>
      <c r="AP220" s="8"/>
      <c r="AR220" s="6"/>
      <c r="AS220" s="30" t="s">
        <v>479</v>
      </c>
      <c r="CF220" s="8"/>
      <c r="EA220" s="1">
        <f t="shared" si="234"/>
        <v>44</v>
      </c>
      <c r="EB220" s="1" t="str">
        <f t="shared" si="237"/>
        <v>47.2982403736596+41.7623939864927i</v>
      </c>
      <c r="EC220" s="1" t="str">
        <f t="shared" si="238"/>
        <v>23.0841707275813+28.1687767280718i</v>
      </c>
      <c r="ED220" s="52" t="str">
        <f t="shared" si="239"/>
        <v>7.60433950471696+14.0139142323011i</v>
      </c>
      <c r="EE220" s="1" t="str">
        <f t="shared" si="240"/>
        <v>4.87332282093911+10.3275287469951i</v>
      </c>
      <c r="EF220" s="1" t="str">
        <f t="shared" si="241"/>
        <v>696179.106618684+1795677.40778628i</v>
      </c>
      <c r="EH220" s="1" t="str">
        <f t="shared" si="242"/>
        <v>2.61719150849601+4.50027264996698i</v>
      </c>
      <c r="EI220" s="1" t="str">
        <f t="shared" si="236"/>
        <v>0.0143880322809015+15.8268355089917i</v>
      </c>
      <c r="EJ220" s="1" t="str">
        <f t="shared" si="243"/>
        <v>1.56139401185838+3.70423331684025i</v>
      </c>
      <c r="EL220" s="52">
        <f t="shared" si="235"/>
        <v>44</v>
      </c>
      <c r="EM220" s="14">
        <f t="shared" si="244"/>
        <v>5.2059720817715149</v>
      </c>
      <c r="EN220" s="14">
        <f t="shared" si="244"/>
        <v>15.826842049005021</v>
      </c>
      <c r="EO220" s="14">
        <f t="shared" si="244"/>
        <v>4.0198626501233248</v>
      </c>
      <c r="EQ220" s="1" t="str">
        <f t="shared" si="245"/>
        <v>0.234137121177271-0.0984419935694388i</v>
      </c>
      <c r="ER220" s="14">
        <f t="shared" si="246"/>
        <v>44</v>
      </c>
      <c r="ES220" s="2">
        <f t="shared" si="247"/>
        <v>0.25399019195847999</v>
      </c>
      <c r="EU220" s="1" t="str">
        <f t="shared" si="248"/>
        <v>0.765862878822728+0.0984419935694386i</v>
      </c>
      <c r="EV220" s="52">
        <f t="shared" si="249"/>
        <v>44</v>
      </c>
      <c r="EW220" s="2">
        <f t="shared" si="250"/>
        <v>0.77216369718898459</v>
      </c>
      <c r="HB220" s="1"/>
      <c r="JO220" s="1"/>
      <c r="JS220" s="1"/>
    </row>
    <row r="221" spans="2:279" ht="18" customHeight="1" x14ac:dyDescent="0.25">
      <c r="B221" s="6"/>
      <c r="AP221" s="8"/>
      <c r="AR221" s="6"/>
      <c r="AS221" s="153" t="s">
        <v>642</v>
      </c>
      <c r="AT221" s="153"/>
      <c r="AU221" s="153"/>
      <c r="AV221" s="153"/>
      <c r="AW221" s="153"/>
      <c r="AX221" s="153"/>
      <c r="AY221" s="153"/>
      <c r="AZ221" s="153"/>
      <c r="BA221" s="153"/>
      <c r="BB221" s="153"/>
      <c r="BC221" s="153"/>
      <c r="BD221" s="153"/>
      <c r="BE221" s="153"/>
      <c r="BF221" s="153"/>
      <c r="BG221" s="153"/>
      <c r="BH221" s="153"/>
      <c r="BI221" s="153"/>
      <c r="BJ221" s="153"/>
      <c r="BK221" s="153"/>
      <c r="BL221" s="153"/>
      <c r="BM221" s="153"/>
      <c r="BN221" s="153"/>
      <c r="BO221" s="153"/>
      <c r="BP221" s="153"/>
      <c r="BQ221" s="153"/>
      <c r="BR221" s="153"/>
      <c r="BS221" s="153"/>
      <c r="BT221" s="153"/>
      <c r="BU221" s="153"/>
      <c r="BV221" s="153"/>
      <c r="BW221" s="153"/>
      <c r="BX221" s="153"/>
      <c r="BY221" s="153"/>
      <c r="BZ221" s="153"/>
      <c r="CA221" s="153"/>
      <c r="CB221" s="153"/>
      <c r="CC221" s="153"/>
      <c r="CD221" s="153"/>
      <c r="CE221" s="153"/>
      <c r="CF221" s="8"/>
      <c r="EA221" s="1">
        <f t="shared" si="234"/>
        <v>44.2</v>
      </c>
      <c r="EB221" s="1" t="str">
        <f t="shared" si="237"/>
        <v>47.4922421968465+41.7490350305743i</v>
      </c>
      <c r="EC221" s="1" t="str">
        <f t="shared" si="238"/>
        <v>23.2137253303144+28.20548708901i</v>
      </c>
      <c r="ED221" s="52" t="str">
        <f t="shared" si="239"/>
        <v>7.65963976312534+14.0606154290447i</v>
      </c>
      <c r="EE221" s="1" t="str">
        <f t="shared" si="240"/>
        <v>4.91091038609712+10.3692476814449i</v>
      </c>
      <c r="EF221" s="1" t="str">
        <f t="shared" si="241"/>
        <v>701912.022022386+1805193.20739035i</v>
      </c>
      <c r="EH221" s="1" t="str">
        <f t="shared" si="242"/>
        <v>2.63594098072213+4.51435967915744i</v>
      </c>
      <c r="EI221" s="1" t="str">
        <f t="shared" si="236"/>
        <v>0.0143880322809015+15.8987756703962i</v>
      </c>
      <c r="EJ221" s="1" t="str">
        <f t="shared" si="243"/>
        <v>1.57340418201464+3.71843439449483i</v>
      </c>
      <c r="EL221" s="52">
        <f t="shared" si="235"/>
        <v>44.2</v>
      </c>
      <c r="EM221" s="14">
        <f t="shared" si="244"/>
        <v>5.2275833964321237</v>
      </c>
      <c r="EN221" s="14">
        <f t="shared" si="244"/>
        <v>15.898782180816712</v>
      </c>
      <c r="EO221" s="14">
        <f t="shared" si="244"/>
        <v>4.0376174987414659</v>
      </c>
      <c r="EQ221" s="1" t="str">
        <f t="shared" si="245"/>
        <v>0.233971176164621-0.0987521196429374i</v>
      </c>
      <c r="ER221" s="14">
        <f t="shared" si="246"/>
        <v>44.2</v>
      </c>
      <c r="ES221" s="2">
        <f t="shared" si="247"/>
        <v>0.25395765869496656</v>
      </c>
      <c r="EU221" s="1" t="str">
        <f t="shared" si="248"/>
        <v>0.766028823835381+0.0987521196429376i</v>
      </c>
      <c r="EV221" s="52">
        <f t="shared" si="249"/>
        <v>44.2</v>
      </c>
      <c r="EW221" s="2">
        <f t="shared" si="250"/>
        <v>0.77236787872139667</v>
      </c>
      <c r="HB221" s="1"/>
      <c r="JO221" s="1"/>
      <c r="JS221" s="1"/>
    </row>
    <row r="222" spans="2:279" ht="18" customHeight="1" x14ac:dyDescent="0.25">
      <c r="B222" s="6"/>
      <c r="C222" s="176" t="s">
        <v>198</v>
      </c>
      <c r="D222" s="176"/>
      <c r="E222" s="176"/>
      <c r="F222" s="176"/>
      <c r="G222" s="176"/>
      <c r="H222" s="176"/>
      <c r="I222" s="176"/>
      <c r="J222" s="176"/>
      <c r="K222" s="176"/>
      <c r="L222" s="176"/>
      <c r="AP222" s="8"/>
      <c r="AR222" s="6"/>
      <c r="AS222" s="153"/>
      <c r="AT222" s="153"/>
      <c r="AU222" s="153"/>
      <c r="AV222" s="153"/>
      <c r="AW222" s="153"/>
      <c r="AX222" s="153"/>
      <c r="AY222" s="153"/>
      <c r="AZ222" s="153"/>
      <c r="BA222" s="153"/>
      <c r="BB222" s="153"/>
      <c r="BC222" s="153"/>
      <c r="BD222" s="153"/>
      <c r="BE222" s="153"/>
      <c r="BF222" s="153"/>
      <c r="BG222" s="153"/>
      <c r="BH222" s="153"/>
      <c r="BI222" s="153"/>
      <c r="BJ222" s="153"/>
      <c r="BK222" s="153"/>
      <c r="BL222" s="153"/>
      <c r="BM222" s="153"/>
      <c r="BN222" s="153"/>
      <c r="BO222" s="153"/>
      <c r="BP222" s="153"/>
      <c r="BQ222" s="153"/>
      <c r="BR222" s="153"/>
      <c r="BS222" s="153"/>
      <c r="BT222" s="153"/>
      <c r="BU222" s="153"/>
      <c r="BV222" s="153"/>
      <c r="BW222" s="153"/>
      <c r="BX222" s="153"/>
      <c r="BY222" s="153"/>
      <c r="BZ222" s="153"/>
      <c r="CA222" s="153"/>
      <c r="CB222" s="153"/>
      <c r="CC222" s="153"/>
      <c r="CD222" s="153"/>
      <c r="CE222" s="153"/>
      <c r="CF222" s="8"/>
      <c r="EA222" s="1">
        <f t="shared" si="234"/>
        <v>44.4</v>
      </c>
      <c r="EB222" s="1" t="str">
        <f t="shared" si="237"/>
        <v>47.6851947577866+41.7348509079864i</v>
      </c>
      <c r="EC222" s="1" t="str">
        <f t="shared" si="238"/>
        <v>23.3429666611996+28.2414715377731i</v>
      </c>
      <c r="ED222" s="52" t="str">
        <f t="shared" si="239"/>
        <v>7.71498866950412+14.1069923246434i</v>
      </c>
      <c r="EE222" s="1" t="str">
        <f t="shared" si="240"/>
        <v>4.94856402372136+10.410745548855i</v>
      </c>
      <c r="EF222" s="1" t="str">
        <f t="shared" si="241"/>
        <v>707660.989097223+1814672.44996627i</v>
      </c>
      <c r="EH222" s="1" t="str">
        <f t="shared" si="242"/>
        <v>2.65469772238238+4.52833219418007i</v>
      </c>
      <c r="EI222" s="1" t="str">
        <f t="shared" si="236"/>
        <v>0.0143880322809015+15.9707158318007i</v>
      </c>
      <c r="EJ222" s="1" t="str">
        <f t="shared" si="243"/>
        <v>1.5854404571625+3.73257271414862i</v>
      </c>
      <c r="EL222" s="52">
        <f t="shared" si="235"/>
        <v>44.4</v>
      </c>
      <c r="EM222" s="14">
        <f t="shared" si="244"/>
        <v>5.2491153976712956</v>
      </c>
      <c r="EN222" s="14">
        <f t="shared" si="244"/>
        <v>15.970722312895006</v>
      </c>
      <c r="EO222" s="14">
        <f t="shared" si="244"/>
        <v>4.0553323550128946</v>
      </c>
      <c r="EQ222" s="1" t="str">
        <f t="shared" si="245"/>
        <v>0.233802795542399-0.0990610885357225i</v>
      </c>
      <c r="ER222" s="14">
        <f t="shared" si="246"/>
        <v>44.4</v>
      </c>
      <c r="ES222" s="2">
        <f t="shared" si="247"/>
        <v>0.25392291441562154</v>
      </c>
      <c r="EU222" s="1" t="str">
        <f t="shared" si="248"/>
        <v>0.7661972044576+0.0990610885357222i</v>
      </c>
      <c r="EV222" s="52">
        <f t="shared" si="249"/>
        <v>44.4</v>
      </c>
      <c r="EW222" s="2">
        <f t="shared" si="250"/>
        <v>0.77257443355350786</v>
      </c>
      <c r="HB222" s="1"/>
      <c r="JO222" s="1"/>
      <c r="JS222" s="1"/>
    </row>
    <row r="223" spans="2:279" ht="18" customHeight="1" x14ac:dyDescent="0.25">
      <c r="B223" s="6"/>
      <c r="C223" s="176"/>
      <c r="D223" s="176"/>
      <c r="E223" s="176"/>
      <c r="F223" s="176"/>
      <c r="G223" s="176"/>
      <c r="H223" s="176"/>
      <c r="I223" s="176"/>
      <c r="J223" s="176"/>
      <c r="K223" s="176"/>
      <c r="L223" s="176"/>
      <c r="AP223" s="8"/>
      <c r="AR223" s="6"/>
      <c r="AS223" s="153"/>
      <c r="AT223" s="153"/>
      <c r="AU223" s="153"/>
      <c r="AV223" s="153"/>
      <c r="AW223" s="153"/>
      <c r="AX223" s="153"/>
      <c r="AY223" s="153"/>
      <c r="AZ223" s="153"/>
      <c r="BA223" s="153"/>
      <c r="BB223" s="153"/>
      <c r="BC223" s="153"/>
      <c r="BD223" s="153"/>
      <c r="BE223" s="153"/>
      <c r="BF223" s="153"/>
      <c r="BG223" s="153"/>
      <c r="BH223" s="153"/>
      <c r="BI223" s="153"/>
      <c r="BJ223" s="153"/>
      <c r="BK223" s="153"/>
      <c r="BL223" s="153"/>
      <c r="BM223" s="153"/>
      <c r="BN223" s="153"/>
      <c r="BO223" s="153"/>
      <c r="BP223" s="153"/>
      <c r="BQ223" s="153"/>
      <c r="BR223" s="153"/>
      <c r="BS223" s="153"/>
      <c r="BT223" s="153"/>
      <c r="BU223" s="153"/>
      <c r="BV223" s="153"/>
      <c r="BW223" s="153"/>
      <c r="BX223" s="153"/>
      <c r="BY223" s="153"/>
      <c r="BZ223" s="153"/>
      <c r="CA223" s="153"/>
      <c r="CB223" s="153"/>
      <c r="CC223" s="153"/>
      <c r="CD223" s="153"/>
      <c r="CE223" s="153"/>
      <c r="CF223" s="8"/>
      <c r="EA223" s="1">
        <f t="shared" si="234"/>
        <v>44.6</v>
      </c>
      <c r="EB223" s="1" t="str">
        <f t="shared" si="237"/>
        <v>47.8771006944385+41.7198550860996i</v>
      </c>
      <c r="EC223" s="1" t="str">
        <f t="shared" si="238"/>
        <v>23.4718919181294+28.276736321026i</v>
      </c>
      <c r="ED223" s="52" t="str">
        <f t="shared" si="239"/>
        <v>7.77038459365359+14.1530460649902i</v>
      </c>
      <c r="EE223" s="1" t="str">
        <f t="shared" si="240"/>
        <v>4.98628275395317+10.4520230381295i</v>
      </c>
      <c r="EF223" s="1" t="str">
        <f t="shared" si="241"/>
        <v>713425.898849058+1824115.29492936i</v>
      </c>
      <c r="EH223" s="1" t="str">
        <f t="shared" si="242"/>
        <v>2.67346115949013+4.54219070979472i</v>
      </c>
      <c r="EI223" s="1" t="str">
        <f t="shared" si="236"/>
        <v>0.0143880322809015+16.0426559932052i</v>
      </c>
      <c r="EJ223" s="1" t="str">
        <f t="shared" si="243"/>
        <v>1.59750254464239+3.74664840615667i</v>
      </c>
      <c r="EL223" s="52">
        <f t="shared" si="235"/>
        <v>44.6</v>
      </c>
      <c r="EM223" s="14">
        <f t="shared" si="244"/>
        <v>5.270568376887617</v>
      </c>
      <c r="EN223" s="14">
        <f t="shared" si="244"/>
        <v>16.042662445236317</v>
      </c>
      <c r="EO223" s="14">
        <f t="shared" si="244"/>
        <v>4.0730073237713711</v>
      </c>
      <c r="EQ223" s="1" t="str">
        <f t="shared" si="245"/>
        <v>0.233632020199749-0.0993688975359873i</v>
      </c>
      <c r="ER223" s="14">
        <f t="shared" si="246"/>
        <v>44.6</v>
      </c>
      <c r="ES223" s="2">
        <f t="shared" si="247"/>
        <v>0.25388599539977286</v>
      </c>
      <c r="EU223" s="1" t="str">
        <f t="shared" si="248"/>
        <v>0.766367979800252+0.0993688975359873i</v>
      </c>
      <c r="EV223" s="52">
        <f t="shared" si="249"/>
        <v>44.6</v>
      </c>
      <c r="EW223" s="2">
        <f t="shared" si="250"/>
        <v>0.77278331908798148</v>
      </c>
      <c r="HB223" s="1"/>
      <c r="JO223" s="1"/>
      <c r="JS223" s="1"/>
    </row>
    <row r="224" spans="2:279" ht="18" customHeight="1" x14ac:dyDescent="0.25">
      <c r="B224" s="6"/>
      <c r="C224" s="176"/>
      <c r="D224" s="176"/>
      <c r="E224" s="176"/>
      <c r="F224" s="176"/>
      <c r="G224" s="176"/>
      <c r="H224" s="176"/>
      <c r="I224" s="176"/>
      <c r="J224" s="176"/>
      <c r="K224" s="176"/>
      <c r="L224" s="176"/>
      <c r="AP224" s="8"/>
      <c r="AR224" s="6"/>
      <c r="AS224" s="153"/>
      <c r="AT224" s="153"/>
      <c r="AU224" s="153"/>
      <c r="AV224" s="153"/>
      <c r="AW224" s="153"/>
      <c r="AX224" s="153"/>
      <c r="AY224" s="153"/>
      <c r="AZ224" s="153"/>
      <c r="BA224" s="153"/>
      <c r="BB224" s="153"/>
      <c r="BC224" s="153"/>
      <c r="BD224" s="153"/>
      <c r="BE224" s="153"/>
      <c r="BF224" s="153"/>
      <c r="BG224" s="153"/>
      <c r="BH224" s="153"/>
      <c r="BI224" s="153"/>
      <c r="BJ224" s="153"/>
      <c r="BK224" s="153"/>
      <c r="BL224" s="153"/>
      <c r="BM224" s="153"/>
      <c r="BN224" s="153"/>
      <c r="BO224" s="153"/>
      <c r="BP224" s="153"/>
      <c r="BQ224" s="153"/>
      <c r="BR224" s="153"/>
      <c r="BS224" s="153"/>
      <c r="BT224" s="153"/>
      <c r="BU224" s="153"/>
      <c r="BV224" s="153"/>
      <c r="BW224" s="153"/>
      <c r="BX224" s="153"/>
      <c r="BY224" s="153"/>
      <c r="BZ224" s="153"/>
      <c r="CA224" s="153"/>
      <c r="CB224" s="153"/>
      <c r="CC224" s="153"/>
      <c r="CD224" s="153"/>
      <c r="CE224" s="153"/>
      <c r="CF224" s="8"/>
      <c r="EA224" s="1">
        <f t="shared" si="234"/>
        <v>44.8</v>
      </c>
      <c r="EB224" s="1" t="str">
        <f t="shared" si="237"/>
        <v>48.0679627320652+41.7040608697652i</v>
      </c>
      <c r="EC224" s="1" t="str">
        <f t="shared" si="238"/>
        <v>23.6004983671855+28.3112876591382i</v>
      </c>
      <c r="ED224" s="52" t="str">
        <f t="shared" si="239"/>
        <v>7.82582591493446+14.1987777942967i</v>
      </c>
      <c r="EE224" s="1" t="str">
        <f t="shared" si="240"/>
        <v>5.02406559992525+10.4930808328154i</v>
      </c>
      <c r="EF224" s="1" t="str">
        <f t="shared" si="241"/>
        <v>719206.642288161+1833521.89886164i</v>
      </c>
      <c r="EH224" s="1" t="str">
        <f t="shared" si="242"/>
        <v>2.69223072252095+4.55593573919707i</v>
      </c>
      <c r="EI224" s="1" t="str">
        <f t="shared" si="236"/>
        <v>0.0143880322809015+16.1145961546097i</v>
      </c>
      <c r="EJ224" s="1" t="str">
        <f t="shared" si="243"/>
        <v>1.60959015249692+3.7606615995476i</v>
      </c>
      <c r="EL224" s="52">
        <f t="shared" si="235"/>
        <v>44.8</v>
      </c>
      <c r="EM224" s="14">
        <f t="shared" si="244"/>
        <v>5.2919426227973059</v>
      </c>
      <c r="EN224" s="14">
        <f t="shared" si="244"/>
        <v>16.114602577837115</v>
      </c>
      <c r="EO224" s="14">
        <f t="shared" si="244"/>
        <v>4.0906425076419195</v>
      </c>
      <c r="EQ224" s="1" t="str">
        <f t="shared" si="245"/>
        <v>0.233458890213421-0.0996755440246503i</v>
      </c>
      <c r="ER224" s="14">
        <f t="shared" si="246"/>
        <v>44.8</v>
      </c>
      <c r="ES224" s="2">
        <f t="shared" si="247"/>
        <v>0.25384693714183781</v>
      </c>
      <c r="EU224" s="1" t="str">
        <f t="shared" si="248"/>
        <v>0.766541109786577+0.0996755440246501i</v>
      </c>
      <c r="EV224" s="52">
        <f t="shared" si="249"/>
        <v>44.8</v>
      </c>
      <c r="EW224" s="2">
        <f t="shared" si="250"/>
        <v>0.77299449355700256</v>
      </c>
      <c r="HB224" s="1"/>
      <c r="JO224" s="1"/>
      <c r="JS224" s="1"/>
    </row>
    <row r="225" spans="2:279" ht="18" customHeight="1" x14ac:dyDescent="0.3">
      <c r="B225" s="6"/>
      <c r="C225" s="154" t="s">
        <v>150</v>
      </c>
      <c r="D225" s="154"/>
      <c r="E225" s="154"/>
      <c r="F225" s="154"/>
      <c r="G225" s="154"/>
      <c r="H225" s="154"/>
      <c r="I225" s="154"/>
      <c r="J225" s="154"/>
      <c r="K225" s="154"/>
      <c r="L225" s="154"/>
      <c r="M225" s="154"/>
      <c r="N225" s="154"/>
      <c r="O225" s="154"/>
      <c r="P225" s="154"/>
      <c r="Q225" s="154"/>
      <c r="R225" s="154"/>
      <c r="S225" s="154"/>
      <c r="T225" s="154"/>
      <c r="U225" s="154"/>
      <c r="V225" s="154"/>
      <c r="W225" s="154"/>
      <c r="X225" s="154"/>
      <c r="Y225" s="154"/>
      <c r="Z225" s="154"/>
      <c r="AA225" s="154"/>
      <c r="AB225" s="154"/>
      <c r="AC225" s="154"/>
      <c r="AD225" s="154"/>
      <c r="AE225" s="154"/>
      <c r="AF225" s="154"/>
      <c r="AG225" s="154"/>
      <c r="AH225" s="154"/>
      <c r="AI225" s="154"/>
      <c r="AJ225" s="154"/>
      <c r="AK225" s="154"/>
      <c r="AL225" s="154"/>
      <c r="AM225" s="154"/>
      <c r="AN225" s="154"/>
      <c r="AO225" s="154"/>
      <c r="AP225" s="8"/>
      <c r="AR225" s="6"/>
      <c r="AS225" s="153"/>
      <c r="AT225" s="153"/>
      <c r="AU225" s="153"/>
      <c r="AV225" s="153"/>
      <c r="AW225" s="153"/>
      <c r="AX225" s="153"/>
      <c r="AY225" s="153"/>
      <c r="AZ225" s="153"/>
      <c r="BA225" s="153"/>
      <c r="BB225" s="153"/>
      <c r="BC225" s="153"/>
      <c r="BD225" s="153"/>
      <c r="BE225" s="153"/>
      <c r="BF225" s="153"/>
      <c r="BG225" s="153"/>
      <c r="BH225" s="153"/>
      <c r="BI225" s="153"/>
      <c r="BJ225" s="153"/>
      <c r="BK225" s="153"/>
      <c r="BL225" s="153"/>
      <c r="BM225" s="153"/>
      <c r="BN225" s="153"/>
      <c r="BO225" s="153"/>
      <c r="BP225" s="153"/>
      <c r="BQ225" s="153"/>
      <c r="BR225" s="153"/>
      <c r="BS225" s="153"/>
      <c r="BT225" s="153"/>
      <c r="BU225" s="153"/>
      <c r="BV225" s="153"/>
      <c r="BW225" s="153"/>
      <c r="BX225" s="153"/>
      <c r="BY225" s="153"/>
      <c r="BZ225" s="153"/>
      <c r="CA225" s="153"/>
      <c r="CB225" s="153"/>
      <c r="CC225" s="153"/>
      <c r="CD225" s="153"/>
      <c r="CE225" s="153"/>
      <c r="CF225" s="8"/>
      <c r="EA225" s="1">
        <f t="shared" si="234"/>
        <v>45</v>
      </c>
      <c r="EB225" s="1" t="str">
        <f t="shared" si="237"/>
        <v>48.2577836804888+41.6874814024869i</v>
      </c>
      <c r="EC225" s="1" t="str">
        <f t="shared" si="238"/>
        <v>23.7287833418873+28.345131745832i</v>
      </c>
      <c r="ED225" s="52" t="str">
        <f t="shared" si="239"/>
        <v>7.88131102231351+14.2441886552205i</v>
      </c>
      <c r="EE225" s="1" t="str">
        <f t="shared" si="240"/>
        <v>5.06191158780177+10.5339196113149i</v>
      </c>
      <c r="EF225" s="1" t="str">
        <f t="shared" si="241"/>
        <v>725003.110433443+1842892.41558759i</v>
      </c>
      <c r="EH225" s="1" t="str">
        <f t="shared" si="242"/>
        <v>2.71100584641665+4.56956779407463i</v>
      </c>
      <c r="EI225" s="1" t="str">
        <f t="shared" si="236"/>
        <v>0.0143880322809015+16.1865363160142i</v>
      </c>
      <c r="EJ225" s="1" t="str">
        <f t="shared" si="243"/>
        <v>1.62170298947801+3.77461242209483i</v>
      </c>
      <c r="EL225" s="52">
        <f t="shared" si="235"/>
        <v>45</v>
      </c>
      <c r="EM225" s="14">
        <f t="shared" si="244"/>
        <v>5.3132384215231054</v>
      </c>
      <c r="EN225" s="14">
        <f t="shared" si="244"/>
        <v>16.186542710693956</v>
      </c>
      <c r="EO225" s="14">
        <f t="shared" si="244"/>
        <v>4.1082380071162525</v>
      </c>
      <c r="EQ225" s="1" t="str">
        <f t="shared" si="245"/>
        <v>0.233283444870227-0.0999810254737144i</v>
      </c>
      <c r="ER225" s="14">
        <f t="shared" si="246"/>
        <v>45</v>
      </c>
      <c r="ES225" s="2">
        <f t="shared" si="247"/>
        <v>0.25380577437342866</v>
      </c>
      <c r="EU225" s="1" t="str">
        <f t="shared" si="248"/>
        <v>0.766716555129774+0.0999810254737145i</v>
      </c>
      <c r="EV225" s="52">
        <f t="shared" si="249"/>
        <v>45</v>
      </c>
      <c r="EW225" s="2">
        <f t="shared" si="250"/>
        <v>0.77320791599985783</v>
      </c>
      <c r="HB225" s="1"/>
      <c r="JO225" s="1"/>
      <c r="JS225" s="1"/>
    </row>
    <row r="226" spans="2:279" ht="18" x14ac:dyDescent="0.25">
      <c r="B226" s="6"/>
      <c r="E226" s="177" t="s">
        <v>151</v>
      </c>
      <c r="F226" s="177"/>
      <c r="G226" s="177"/>
      <c r="H226" s="177"/>
      <c r="I226" s="177"/>
      <c r="J226" s="177"/>
      <c r="K226" s="177"/>
      <c r="L226" s="24" t="s">
        <v>152</v>
      </c>
      <c r="AP226" s="8"/>
      <c r="AR226" s="6"/>
      <c r="AS226" s="153"/>
      <c r="AT226" s="153"/>
      <c r="AU226" s="153"/>
      <c r="AV226" s="153"/>
      <c r="AW226" s="153"/>
      <c r="AX226" s="153"/>
      <c r="AY226" s="153"/>
      <c r="AZ226" s="153"/>
      <c r="BA226" s="153"/>
      <c r="BB226" s="153"/>
      <c r="BC226" s="153"/>
      <c r="BD226" s="153"/>
      <c r="BE226" s="153"/>
      <c r="BF226" s="153"/>
      <c r="BG226" s="153"/>
      <c r="BH226" s="153"/>
      <c r="BI226" s="153"/>
      <c r="BJ226" s="153"/>
      <c r="BK226" s="153"/>
      <c r="BL226" s="153"/>
      <c r="BM226" s="153"/>
      <c r="BN226" s="153"/>
      <c r="BO226" s="153"/>
      <c r="BP226" s="153"/>
      <c r="BQ226" s="153"/>
      <c r="BR226" s="153"/>
      <c r="BS226" s="153"/>
      <c r="BT226" s="153"/>
      <c r="BU226" s="153"/>
      <c r="BV226" s="153"/>
      <c r="BW226" s="153"/>
      <c r="BX226" s="153"/>
      <c r="BY226" s="153"/>
      <c r="BZ226" s="153"/>
      <c r="CA226" s="153"/>
      <c r="CB226" s="153"/>
      <c r="CC226" s="153"/>
      <c r="CD226" s="153"/>
      <c r="CE226" s="153"/>
      <c r="CF226" s="8"/>
      <c r="EA226" s="1">
        <f t="shared" si="234"/>
        <v>45.2</v>
      </c>
      <c r="EB226" s="1" t="str">
        <f t="shared" si="237"/>
        <v>48.4465664314002+41.6701296676079i</v>
      </c>
      <c r="EC226" s="1" t="str">
        <f t="shared" si="238"/>
        <v>23.8567442424396+28.3782747478402i</v>
      </c>
      <c r="ED226" s="52" t="str">
        <f t="shared" si="239"/>
        <v>7.93683831440745+14.2892797889848i</v>
      </c>
      <c r="EE226" s="1" t="str">
        <f t="shared" si="240"/>
        <v>5.09981974681792+10.5745400470893i</v>
      </c>
      <c r="EF226" s="1" t="str">
        <f t="shared" si="241"/>
        <v>730815.194316653+1852226.99624772i</v>
      </c>
      <c r="EH226" s="1" t="str">
        <f t="shared" si="242"/>
        <v>2.72978597058873+4.58308738465931i</v>
      </c>
      <c r="EI226" s="1" t="str">
        <f t="shared" si="236"/>
        <v>0.0143880322809015+16.2584764774187i</v>
      </c>
      <c r="EJ226" s="1" t="str">
        <f t="shared" si="243"/>
        <v>1.63384076505403+3.78850100038464i</v>
      </c>
      <c r="EL226" s="52">
        <f t="shared" si="235"/>
        <v>45.2</v>
      </c>
      <c r="EM226" s="14">
        <f t="shared" si="244"/>
        <v>5.3344560566796648</v>
      </c>
      <c r="EN226" s="14">
        <f t="shared" si="244"/>
        <v>16.258482843803417</v>
      </c>
      <c r="EO226" s="14">
        <f t="shared" si="244"/>
        <v>4.1257939206251875</v>
      </c>
      <c r="EQ226" s="1" t="str">
        <f t="shared" si="245"/>
        <v>0.233105722688697-0.10028533944467i</v>
      </c>
      <c r="ER226" s="14">
        <f t="shared" si="246"/>
        <v>45.2</v>
      </c>
      <c r="ES226" s="2">
        <f t="shared" si="247"/>
        <v>0.253762541084677</v>
      </c>
      <c r="EU226" s="1" t="str">
        <f t="shared" si="248"/>
        <v>0.766894277311303+0.10028533944467i</v>
      </c>
      <c r="EV226" s="52">
        <f t="shared" si="249"/>
        <v>45.2</v>
      </c>
      <c r="EW226" s="2">
        <f t="shared" si="250"/>
        <v>0.773423546241229</v>
      </c>
      <c r="HB226" s="1"/>
      <c r="JO226" s="1"/>
      <c r="JS226" s="1"/>
    </row>
    <row r="227" spans="2:279" ht="18" x14ac:dyDescent="0.25">
      <c r="B227" s="6"/>
      <c r="D227" s="24"/>
      <c r="E227" s="177" t="s">
        <v>153</v>
      </c>
      <c r="F227" s="177"/>
      <c r="G227" s="177"/>
      <c r="H227" s="177"/>
      <c r="I227" s="177"/>
      <c r="J227" s="177"/>
      <c r="K227" s="177"/>
      <c r="L227" s="24" t="s">
        <v>154</v>
      </c>
      <c r="AP227" s="8"/>
      <c r="AR227" s="6"/>
      <c r="AS227" s="153"/>
      <c r="AT227" s="153"/>
      <c r="AU227" s="153"/>
      <c r="AV227" s="153"/>
      <c r="AW227" s="153"/>
      <c r="AX227" s="153"/>
      <c r="AY227" s="153"/>
      <c r="AZ227" s="153"/>
      <c r="BA227" s="153"/>
      <c r="BB227" s="153"/>
      <c r="BC227" s="153"/>
      <c r="BD227" s="153"/>
      <c r="BE227" s="153"/>
      <c r="BF227" s="153"/>
      <c r="BG227" s="153"/>
      <c r="BH227" s="153"/>
      <c r="BI227" s="153"/>
      <c r="BJ227" s="153"/>
      <c r="BK227" s="153"/>
      <c r="BL227" s="153"/>
      <c r="BM227" s="153"/>
      <c r="BN227" s="153"/>
      <c r="BO227" s="153"/>
      <c r="BP227" s="153"/>
      <c r="BQ227" s="153"/>
      <c r="BR227" s="153"/>
      <c r="BS227" s="153"/>
      <c r="BT227" s="153"/>
      <c r="BU227" s="153"/>
      <c r="BV227" s="153"/>
      <c r="BW227" s="153"/>
      <c r="BX227" s="153"/>
      <c r="BY227" s="153"/>
      <c r="BZ227" s="153"/>
      <c r="CA227" s="153"/>
      <c r="CB227" s="153"/>
      <c r="CC227" s="153"/>
      <c r="CD227" s="153"/>
      <c r="CE227" s="153"/>
      <c r="CF227" s="8"/>
      <c r="EA227" s="1">
        <f t="shared" si="234"/>
        <v>45.4</v>
      </c>
      <c r="EB227" s="1" t="str">
        <f t="shared" si="237"/>
        <v>48.6343139557192+41.6520184895127i</v>
      </c>
      <c r="EC227" s="1" t="str">
        <f t="shared" si="238"/>
        <v>23.9843785349807+28.4107228045727i</v>
      </c>
      <c r="ED227" s="52" t="str">
        <f t="shared" si="239"/>
        <v>7.99240619952527+14.3340523354919i</v>
      </c>
      <c r="EE227" s="1" t="str">
        <f t="shared" si="240"/>
        <v>5.13778910931877+10.614942808858i</v>
      </c>
      <c r="EF227" s="1" t="str">
        <f t="shared" si="241"/>
        <v>736642.784986582+1861525.78937035i</v>
      </c>
      <c r="EH227" s="1" t="str">
        <f t="shared" si="242"/>
        <v>2.74857053892123+4.59649501977753i</v>
      </c>
      <c r="EI227" s="1" t="str">
        <f t="shared" si="236"/>
        <v>0.0143880322809015+16.3304166388232i</v>
      </c>
      <c r="EJ227" s="1" t="str">
        <f t="shared" si="243"/>
        <v>1.64600318941693+3.80232745988228i</v>
      </c>
      <c r="EL227" s="52">
        <f t="shared" si="235"/>
        <v>45.4</v>
      </c>
      <c r="EM227" s="14">
        <f t="shared" si="244"/>
        <v>5.3555958094562524</v>
      </c>
      <c r="EN227" s="14">
        <f t="shared" si="244"/>
        <v>16.330422977162179</v>
      </c>
      <c r="EO227" s="14">
        <f t="shared" si="244"/>
        <v>4.1433103446091915</v>
      </c>
      <c r="EQ227" s="1" t="str">
        <f t="shared" si="245"/>
        <v>0.232925761440054-0.100588483586947i</v>
      </c>
      <c r="ER227" s="14">
        <f t="shared" si="246"/>
        <v>45.4</v>
      </c>
      <c r="ES227" s="2">
        <f t="shared" si="247"/>
        <v>0.25371727054489307</v>
      </c>
      <c r="EU227" s="1" t="str">
        <f t="shared" si="248"/>
        <v>0.767074238559947+0.100588483586947i</v>
      </c>
      <c r="EV227" s="52">
        <f t="shared" si="249"/>
        <v>45.4</v>
      </c>
      <c r="EW227" s="2">
        <f t="shared" si="250"/>
        <v>0.77364134487024672</v>
      </c>
      <c r="HB227" s="1"/>
      <c r="JO227" s="1"/>
      <c r="JS227" s="1"/>
    </row>
    <row r="228" spans="2:279" ht="18" x14ac:dyDescent="0.25">
      <c r="B228" s="6"/>
      <c r="D228" s="24"/>
      <c r="E228" s="177" t="s">
        <v>155</v>
      </c>
      <c r="F228" s="177"/>
      <c r="G228" s="177"/>
      <c r="H228" s="177"/>
      <c r="I228" s="177"/>
      <c r="J228" s="177"/>
      <c r="K228" s="177"/>
      <c r="L228" s="24" t="s">
        <v>156</v>
      </c>
      <c r="AP228" s="8"/>
      <c r="AR228" s="6"/>
      <c r="AS228" s="153"/>
      <c r="AT228" s="153"/>
      <c r="AU228" s="153"/>
      <c r="AV228" s="153"/>
      <c r="AW228" s="153"/>
      <c r="AX228" s="153"/>
      <c r="AY228" s="153"/>
      <c r="AZ228" s="153"/>
      <c r="BA228" s="153"/>
      <c r="BB228" s="153"/>
      <c r="BC228" s="153"/>
      <c r="BD228" s="153"/>
      <c r="BE228" s="153"/>
      <c r="BF228" s="153"/>
      <c r="BG228" s="153"/>
      <c r="BH228" s="153"/>
      <c r="BI228" s="153"/>
      <c r="BJ228" s="153"/>
      <c r="BK228" s="153"/>
      <c r="BL228" s="153"/>
      <c r="BM228" s="153"/>
      <c r="BN228" s="153"/>
      <c r="BO228" s="153"/>
      <c r="BP228" s="153"/>
      <c r="BQ228" s="153"/>
      <c r="BR228" s="153"/>
      <c r="BS228" s="153"/>
      <c r="BT228" s="153"/>
      <c r="BU228" s="153"/>
      <c r="BV228" s="153"/>
      <c r="BW228" s="153"/>
      <c r="BX228" s="153"/>
      <c r="BY228" s="153"/>
      <c r="BZ228" s="153"/>
      <c r="CA228" s="153"/>
      <c r="CB228" s="153"/>
      <c r="CC228" s="153"/>
      <c r="CD228" s="153"/>
      <c r="CE228" s="153"/>
      <c r="CF228" s="8"/>
      <c r="EA228" s="1">
        <f t="shared" si="234"/>
        <v>45.6</v>
      </c>
      <c r="EB228" s="1" t="str">
        <f t="shared" si="237"/>
        <v>48.8210293010064+41.6331605348426i</v>
      </c>
      <c r="EC228" s="1" t="str">
        <f t="shared" si="238"/>
        <v>24.1116837508307+28.442482027793i</v>
      </c>
      <c r="ED228" s="52" t="str">
        <f t="shared" si="239"/>
        <v>8.04801309570875+14.3785074334306i</v>
      </c>
      <c r="EE228" s="1" t="str">
        <f t="shared" si="240"/>
        <v>5.17581871079754+10.6551285607886i</v>
      </c>
      <c r="EF228" s="1" t="str">
        <f t="shared" si="241"/>
        <v>742485.773513209+1870788.94094125i</v>
      </c>
      <c r="EH228" s="1" t="str">
        <f t="shared" si="242"/>
        <v>2.76735899977308+4.60979120689718i</v>
      </c>
      <c r="EI228" s="1" t="str">
        <f t="shared" si="236"/>
        <v>0.0143880322809015+16.4023568002277i</v>
      </c>
      <c r="EJ228" s="1" t="str">
        <f t="shared" si="243"/>
        <v>1.65818997348949+3.81609192499525i</v>
      </c>
      <c r="EL228" s="52">
        <f t="shared" si="235"/>
        <v>45.6</v>
      </c>
      <c r="EM228" s="14">
        <f t="shared" si="244"/>
        <v>5.3766579586962404</v>
      </c>
      <c r="EN228" s="14">
        <f t="shared" si="244"/>
        <v>16.402363110766959</v>
      </c>
      <c r="EO228" s="14">
        <f t="shared" si="244"/>
        <v>4.1607873735862819</v>
      </c>
      <c r="EQ228" s="1" t="str">
        <f t="shared" si="245"/>
        <v>0.232743598168452-0.100890455636406i</v>
      </c>
      <c r="ER228" s="14">
        <f t="shared" si="246"/>
        <v>45.6</v>
      </c>
      <c r="ES228" s="2">
        <f t="shared" si="247"/>
        <v>0.2536699953225045</v>
      </c>
      <c r="EU228" s="1" t="str">
        <f t="shared" si="248"/>
        <v>0.767256401831547+0.100890455636405i</v>
      </c>
      <c r="EV228" s="52">
        <f t="shared" si="249"/>
        <v>45.6</v>
      </c>
      <c r="EW228" s="2">
        <f t="shared" si="250"/>
        <v>0.77386127322021592</v>
      </c>
      <c r="HB228" s="1"/>
      <c r="JO228" s="1"/>
      <c r="JS228" s="1"/>
    </row>
    <row r="229" spans="2:279" ht="18" x14ac:dyDescent="0.25">
      <c r="B229" s="6"/>
      <c r="D229" s="24"/>
      <c r="E229" s="177" t="s">
        <v>157</v>
      </c>
      <c r="F229" s="177"/>
      <c r="G229" s="177"/>
      <c r="H229" s="177"/>
      <c r="I229" s="177"/>
      <c r="J229" s="177"/>
      <c r="K229" s="177"/>
      <c r="L229" s="24" t="s">
        <v>158</v>
      </c>
      <c r="AP229" s="8"/>
      <c r="AR229" s="6"/>
      <c r="AS229" s="153"/>
      <c r="AT229" s="153"/>
      <c r="AU229" s="153"/>
      <c r="AV229" s="153"/>
      <c r="AW229" s="153"/>
      <c r="AX229" s="153"/>
      <c r="AY229" s="153"/>
      <c r="AZ229" s="153"/>
      <c r="BA229" s="153"/>
      <c r="BB229" s="153"/>
      <c r="BC229" s="153"/>
      <c r="BD229" s="153"/>
      <c r="BE229" s="153"/>
      <c r="BF229" s="153"/>
      <c r="BG229" s="153"/>
      <c r="BH229" s="153"/>
      <c r="BI229" s="153"/>
      <c r="BJ229" s="153"/>
      <c r="BK229" s="153"/>
      <c r="BL229" s="153"/>
      <c r="BM229" s="153"/>
      <c r="BN229" s="153"/>
      <c r="BO229" s="153"/>
      <c r="BP229" s="153"/>
      <c r="BQ229" s="153"/>
      <c r="BR229" s="153"/>
      <c r="BS229" s="153"/>
      <c r="BT229" s="153"/>
      <c r="BU229" s="153"/>
      <c r="BV229" s="153"/>
      <c r="BW229" s="153"/>
      <c r="BX229" s="153"/>
      <c r="BY229" s="153"/>
      <c r="BZ229" s="153"/>
      <c r="CA229" s="153"/>
      <c r="CB229" s="153"/>
      <c r="CC229" s="153"/>
      <c r="CD229" s="153"/>
      <c r="CE229" s="153"/>
      <c r="CF229" s="8"/>
      <c r="EA229" s="1">
        <f t="shared" si="234"/>
        <v>45.8</v>
      </c>
      <c r="EB229" s="1" t="str">
        <f t="shared" si="237"/>
        <v>49.0067155889272+41.6135683137234i</v>
      </c>
      <c r="EC229" s="1" t="str">
        <f t="shared" si="238"/>
        <v>24.2386574857411+28.4735585013034i</v>
      </c>
      <c r="ED229" s="52" t="str">
        <f t="shared" si="239"/>
        <v>8.10365743077155+14.4226462203781i</v>
      </c>
      <c r="EE229" s="1" t="str">
        <f t="shared" si="240"/>
        <v>5.21390758993331+10.6950979626827i</v>
      </c>
      <c r="EF229" s="1" t="str">
        <f t="shared" si="241"/>
        <v>748344.050991845+1880016.5944714i</v>
      </c>
      <c r="EH229" s="1" t="str">
        <f t="shared" si="242"/>
        <v>2.78615080597999+4.62297645217235i</v>
      </c>
      <c r="EI229" s="1" t="str">
        <f t="shared" si="236"/>
        <v>0.0143880322809015+16.4742969616322i</v>
      </c>
      <c r="EJ229" s="1" t="str">
        <f t="shared" si="243"/>
        <v>1.67040082893265+3.82979451913463i</v>
      </c>
      <c r="EL229" s="52">
        <f t="shared" si="235"/>
        <v>45.8</v>
      </c>
      <c r="EM229" s="14">
        <f t="shared" si="244"/>
        <v>5.3976427809742082</v>
      </c>
      <c r="EN229" s="14">
        <f t="shared" si="244"/>
        <v>16.474303244614529</v>
      </c>
      <c r="EO229" s="14">
        <f t="shared" si="244"/>
        <v>4.1782251002180981</v>
      </c>
      <c r="EQ229" s="1" t="str">
        <f t="shared" si="245"/>
        <v>0.232559269210582-0.101191253413879i</v>
      </c>
      <c r="ER229" s="14">
        <f t="shared" si="246"/>
        <v>45.8</v>
      </c>
      <c r="ES229" s="2">
        <f t="shared" si="247"/>
        <v>0.25362074730437933</v>
      </c>
      <c r="EU229" s="1" t="str">
        <f t="shared" si="248"/>
        <v>0.76744073078942+0.101191253413879i</v>
      </c>
      <c r="EV229" s="52">
        <f t="shared" si="249"/>
        <v>45.8</v>
      </c>
      <c r="EW229" s="2">
        <f t="shared" si="250"/>
        <v>0.77408329334902382</v>
      </c>
      <c r="HB229" s="1"/>
      <c r="JO229" s="1"/>
      <c r="JS229" s="1"/>
    </row>
    <row r="230" spans="2:279" ht="18" x14ac:dyDescent="0.25">
      <c r="B230" s="6"/>
      <c r="D230" s="24"/>
      <c r="E230" s="177" t="s">
        <v>65</v>
      </c>
      <c r="F230" s="177"/>
      <c r="G230" s="177"/>
      <c r="H230" s="177"/>
      <c r="I230" s="177"/>
      <c r="J230" s="177"/>
      <c r="K230" s="177"/>
      <c r="L230" s="24" t="s">
        <v>159</v>
      </c>
      <c r="AP230" s="8"/>
      <c r="AR230" s="6"/>
      <c r="AS230" s="153"/>
      <c r="AT230" s="153"/>
      <c r="AU230" s="153"/>
      <c r="AV230" s="153"/>
      <c r="AW230" s="153"/>
      <c r="AX230" s="153"/>
      <c r="AY230" s="153"/>
      <c r="AZ230" s="153"/>
      <c r="BA230" s="153"/>
      <c r="BB230" s="153"/>
      <c r="BC230" s="153"/>
      <c r="BD230" s="153"/>
      <c r="BE230" s="153"/>
      <c r="BF230" s="153"/>
      <c r="BG230" s="153"/>
      <c r="BH230" s="153"/>
      <c r="BI230" s="153"/>
      <c r="BJ230" s="153"/>
      <c r="BK230" s="153"/>
      <c r="BL230" s="153"/>
      <c r="BM230" s="153"/>
      <c r="BN230" s="153"/>
      <c r="BO230" s="153"/>
      <c r="BP230" s="153"/>
      <c r="BQ230" s="153"/>
      <c r="BR230" s="153"/>
      <c r="BS230" s="153"/>
      <c r="BT230" s="153"/>
      <c r="BU230" s="153"/>
      <c r="BV230" s="153"/>
      <c r="BW230" s="153"/>
      <c r="BX230" s="153"/>
      <c r="BY230" s="153"/>
      <c r="BZ230" s="153"/>
      <c r="CA230" s="153"/>
      <c r="CB230" s="153"/>
      <c r="CC230" s="153"/>
      <c r="CD230" s="153"/>
      <c r="CE230" s="153"/>
      <c r="CF230" s="8"/>
      <c r="EA230" s="1">
        <f t="shared" si="234"/>
        <v>46</v>
      </c>
      <c r="EB230" s="1" t="str">
        <f t="shared" si="237"/>
        <v>49.1913760127652+41.5932541810063i</v>
      </c>
      <c r="EC230" s="1" t="str">
        <f t="shared" si="238"/>
        <v>24.3652973991445+28.5039582806395i</v>
      </c>
      <c r="ED230" s="52" t="str">
        <f t="shared" si="239"/>
        <v>8.15933764233647+14.4664698328945i</v>
      </c>
      <c r="EE230" s="1" t="str">
        <f t="shared" si="240"/>
        <v>5.25205478862785+10.734851670154i</v>
      </c>
      <c r="EF230" s="1" t="str">
        <f t="shared" si="241"/>
        <v>754217.50854725+1889208.89106305i</v>
      </c>
      <c r="EH230" s="1" t="str">
        <f t="shared" si="242"/>
        <v>2.80494541485547+4.63605126048504i</v>
      </c>
      <c r="EI230" s="1" t="str">
        <f t="shared" si="236"/>
        <v>0.0143880322809015+16.5462371230367i</v>
      </c>
      <c r="EJ230" s="1" t="str">
        <f t="shared" si="243"/>
        <v>1.68263546815265+3.84343536477378i</v>
      </c>
      <c r="EL230" s="52">
        <f t="shared" si="235"/>
        <v>46</v>
      </c>
      <c r="EM230" s="14">
        <f t="shared" si="244"/>
        <v>5.4185505506697691</v>
      </c>
      <c r="EN230" s="14">
        <f t="shared" si="244"/>
        <v>16.546243378701725</v>
      </c>
      <c r="EO230" s="14">
        <f t="shared" si="244"/>
        <v>4.1956236153734103</v>
      </c>
      <c r="EQ230" s="1" t="str">
        <f t="shared" si="245"/>
        <v>0.232372810214587-0.101490874823742i</v>
      </c>
      <c r="ER230" s="14">
        <f t="shared" si="246"/>
        <v>46</v>
      </c>
      <c r="ES230" s="2">
        <f t="shared" si="247"/>
        <v>0.25356955771447198</v>
      </c>
      <c r="EU230" s="1" t="str">
        <f t="shared" si="248"/>
        <v>0.767627189785415+0.101490874823742i</v>
      </c>
      <c r="EV230" s="52">
        <f t="shared" si="249"/>
        <v>46</v>
      </c>
      <c r="EW230" s="2">
        <f t="shared" si="250"/>
        <v>0.7743073680201823</v>
      </c>
      <c r="HB230" s="1"/>
      <c r="JO230" s="1"/>
      <c r="JS230" s="1"/>
    </row>
    <row r="231" spans="2:279" ht="18" x14ac:dyDescent="0.25">
      <c r="B231" s="6"/>
      <c r="D231" s="24"/>
      <c r="E231" s="177" t="s">
        <v>160</v>
      </c>
      <c r="F231" s="177"/>
      <c r="G231" s="177"/>
      <c r="H231" s="177"/>
      <c r="I231" s="177"/>
      <c r="J231" s="177"/>
      <c r="K231" s="177"/>
      <c r="L231" s="24" t="s">
        <v>161</v>
      </c>
      <c r="AP231" s="8"/>
      <c r="AR231" s="6"/>
      <c r="AS231" s="153"/>
      <c r="AT231" s="153"/>
      <c r="AU231" s="153"/>
      <c r="AV231" s="153"/>
      <c r="AW231" s="153"/>
      <c r="AX231" s="153"/>
      <c r="AY231" s="153"/>
      <c r="AZ231" s="153"/>
      <c r="BA231" s="153"/>
      <c r="BB231" s="153"/>
      <c r="BC231" s="153"/>
      <c r="BD231" s="153"/>
      <c r="BE231" s="153"/>
      <c r="BF231" s="153"/>
      <c r="BG231" s="153"/>
      <c r="BH231" s="153"/>
      <c r="BI231" s="153"/>
      <c r="BJ231" s="153"/>
      <c r="BK231" s="153"/>
      <c r="BL231" s="153"/>
      <c r="BM231" s="153"/>
      <c r="BN231" s="153"/>
      <c r="BO231" s="153"/>
      <c r="BP231" s="153"/>
      <c r="BQ231" s="153"/>
      <c r="BR231" s="153"/>
      <c r="BS231" s="153"/>
      <c r="BT231" s="153"/>
      <c r="BU231" s="153"/>
      <c r="BV231" s="153"/>
      <c r="BW231" s="153"/>
      <c r="BX231" s="153"/>
      <c r="BY231" s="153"/>
      <c r="BZ231" s="153"/>
      <c r="CA231" s="153"/>
      <c r="CB231" s="153"/>
      <c r="CC231" s="153"/>
      <c r="CD231" s="153"/>
      <c r="CE231" s="153"/>
      <c r="CF231" s="8"/>
      <c r="EA231" s="1">
        <f t="shared" si="234"/>
        <v>46.2</v>
      </c>
      <c r="EB231" s="1" t="str">
        <f t="shared" si="237"/>
        <v>49.375013834986+41.5722303375183i</v>
      </c>
      <c r="EC231" s="1" t="str">
        <f t="shared" si="238"/>
        <v>24.4916012134058+28.5336873927747i</v>
      </c>
      <c r="ED231" s="52" t="str">
        <f t="shared" si="239"/>
        <v>8.21505217787146+14.5099794066143i</v>
      </c>
      <c r="EE231" s="1" t="str">
        <f t="shared" si="240"/>
        <v>5.29025935204242+10.7743903348016i</v>
      </c>
      <c r="EF231" s="1" t="str">
        <f t="shared" si="241"/>
        <v>760106.037337703+1898365.9694738i</v>
      </c>
      <c r="EH231" s="1" t="str">
        <f t="shared" si="242"/>
        <v>2.82374228819164+4.64901613548488i</v>
      </c>
      <c r="EI231" s="1" t="str">
        <f t="shared" si="236"/>
        <v>0.0143880322809015+16.6181772844413i</v>
      </c>
      <c r="EJ231" s="1" t="str">
        <f t="shared" si="243"/>
        <v>1.69489360430843+3.8570145835053i</v>
      </c>
      <c r="EL231" s="52">
        <f t="shared" si="235"/>
        <v>46.2</v>
      </c>
      <c r="EM231" s="14">
        <f t="shared" si="244"/>
        <v>5.43938154003932</v>
      </c>
      <c r="EN231" s="14">
        <f t="shared" si="244"/>
        <v>16.618183513025532</v>
      </c>
      <c r="EO231" s="14">
        <f t="shared" si="244"/>
        <v>4.2129830081900623</v>
      </c>
      <c r="EQ231" s="1" t="str">
        <f t="shared" si="245"/>
        <v>0.232184256158399-0.101789317852531i</v>
      </c>
      <c r="ER231" s="14">
        <f t="shared" si="246"/>
        <v>46.2</v>
      </c>
      <c r="ES231" s="2">
        <f t="shared" si="247"/>
        <v>0.25351645713190418</v>
      </c>
      <c r="EU231" s="1" t="str">
        <f t="shared" si="248"/>
        <v>0.7678157438416+0.101789317852531i</v>
      </c>
      <c r="EV231" s="52">
        <f t="shared" si="249"/>
        <v>46.2</v>
      </c>
      <c r="EW231" s="2">
        <f t="shared" si="250"/>
        <v>0.77453346068450346</v>
      </c>
      <c r="HB231" s="1"/>
      <c r="JO231" s="1"/>
      <c r="JS231" s="1"/>
    </row>
    <row r="232" spans="2:279" ht="18" x14ac:dyDescent="0.25">
      <c r="B232" s="6"/>
      <c r="D232" s="24"/>
      <c r="E232" s="177" t="s">
        <v>162</v>
      </c>
      <c r="F232" s="177"/>
      <c r="G232" s="177"/>
      <c r="H232" s="177"/>
      <c r="I232" s="177"/>
      <c r="J232" s="177"/>
      <c r="K232" s="177"/>
      <c r="L232" s="24" t="s">
        <v>163</v>
      </c>
      <c r="AP232" s="8"/>
      <c r="AR232" s="6"/>
      <c r="AS232" s="153"/>
      <c r="AT232" s="153"/>
      <c r="AU232" s="153"/>
      <c r="AV232" s="153"/>
      <c r="AW232" s="153"/>
      <c r="AX232" s="153"/>
      <c r="AY232" s="153"/>
      <c r="AZ232" s="153"/>
      <c r="BA232" s="153"/>
      <c r="BB232" s="153"/>
      <c r="BC232" s="153"/>
      <c r="BD232" s="153"/>
      <c r="BE232" s="153"/>
      <c r="BF232" s="153"/>
      <c r="BG232" s="153"/>
      <c r="BH232" s="153"/>
      <c r="BI232" s="153"/>
      <c r="BJ232" s="153"/>
      <c r="BK232" s="153"/>
      <c r="BL232" s="153"/>
      <c r="BM232" s="153"/>
      <c r="BN232" s="153"/>
      <c r="BO232" s="153"/>
      <c r="BP232" s="153"/>
      <c r="BQ232" s="153"/>
      <c r="BR232" s="153"/>
      <c r="BS232" s="153"/>
      <c r="BT232" s="153"/>
      <c r="BU232" s="153"/>
      <c r="BV232" s="153"/>
      <c r="BW232" s="153"/>
      <c r="BX232" s="153"/>
      <c r="BY232" s="153"/>
      <c r="BZ232" s="153"/>
      <c r="CA232" s="153"/>
      <c r="CB232" s="153"/>
      <c r="CC232" s="153"/>
      <c r="CD232" s="153"/>
      <c r="CE232" s="153"/>
      <c r="CF232" s="8"/>
      <c r="EA232" s="1">
        <f t="shared" si="234"/>
        <v>46.4</v>
      </c>
      <c r="EB232" s="1" t="str">
        <f t="shared" si="237"/>
        <v>49.5576323848497+41.5505088313231i</v>
      </c>
      <c r="EC232" s="1" t="str">
        <f t="shared" si="238"/>
        <v>24.6175667130744+28.5627518358326i</v>
      </c>
      <c r="ED232" s="52" t="str">
        <f t="shared" si="239"/>
        <v>8.27079949472343+14.5531760763301i</v>
      </c>
      <c r="EE232" s="1" t="str">
        <f t="shared" si="240"/>
        <v>5.32852032863331+10.8137146043762i</v>
      </c>
      <c r="EF232" s="1" t="str">
        <f t="shared" si="241"/>
        <v>766009.528559096+1907487.96617913i</v>
      </c>
      <c r="EH232" s="1" t="str">
        <f t="shared" si="242"/>
        <v>2.84254089225943+4.6618715796262i</v>
      </c>
      <c r="EI232" s="1" t="str">
        <f t="shared" si="236"/>
        <v>0.0143880322809015+16.6901174458458i</v>
      </c>
      <c r="EJ232" s="1" t="str">
        <f t="shared" si="243"/>
        <v>1.70717495131897+3.8705322960956i</v>
      </c>
      <c r="EL232" s="52">
        <f t="shared" si="235"/>
        <v>46.4</v>
      </c>
      <c r="EM232" s="14">
        <f t="shared" si="244"/>
        <v>5.4601360192850068</v>
      </c>
      <c r="EN232" s="14">
        <f t="shared" si="244"/>
        <v>16.690123647582702</v>
      </c>
      <c r="EO232" s="14">
        <f t="shared" si="244"/>
        <v>4.230303366134633</v>
      </c>
      <c r="EQ232" s="1" t="str">
        <f t="shared" si="245"/>
        <v>0.231993641367455-0.102086580567598i</v>
      </c>
      <c r="ER232" s="14">
        <f t="shared" si="246"/>
        <v>46.4</v>
      </c>
      <c r="ES232" s="2">
        <f t="shared" si="247"/>
        <v>0.253461475508441</v>
      </c>
      <c r="EU232" s="1" t="str">
        <f t="shared" si="248"/>
        <v>0.768006358632545+0.102086580567598i</v>
      </c>
      <c r="EV232" s="52">
        <f t="shared" si="249"/>
        <v>46.4</v>
      </c>
      <c r="EW232" s="2">
        <f t="shared" si="250"/>
        <v>0.77476153546236781</v>
      </c>
      <c r="HB232" s="1"/>
      <c r="JO232" s="1"/>
      <c r="JS232" s="1"/>
    </row>
    <row r="233" spans="2:279" ht="18" x14ac:dyDescent="0.25">
      <c r="B233" s="6"/>
      <c r="D233" s="24"/>
      <c r="E233" s="177" t="s">
        <v>164</v>
      </c>
      <c r="F233" s="177"/>
      <c r="G233" s="177"/>
      <c r="H233" s="177"/>
      <c r="I233" s="177"/>
      <c r="J233" s="177"/>
      <c r="K233" s="177"/>
      <c r="L233" s="24" t="s">
        <v>165</v>
      </c>
      <c r="AP233" s="8"/>
      <c r="AR233" s="6"/>
      <c r="AS233" s="153"/>
      <c r="AT233" s="153"/>
      <c r="AU233" s="153"/>
      <c r="AV233" s="153"/>
      <c r="AW233" s="153"/>
      <c r="AX233" s="153"/>
      <c r="AY233" s="153"/>
      <c r="AZ233" s="153"/>
      <c r="BA233" s="153"/>
      <c r="BB233" s="153"/>
      <c r="BC233" s="153"/>
      <c r="BD233" s="153"/>
      <c r="BE233" s="153"/>
      <c r="BF233" s="153"/>
      <c r="BG233" s="153"/>
      <c r="BH233" s="153"/>
      <c r="BI233" s="153"/>
      <c r="BJ233" s="153"/>
      <c r="BK233" s="153"/>
      <c r="BL233" s="153"/>
      <c r="BM233" s="153"/>
      <c r="BN233" s="153"/>
      <c r="BO233" s="153"/>
      <c r="BP233" s="153"/>
      <c r="BQ233" s="153"/>
      <c r="BR233" s="153"/>
      <c r="BS233" s="153"/>
      <c r="BT233" s="153"/>
      <c r="BU233" s="153"/>
      <c r="BV233" s="153"/>
      <c r="BW233" s="153"/>
      <c r="BX233" s="153"/>
      <c r="BY233" s="153"/>
      <c r="BZ233" s="153"/>
      <c r="CA233" s="153"/>
      <c r="CB233" s="153"/>
      <c r="CC233" s="153"/>
      <c r="CD233" s="153"/>
      <c r="CE233" s="153"/>
      <c r="CF233" s="8"/>
      <c r="EA233" s="1">
        <f t="shared" si="234"/>
        <v>46.6</v>
      </c>
      <c r="EB233" s="1" t="str">
        <f t="shared" si="237"/>
        <v>49.7392350560729+41.528101558992i</v>
      </c>
      <c r="EC233" s="1" t="str">
        <f t="shared" si="238"/>
        <v>24.7431917441382+28.5911575788092i</v>
      </c>
      <c r="ED233" s="52" t="str">
        <f t="shared" si="239"/>
        <v>8.32657806015109+14.5960609760731i</v>
      </c>
      <c r="EE233" s="1" t="str">
        <f t="shared" si="240"/>
        <v>5.36683677018714+10.8528251229414i</v>
      </c>
      <c r="EF233" s="1" t="str">
        <f t="shared" si="241"/>
        <v>771927.87344897+1916575.01543312i</v>
      </c>
      <c r="EH233" s="1" t="str">
        <f t="shared" si="242"/>
        <v>2.86134069780797+4.67461809420287i</v>
      </c>
      <c r="EI233" s="1" t="str">
        <f t="shared" si="236"/>
        <v>0.0143880322809015+16.7620576072503i</v>
      </c>
      <c r="EJ233" s="1" t="str">
        <f t="shared" si="243"/>
        <v>1.71947922387047+3.88398862253756i</v>
      </c>
      <c r="EL233" s="52">
        <f t="shared" si="235"/>
        <v>46.6</v>
      </c>
      <c r="EM233" s="14">
        <f t="shared" si="244"/>
        <v>5.4808142566210973</v>
      </c>
      <c r="EN233" s="14">
        <f t="shared" si="244"/>
        <v>16.762063782370312</v>
      </c>
      <c r="EO233" s="14">
        <f t="shared" si="244"/>
        <v>4.2475847750602238</v>
      </c>
      <c r="EQ233" s="1" t="str">
        <f t="shared" si="245"/>
        <v>0.231800999531828-0.10238266111579i</v>
      </c>
      <c r="ER233" s="14">
        <f t="shared" si="246"/>
        <v>46.6</v>
      </c>
      <c r="ES233" s="2">
        <f t="shared" si="247"/>
        <v>0.25340464218538933</v>
      </c>
      <c r="EU233" s="1" t="str">
        <f t="shared" si="248"/>
        <v>0.768199000468171+0.10238266111579i</v>
      </c>
      <c r="EV233" s="52">
        <f t="shared" si="249"/>
        <v>46.6</v>
      </c>
      <c r="EW233" s="2">
        <f t="shared" si="250"/>
        <v>0.77499155712655854</v>
      </c>
      <c r="HB233" s="1"/>
      <c r="JO233" s="1"/>
      <c r="JS233" s="1"/>
    </row>
    <row r="234" spans="2:279" ht="18" customHeight="1" x14ac:dyDescent="0.25">
      <c r="B234" s="6"/>
      <c r="D234" s="24"/>
      <c r="E234" s="177" t="s">
        <v>166</v>
      </c>
      <c r="F234" s="177"/>
      <c r="G234" s="177"/>
      <c r="H234" s="177"/>
      <c r="I234" s="177"/>
      <c r="J234" s="177"/>
      <c r="K234" s="177"/>
      <c r="L234" s="24" t="s">
        <v>167</v>
      </c>
      <c r="AP234" s="8"/>
      <c r="AR234" s="6"/>
      <c r="AS234" s="153"/>
      <c r="AT234" s="153"/>
      <c r="AU234" s="153"/>
      <c r="AV234" s="153"/>
      <c r="AW234" s="153"/>
      <c r="AX234" s="153"/>
      <c r="AY234" s="153"/>
      <c r="AZ234" s="153"/>
      <c r="BA234" s="153"/>
      <c r="BB234" s="153"/>
      <c r="BC234" s="153"/>
      <c r="BD234" s="153"/>
      <c r="BE234" s="153"/>
      <c r="BF234" s="153"/>
      <c r="BG234" s="153"/>
      <c r="BH234" s="153"/>
      <c r="BI234" s="153"/>
      <c r="BJ234" s="153"/>
      <c r="BK234" s="153"/>
      <c r="BL234" s="153"/>
      <c r="BM234" s="153"/>
      <c r="BN234" s="153"/>
      <c r="BO234" s="153"/>
      <c r="BP234" s="153"/>
      <c r="BQ234" s="153"/>
      <c r="BR234" s="153"/>
      <c r="BS234" s="153"/>
      <c r="BT234" s="153"/>
      <c r="BU234" s="153"/>
      <c r="BV234" s="153"/>
      <c r="BW234" s="153"/>
      <c r="BX234" s="153"/>
      <c r="BY234" s="153"/>
      <c r="BZ234" s="153"/>
      <c r="CA234" s="153"/>
      <c r="CB234" s="153"/>
      <c r="CC234" s="153"/>
      <c r="CD234" s="153"/>
      <c r="CE234" s="153"/>
      <c r="CF234" s="8"/>
      <c r="EA234" s="1">
        <f t="shared" si="234"/>
        <v>46.8</v>
      </c>
      <c r="EB234" s="1" t="str">
        <f t="shared" si="237"/>
        <v>49.919825304537+41.5050202668821i</v>
      </c>
      <c r="EC234" s="1" t="str">
        <f t="shared" si="238"/>
        <v>24.8684742132791+28.6189105613054i</v>
      </c>
      <c r="ED234" s="52" t="str">
        <f t="shared" si="239"/>
        <v>8.38238635135592+14.6386352391869i</v>
      </c>
      <c r="EE234" s="1" t="str">
        <f t="shared" si="240"/>
        <v>5.40520773185547+10.8917225310297i</v>
      </c>
      <c r="EF234" s="1" t="str">
        <f t="shared" si="241"/>
        <v>777860.963290529+1925627.24932765i</v>
      </c>
      <c r="EH234" s="1" t="str">
        <f t="shared" si="242"/>
        <v>2.88014118006385+4.68725617938113i</v>
      </c>
      <c r="EI234" s="1" t="str">
        <f t="shared" si="236"/>
        <v>0.0143880322809015+16.8339977686548i</v>
      </c>
      <c r="EJ234" s="1" t="str">
        <f t="shared" si="243"/>
        <v>1.73180613742383+3.89738368210135i</v>
      </c>
      <c r="EL234" s="52">
        <f t="shared" si="235"/>
        <v>46.8</v>
      </c>
      <c r="EM234" s="14">
        <f t="shared" si="244"/>
        <v>5.5014165183383605</v>
      </c>
      <c r="EN234" s="14">
        <f t="shared" si="244"/>
        <v>16.834003917385424</v>
      </c>
      <c r="EO234" s="14">
        <f t="shared" si="244"/>
        <v>4.2648273192626132</v>
      </c>
      <c r="EQ234" s="1" t="str">
        <f t="shared" si="245"/>
        <v>0.23160636372283-0.102677557722181i</v>
      </c>
      <c r="ER234" s="14">
        <f t="shared" si="246"/>
        <v>46.8</v>
      </c>
      <c r="ES234" s="2">
        <f t="shared" si="247"/>
        <v>0.25334598590998758</v>
      </c>
      <c r="EU234" s="1" t="str">
        <f t="shared" si="248"/>
        <v>0.768393636277171+0.102677557722181i</v>
      </c>
      <c r="EV234" s="52">
        <f t="shared" si="249"/>
        <v>46.8</v>
      </c>
      <c r="EW234" s="2">
        <f t="shared" si="250"/>
        <v>0.77522349108566457</v>
      </c>
      <c r="HB234" s="1"/>
      <c r="JO234" s="1"/>
      <c r="JS234" s="1"/>
    </row>
    <row r="235" spans="2:279" ht="18" x14ac:dyDescent="0.25">
      <c r="B235" s="6"/>
      <c r="D235" s="24"/>
      <c r="E235" s="177" t="s">
        <v>168</v>
      </c>
      <c r="F235" s="177"/>
      <c r="G235" s="177"/>
      <c r="H235" s="177"/>
      <c r="I235" s="177"/>
      <c r="J235" s="177"/>
      <c r="K235" s="177"/>
      <c r="L235" s="24" t="s">
        <v>292</v>
      </c>
      <c r="AP235" s="8"/>
      <c r="AR235" s="6"/>
      <c r="AS235" s="153"/>
      <c r="AT235" s="153"/>
      <c r="AU235" s="153"/>
      <c r="AV235" s="153"/>
      <c r="AW235" s="153"/>
      <c r="AX235" s="153"/>
      <c r="AY235" s="153"/>
      <c r="AZ235" s="153"/>
      <c r="BA235" s="153"/>
      <c r="BB235" s="153"/>
      <c r="BC235" s="153"/>
      <c r="BD235" s="153"/>
      <c r="BE235" s="153"/>
      <c r="BF235" s="153"/>
      <c r="BG235" s="153"/>
      <c r="BH235" s="153"/>
      <c r="BI235" s="153"/>
      <c r="BJ235" s="153"/>
      <c r="BK235" s="153"/>
      <c r="BL235" s="153"/>
      <c r="BM235" s="153"/>
      <c r="BN235" s="153"/>
      <c r="BO235" s="153"/>
      <c r="BP235" s="153"/>
      <c r="BQ235" s="153"/>
      <c r="BR235" s="153"/>
      <c r="BS235" s="153"/>
      <c r="BT235" s="153"/>
      <c r="BU235" s="153"/>
      <c r="BV235" s="153"/>
      <c r="BW235" s="153"/>
      <c r="BX235" s="153"/>
      <c r="BY235" s="153"/>
      <c r="BZ235" s="153"/>
      <c r="CA235" s="153"/>
      <c r="CB235" s="153"/>
      <c r="CC235" s="153"/>
      <c r="CD235" s="153"/>
      <c r="CE235" s="153"/>
      <c r="CF235" s="8"/>
      <c r="EA235" s="1">
        <f t="shared" si="234"/>
        <v>47</v>
      </c>
      <c r="EB235" s="1" t="str">
        <f t="shared" si="237"/>
        <v>50.0994066460467+41.4812765524233i</v>
      </c>
      <c r="EC235" s="1" t="str">
        <f t="shared" si="238"/>
        <v>24.9934120871303+28.646016693266i</v>
      </c>
      <c r="ED235" s="52" t="str">
        <f t="shared" si="239"/>
        <v>8.43822285551166+14.6808999983977i</v>
      </c>
      <c r="EE235" s="1" t="str">
        <f t="shared" si="240"/>
        <v>5.44363227218881+10.9304074657928i</v>
      </c>
      <c r="EF235" s="1" t="str">
        <f t="shared" si="241"/>
        <v>783808.689416635+1934644.7978499i</v>
      </c>
      <c r="EH235" s="1" t="str">
        <f t="shared" si="242"/>
        <v>2.89894181872955+4.69978633423023i</v>
      </c>
      <c r="EI235" s="1" t="str">
        <f t="shared" si="236"/>
        <v>0.0143880322809015+16.9059379300593i</v>
      </c>
      <c r="EJ235" s="1" t="str">
        <f t="shared" si="243"/>
        <v>1.74415540822183+3.91071759338318i</v>
      </c>
      <c r="EL235" s="52">
        <f t="shared" si="235"/>
        <v>47</v>
      </c>
      <c r="EM235" s="14">
        <f t="shared" si="244"/>
        <v>5.5219430688659052</v>
      </c>
      <c r="EN235" s="14">
        <f t="shared" si="244"/>
        <v>16.905944052625117</v>
      </c>
      <c r="EO235" s="14">
        <f t="shared" si="244"/>
        <v>4.2820310815343445</v>
      </c>
      <c r="EQ235" s="1" t="str">
        <f t="shared" si="245"/>
        <v>0.231409766409059-0.102971268688819i</v>
      </c>
      <c r="ER235" s="14">
        <f t="shared" si="246"/>
        <v>47</v>
      </c>
      <c r="ES235" s="2">
        <f t="shared" si="247"/>
        <v>0.25328553485124294</v>
      </c>
      <c r="EU235" s="1" t="str">
        <f t="shared" si="248"/>
        <v>0.768590233590942+0.102971268688819i</v>
      </c>
      <c r="EV235" s="52">
        <f t="shared" si="249"/>
        <v>47</v>
      </c>
      <c r="EW235" s="2">
        <f t="shared" si="250"/>
        <v>0.77545730336799579</v>
      </c>
      <c r="HB235" s="1"/>
      <c r="JO235" s="1"/>
      <c r="JS235" s="1"/>
    </row>
    <row r="236" spans="2:279" ht="18" x14ac:dyDescent="0.25">
      <c r="B236" s="6"/>
      <c r="D236" s="24"/>
      <c r="E236" s="177" t="s">
        <v>169</v>
      </c>
      <c r="F236" s="177"/>
      <c r="G236" s="177"/>
      <c r="H236" s="177"/>
      <c r="I236" s="177"/>
      <c r="J236" s="177"/>
      <c r="K236" s="177"/>
      <c r="L236" s="24" t="s">
        <v>170</v>
      </c>
      <c r="AP236" s="8"/>
      <c r="AR236" s="6"/>
      <c r="AS236" s="153"/>
      <c r="AT236" s="153"/>
      <c r="AU236" s="153"/>
      <c r="AV236" s="153"/>
      <c r="AW236" s="153"/>
      <c r="AX236" s="153"/>
      <c r="AY236" s="153"/>
      <c r="AZ236" s="153"/>
      <c r="BA236" s="153"/>
      <c r="BB236" s="153"/>
      <c r="BC236" s="153"/>
      <c r="BD236" s="153"/>
      <c r="BE236" s="153"/>
      <c r="BF236" s="153"/>
      <c r="BG236" s="153"/>
      <c r="BH236" s="153"/>
      <c r="BI236" s="153"/>
      <c r="BJ236" s="153"/>
      <c r="BK236" s="153"/>
      <c r="BL236" s="153"/>
      <c r="BM236" s="153"/>
      <c r="BN236" s="153"/>
      <c r="BO236" s="153"/>
      <c r="BP236" s="153"/>
      <c r="BQ236" s="153"/>
      <c r="BR236" s="153"/>
      <c r="BS236" s="153"/>
      <c r="BT236" s="153"/>
      <c r="BU236" s="153"/>
      <c r="BV236" s="153"/>
      <c r="BW236" s="153"/>
      <c r="BX236" s="153"/>
      <c r="BY236" s="153"/>
      <c r="BZ236" s="153"/>
      <c r="CA236" s="153"/>
      <c r="CB236" s="153"/>
      <c r="CC236" s="153"/>
      <c r="CD236" s="153"/>
      <c r="CE236" s="153"/>
      <c r="CF236" s="8"/>
      <c r="EA236" s="1">
        <f t="shared" si="234"/>
        <v>47.2</v>
      </c>
      <c r="EB236" s="1" t="str">
        <f t="shared" si="237"/>
        <v>50.2779826541327+41.4568818654111i</v>
      </c>
      <c r="EC236" s="1" t="str">
        <f t="shared" si="238"/>
        <v>25.1180033915363+28.6724818547305i</v>
      </c>
      <c r="ED236" s="52" t="str">
        <f t="shared" si="239"/>
        <v>8.49408606979229+14.7228563858799i</v>
      </c>
      <c r="EE236" s="1" t="str">
        <f t="shared" si="240"/>
        <v>5.48210945317+10.9688805611466i</v>
      </c>
      <c r="EF236" s="1" t="str">
        <f t="shared" si="241"/>
        <v>789770.943213786+1943627.78893848i</v>
      </c>
      <c r="EH236" s="1" t="str">
        <f t="shared" si="242"/>
        <v>2.91774209798151+4.71220905675109i</v>
      </c>
      <c r="EI236" s="1" t="str">
        <f t="shared" si="236"/>
        <v>0.0143880322809015+16.9778780914638i</v>
      </c>
      <c r="EJ236" s="1" t="str">
        <f t="shared" si="243"/>
        <v>1.75652675329655+3.92399047435252i</v>
      </c>
      <c r="EL236" s="52">
        <f t="shared" si="235"/>
        <v>47.2</v>
      </c>
      <c r="EM236" s="14">
        <f t="shared" si="244"/>
        <v>5.5423941708309181</v>
      </c>
      <c r="EN236" s="14">
        <f t="shared" si="244"/>
        <v>16.977884188086556</v>
      </c>
      <c r="EO236" s="14">
        <f t="shared" si="244"/>
        <v>4.2991961432174541</v>
      </c>
      <c r="EQ236" s="1" t="str">
        <f t="shared" si="245"/>
        <v>0.231211239471945-0.103263792393515i</v>
      </c>
      <c r="ER236" s="14">
        <f t="shared" si="246"/>
        <v>47.2</v>
      </c>
      <c r="ES236" s="2">
        <f t="shared" si="247"/>
        <v>0.25322331661528341</v>
      </c>
      <c r="EU236" s="1" t="str">
        <f t="shared" si="248"/>
        <v>0.768788760528054+0.103263792393514i</v>
      </c>
      <c r="EV236" s="52">
        <f t="shared" si="249"/>
        <v>47.2</v>
      </c>
      <c r="EW236" s="2">
        <f t="shared" si="250"/>
        <v>0.77569296060603277</v>
      </c>
      <c r="HB236" s="1"/>
      <c r="JO236" s="1"/>
      <c r="JS236" s="1"/>
    </row>
    <row r="237" spans="2:279" ht="18" x14ac:dyDescent="0.25">
      <c r="B237" s="6"/>
      <c r="D237" s="177" t="s">
        <v>51</v>
      </c>
      <c r="E237" s="177"/>
      <c r="F237" s="177"/>
      <c r="G237" s="177"/>
      <c r="H237" s="177"/>
      <c r="I237" s="177"/>
      <c r="J237" s="177"/>
      <c r="K237" s="177"/>
      <c r="L237" s="24" t="s">
        <v>171</v>
      </c>
      <c r="AP237" s="8"/>
      <c r="AR237" s="6"/>
      <c r="AS237" s="153"/>
      <c r="AT237" s="153"/>
      <c r="AU237" s="153"/>
      <c r="AV237" s="153"/>
      <c r="AW237" s="153"/>
      <c r="AX237" s="153"/>
      <c r="AY237" s="153"/>
      <c r="AZ237" s="153"/>
      <c r="BA237" s="153"/>
      <c r="BB237" s="153"/>
      <c r="BC237" s="153"/>
      <c r="BD237" s="153"/>
      <c r="BE237" s="153"/>
      <c r="BF237" s="153"/>
      <c r="BG237" s="153"/>
      <c r="BH237" s="153"/>
      <c r="BI237" s="153"/>
      <c r="BJ237" s="153"/>
      <c r="BK237" s="153"/>
      <c r="BL237" s="153"/>
      <c r="BM237" s="153"/>
      <c r="BN237" s="153"/>
      <c r="BO237" s="153"/>
      <c r="BP237" s="153"/>
      <c r="BQ237" s="153"/>
      <c r="BR237" s="153"/>
      <c r="BS237" s="153"/>
      <c r="BT237" s="153"/>
      <c r="BU237" s="153"/>
      <c r="BV237" s="153"/>
      <c r="BW237" s="153"/>
      <c r="BX237" s="153"/>
      <c r="BY237" s="153"/>
      <c r="BZ237" s="153"/>
      <c r="CA237" s="153"/>
      <c r="CB237" s="153"/>
      <c r="CC237" s="153"/>
      <c r="CD237" s="153"/>
      <c r="CE237" s="153"/>
      <c r="CF237" s="8"/>
      <c r="EA237" s="1">
        <f t="shared" si="234"/>
        <v>47.4</v>
      </c>
      <c r="EB237" s="1" t="str">
        <f t="shared" si="237"/>
        <v>50.4555569579001+41.4318475093068i</v>
      </c>
      <c r="EC237" s="1" t="str">
        <f t="shared" si="238"/>
        <v>25.242246210814+28.6983118955912i</v>
      </c>
      <c r="ED237" s="52" t="str">
        <f t="shared" si="239"/>
        <v>8.54997450139842+14.7645055333161i</v>
      </c>
      <c r="EE237" s="1" t="str">
        <f t="shared" si="240"/>
        <v>5.520638340247+11.0071424479113i</v>
      </c>
      <c r="EF237" s="1" t="str">
        <f t="shared" si="241"/>
        <v>795747.616126045+1952576.34853782i</v>
      </c>
      <c r="EH237" s="1" t="str">
        <f t="shared" si="242"/>
        <v>2.9365415064676+4.72452484390298i</v>
      </c>
      <c r="EI237" s="1" t="str">
        <f t="shared" si="236"/>
        <v>0.0143880322809015+17.0498182528683i</v>
      </c>
      <c r="EJ237" s="1" t="str">
        <f t="shared" si="243"/>
        <v>1.76891989047656+3.93720244239729i</v>
      </c>
      <c r="EL237" s="52">
        <f t="shared" si="235"/>
        <v>47.4</v>
      </c>
      <c r="EM237" s="14">
        <f t="shared" si="244"/>
        <v>5.5627700851161803</v>
      </c>
      <c r="EN237" s="14">
        <f t="shared" si="244"/>
        <v>17.049824323766913</v>
      </c>
      <c r="EO237" s="14">
        <f t="shared" si="244"/>
        <v>4.3163225842541921</v>
      </c>
      <c r="EQ237" s="1" t="str">
        <f t="shared" si="245"/>
        <v>0.231010814220789-0.103555127288661i</v>
      </c>
      <c r="ER237" s="14">
        <f t="shared" si="246"/>
        <v>47.4</v>
      </c>
      <c r="ES237" s="2">
        <f t="shared" si="247"/>
        <v>0.25315935826021257</v>
      </c>
      <c r="EU237" s="1" t="str">
        <f t="shared" si="248"/>
        <v>0.76898918577921+0.103555127288661i</v>
      </c>
      <c r="EV237" s="52">
        <f t="shared" si="249"/>
        <v>47.4</v>
      </c>
      <c r="EW237" s="2">
        <f t="shared" si="250"/>
        <v>0.77593043002136686</v>
      </c>
      <c r="HB237" s="1"/>
      <c r="JO237" s="1"/>
      <c r="JS237" s="1"/>
    </row>
    <row r="238" spans="2:279" ht="18" x14ac:dyDescent="0.25">
      <c r="B238" s="6"/>
      <c r="D238" s="24"/>
      <c r="E238" s="177" t="s">
        <v>172</v>
      </c>
      <c r="F238" s="177"/>
      <c r="G238" s="177"/>
      <c r="H238" s="177"/>
      <c r="I238" s="177"/>
      <c r="J238" s="177"/>
      <c r="K238" s="177"/>
      <c r="L238" s="24" t="s">
        <v>173</v>
      </c>
      <c r="AP238" s="8"/>
      <c r="AR238" s="6"/>
      <c r="AS238" s="153"/>
      <c r="AT238" s="153"/>
      <c r="AU238" s="153"/>
      <c r="AV238" s="153"/>
      <c r="AW238" s="153"/>
      <c r="AX238" s="153"/>
      <c r="AY238" s="153"/>
      <c r="AZ238" s="153"/>
      <c r="BA238" s="153"/>
      <c r="BB238" s="153"/>
      <c r="BC238" s="153"/>
      <c r="BD238" s="153"/>
      <c r="BE238" s="153"/>
      <c r="BF238" s="153"/>
      <c r="BG238" s="153"/>
      <c r="BH238" s="153"/>
      <c r="BI238" s="153"/>
      <c r="BJ238" s="153"/>
      <c r="BK238" s="153"/>
      <c r="BL238" s="153"/>
      <c r="BM238" s="153"/>
      <c r="BN238" s="153"/>
      <c r="BO238" s="153"/>
      <c r="BP238" s="153"/>
      <c r="BQ238" s="153"/>
      <c r="BR238" s="153"/>
      <c r="BS238" s="153"/>
      <c r="BT238" s="153"/>
      <c r="BU238" s="153"/>
      <c r="BV238" s="153"/>
      <c r="BW238" s="153"/>
      <c r="BX238" s="153"/>
      <c r="BY238" s="153"/>
      <c r="BZ238" s="153"/>
      <c r="CA238" s="153"/>
      <c r="CB238" s="153"/>
      <c r="CC238" s="153"/>
      <c r="CD238" s="153"/>
      <c r="CE238" s="153"/>
      <c r="CF238" s="8"/>
      <c r="EA238" s="1">
        <f t="shared" si="234"/>
        <v>47.6</v>
      </c>
      <c r="EB238" s="1" t="str">
        <f t="shared" si="237"/>
        <v>50.6321332399266+41.4061846425423i</v>
      </c>
      <c r="EC238" s="1" t="str">
        <f t="shared" si="238"/>
        <v>25.3661386870169+28.7235126353603i</v>
      </c>
      <c r="ED238" s="52" t="str">
        <f t="shared" si="239"/>
        <v>8.60588666758233+14.8058485719544i</v>
      </c>
      <c r="EE238" s="1" t="str">
        <f t="shared" si="240"/>
        <v>5.55921800236511+11.0451937539475i</v>
      </c>
      <c r="EF238" s="1" t="str">
        <f t="shared" si="241"/>
        <v>801738.599658984+1961490.60065142i</v>
      </c>
      <c r="EH238" s="1" t="str">
        <f t="shared" si="242"/>
        <v>2.95533953730405+4.73673419162856i</v>
      </c>
      <c r="EI238" s="1" t="str">
        <f t="shared" si="236"/>
        <v>0.0143880322809015+17.1217584142728i</v>
      </c>
      <c r="EJ238" s="1" t="str">
        <f t="shared" si="243"/>
        <v>1.78133453839423+3.95035361436757i</v>
      </c>
      <c r="EL238" s="52">
        <f t="shared" si="235"/>
        <v>47.6</v>
      </c>
      <c r="EM238" s="14">
        <f t="shared" si="244"/>
        <v>5.5830710709156834</v>
      </c>
      <c r="EN238" s="14">
        <f t="shared" si="244"/>
        <v>17.121764459663449</v>
      </c>
      <c r="EO238" s="14">
        <f t="shared" si="244"/>
        <v>4.3334104832363982</v>
      </c>
      <c r="EQ238" s="1" t="str">
        <f t="shared" si="245"/>
        <v>0.230808521407334-0.103845271900072i</v>
      </c>
      <c r="ER238" s="14">
        <f t="shared" si="246"/>
        <v>47.6</v>
      </c>
      <c r="ES238" s="2">
        <f t="shared" si="247"/>
        <v>0.25309368631050372</v>
      </c>
      <c r="EU238" s="1" t="str">
        <f t="shared" si="248"/>
        <v>0.769191478592664+0.103845271900072i</v>
      </c>
      <c r="EV238" s="52">
        <f t="shared" si="249"/>
        <v>47.6</v>
      </c>
      <c r="EW238" s="2">
        <f t="shared" si="250"/>
        <v>0.7761696794100944</v>
      </c>
      <c r="HB238" s="1"/>
      <c r="JO238" s="1"/>
      <c r="JS238" s="1"/>
    </row>
    <row r="239" spans="2:279" ht="18" x14ac:dyDescent="0.25">
      <c r="B239" s="6"/>
      <c r="D239" s="24"/>
      <c r="E239" s="177" t="s">
        <v>53</v>
      </c>
      <c r="F239" s="177"/>
      <c r="G239" s="177"/>
      <c r="H239" s="177"/>
      <c r="I239" s="177"/>
      <c r="J239" s="177"/>
      <c r="K239" s="177"/>
      <c r="L239" s="24" t="s">
        <v>175</v>
      </c>
      <c r="AP239" s="8"/>
      <c r="AR239" s="6"/>
      <c r="AS239" s="153"/>
      <c r="AT239" s="153"/>
      <c r="AU239" s="153"/>
      <c r="AV239" s="153"/>
      <c r="AW239" s="153"/>
      <c r="AX239" s="153"/>
      <c r="AY239" s="153"/>
      <c r="AZ239" s="153"/>
      <c r="BA239" s="153"/>
      <c r="BB239" s="153"/>
      <c r="BC239" s="153"/>
      <c r="BD239" s="153"/>
      <c r="BE239" s="153"/>
      <c r="BF239" s="153"/>
      <c r="BG239" s="153"/>
      <c r="BH239" s="153"/>
      <c r="BI239" s="153"/>
      <c r="BJ239" s="153"/>
      <c r="BK239" s="153"/>
      <c r="BL239" s="153"/>
      <c r="BM239" s="153"/>
      <c r="BN239" s="153"/>
      <c r="BO239" s="153"/>
      <c r="BP239" s="153"/>
      <c r="BQ239" s="153"/>
      <c r="BR239" s="153"/>
      <c r="BS239" s="153"/>
      <c r="BT239" s="153"/>
      <c r="BU239" s="153"/>
      <c r="BV239" s="153"/>
      <c r="BW239" s="153"/>
      <c r="BX239" s="153"/>
      <c r="BY239" s="153"/>
      <c r="BZ239" s="153"/>
      <c r="CA239" s="153"/>
      <c r="CB239" s="153"/>
      <c r="CC239" s="153"/>
      <c r="CD239" s="153"/>
      <c r="CE239" s="153"/>
      <c r="CF239" s="8"/>
      <c r="EA239" s="1">
        <f t="shared" ref="EA239:EA250" si="251">ROUND(EA238+0.2,1)</f>
        <v>47.8</v>
      </c>
      <c r="EB239" s="1" t="str">
        <f t="shared" si="237"/>
        <v>50.8077152341986+41.3799042798294i</v>
      </c>
      <c r="EC239" s="1" t="str">
        <f t="shared" si="238"/>
        <v>25.4896790192026+28.7480898629472i</v>
      </c>
      <c r="ED239" s="52" t="str">
        <f t="shared" si="239"/>
        <v>8.66182109567123+14.8468866326597i</v>
      </c>
      <c r="EE239" s="1" t="str">
        <f t="shared" si="240"/>
        <v>5.59784751199855+11.0830351042861i</v>
      </c>
      <c r="EF239" s="1" t="str">
        <f t="shared" si="241"/>
        <v>807743.785383571+1970370.66739348i</v>
      </c>
      <c r="EH239" s="1" t="str">
        <f t="shared" si="242"/>
        <v>2.97413568807198+4.74883759487692i</v>
      </c>
      <c r="EI239" s="1" t="str">
        <f t="shared" si="236"/>
        <v>0.0143880322809015+17.1936985756773i</v>
      </c>
      <c r="EJ239" s="1" t="str">
        <f t="shared" si="243"/>
        <v>1.79377041649295+3.96344410661761i</v>
      </c>
      <c r="EL239" s="52">
        <f t="shared" ref="EL239:EL250" si="252">ROUND(EL238+0.2,1)</f>
        <v>47.8</v>
      </c>
      <c r="EM239" s="14">
        <f t="shared" si="244"/>
        <v>5.6032973857881041</v>
      </c>
      <c r="EN239" s="14">
        <f t="shared" si="244"/>
        <v>17.193704595773433</v>
      </c>
      <c r="EO239" s="14">
        <f t="shared" si="244"/>
        <v>4.3504599174532288</v>
      </c>
      <c r="EQ239" s="1" t="str">
        <f t="shared" si="245"/>
        <v>0.230604391239874-0.104134224825861i</v>
      </c>
      <c r="ER239" s="14">
        <f t="shared" si="246"/>
        <v>47.8</v>
      </c>
      <c r="ES239" s="2">
        <f t="shared" si="247"/>
        <v>0.25302632677094261</v>
      </c>
      <c r="EU239" s="1" t="str">
        <f t="shared" si="248"/>
        <v>0.769395608760127+0.104134224825861i</v>
      </c>
      <c r="EV239" s="52">
        <f t="shared" si="249"/>
        <v>47.8</v>
      </c>
      <c r="EW239" s="2">
        <f t="shared" si="250"/>
        <v>0.77641067712870193</v>
      </c>
      <c r="HB239" s="1"/>
      <c r="JO239" s="1"/>
      <c r="JS239" s="1"/>
    </row>
    <row r="240" spans="2:279" ht="18" x14ac:dyDescent="0.25">
      <c r="B240" s="6"/>
      <c r="D240" s="24"/>
      <c r="E240" s="177" t="s">
        <v>176</v>
      </c>
      <c r="F240" s="177"/>
      <c r="G240" s="177"/>
      <c r="H240" s="177"/>
      <c r="I240" s="177"/>
      <c r="J240" s="177"/>
      <c r="K240" s="177"/>
      <c r="L240" s="24" t="s">
        <v>177</v>
      </c>
      <c r="AP240" s="8"/>
      <c r="AR240" s="6"/>
      <c r="AS240" s="153"/>
      <c r="AT240" s="153"/>
      <c r="AU240" s="153"/>
      <c r="AV240" s="153"/>
      <c r="AW240" s="153"/>
      <c r="AX240" s="153"/>
      <c r="AY240" s="153"/>
      <c r="AZ240" s="153"/>
      <c r="BA240" s="153"/>
      <c r="BB240" s="153"/>
      <c r="BC240" s="153"/>
      <c r="BD240" s="153"/>
      <c r="BE240" s="153"/>
      <c r="BF240" s="153"/>
      <c r="BG240" s="153"/>
      <c r="BH240" s="153"/>
      <c r="BI240" s="153"/>
      <c r="BJ240" s="153"/>
      <c r="BK240" s="153"/>
      <c r="BL240" s="153"/>
      <c r="BM240" s="153"/>
      <c r="BN240" s="153"/>
      <c r="BO240" s="153"/>
      <c r="BP240" s="153"/>
      <c r="BQ240" s="153"/>
      <c r="BR240" s="153"/>
      <c r="BS240" s="153"/>
      <c r="BT240" s="153"/>
      <c r="BU240" s="153"/>
      <c r="BV240" s="153"/>
      <c r="BW240" s="153"/>
      <c r="BX240" s="153"/>
      <c r="BY240" s="153"/>
      <c r="BZ240" s="153"/>
      <c r="CA240" s="153"/>
      <c r="CB240" s="153"/>
      <c r="CC240" s="153"/>
      <c r="CD240" s="153"/>
      <c r="CE240" s="153"/>
      <c r="CF240" s="8"/>
      <c r="EA240" s="1">
        <f t="shared" si="251"/>
        <v>48</v>
      </c>
      <c r="EB240" s="1" t="str">
        <f t="shared" si="237"/>
        <v>50.9823067240997+41.3530172934746i</v>
      </c>
      <c r="EC240" s="1" t="str">
        <f t="shared" si="238"/>
        <v>25.6128654627016+28.7720493364427i</v>
      </c>
      <c r="ED240" s="52" t="str">
        <f t="shared" si="239"/>
        <v>8.71777632308963+14.8876208459631i</v>
      </c>
      <c r="EE240" s="1" t="str">
        <f t="shared" si="240"/>
        <v>5.63652594518145+11.1206671212548i</v>
      </c>
      <c r="EF240" s="1" t="str">
        <f t="shared" si="241"/>
        <v>813763.06494002+1979216.66903919i</v>
      </c>
      <c r="EH240" s="1" t="str">
        <f t="shared" si="242"/>
        <v>2.99292946081344+4.7608355476251i</v>
      </c>
      <c r="EI240" s="1" t="str">
        <f t="shared" si="236"/>
        <v>0.0143880322809015+17.2656387370818i</v>
      </c>
      <c r="EJ240" s="1" t="str">
        <f t="shared" si="243"/>
        <v>1.8062272450344+3.97647403504625i</v>
      </c>
      <c r="EL240" s="52">
        <f t="shared" si="252"/>
        <v>48</v>
      </c>
      <c r="EM240" s="14">
        <f t="shared" si="244"/>
        <v>5.6234492857085341</v>
      </c>
      <c r="EN240" s="14">
        <f t="shared" si="244"/>
        <v>17.265644732094209</v>
      </c>
      <c r="EO240" s="14">
        <f t="shared" si="244"/>
        <v>4.3674709629374249</v>
      </c>
      <c r="EQ240" s="1" t="str">
        <f t="shared" si="245"/>
        <v>0.230398453396912-0.10442198473534i</v>
      </c>
      <c r="ER240" s="14">
        <f t="shared" si="246"/>
        <v>48</v>
      </c>
      <c r="ES240" s="2">
        <f t="shared" si="247"/>
        <v>0.25295730514012954</v>
      </c>
      <c r="EU240" s="1" t="str">
        <f t="shared" si="248"/>
        <v>0.769601546603088+0.10442198473534i</v>
      </c>
      <c r="EV240" s="52">
        <f t="shared" si="249"/>
        <v>48</v>
      </c>
      <c r="EW240" s="2">
        <f t="shared" si="250"/>
        <v>0.77665339208036199</v>
      </c>
      <c r="HB240" s="1"/>
      <c r="JO240" s="1"/>
      <c r="JS240" s="1"/>
    </row>
    <row r="241" spans="2:279" ht="18" x14ac:dyDescent="0.25">
      <c r="B241" s="6"/>
      <c r="D241" s="24"/>
      <c r="K241" s="32" t="s">
        <v>178</v>
      </c>
      <c r="L241" s="24" t="s">
        <v>285</v>
      </c>
      <c r="M241" s="23"/>
      <c r="N241" s="23"/>
      <c r="O241" s="23"/>
      <c r="P241" s="23"/>
      <c r="R241" s="23"/>
      <c r="S241" s="23"/>
      <c r="T241" s="23"/>
      <c r="U241" s="23"/>
      <c r="V241" s="23"/>
      <c r="W241" s="23"/>
      <c r="X241" s="23"/>
      <c r="Y241" s="23"/>
      <c r="Z241" s="23"/>
      <c r="AA241" s="23"/>
      <c r="AP241" s="8"/>
      <c r="AR241" s="6"/>
      <c r="AS241" s="153"/>
      <c r="AT241" s="153"/>
      <c r="AU241" s="153"/>
      <c r="AV241" s="153"/>
      <c r="AW241" s="153"/>
      <c r="AX241" s="153"/>
      <c r="AY241" s="153"/>
      <c r="AZ241" s="153"/>
      <c r="BA241" s="153"/>
      <c r="BB241" s="153"/>
      <c r="BC241" s="153"/>
      <c r="BD241" s="153"/>
      <c r="BE241" s="153"/>
      <c r="BF241" s="153"/>
      <c r="BG241" s="153"/>
      <c r="BH241" s="153"/>
      <c r="BI241" s="153"/>
      <c r="BJ241" s="153"/>
      <c r="BK241" s="153"/>
      <c r="BL241" s="153"/>
      <c r="BM241" s="153"/>
      <c r="BN241" s="153"/>
      <c r="BO241" s="153"/>
      <c r="BP241" s="153"/>
      <c r="BQ241" s="153"/>
      <c r="BR241" s="153"/>
      <c r="BS241" s="153"/>
      <c r="BT241" s="153"/>
      <c r="BU241" s="153"/>
      <c r="BV241" s="153"/>
      <c r="BW241" s="153"/>
      <c r="BX241" s="153"/>
      <c r="BY241" s="153"/>
      <c r="BZ241" s="153"/>
      <c r="CA241" s="153"/>
      <c r="CB241" s="153"/>
      <c r="CC241" s="153"/>
      <c r="CD241" s="153"/>
      <c r="CE241" s="153"/>
      <c r="CF241" s="8"/>
      <c r="EA241" s="1">
        <f t="shared" si="251"/>
        <v>48.2</v>
      </c>
      <c r="EB241" s="1" t="str">
        <f t="shared" si="237"/>
        <v>51.1559115404342+41.3255344146956i</v>
      </c>
      <c r="EC241" s="1" t="str">
        <f t="shared" si="238"/>
        <v>25.73569632839+28.795396782914i</v>
      </c>
      <c r="ED241" s="52" t="str">
        <f t="shared" si="239"/>
        <v>8.77375089737945+14.9280523421053i</v>
      </c>
      <c r="EE241" s="1" t="str">
        <f t="shared" si="240"/>
        <v>5.67525238153826+11.1580904245996i</v>
      </c>
      <c r="EF241" s="1" t="str">
        <f t="shared" si="241"/>
        <v>819796.330041676+1988028.72407381i</v>
      </c>
      <c r="EH241" s="1" t="str">
        <f t="shared" si="242"/>
        <v>3.01172036202671+4.77272854289787i</v>
      </c>
      <c r="EI241" s="1" t="str">
        <f t="shared" si="236"/>
        <v>0.0143880322809015+17.3375788984863i</v>
      </c>
      <c r="EJ241" s="1" t="str">
        <f t="shared" si="243"/>
        <v>1.81870474510565+3.98944351513588i</v>
      </c>
      <c r="EL241" s="52">
        <f t="shared" si="252"/>
        <v>48.2</v>
      </c>
      <c r="EM241" s="14">
        <f t="shared" si="244"/>
        <v>5.6435270251180967</v>
      </c>
      <c r="EN241" s="14">
        <f t="shared" si="244"/>
        <v>17.337584868623146</v>
      </c>
      <c r="EO241" s="14">
        <f t="shared" si="244"/>
        <v>4.384443694510118</v>
      </c>
      <c r="EQ241" s="1" t="str">
        <f t="shared" si="245"/>
        <v>0.230190737040401-0.104708550367944i</v>
      </c>
      <c r="ER241" s="14">
        <f t="shared" si="246"/>
        <v>48.2</v>
      </c>
      <c r="ES241" s="2">
        <f t="shared" si="247"/>
        <v>0.25288664642356923</v>
      </c>
      <c r="EU241" s="1" t="str">
        <f t="shared" si="248"/>
        <v>0.769809262959598+0.104708550367943i</v>
      </c>
      <c r="EV241" s="52">
        <f t="shared" si="249"/>
        <v>48.2</v>
      </c>
      <c r="EW241" s="2">
        <f t="shared" si="250"/>
        <v>0.7768977937016911</v>
      </c>
      <c r="HB241" s="1"/>
      <c r="JO241" s="1"/>
      <c r="JS241" s="1"/>
    </row>
    <row r="242" spans="2:279" ht="18" customHeight="1" x14ac:dyDescent="0.25">
      <c r="B242" s="6"/>
      <c r="D242" s="24"/>
      <c r="K242" s="32" t="s">
        <v>179</v>
      </c>
      <c r="L242" s="24" t="s">
        <v>286</v>
      </c>
      <c r="M242" s="23"/>
      <c r="N242" s="23"/>
      <c r="O242" s="23"/>
      <c r="P242" s="23"/>
      <c r="Q242" s="23"/>
      <c r="R242" s="23"/>
      <c r="S242" s="23"/>
      <c r="T242" s="23"/>
      <c r="U242" s="23"/>
      <c r="V242" s="23"/>
      <c r="W242" s="23"/>
      <c r="X242" s="23"/>
      <c r="Y242" s="23"/>
      <c r="Z242" s="23"/>
      <c r="AA242" s="23"/>
      <c r="AP242" s="8"/>
      <c r="AR242" s="6"/>
      <c r="AS242" s="153"/>
      <c r="AT242" s="153"/>
      <c r="AU242" s="153"/>
      <c r="AV242" s="153"/>
      <c r="AW242" s="153"/>
      <c r="AX242" s="153"/>
      <c r="AY242" s="153"/>
      <c r="AZ242" s="153"/>
      <c r="BA242" s="153"/>
      <c r="BB242" s="153"/>
      <c r="BC242" s="153"/>
      <c r="BD242" s="153"/>
      <c r="BE242" s="153"/>
      <c r="BF242" s="153"/>
      <c r="BG242" s="153"/>
      <c r="BH242" s="153"/>
      <c r="BI242" s="153"/>
      <c r="BJ242" s="153"/>
      <c r="BK242" s="153"/>
      <c r="BL242" s="153"/>
      <c r="BM242" s="153"/>
      <c r="BN242" s="153"/>
      <c r="BO242" s="153"/>
      <c r="BP242" s="153"/>
      <c r="BQ242" s="153"/>
      <c r="BR242" s="153"/>
      <c r="BS242" s="153"/>
      <c r="BT242" s="153"/>
      <c r="BU242" s="153"/>
      <c r="BV242" s="153"/>
      <c r="BW242" s="153"/>
      <c r="BX242" s="153"/>
      <c r="BY242" s="153"/>
      <c r="BZ242" s="153"/>
      <c r="CA242" s="153"/>
      <c r="CB242" s="153"/>
      <c r="CC242" s="153"/>
      <c r="CD242" s="153"/>
      <c r="CE242" s="153"/>
      <c r="CF242" s="8"/>
      <c r="EA242" s="1">
        <f t="shared" si="251"/>
        <v>48.4</v>
      </c>
      <c r="EB242" s="1" t="str">
        <f t="shared" si="237"/>
        <v>51.3285335595019+41.2974662349425i</v>
      </c>
      <c r="EC242" s="1" t="str">
        <f t="shared" si="238"/>
        <v>25.8581699819649+28.8181378982064i</v>
      </c>
      <c r="ED242" s="52" t="str">
        <f t="shared" si="239"/>
        <v>8.82974337621934+14.968182251078i</v>
      </c>
      <c r="EE242" s="1" t="str">
        <f t="shared" si="240"/>
        <v>5.71402590431359+11.1953056316025i</v>
      </c>
      <c r="EF242" s="1" t="str">
        <f t="shared" si="241"/>
        <v>825843.472478814+1996806.94924034i</v>
      </c>
      <c r="EH242" s="1" t="str">
        <f t="shared" si="242"/>
        <v>3.03050790266136+4.78451707278607i</v>
      </c>
      <c r="EI242" s="1" t="str">
        <f t="shared" si="236"/>
        <v>0.0143880322809015+17.4095190598908i</v>
      </c>
      <c r="EJ242" s="1" t="str">
        <f t="shared" si="243"/>
        <v>1.83120263862633+4.00235266198992i</v>
      </c>
      <c r="EL242" s="52">
        <f t="shared" si="252"/>
        <v>48.4</v>
      </c>
      <c r="EM242" s="14">
        <f t="shared" si="244"/>
        <v>5.66353085697203</v>
      </c>
      <c r="EN242" s="14">
        <f t="shared" si="244"/>
        <v>17.409525005357672</v>
      </c>
      <c r="EO242" s="14">
        <f t="shared" si="244"/>
        <v>4.4013781858242798</v>
      </c>
      <c r="EQ242" s="1" t="str">
        <f t="shared" si="245"/>
        <v>0.229981270828566-0.10499392053218i</v>
      </c>
      <c r="ER242" s="14">
        <f t="shared" si="246"/>
        <v>48.4</v>
      </c>
      <c r="ES242" s="2">
        <f t="shared" si="247"/>
        <v>0.25281437514635108</v>
      </c>
      <c r="EU242" s="1" t="str">
        <f t="shared" si="248"/>
        <v>0.770018729171432+0.104993920532179i</v>
      </c>
      <c r="EV242" s="52">
        <f t="shared" si="249"/>
        <v>48.4</v>
      </c>
      <c r="EW242" s="2">
        <f t="shared" si="250"/>
        <v>0.77714385194988489</v>
      </c>
      <c r="HB242" s="1"/>
      <c r="JO242" s="1"/>
      <c r="JS242" s="1"/>
    </row>
    <row r="243" spans="2:279" ht="18" customHeight="1" thickBot="1" x14ac:dyDescent="0.3">
      <c r="B243" s="6"/>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1"/>
      <c r="AO243" s="10"/>
      <c r="AP243" s="8"/>
      <c r="AR243" s="6"/>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1"/>
      <c r="CE243" s="10"/>
      <c r="CF243" s="8"/>
      <c r="EA243" s="1">
        <f t="shared" si="251"/>
        <v>48.6</v>
      </c>
      <c r="EB243" s="1" t="str">
        <f t="shared" si="237"/>
        <v>51.5001767012074+41.2688232072194i</v>
      </c>
      <c r="EC243" s="1" t="str">
        <f t="shared" si="238"/>
        <v>25.9802848432234+28.8402783467547i</v>
      </c>
      <c r="ED243" s="52" t="str">
        <f t="shared" si="239"/>
        <v>8.88575232744238+15.0080117026608i</v>
      </c>
      <c r="EE243" s="1" t="str">
        <f t="shared" si="240"/>
        <v>5.7528456004014+11.2323133571945i</v>
      </c>
      <c r="EF243" s="1" t="str">
        <f t="shared" si="241"/>
        <v>831904.384122421+2005551.459586i</v>
      </c>
      <c r="EH243" s="1" t="str">
        <f t="shared" si="242"/>
        <v>3.04929159811285+4.79620162846336i</v>
      </c>
      <c r="EI243" s="1" t="str">
        <f t="shared" si="236"/>
        <v>0.0143880322809015+17.4814592212953i</v>
      </c>
      <c r="EJ243" s="1" t="str">
        <f t="shared" si="243"/>
        <v>1.84372064835575+4.01520159036883i</v>
      </c>
      <c r="EL243" s="52">
        <f t="shared" si="252"/>
        <v>48.6</v>
      </c>
      <c r="EM243" s="14">
        <f t="shared" si="244"/>
        <v>5.6834610327859387</v>
      </c>
      <c r="EN243" s="14">
        <f t="shared" si="244"/>
        <v>17.481465142295239</v>
      </c>
      <c r="EO243" s="14">
        <f t="shared" si="244"/>
        <v>4.4182745094067801</v>
      </c>
      <c r="EQ243" s="1" t="str">
        <f t="shared" si="245"/>
        <v>0.229770082928333-0.105278094104608i</v>
      </c>
      <c r="ER243" s="14">
        <f t="shared" si="246"/>
        <v>48.6</v>
      </c>
      <c r="ES243" s="2">
        <f t="shared" si="247"/>
        <v>0.25274051536544695</v>
      </c>
      <c r="EU243" s="1" t="str">
        <f t="shared" si="248"/>
        <v>0.770229917071666+0.105278094104608i</v>
      </c>
      <c r="EV243" s="52">
        <f t="shared" si="249"/>
        <v>48.6</v>
      </c>
      <c r="EW243" s="2">
        <f t="shared" si="250"/>
        <v>0.77739153729026667</v>
      </c>
      <c r="HB243" s="1"/>
      <c r="JO243" s="1"/>
      <c r="JS243" s="1"/>
    </row>
    <row r="244" spans="2:279" ht="18" customHeight="1" x14ac:dyDescent="0.25">
      <c r="B244" s="6"/>
      <c r="D244" s="43" t="s">
        <v>84</v>
      </c>
      <c r="AO244" s="29" t="s">
        <v>445</v>
      </c>
      <c r="AP244" s="8"/>
      <c r="AR244" s="6"/>
      <c r="AT244" s="43" t="s">
        <v>84</v>
      </c>
      <c r="CE244" s="29" t="s">
        <v>446</v>
      </c>
      <c r="CF244" s="8"/>
      <c r="EA244" s="1">
        <f t="shared" si="251"/>
        <v>48.8</v>
      </c>
      <c r="EB244" s="1" t="str">
        <f t="shared" si="237"/>
        <v>51.6708449272181+41.2396156474089i</v>
      </c>
      <c r="EC244" s="1" t="str">
        <f t="shared" si="238"/>
        <v>26.1020393853444+28.8618237614032i</v>
      </c>
      <c r="ED244" s="52" t="str">
        <f t="shared" si="239"/>
        <v>8.94177632905225+15.0475418264549i</v>
      </c>
      <c r="EE244" s="1" t="str">
        <f t="shared" si="240"/>
        <v>5.79171056037363+11.2691142140649i</v>
      </c>
      <c r="EF244" s="1" t="str">
        <f t="shared" si="241"/>
        <v>837978.956927995+2014262.36850749i</v>
      </c>
      <c r="EH244" s="1" t="str">
        <f t="shared" si="242"/>
        <v>3.06807096821647+4.80778270020167i</v>
      </c>
      <c r="EI244" s="1" t="str">
        <f t="shared" si="236"/>
        <v>0.0143880322809015+17.5533993826998i</v>
      </c>
      <c r="EJ244" s="1" t="str">
        <f t="shared" si="243"/>
        <v>1.85625849789996+4.0279904147249i</v>
      </c>
      <c r="EL244" s="52">
        <f t="shared" si="252"/>
        <v>48.8</v>
      </c>
      <c r="EM244" s="14">
        <f t="shared" si="244"/>
        <v>5.7033178026804023</v>
      </c>
      <c r="EN244" s="14">
        <f t="shared" si="244"/>
        <v>17.553405279433353</v>
      </c>
      <c r="EO244" s="14">
        <f t="shared" si="244"/>
        <v>4.4351327366992619</v>
      </c>
      <c r="EQ244" s="1" t="str">
        <f t="shared" si="245"/>
        <v>0.229557201027367-0.105561070028834i</v>
      </c>
      <c r="ER244" s="14">
        <f t="shared" si="246"/>
        <v>48.8</v>
      </c>
      <c r="ES244" s="2">
        <f t="shared" si="247"/>
        <v>0.2526650906816203</v>
      </c>
      <c r="EU244" s="1" t="str">
        <f t="shared" si="248"/>
        <v>0.770442798972631+0.105561070028834i</v>
      </c>
      <c r="EV244" s="52">
        <f t="shared" si="249"/>
        <v>48.8</v>
      </c>
      <c r="EW244" s="2">
        <f t="shared" si="250"/>
        <v>0.77764082068421181</v>
      </c>
      <c r="HB244" s="1"/>
      <c r="JO244" s="1"/>
      <c r="JS244" s="1"/>
    </row>
    <row r="245" spans="2:279" ht="18" customHeight="1" x14ac:dyDescent="0.25">
      <c r="B245" s="45"/>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7"/>
      <c r="AR245" s="45"/>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7"/>
      <c r="EA245" s="1">
        <f t="shared" si="251"/>
        <v>49</v>
      </c>
      <c r="EB245" s="1" t="str">
        <f t="shared" si="237"/>
        <v>51.8405422391581+41.2098537355973i</v>
      </c>
      <c r="EC245" s="1" t="str">
        <f t="shared" si="238"/>
        <v>26.2234321341744+28.8827797432335i</v>
      </c>
      <c r="ED245" s="52" t="str">
        <f t="shared" si="239"/>
        <v>8.99781396923822+15.0867737519136i</v>
      </c>
      <c r="EE245" s="1" t="str">
        <f t="shared" si="240"/>
        <v>5.83061987850832+11.3057088127664i</v>
      </c>
      <c r="EF245" s="1" t="str">
        <f t="shared" si="241"/>
        <v>844067.082939268+2022939.78779508i</v>
      </c>
      <c r="EH245" s="1" t="str">
        <f t="shared" si="242"/>
        <v>3.08684553724082+4.81926077738502i</v>
      </c>
      <c r="EI245" s="1" t="str">
        <f t="shared" si="236"/>
        <v>0.0143880322809015+17.6253395441044i</v>
      </c>
      <c r="EJ245" s="1" t="str">
        <f t="shared" si="243"/>
        <v>1.86881591171872+4.04071924923543i</v>
      </c>
      <c r="EL245" s="52">
        <f t="shared" si="252"/>
        <v>49</v>
      </c>
      <c r="EM245" s="14">
        <f t="shared" si="244"/>
        <v>5.7231014154237414</v>
      </c>
      <c r="EN245" s="14">
        <f t="shared" si="244"/>
        <v>17.625345416769662</v>
      </c>
      <c r="EO245" s="14">
        <f t="shared" si="244"/>
        <v>4.4519529380974827</v>
      </c>
      <c r="EQ245" s="1" t="str">
        <f t="shared" si="245"/>
        <v>0.229342652345748-0.105842847314529i</v>
      </c>
      <c r="ER245" s="14">
        <f t="shared" si="246"/>
        <v>49</v>
      </c>
      <c r="ES245" s="2">
        <f t="shared" si="247"/>
        <v>0.25258812425098159</v>
      </c>
      <c r="EU245" s="1" t="str">
        <f t="shared" si="248"/>
        <v>0.770657347654253+0.105842847314529i</v>
      </c>
      <c r="EV245" s="52">
        <f t="shared" si="249"/>
        <v>49</v>
      </c>
      <c r="EW245" s="2">
        <f t="shared" si="250"/>
        <v>0.77789167357745559</v>
      </c>
      <c r="HB245" s="1"/>
      <c r="JO245" s="1"/>
      <c r="JS245" s="1"/>
    </row>
    <row r="246" spans="2:279" ht="18" customHeight="1" x14ac:dyDescent="0.25">
      <c r="EA246" s="1">
        <f t="shared" si="251"/>
        <v>49.2</v>
      </c>
      <c r="EB246" s="1" t="str">
        <f t="shared" si="237"/>
        <v>52.0092726768438+41.1795475174i</v>
      </c>
      <c r="EC246" s="1" t="str">
        <f t="shared" si="238"/>
        <v>26.3444616675163+28.9031518614009i</v>
      </c>
      <c r="ED246" s="52" t="str">
        <f t="shared" si="239"/>
        <v>9.05386384638858+15.1257086083692i</v>
      </c>
      <c r="EE246" s="1" t="str">
        <f t="shared" si="240"/>
        <v>5.86957265281685+11.3420977618168i</v>
      </c>
      <c r="EF246" s="1" t="str">
        <f t="shared" si="241"/>
        <v>850168.654291928+2031583.82767549i</v>
      </c>
      <c r="EH246" s="1" t="str">
        <f t="shared" si="242"/>
        <v>3.10561483388103+4.83063634852237i</v>
      </c>
      <c r="EI246" s="1" t="str">
        <f t="shared" si="236"/>
        <v>0.0143880322809015+17.6972797055089i</v>
      </c>
      <c r="EJ246" s="1" t="str">
        <f t="shared" si="243"/>
        <v>1.88139261513244+4.05338820783493i</v>
      </c>
      <c r="EL246" s="52">
        <f t="shared" si="252"/>
        <v>49.2</v>
      </c>
      <c r="EM246" s="14">
        <f t="shared" si="244"/>
        <v>5.7428121184736174</v>
      </c>
      <c r="EN246" s="14">
        <f t="shared" si="244"/>
        <v>17.697285554301544</v>
      </c>
      <c r="EO246" s="14">
        <f t="shared" si="244"/>
        <v>4.4687351829897182</v>
      </c>
      <c r="EQ246" s="1" t="str">
        <f t="shared" si="245"/>
        <v>0.229126463647285-0.106123425036473i</v>
      </c>
      <c r="ER246" s="14">
        <f t="shared" si="246"/>
        <v>49.2</v>
      </c>
      <c r="ES246" s="2">
        <f t="shared" si="247"/>
        <v>0.25250963879619032</v>
      </c>
      <c r="EU246" s="1" t="str">
        <f t="shared" si="248"/>
        <v>0.770873536352714+0.106123425036473i</v>
      </c>
      <c r="EV246" s="52">
        <f t="shared" si="249"/>
        <v>49.2</v>
      </c>
      <c r="EW246" s="2">
        <f t="shared" si="250"/>
        <v>0.77814406788872403</v>
      </c>
      <c r="HB246" s="1"/>
      <c r="JO246" s="1"/>
      <c r="JS246" s="1"/>
    </row>
    <row r="247" spans="2:279" ht="18" customHeight="1" x14ac:dyDescent="0.25">
      <c r="B247" s="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5"/>
      <c r="AR247" s="3"/>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5"/>
      <c r="EA247" s="1">
        <f t="shared" si="251"/>
        <v>49.4</v>
      </c>
      <c r="EB247" s="1" t="str">
        <f t="shared" si="237"/>
        <v>52.1770403165625+41.1487069052878i</v>
      </c>
      <c r="EC247" s="1" t="str">
        <f t="shared" si="238"/>
        <v>26.4651266144229+28.9229456529788i</v>
      </c>
      <c r="ED247" s="52" t="str">
        <f t="shared" si="239"/>
        <v>9.10992456910286+15.1643475250577i</v>
      </c>
      <c r="EE247" s="1" t="str">
        <f t="shared" si="240"/>
        <v>5.90856798507119+11.3782816677967i</v>
      </c>
      <c r="EF247" s="1" t="str">
        <f t="shared" si="241"/>
        <v>856283.56321732+2040194.59685378i</v>
      </c>
      <c r="EH247" s="1" t="str">
        <f t="shared" si="242"/>
        <v>3.12437839125138+4.841909901259i</v>
      </c>
      <c r="EI247" s="1" t="str">
        <f t="shared" si="236"/>
        <v>0.0143880322809015+17.7692198669134i</v>
      </c>
      <c r="EJ247" s="1" t="str">
        <f t="shared" si="243"/>
        <v>1.89398833432922+4.06599740424604i</v>
      </c>
      <c r="EL247" s="52">
        <f t="shared" si="252"/>
        <v>49.4</v>
      </c>
      <c r="EM247" s="14">
        <f t="shared" si="244"/>
        <v>5.7624501580168577</v>
      </c>
      <c r="EN247" s="14">
        <f t="shared" si="244"/>
        <v>17.76922569202673</v>
      </c>
      <c r="EO247" s="14">
        <f t="shared" si="244"/>
        <v>4.4854795397940119</v>
      </c>
      <c r="EQ247" s="1" t="str">
        <f t="shared" si="245"/>
        <v>0.228908661250492-0.106402802333617i</v>
      </c>
      <c r="ER247" s="14">
        <f t="shared" si="246"/>
        <v>49.4</v>
      </c>
      <c r="ES247" s="2">
        <f t="shared" si="247"/>
        <v>0.25242965661732231</v>
      </c>
      <c r="EU247" s="1" t="str">
        <f t="shared" si="248"/>
        <v>0.771091338749508+0.106402802333617i</v>
      </c>
      <c r="EV247" s="52">
        <f t="shared" si="249"/>
        <v>49.4</v>
      </c>
      <c r="EW247" s="2">
        <f t="shared" si="250"/>
        <v>0.77839797599875304</v>
      </c>
      <c r="HB247" s="1"/>
      <c r="JO247" s="1"/>
      <c r="JS247" s="1"/>
    </row>
    <row r="248" spans="2:279" ht="18" customHeight="1" x14ac:dyDescent="0.25">
      <c r="B248" s="6"/>
      <c r="AN248" s="7"/>
      <c r="AP248" s="8"/>
      <c r="AR248" s="6"/>
      <c r="CD248" s="7"/>
      <c r="CF248" s="8"/>
      <c r="EA248" s="1">
        <f t="shared" si="251"/>
        <v>49.6</v>
      </c>
      <c r="EB248" s="1" t="str">
        <f t="shared" si="237"/>
        <v>52.3438492693842+41.1173416799117i</v>
      </c>
      <c r="EC248" s="1" t="str">
        <f t="shared" si="238"/>
        <v>26.5854256544931+28.9421666228123i</v>
      </c>
      <c r="ED248" s="52" t="str">
        <f t="shared" si="239"/>
        <v>9.16599475620252+15.2026916311391i</v>
      </c>
      <c r="EE248" s="1" t="str">
        <f t="shared" si="240"/>
        <v>5.94760498082991+11.414261135444i</v>
      </c>
      <c r="EF248" s="1" t="str">
        <f t="shared" si="241"/>
        <v>862411.702046093+2048772.20255399i</v>
      </c>
      <c r="EH248" s="1" t="str">
        <f t="shared" si="242"/>
        <v>3.14313574687736+4.85308192238677i</v>
      </c>
      <c r="EI248" s="1" t="str">
        <f t="shared" si="236"/>
        <v>0.0143880322809015+17.8411600283179i</v>
      </c>
      <c r="EJ248" s="1" t="str">
        <f t="shared" si="243"/>
        <v>1.90660279637149+4.07854695200904i</v>
      </c>
      <c r="EL248" s="52">
        <f t="shared" si="252"/>
        <v>49.6</v>
      </c>
      <c r="EM248" s="14">
        <f t="shared" si="244"/>
        <v>5.7820157790078337</v>
      </c>
      <c r="EN248" s="14">
        <f t="shared" si="244"/>
        <v>17.841165829942877</v>
      </c>
      <c r="EO248" s="14">
        <f t="shared" si="244"/>
        <v>4.5021860759939516</v>
      </c>
      <c r="EQ248" s="1" t="str">
        <f t="shared" si="245"/>
        <v>0.228689271039222-0.106680978408158i</v>
      </c>
      <c r="ER248" s="14">
        <f t="shared" si="246"/>
        <v>49.6</v>
      </c>
      <c r="ES248" s="2">
        <f t="shared" si="247"/>
        <v>0.25234819960239979</v>
      </c>
      <c r="EU248" s="1" t="str">
        <f t="shared" si="248"/>
        <v>0.771310728960776+0.106680978408158i</v>
      </c>
      <c r="EV248" s="52">
        <f t="shared" si="249"/>
        <v>49.6</v>
      </c>
      <c r="EW248" s="2">
        <f t="shared" si="250"/>
        <v>0.77865337073959018</v>
      </c>
      <c r="HB248" s="1"/>
      <c r="JO248" s="1"/>
      <c r="JS248" s="1"/>
    </row>
    <row r="249" spans="2:279" ht="18" customHeight="1" x14ac:dyDescent="0.25">
      <c r="B249" s="6"/>
      <c r="AN249" s="9"/>
      <c r="AP249" s="8"/>
      <c r="AR249" s="6"/>
      <c r="CD249" s="9"/>
      <c r="CF249" s="8"/>
      <c r="EA249" s="1">
        <f t="shared" si="251"/>
        <v>49.8</v>
      </c>
      <c r="EB249" s="1" t="str">
        <f t="shared" si="237"/>
        <v>52.5097036795181+41.0854614914271i</v>
      </c>
      <c r="EC249" s="1" t="str">
        <f t="shared" si="238"/>
        <v>26.7053575171734+28.9608202433778i</v>
      </c>
      <c r="ED249" s="52" t="str">
        <f t="shared" si="239"/>
        <v>9.22207303674075+15.2407420557161i</v>
      </c>
      <c r="EE249" s="1" t="str">
        <f t="shared" si="240"/>
        <v>5.98668274946403+11.4500367677441i</v>
      </c>
      <c r="EF249" s="1" t="str">
        <f t="shared" si="241"/>
        <v>868552.963211844+2057316.75055887i</v>
      </c>
      <c r="EH249" s="1" t="str">
        <f t="shared" si="242"/>
        <v>3.16188644268755+4.86415289785307i</v>
      </c>
      <c r="EI249" s="1" t="str">
        <f t="shared" si="236"/>
        <v>0.0143880322809015+17.9131001897224i</v>
      </c>
      <c r="EJ249" s="1" t="str">
        <f t="shared" si="243"/>
        <v>1.91923572920298+4.09103696451038i</v>
      </c>
      <c r="EL249" s="52">
        <f t="shared" si="252"/>
        <v>49.8</v>
      </c>
      <c r="EM249" s="14">
        <f t="shared" si="244"/>
        <v>5.8015092252054341</v>
      </c>
      <c r="EN249" s="14">
        <f t="shared" si="244"/>
        <v>17.913105968047688</v>
      </c>
      <c r="EO249" s="14">
        <f t="shared" si="244"/>
        <v>4.5188548581736496</v>
      </c>
      <c r="EQ249" s="1" t="str">
        <f t="shared" si="245"/>
        <v>0.228468318472986-0.10695795252465i</v>
      </c>
      <c r="ER249" s="14">
        <f t="shared" si="246"/>
        <v>49.8</v>
      </c>
      <c r="ES249" s="2">
        <f t="shared" si="247"/>
        <v>0.25226528923761793</v>
      </c>
      <c r="EU249" s="1" t="str">
        <f t="shared" si="248"/>
        <v>0.771531681527013+0.10695795252465i</v>
      </c>
      <c r="EV249" s="52">
        <f t="shared" si="249"/>
        <v>49.8</v>
      </c>
      <c r="EW249" s="2">
        <f t="shared" si="250"/>
        <v>0.77891022538426435</v>
      </c>
      <c r="HB249" s="1"/>
      <c r="JO249" s="1"/>
      <c r="JS249" s="1"/>
    </row>
    <row r="250" spans="2:279" ht="18" customHeight="1" thickBot="1" x14ac:dyDescent="0.3">
      <c r="B250" s="6"/>
      <c r="C250" s="104" t="s">
        <v>489</v>
      </c>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1"/>
      <c r="AO250" s="10"/>
      <c r="AP250" s="8"/>
      <c r="AR250" s="6"/>
      <c r="AS250" s="104" t="s">
        <v>489</v>
      </c>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1"/>
      <c r="CE250" s="10"/>
      <c r="CF250" s="8"/>
      <c r="EA250" s="1">
        <f t="shared" si="251"/>
        <v>50</v>
      </c>
      <c r="EB250" s="1" t="str">
        <f t="shared" si="237"/>
        <v>52.6746077227019+41.0530758608172i</v>
      </c>
      <c r="EC250" s="1" t="str">
        <f t="shared" si="238"/>
        <v>26.8249209810622+28.9789119546525i</v>
      </c>
      <c r="ED250" s="52" t="str">
        <f t="shared" si="239"/>
        <v>9.27815805001024+15.2784999278502i</v>
      </c>
      <c r="EE250" s="1" t="str">
        <f t="shared" si="240"/>
        <v>6.02580040418217+11.4856091660178i</v>
      </c>
      <c r="EF250" s="1" t="str">
        <f t="shared" si="241"/>
        <v>874707.239254751+2065828.34524855i</v>
      </c>
      <c r="EH250" s="1" t="str">
        <f t="shared" si="242"/>
        <v>3.18063002500484+4.87512331276899i</v>
      </c>
      <c r="EI250" s="1" t="str">
        <f t="shared" si="236"/>
        <v>0.0143880322809015+17.9850403511269i</v>
      </c>
      <c r="EJ250" s="1" t="str">
        <f t="shared" si="243"/>
        <v>1.93188686165536+4.10346755501013i</v>
      </c>
      <c r="EL250" s="52">
        <f t="shared" si="252"/>
        <v>50</v>
      </c>
      <c r="EM250" s="14">
        <f t="shared" si="244"/>
        <v>5.8209307392088059</v>
      </c>
      <c r="EN250" s="14">
        <f t="shared" si="244"/>
        <v>17.985046106338892</v>
      </c>
      <c r="EO250" s="14">
        <f t="shared" si="244"/>
        <v>4.5354859520515998</v>
      </c>
      <c r="EQ250" s="1" t="str">
        <f t="shared" si="245"/>
        <v>0.228245828596963-0.107233724009114i</v>
      </c>
      <c r="ER250" s="14">
        <f t="shared" si="246"/>
        <v>50</v>
      </c>
      <c r="ES250" s="2">
        <f t="shared" si="247"/>
        <v>0.25218094661725943</v>
      </c>
      <c r="EU250" s="1" t="str">
        <f t="shared" si="248"/>
        <v>0.771754171403037+0.107233724009114i</v>
      </c>
      <c r="EV250" s="52">
        <f t="shared" si="249"/>
        <v>50</v>
      </c>
      <c r="EW250" s="2">
        <f t="shared" si="250"/>
        <v>0.77916851363671713</v>
      </c>
      <c r="HB250" s="1"/>
      <c r="JO250" s="1"/>
      <c r="JS250" s="1"/>
    </row>
    <row r="251" spans="2:279" ht="18" customHeight="1" x14ac:dyDescent="0.25">
      <c r="B251" s="6"/>
      <c r="AN251" s="9"/>
      <c r="AP251" s="8"/>
      <c r="AR251" s="6"/>
      <c r="CF251" s="8"/>
      <c r="HB251" s="1"/>
      <c r="JO251" s="1"/>
      <c r="JS251" s="1"/>
    </row>
    <row r="252" spans="2:279" ht="18" customHeight="1" x14ac:dyDescent="0.25">
      <c r="B252" s="6"/>
      <c r="AP252" s="8"/>
      <c r="AR252" s="6"/>
      <c r="AS252" s="153" t="s">
        <v>644</v>
      </c>
      <c r="AT252" s="153"/>
      <c r="AU252" s="153"/>
      <c r="AV252" s="153"/>
      <c r="AW252" s="153"/>
      <c r="AX252" s="153"/>
      <c r="AY252" s="153"/>
      <c r="AZ252" s="153"/>
      <c r="BA252" s="153"/>
      <c r="BB252" s="153"/>
      <c r="BC252" s="153"/>
      <c r="BD252" s="153"/>
      <c r="BE252" s="153"/>
      <c r="BF252" s="153"/>
      <c r="BG252" s="153"/>
      <c r="BH252" s="153"/>
      <c r="BI252" s="153"/>
      <c r="BJ252" s="153"/>
      <c r="BK252" s="153"/>
      <c r="BL252" s="153"/>
      <c r="BM252" s="153"/>
      <c r="BN252" s="153"/>
      <c r="BO252" s="153"/>
      <c r="BP252" s="153"/>
      <c r="BQ252" s="153"/>
      <c r="BR252" s="153"/>
      <c r="BS252" s="153"/>
      <c r="BT252" s="153"/>
      <c r="BU252" s="153"/>
      <c r="BV252" s="153"/>
      <c r="BW252" s="153"/>
      <c r="BX252" s="153"/>
      <c r="BY252" s="153"/>
      <c r="BZ252" s="153"/>
      <c r="CA252" s="153"/>
      <c r="CB252" s="153"/>
      <c r="CC252" s="153"/>
      <c r="CD252" s="153"/>
      <c r="CE252" s="153"/>
      <c r="CF252" s="8"/>
      <c r="HB252" s="1"/>
      <c r="JO252" s="1"/>
      <c r="JS252" s="1"/>
    </row>
    <row r="253" spans="2:279" ht="18" customHeight="1" x14ac:dyDescent="0.25">
      <c r="B253" s="6"/>
      <c r="AP253" s="8"/>
      <c r="AR253" s="6"/>
      <c r="AS253" s="153"/>
      <c r="AT253" s="153"/>
      <c r="AU253" s="153"/>
      <c r="AV253" s="153"/>
      <c r="AW253" s="153"/>
      <c r="AX253" s="153"/>
      <c r="AY253" s="153"/>
      <c r="AZ253" s="153"/>
      <c r="BA253" s="153"/>
      <c r="BB253" s="153"/>
      <c r="BC253" s="153"/>
      <c r="BD253" s="153"/>
      <c r="BE253" s="153"/>
      <c r="BF253" s="153"/>
      <c r="BG253" s="153"/>
      <c r="BH253" s="153"/>
      <c r="BI253" s="153"/>
      <c r="BJ253" s="153"/>
      <c r="BK253" s="153"/>
      <c r="BL253" s="153"/>
      <c r="BM253" s="153"/>
      <c r="BN253" s="153"/>
      <c r="BO253" s="153"/>
      <c r="BP253" s="153"/>
      <c r="BQ253" s="153"/>
      <c r="BR253" s="153"/>
      <c r="BS253" s="153"/>
      <c r="BT253" s="153"/>
      <c r="BU253" s="153"/>
      <c r="BV253" s="153"/>
      <c r="BW253" s="153"/>
      <c r="BX253" s="153"/>
      <c r="BY253" s="153"/>
      <c r="BZ253" s="153"/>
      <c r="CA253" s="153"/>
      <c r="CB253" s="153"/>
      <c r="CC253" s="153"/>
      <c r="CD253" s="153"/>
      <c r="CE253" s="153"/>
      <c r="CF253" s="8"/>
      <c r="HB253" s="1"/>
      <c r="JO253" s="1"/>
      <c r="JS253" s="1"/>
    </row>
    <row r="254" spans="2:279" ht="18" customHeight="1" x14ac:dyDescent="0.25">
      <c r="B254" s="6"/>
      <c r="AP254" s="8"/>
      <c r="AR254" s="6"/>
      <c r="AS254" s="153"/>
      <c r="AT254" s="153"/>
      <c r="AU254" s="153"/>
      <c r="AV254" s="153"/>
      <c r="AW254" s="153"/>
      <c r="AX254" s="153"/>
      <c r="AY254" s="153"/>
      <c r="AZ254" s="153"/>
      <c r="BA254" s="153"/>
      <c r="BB254" s="153"/>
      <c r="BC254" s="153"/>
      <c r="BD254" s="153"/>
      <c r="BE254" s="153"/>
      <c r="BF254" s="153"/>
      <c r="BG254" s="153"/>
      <c r="BH254" s="153"/>
      <c r="BI254" s="153"/>
      <c r="BJ254" s="153"/>
      <c r="BK254" s="153"/>
      <c r="BL254" s="153"/>
      <c r="BM254" s="153"/>
      <c r="BN254" s="153"/>
      <c r="BO254" s="153"/>
      <c r="BP254" s="153"/>
      <c r="BQ254" s="153"/>
      <c r="BR254" s="153"/>
      <c r="BS254" s="153"/>
      <c r="BT254" s="153"/>
      <c r="BU254" s="153"/>
      <c r="BV254" s="153"/>
      <c r="BW254" s="153"/>
      <c r="BX254" s="153"/>
      <c r="BY254" s="153"/>
      <c r="BZ254" s="153"/>
      <c r="CA254" s="153"/>
      <c r="CB254" s="153"/>
      <c r="CC254" s="153"/>
      <c r="CD254" s="153"/>
      <c r="CE254" s="153"/>
      <c r="CF254" s="8"/>
      <c r="HB254" s="1"/>
      <c r="JO254" s="1"/>
      <c r="JS254" s="1"/>
    </row>
    <row r="255" spans="2:279" ht="18" customHeight="1" x14ac:dyDescent="0.25">
      <c r="B255" s="6"/>
      <c r="AP255" s="8"/>
      <c r="AR255" s="6"/>
      <c r="AS255" s="153"/>
      <c r="AT255" s="153"/>
      <c r="AU255" s="153"/>
      <c r="AV255" s="153"/>
      <c r="AW255" s="153"/>
      <c r="AX255" s="153"/>
      <c r="AY255" s="153"/>
      <c r="AZ255" s="153"/>
      <c r="BA255" s="153"/>
      <c r="BB255" s="153"/>
      <c r="BC255" s="153"/>
      <c r="BD255" s="153"/>
      <c r="BE255" s="153"/>
      <c r="BF255" s="153"/>
      <c r="BG255" s="153"/>
      <c r="BH255" s="153"/>
      <c r="BI255" s="153"/>
      <c r="BJ255" s="153"/>
      <c r="BK255" s="153"/>
      <c r="BL255" s="153"/>
      <c r="BM255" s="153"/>
      <c r="BN255" s="153"/>
      <c r="BO255" s="153"/>
      <c r="BP255" s="153"/>
      <c r="BQ255" s="153"/>
      <c r="BR255" s="153"/>
      <c r="BS255" s="153"/>
      <c r="BT255" s="153"/>
      <c r="BU255" s="153"/>
      <c r="BV255" s="153"/>
      <c r="BW255" s="153"/>
      <c r="BX255" s="153"/>
      <c r="BY255" s="153"/>
      <c r="BZ255" s="153"/>
      <c r="CA255" s="153"/>
      <c r="CB255" s="153"/>
      <c r="CC255" s="153"/>
      <c r="CD255" s="153"/>
      <c r="CE255" s="153"/>
      <c r="CF255" s="8"/>
      <c r="HB255" s="1"/>
      <c r="JO255" s="1"/>
      <c r="JS255" s="1"/>
    </row>
    <row r="256" spans="2:279" ht="18" customHeight="1" x14ac:dyDescent="0.25">
      <c r="B256" s="6"/>
      <c r="AP256" s="8"/>
      <c r="AR256" s="6"/>
      <c r="AS256" s="153"/>
      <c r="AT256" s="153"/>
      <c r="AU256" s="153"/>
      <c r="AV256" s="153"/>
      <c r="AW256" s="153"/>
      <c r="AX256" s="153"/>
      <c r="AY256" s="153"/>
      <c r="AZ256" s="153"/>
      <c r="BA256" s="153"/>
      <c r="BB256" s="153"/>
      <c r="BC256" s="153"/>
      <c r="BD256" s="153"/>
      <c r="BE256" s="153"/>
      <c r="BF256" s="153"/>
      <c r="BG256" s="153"/>
      <c r="BH256" s="153"/>
      <c r="BI256" s="153"/>
      <c r="BJ256" s="153"/>
      <c r="BK256" s="153"/>
      <c r="BL256" s="153"/>
      <c r="BM256" s="153"/>
      <c r="BN256" s="153"/>
      <c r="BO256" s="153"/>
      <c r="BP256" s="153"/>
      <c r="BQ256" s="153"/>
      <c r="BR256" s="153"/>
      <c r="BS256" s="153"/>
      <c r="BT256" s="153"/>
      <c r="BU256" s="153"/>
      <c r="BV256" s="153"/>
      <c r="BW256" s="153"/>
      <c r="BX256" s="153"/>
      <c r="BY256" s="153"/>
      <c r="BZ256" s="153"/>
      <c r="CA256" s="153"/>
      <c r="CB256" s="153"/>
      <c r="CC256" s="153"/>
      <c r="CD256" s="153"/>
      <c r="CE256" s="153"/>
      <c r="CF256" s="8"/>
      <c r="HB256" s="1"/>
      <c r="JO256" s="1"/>
      <c r="JS256" s="1"/>
    </row>
    <row r="257" spans="2:279" ht="18" customHeight="1" x14ac:dyDescent="0.25">
      <c r="B257" s="6"/>
      <c r="AP257" s="8"/>
      <c r="AR257" s="6"/>
      <c r="AS257" s="153"/>
      <c r="AT257" s="153"/>
      <c r="AU257" s="153"/>
      <c r="AV257" s="153"/>
      <c r="AW257" s="153"/>
      <c r="AX257" s="153"/>
      <c r="AY257" s="153"/>
      <c r="AZ257" s="153"/>
      <c r="BA257" s="153"/>
      <c r="BB257" s="153"/>
      <c r="BC257" s="153"/>
      <c r="BD257" s="153"/>
      <c r="BE257" s="153"/>
      <c r="BF257" s="153"/>
      <c r="BG257" s="153"/>
      <c r="BH257" s="153"/>
      <c r="BI257" s="153"/>
      <c r="BJ257" s="153"/>
      <c r="BK257" s="153"/>
      <c r="BL257" s="153"/>
      <c r="BM257" s="153"/>
      <c r="BN257" s="153"/>
      <c r="BO257" s="153"/>
      <c r="BP257" s="153"/>
      <c r="BQ257" s="153"/>
      <c r="BR257" s="153"/>
      <c r="BS257" s="153"/>
      <c r="BT257" s="153"/>
      <c r="BU257" s="153"/>
      <c r="BV257" s="153"/>
      <c r="BW257" s="153"/>
      <c r="BX257" s="153"/>
      <c r="BY257" s="153"/>
      <c r="BZ257" s="153"/>
      <c r="CA257" s="153"/>
      <c r="CB257" s="153"/>
      <c r="CC257" s="153"/>
      <c r="CD257" s="153"/>
      <c r="CE257" s="153"/>
      <c r="CF257" s="8"/>
      <c r="HB257" s="1"/>
      <c r="JO257" s="1"/>
      <c r="JS257" s="1"/>
    </row>
    <row r="258" spans="2:279" ht="18" customHeight="1" x14ac:dyDescent="0.25">
      <c r="B258" s="6"/>
      <c r="AP258" s="8"/>
      <c r="AR258" s="6"/>
      <c r="AS258" s="153"/>
      <c r="AT258" s="153"/>
      <c r="AU258" s="153"/>
      <c r="AV258" s="153"/>
      <c r="AW258" s="153"/>
      <c r="AX258" s="153"/>
      <c r="AY258" s="153"/>
      <c r="AZ258" s="153"/>
      <c r="BA258" s="153"/>
      <c r="BB258" s="153"/>
      <c r="BC258" s="153"/>
      <c r="BD258" s="153"/>
      <c r="BE258" s="153"/>
      <c r="BF258" s="153"/>
      <c r="BG258" s="153"/>
      <c r="BH258" s="153"/>
      <c r="BI258" s="153"/>
      <c r="BJ258" s="153"/>
      <c r="BK258" s="153"/>
      <c r="BL258" s="153"/>
      <c r="BM258" s="153"/>
      <c r="BN258" s="153"/>
      <c r="BO258" s="153"/>
      <c r="BP258" s="153"/>
      <c r="BQ258" s="153"/>
      <c r="BR258" s="153"/>
      <c r="BS258" s="153"/>
      <c r="BT258" s="153"/>
      <c r="BU258" s="153"/>
      <c r="BV258" s="153"/>
      <c r="BW258" s="153"/>
      <c r="BX258" s="153"/>
      <c r="BY258" s="153"/>
      <c r="BZ258" s="153"/>
      <c r="CA258" s="153"/>
      <c r="CB258" s="153"/>
      <c r="CC258" s="153"/>
      <c r="CD258" s="153"/>
      <c r="CE258" s="153"/>
      <c r="CF258" s="8"/>
      <c r="HB258" s="1"/>
      <c r="JO258" s="1"/>
      <c r="JS258" s="1"/>
    </row>
    <row r="259" spans="2:279" ht="18" customHeight="1" x14ac:dyDescent="0.25">
      <c r="B259" s="6"/>
      <c r="AP259" s="8"/>
      <c r="AR259" s="6"/>
      <c r="AS259" s="153"/>
      <c r="AT259" s="153"/>
      <c r="AU259" s="153"/>
      <c r="AV259" s="153"/>
      <c r="AW259" s="153"/>
      <c r="AX259" s="153"/>
      <c r="AY259" s="153"/>
      <c r="AZ259" s="153"/>
      <c r="BA259" s="153"/>
      <c r="BB259" s="153"/>
      <c r="BC259" s="153"/>
      <c r="BD259" s="153"/>
      <c r="BE259" s="153"/>
      <c r="BF259" s="153"/>
      <c r="BG259" s="153"/>
      <c r="BH259" s="153"/>
      <c r="BI259" s="153"/>
      <c r="BJ259" s="153"/>
      <c r="BK259" s="153"/>
      <c r="BL259" s="153"/>
      <c r="BM259" s="153"/>
      <c r="BN259" s="153"/>
      <c r="BO259" s="153"/>
      <c r="BP259" s="153"/>
      <c r="BQ259" s="153"/>
      <c r="BR259" s="153"/>
      <c r="BS259" s="153"/>
      <c r="BT259" s="153"/>
      <c r="BU259" s="153"/>
      <c r="BV259" s="153"/>
      <c r="BW259" s="153"/>
      <c r="BX259" s="153"/>
      <c r="BY259" s="153"/>
      <c r="BZ259" s="153"/>
      <c r="CA259" s="153"/>
      <c r="CB259" s="153"/>
      <c r="CC259" s="153"/>
      <c r="CD259" s="153"/>
      <c r="CE259" s="153"/>
      <c r="CF259" s="8"/>
      <c r="HB259" s="1"/>
      <c r="JO259" s="1"/>
      <c r="JS259" s="1"/>
    </row>
    <row r="260" spans="2:279" ht="18" customHeight="1" x14ac:dyDescent="0.25">
      <c r="B260" s="6"/>
      <c r="AP260" s="8"/>
      <c r="AR260" s="6"/>
      <c r="AS260" s="153"/>
      <c r="AT260" s="153"/>
      <c r="AU260" s="153"/>
      <c r="AV260" s="153"/>
      <c r="AW260" s="153"/>
      <c r="AX260" s="153"/>
      <c r="AY260" s="153"/>
      <c r="AZ260" s="153"/>
      <c r="BA260" s="153"/>
      <c r="BB260" s="153"/>
      <c r="BC260" s="153"/>
      <c r="BD260" s="153"/>
      <c r="BE260" s="153"/>
      <c r="BF260" s="153"/>
      <c r="BG260" s="153"/>
      <c r="BH260" s="153"/>
      <c r="BI260" s="153"/>
      <c r="BJ260" s="153"/>
      <c r="BK260" s="153"/>
      <c r="BL260" s="153"/>
      <c r="BM260" s="153"/>
      <c r="BN260" s="153"/>
      <c r="BO260" s="153"/>
      <c r="BP260" s="153"/>
      <c r="BQ260" s="153"/>
      <c r="BR260" s="153"/>
      <c r="BS260" s="153"/>
      <c r="BT260" s="153"/>
      <c r="BU260" s="153"/>
      <c r="BV260" s="153"/>
      <c r="BW260" s="153"/>
      <c r="BX260" s="153"/>
      <c r="BY260" s="153"/>
      <c r="BZ260" s="153"/>
      <c r="CA260" s="153"/>
      <c r="CB260" s="153"/>
      <c r="CC260" s="153"/>
      <c r="CD260" s="153"/>
      <c r="CE260" s="153"/>
      <c r="CF260" s="8"/>
      <c r="EB260" s="15"/>
      <c r="EC260" s="15"/>
      <c r="ED260" s="15"/>
      <c r="EE260" s="15"/>
      <c r="EF260" s="15"/>
      <c r="EH260" s="56"/>
      <c r="EI260" s="56"/>
      <c r="EJ260" s="56"/>
      <c r="EK260" s="109"/>
      <c r="HB260" s="1"/>
      <c r="JO260" s="1"/>
      <c r="JS260" s="1"/>
    </row>
    <row r="261" spans="2:279" ht="18" customHeight="1" x14ac:dyDescent="0.25">
      <c r="B261" s="6"/>
      <c r="AP261" s="8"/>
      <c r="AR261" s="6"/>
      <c r="AS261" s="153"/>
      <c r="AT261" s="153"/>
      <c r="AU261" s="153"/>
      <c r="AV261" s="153"/>
      <c r="AW261" s="153"/>
      <c r="AX261" s="153"/>
      <c r="AY261" s="153"/>
      <c r="AZ261" s="153"/>
      <c r="BA261" s="153"/>
      <c r="BB261" s="153"/>
      <c r="BC261" s="153"/>
      <c r="BD261" s="153"/>
      <c r="BE261" s="153"/>
      <c r="BF261" s="153"/>
      <c r="BG261" s="153"/>
      <c r="BH261" s="153"/>
      <c r="BI261" s="153"/>
      <c r="BJ261" s="153"/>
      <c r="BK261" s="153"/>
      <c r="BL261" s="153"/>
      <c r="BM261" s="153"/>
      <c r="BN261" s="153"/>
      <c r="BO261" s="153"/>
      <c r="BP261" s="153"/>
      <c r="BQ261" s="153"/>
      <c r="BR261" s="153"/>
      <c r="BS261" s="153"/>
      <c r="BT261" s="153"/>
      <c r="BU261" s="153"/>
      <c r="BV261" s="153"/>
      <c r="BW261" s="153"/>
      <c r="BX261" s="153"/>
      <c r="BY261" s="153"/>
      <c r="BZ261" s="153"/>
      <c r="CA261" s="153"/>
      <c r="CB261" s="153"/>
      <c r="CC261" s="153"/>
      <c r="CD261" s="153"/>
      <c r="CE261" s="153"/>
      <c r="CF261" s="8"/>
      <c r="EB261" s="58"/>
      <c r="EC261" s="59"/>
      <c r="ED261" s="58"/>
      <c r="EE261" s="59"/>
      <c r="EF261" s="58"/>
      <c r="HB261" s="1"/>
      <c r="JO261" s="1"/>
      <c r="JS261" s="1"/>
    </row>
    <row r="262" spans="2:279" ht="18" customHeight="1" x14ac:dyDescent="0.25">
      <c r="B262" s="6"/>
      <c r="AP262" s="8"/>
      <c r="AR262" s="6"/>
      <c r="AS262" s="153"/>
      <c r="AT262" s="153"/>
      <c r="AU262" s="153"/>
      <c r="AV262" s="153"/>
      <c r="AW262" s="153"/>
      <c r="AX262" s="153"/>
      <c r="AY262" s="153"/>
      <c r="AZ262" s="153"/>
      <c r="BA262" s="153"/>
      <c r="BB262" s="153"/>
      <c r="BC262" s="153"/>
      <c r="BD262" s="153"/>
      <c r="BE262" s="153"/>
      <c r="BF262" s="153"/>
      <c r="BG262" s="153"/>
      <c r="BH262" s="153"/>
      <c r="BI262" s="153"/>
      <c r="BJ262" s="153"/>
      <c r="BK262" s="153"/>
      <c r="BL262" s="153"/>
      <c r="BM262" s="153"/>
      <c r="BN262" s="153"/>
      <c r="BO262" s="153"/>
      <c r="BP262" s="153"/>
      <c r="BQ262" s="153"/>
      <c r="BR262" s="153"/>
      <c r="BS262" s="153"/>
      <c r="BT262" s="153"/>
      <c r="BU262" s="153"/>
      <c r="BV262" s="153"/>
      <c r="BW262" s="153"/>
      <c r="BX262" s="153"/>
      <c r="BY262" s="153"/>
      <c r="BZ262" s="153"/>
      <c r="CA262" s="153"/>
      <c r="CB262" s="153"/>
      <c r="CC262" s="153"/>
      <c r="CD262" s="153"/>
      <c r="CE262" s="153"/>
      <c r="CF262" s="8"/>
      <c r="HB262" s="1"/>
      <c r="JO262" s="1"/>
      <c r="JS262" s="1"/>
    </row>
    <row r="263" spans="2:279" ht="18" customHeight="1" x14ac:dyDescent="0.25">
      <c r="B263" s="6"/>
      <c r="AP263" s="8"/>
      <c r="AR263" s="6"/>
      <c r="AS263" s="153"/>
      <c r="AT263" s="153"/>
      <c r="AU263" s="153"/>
      <c r="AV263" s="153"/>
      <c r="AW263" s="153"/>
      <c r="AX263" s="153"/>
      <c r="AY263" s="153"/>
      <c r="AZ263" s="153"/>
      <c r="BA263" s="153"/>
      <c r="BB263" s="153"/>
      <c r="BC263" s="153"/>
      <c r="BD263" s="153"/>
      <c r="BE263" s="153"/>
      <c r="BF263" s="153"/>
      <c r="BG263" s="153"/>
      <c r="BH263" s="153"/>
      <c r="BI263" s="153"/>
      <c r="BJ263" s="153"/>
      <c r="BK263" s="153"/>
      <c r="BL263" s="153"/>
      <c r="BM263" s="153"/>
      <c r="BN263" s="153"/>
      <c r="BO263" s="153"/>
      <c r="BP263" s="153"/>
      <c r="BQ263" s="153"/>
      <c r="BR263" s="153"/>
      <c r="BS263" s="153"/>
      <c r="BT263" s="153"/>
      <c r="BU263" s="153"/>
      <c r="BV263" s="153"/>
      <c r="BW263" s="153"/>
      <c r="BX263" s="153"/>
      <c r="BY263" s="153"/>
      <c r="BZ263" s="153"/>
      <c r="CA263" s="153"/>
      <c r="CB263" s="153"/>
      <c r="CC263" s="153"/>
      <c r="CD263" s="153"/>
      <c r="CE263" s="153"/>
      <c r="CF263" s="8"/>
      <c r="HB263" s="1"/>
      <c r="JO263" s="1"/>
      <c r="JS263" s="1"/>
    </row>
    <row r="264" spans="2:279" ht="18" customHeight="1" x14ac:dyDescent="0.25">
      <c r="B264" s="6"/>
      <c r="C264" s="91"/>
      <c r="D264" s="91"/>
      <c r="E264" s="91"/>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8"/>
      <c r="AR264" s="6"/>
      <c r="AS264" s="153"/>
      <c r="AT264" s="153"/>
      <c r="AU264" s="153"/>
      <c r="AV264" s="153"/>
      <c r="AW264" s="153"/>
      <c r="AX264" s="153"/>
      <c r="AY264" s="153"/>
      <c r="AZ264" s="153"/>
      <c r="BA264" s="153"/>
      <c r="BB264" s="153"/>
      <c r="BC264" s="153"/>
      <c r="BD264" s="153"/>
      <c r="BE264" s="153"/>
      <c r="BF264" s="153"/>
      <c r="BG264" s="153"/>
      <c r="BH264" s="153"/>
      <c r="BI264" s="153"/>
      <c r="BJ264" s="153"/>
      <c r="BK264" s="153"/>
      <c r="BL264" s="153"/>
      <c r="BM264" s="153"/>
      <c r="BN264" s="153"/>
      <c r="BO264" s="153"/>
      <c r="BP264" s="153"/>
      <c r="BQ264" s="153"/>
      <c r="BR264" s="153"/>
      <c r="BS264" s="153"/>
      <c r="BT264" s="153"/>
      <c r="BU264" s="153"/>
      <c r="BV264" s="153"/>
      <c r="BW264" s="153"/>
      <c r="BX264" s="153"/>
      <c r="BY264" s="153"/>
      <c r="BZ264" s="153"/>
      <c r="CA264" s="153"/>
      <c r="CB264" s="153"/>
      <c r="CC264" s="153"/>
      <c r="CD264" s="153"/>
      <c r="CE264" s="153"/>
      <c r="CF264" s="8"/>
      <c r="EH264" s="15"/>
      <c r="EI264" s="15"/>
      <c r="EJ264" s="15"/>
      <c r="EK264" s="110"/>
      <c r="HB264" s="1"/>
      <c r="JO264" s="1"/>
      <c r="JS264" s="1"/>
    </row>
    <row r="265" spans="2:279" ht="18" customHeight="1" x14ac:dyDescent="0.25">
      <c r="B265" s="6"/>
      <c r="C265" s="91"/>
      <c r="D265" s="91"/>
      <c r="E265" s="91"/>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8"/>
      <c r="AR265" s="6"/>
      <c r="AS265" s="153"/>
      <c r="AT265" s="153"/>
      <c r="AU265" s="153"/>
      <c r="AV265" s="153"/>
      <c r="AW265" s="153"/>
      <c r="AX265" s="153"/>
      <c r="AY265" s="153"/>
      <c r="AZ265" s="153"/>
      <c r="BA265" s="153"/>
      <c r="BB265" s="153"/>
      <c r="BC265" s="153"/>
      <c r="BD265" s="153"/>
      <c r="BE265" s="153"/>
      <c r="BF265" s="153"/>
      <c r="BG265" s="153"/>
      <c r="BH265" s="153"/>
      <c r="BI265" s="153"/>
      <c r="BJ265" s="153"/>
      <c r="BK265" s="153"/>
      <c r="BL265" s="153"/>
      <c r="BM265" s="153"/>
      <c r="BN265" s="153"/>
      <c r="BO265" s="153"/>
      <c r="BP265" s="153"/>
      <c r="BQ265" s="153"/>
      <c r="BR265" s="153"/>
      <c r="BS265" s="153"/>
      <c r="BT265" s="153"/>
      <c r="BU265" s="153"/>
      <c r="BV265" s="153"/>
      <c r="BW265" s="153"/>
      <c r="BX265" s="153"/>
      <c r="BY265" s="153"/>
      <c r="BZ265" s="153"/>
      <c r="CA265" s="153"/>
      <c r="CB265" s="153"/>
      <c r="CC265" s="153"/>
      <c r="CD265" s="153"/>
      <c r="CE265" s="153"/>
      <c r="CF265" s="8"/>
      <c r="HB265" s="1"/>
      <c r="JO265" s="1"/>
      <c r="JS265" s="1"/>
    </row>
    <row r="266" spans="2:279" ht="18" customHeight="1" x14ac:dyDescent="0.25">
      <c r="B266" s="6"/>
      <c r="C266" s="91"/>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8"/>
      <c r="AR266" s="6"/>
      <c r="AS266" s="153"/>
      <c r="AT266" s="153"/>
      <c r="AU266" s="153"/>
      <c r="AV266" s="153"/>
      <c r="AW266" s="153"/>
      <c r="AX266" s="153"/>
      <c r="AY266" s="153"/>
      <c r="AZ266" s="153"/>
      <c r="BA266" s="153"/>
      <c r="BB266" s="153"/>
      <c r="BC266" s="153"/>
      <c r="BD266" s="153"/>
      <c r="BE266" s="153"/>
      <c r="BF266" s="153"/>
      <c r="BG266" s="153"/>
      <c r="BH266" s="153"/>
      <c r="BI266" s="153"/>
      <c r="BJ266" s="153"/>
      <c r="BK266" s="153"/>
      <c r="BL266" s="153"/>
      <c r="BM266" s="153"/>
      <c r="BN266" s="153"/>
      <c r="BO266" s="153"/>
      <c r="BP266" s="153"/>
      <c r="BQ266" s="153"/>
      <c r="BR266" s="153"/>
      <c r="BS266" s="153"/>
      <c r="BT266" s="153"/>
      <c r="BU266" s="153"/>
      <c r="BV266" s="153"/>
      <c r="BW266" s="153"/>
      <c r="BX266" s="153"/>
      <c r="BY266" s="153"/>
      <c r="BZ266" s="153"/>
      <c r="CA266" s="153"/>
      <c r="CB266" s="153"/>
      <c r="CC266" s="153"/>
      <c r="CD266" s="153"/>
      <c r="CE266" s="153"/>
      <c r="CF266" s="8"/>
      <c r="HB266" s="1"/>
      <c r="JO266" s="1"/>
      <c r="JS266" s="1"/>
    </row>
    <row r="267" spans="2:279" ht="18" customHeight="1" x14ac:dyDescent="0.25">
      <c r="B267" s="6"/>
      <c r="C267" s="91"/>
      <c r="D267" s="91"/>
      <c r="E267" s="91"/>
      <c r="F267" s="91"/>
      <c r="G267" s="91"/>
      <c r="H267" s="91"/>
      <c r="I267" s="91"/>
      <c r="J267" s="91"/>
      <c r="K267" s="91"/>
      <c r="L267" s="91"/>
      <c r="M267" s="91"/>
      <c r="N267" s="91"/>
      <c r="O267" s="91"/>
      <c r="P267" s="91"/>
      <c r="Q267" s="91"/>
      <c r="R267" s="91"/>
      <c r="S267" s="91"/>
      <c r="T267" s="91"/>
      <c r="U267" s="91"/>
      <c r="V267" s="91"/>
      <c r="W267" s="91"/>
      <c r="X267" s="91"/>
      <c r="Y267" s="91"/>
      <c r="Z267" s="91"/>
      <c r="AA267" s="91"/>
      <c r="AB267" s="91"/>
      <c r="AC267" s="91"/>
      <c r="AD267" s="91"/>
      <c r="AE267" s="91"/>
      <c r="AF267" s="91"/>
      <c r="AG267" s="91"/>
      <c r="AH267" s="91"/>
      <c r="AI267" s="91"/>
      <c r="AJ267" s="91"/>
      <c r="AK267" s="91"/>
      <c r="AL267" s="91"/>
      <c r="AM267" s="91"/>
      <c r="AN267" s="91"/>
      <c r="AO267" s="91"/>
      <c r="AP267" s="8"/>
      <c r="AR267" s="6"/>
      <c r="AS267" s="153"/>
      <c r="AT267" s="153"/>
      <c r="AU267" s="153"/>
      <c r="AV267" s="153"/>
      <c r="AW267" s="153"/>
      <c r="AX267" s="153"/>
      <c r="AY267" s="153"/>
      <c r="AZ267" s="153"/>
      <c r="BA267" s="153"/>
      <c r="BB267" s="153"/>
      <c r="BC267" s="153"/>
      <c r="BD267" s="153"/>
      <c r="BE267" s="153"/>
      <c r="BF267" s="153"/>
      <c r="BG267" s="153"/>
      <c r="BH267" s="153"/>
      <c r="BI267" s="153"/>
      <c r="BJ267" s="153"/>
      <c r="BK267" s="153"/>
      <c r="BL267" s="153"/>
      <c r="BM267" s="153"/>
      <c r="BN267" s="153"/>
      <c r="BO267" s="153"/>
      <c r="BP267" s="153"/>
      <c r="BQ267" s="153"/>
      <c r="BR267" s="153"/>
      <c r="BS267" s="153"/>
      <c r="BT267" s="153"/>
      <c r="BU267" s="153"/>
      <c r="BV267" s="153"/>
      <c r="BW267" s="153"/>
      <c r="BX267" s="153"/>
      <c r="BY267" s="153"/>
      <c r="BZ267" s="153"/>
      <c r="CA267" s="153"/>
      <c r="CB267" s="153"/>
      <c r="CC267" s="153"/>
      <c r="CD267" s="153"/>
      <c r="CE267" s="153"/>
      <c r="CF267" s="8"/>
      <c r="HB267" s="1"/>
      <c r="JO267" s="1"/>
      <c r="JS267" s="1"/>
    </row>
    <row r="268" spans="2:279" ht="18" customHeight="1" x14ac:dyDescent="0.25">
      <c r="B268" s="6"/>
      <c r="C268" s="91"/>
      <c r="D268" s="91"/>
      <c r="E268" s="91"/>
      <c r="F268" s="91"/>
      <c r="G268" s="91"/>
      <c r="H268" s="91"/>
      <c r="I268" s="91"/>
      <c r="J268" s="91"/>
      <c r="K268" s="91"/>
      <c r="L268" s="91"/>
      <c r="M268" s="91"/>
      <c r="N268" s="91"/>
      <c r="O268" s="91"/>
      <c r="P268" s="91"/>
      <c r="Q268" s="91"/>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8"/>
      <c r="AR268" s="6"/>
      <c r="CF268" s="8"/>
      <c r="HB268" s="1"/>
      <c r="JO268" s="1"/>
      <c r="JS268" s="1"/>
    </row>
    <row r="269" spans="2:279" ht="18" customHeight="1" x14ac:dyDescent="0.25">
      <c r="B269" s="6"/>
      <c r="C269" s="91"/>
      <c r="D269" s="91"/>
      <c r="E269" s="91"/>
      <c r="F269" s="91"/>
      <c r="G269" s="91"/>
      <c r="H269" s="91"/>
      <c r="I269" s="91"/>
      <c r="J269" s="91"/>
      <c r="K269" s="91"/>
      <c r="L269" s="91"/>
      <c r="M269" s="91"/>
      <c r="N269" s="91"/>
      <c r="O269" s="91"/>
      <c r="P269" s="91"/>
      <c r="Q269" s="91"/>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8"/>
      <c r="AR269" s="6"/>
      <c r="CF269" s="8"/>
      <c r="HB269" s="1"/>
      <c r="JO269" s="1"/>
      <c r="JS269" s="1"/>
    </row>
    <row r="270" spans="2:279" ht="18" customHeight="1" x14ac:dyDescent="0.25">
      <c r="B270" s="6"/>
      <c r="C270" s="91"/>
      <c r="D270" s="91"/>
      <c r="E270" s="91"/>
      <c r="F270" s="91"/>
      <c r="G270" s="91"/>
      <c r="H270" s="91"/>
      <c r="I270" s="91"/>
      <c r="J270" s="91"/>
      <c r="K270" s="91"/>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8"/>
      <c r="AR270" s="6"/>
      <c r="AS270" s="91"/>
      <c r="AT270" s="91"/>
      <c r="AU270" s="91"/>
      <c r="AV270" s="91"/>
      <c r="AW270" s="91"/>
      <c r="AX270" s="91"/>
      <c r="AY270" s="91"/>
      <c r="AZ270" s="91"/>
      <c r="BA270" s="91"/>
      <c r="BB270" s="91"/>
      <c r="BC270" s="91"/>
      <c r="BD270" s="91"/>
      <c r="BE270" s="91"/>
      <c r="BF270" s="91"/>
      <c r="BG270" s="91"/>
      <c r="BH270" s="91"/>
      <c r="BI270" s="91"/>
      <c r="BJ270" s="91"/>
      <c r="BK270" s="91"/>
      <c r="BL270" s="91"/>
      <c r="BM270" s="91"/>
      <c r="BN270" s="91"/>
      <c r="BO270" s="91"/>
      <c r="BP270" s="91"/>
      <c r="BQ270" s="91"/>
      <c r="BR270" s="91"/>
      <c r="BS270" s="91"/>
      <c r="BT270" s="91"/>
      <c r="BU270" s="91"/>
      <c r="BV270" s="91"/>
      <c r="BW270" s="91"/>
      <c r="BX270" s="91"/>
      <c r="BY270" s="91"/>
      <c r="BZ270" s="91"/>
      <c r="CA270" s="91"/>
      <c r="CB270" s="91"/>
      <c r="CC270" s="91"/>
      <c r="CD270" s="91"/>
      <c r="CE270" s="91"/>
      <c r="CF270" s="8"/>
      <c r="HB270" s="1"/>
      <c r="JO270" s="1"/>
      <c r="JS270" s="1"/>
    </row>
    <row r="271" spans="2:279" ht="18" customHeight="1" x14ac:dyDescent="0.25">
      <c r="B271" s="6"/>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8"/>
      <c r="AR271" s="6"/>
      <c r="AS271" s="91"/>
      <c r="AT271" s="91"/>
      <c r="AU271" s="91"/>
      <c r="AV271" s="91"/>
      <c r="AW271" s="91"/>
      <c r="AX271" s="91"/>
      <c r="AY271" s="91"/>
      <c r="AZ271" s="91"/>
      <c r="BA271" s="91"/>
      <c r="BB271" s="91"/>
      <c r="BC271" s="91"/>
      <c r="BD271" s="91"/>
      <c r="BE271" s="91"/>
      <c r="BF271" s="91"/>
      <c r="BG271" s="91"/>
      <c r="BH271" s="91"/>
      <c r="BI271" s="91"/>
      <c r="BJ271" s="91"/>
      <c r="BK271" s="91"/>
      <c r="BL271" s="91"/>
      <c r="BM271" s="91"/>
      <c r="BN271" s="91"/>
      <c r="BO271" s="91"/>
      <c r="BP271" s="91"/>
      <c r="BQ271" s="91"/>
      <c r="BR271" s="91"/>
      <c r="BS271" s="91"/>
      <c r="BT271" s="91"/>
      <c r="BU271" s="91"/>
      <c r="BV271" s="91"/>
      <c r="BW271" s="91"/>
      <c r="BX271" s="91"/>
      <c r="BY271" s="91"/>
      <c r="BZ271" s="91"/>
      <c r="CA271" s="91"/>
      <c r="CB271" s="91"/>
      <c r="CC271" s="91"/>
      <c r="CD271" s="91"/>
      <c r="CE271" s="91"/>
      <c r="CF271" s="8"/>
      <c r="HB271" s="1"/>
      <c r="JO271" s="1"/>
      <c r="JS271" s="1"/>
    </row>
    <row r="272" spans="2:279" ht="18" customHeight="1" x14ac:dyDescent="0.25">
      <c r="B272" s="6"/>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8"/>
      <c r="AR272" s="6"/>
      <c r="AS272" s="91"/>
      <c r="AT272" s="91"/>
      <c r="AU272" s="91"/>
      <c r="AV272" s="91"/>
      <c r="AW272" s="91"/>
      <c r="AX272" s="91"/>
      <c r="AY272" s="91"/>
      <c r="AZ272" s="91"/>
      <c r="BA272" s="91"/>
      <c r="BB272" s="91"/>
      <c r="BC272" s="91"/>
      <c r="BD272" s="91"/>
      <c r="BE272" s="91"/>
      <c r="BF272" s="91"/>
      <c r="BG272" s="91"/>
      <c r="BH272" s="91"/>
      <c r="BI272" s="91"/>
      <c r="BJ272" s="91"/>
      <c r="BK272" s="91"/>
      <c r="BL272" s="91"/>
      <c r="BM272" s="91"/>
      <c r="BN272" s="91"/>
      <c r="BO272" s="91"/>
      <c r="BP272" s="91"/>
      <c r="BQ272" s="91"/>
      <c r="BR272" s="91"/>
      <c r="BS272" s="91"/>
      <c r="BT272" s="91"/>
      <c r="BU272" s="91"/>
      <c r="BV272" s="91"/>
      <c r="BW272" s="91"/>
      <c r="BX272" s="91"/>
      <c r="BY272" s="91"/>
      <c r="BZ272" s="91"/>
      <c r="CA272" s="91"/>
      <c r="CB272" s="91"/>
      <c r="CC272" s="91"/>
      <c r="CD272" s="91"/>
      <c r="CE272" s="91"/>
      <c r="CF272" s="8"/>
      <c r="HB272" s="1"/>
      <c r="JO272" s="1"/>
      <c r="JS272" s="1"/>
    </row>
    <row r="273" spans="2:279" ht="18" customHeight="1" x14ac:dyDescent="0.25">
      <c r="B273" s="6"/>
      <c r="C273" s="153" t="s">
        <v>643</v>
      </c>
      <c r="D273" s="179"/>
      <c r="E273" s="179"/>
      <c r="F273" s="179"/>
      <c r="G273" s="179"/>
      <c r="H273" s="179"/>
      <c r="I273" s="179"/>
      <c r="J273" s="179"/>
      <c r="K273" s="179"/>
      <c r="L273" s="179"/>
      <c r="M273" s="179"/>
      <c r="N273" s="179"/>
      <c r="O273" s="179"/>
      <c r="P273" s="179"/>
      <c r="Q273" s="179"/>
      <c r="R273" s="179"/>
      <c r="S273" s="179"/>
      <c r="T273" s="179"/>
      <c r="U273" s="179"/>
      <c r="V273" s="179"/>
      <c r="W273" s="179"/>
      <c r="X273" s="179"/>
      <c r="Y273" s="179"/>
      <c r="Z273" s="179"/>
      <c r="AA273" s="179"/>
      <c r="AB273" s="179"/>
      <c r="AC273" s="179"/>
      <c r="AD273" s="179"/>
      <c r="AE273" s="179"/>
      <c r="AF273" s="179"/>
      <c r="AG273" s="179"/>
      <c r="AH273" s="179"/>
      <c r="AI273" s="179"/>
      <c r="AJ273" s="179"/>
      <c r="AK273" s="179"/>
      <c r="AL273" s="179"/>
      <c r="AM273" s="179"/>
      <c r="AN273" s="179"/>
      <c r="AO273" s="179"/>
      <c r="AP273" s="8"/>
      <c r="AR273" s="6"/>
      <c r="AS273" s="91"/>
      <c r="AT273" s="91"/>
      <c r="AU273" s="91"/>
      <c r="AV273" s="91"/>
      <c r="AW273" s="91"/>
      <c r="AX273" s="91"/>
      <c r="AY273" s="91"/>
      <c r="AZ273" s="91"/>
      <c r="BA273" s="91"/>
      <c r="BB273" s="91"/>
      <c r="BC273" s="91"/>
      <c r="BD273" s="91"/>
      <c r="BE273" s="91"/>
      <c r="BF273" s="91"/>
      <c r="BG273" s="91"/>
      <c r="BH273" s="91"/>
      <c r="BI273" s="91"/>
      <c r="BJ273" s="91"/>
      <c r="BK273" s="91"/>
      <c r="BL273" s="91"/>
      <c r="BM273" s="91"/>
      <c r="BN273" s="91"/>
      <c r="BO273" s="91"/>
      <c r="BP273" s="91"/>
      <c r="BQ273" s="91"/>
      <c r="BR273" s="91"/>
      <c r="BS273" s="91"/>
      <c r="BT273" s="91"/>
      <c r="BU273" s="91"/>
      <c r="BV273" s="91"/>
      <c r="BW273" s="91"/>
      <c r="BX273" s="91"/>
      <c r="BY273" s="91"/>
      <c r="BZ273" s="91"/>
      <c r="CA273" s="91"/>
      <c r="CB273" s="91"/>
      <c r="CC273" s="91"/>
      <c r="CD273" s="91"/>
      <c r="CE273" s="91"/>
      <c r="CF273" s="8"/>
      <c r="HB273" s="1"/>
      <c r="JO273" s="1"/>
      <c r="JS273" s="1"/>
    </row>
    <row r="274" spans="2:279" ht="18" customHeight="1" x14ac:dyDescent="0.25">
      <c r="B274" s="6"/>
      <c r="C274" s="179"/>
      <c r="D274" s="179"/>
      <c r="E274" s="179"/>
      <c r="F274" s="179"/>
      <c r="G274" s="179"/>
      <c r="H274" s="179"/>
      <c r="I274" s="179"/>
      <c r="J274" s="179"/>
      <c r="K274" s="179"/>
      <c r="L274" s="179"/>
      <c r="M274" s="179"/>
      <c r="N274" s="179"/>
      <c r="O274" s="179"/>
      <c r="P274" s="179"/>
      <c r="Q274" s="179"/>
      <c r="R274" s="179"/>
      <c r="S274" s="179"/>
      <c r="T274" s="179"/>
      <c r="U274" s="179"/>
      <c r="V274" s="179"/>
      <c r="W274" s="179"/>
      <c r="X274" s="179"/>
      <c r="Y274" s="179"/>
      <c r="Z274" s="179"/>
      <c r="AA274" s="179"/>
      <c r="AB274" s="179"/>
      <c r="AC274" s="179"/>
      <c r="AD274" s="179"/>
      <c r="AE274" s="179"/>
      <c r="AF274" s="179"/>
      <c r="AG274" s="179"/>
      <c r="AH274" s="179"/>
      <c r="AI274" s="179"/>
      <c r="AJ274" s="179"/>
      <c r="AK274" s="179"/>
      <c r="AL274" s="179"/>
      <c r="AM274" s="179"/>
      <c r="AN274" s="179"/>
      <c r="AO274" s="179"/>
      <c r="AP274" s="8"/>
      <c r="AR274" s="6"/>
      <c r="AS274" s="91"/>
      <c r="AT274" s="91"/>
      <c r="AU274" s="91"/>
      <c r="AV274" s="91"/>
      <c r="AW274" s="91"/>
      <c r="AX274" s="91"/>
      <c r="AY274" s="91"/>
      <c r="AZ274" s="91"/>
      <c r="BA274" s="91"/>
      <c r="BB274" s="91"/>
      <c r="BC274" s="91"/>
      <c r="BD274" s="91"/>
      <c r="BE274" s="91"/>
      <c r="BF274" s="91"/>
      <c r="BG274" s="91"/>
      <c r="BH274" s="91"/>
      <c r="BI274" s="91"/>
      <c r="BJ274" s="91"/>
      <c r="BK274" s="91"/>
      <c r="BL274" s="91"/>
      <c r="BM274" s="91"/>
      <c r="BN274" s="91"/>
      <c r="BO274" s="91"/>
      <c r="BP274" s="91"/>
      <c r="BQ274" s="91"/>
      <c r="BR274" s="91"/>
      <c r="BS274" s="91"/>
      <c r="BT274" s="91"/>
      <c r="BU274" s="91"/>
      <c r="BV274" s="91"/>
      <c r="BW274" s="91"/>
      <c r="BX274" s="91"/>
      <c r="BY274" s="91"/>
      <c r="BZ274" s="91"/>
      <c r="CA274" s="91"/>
      <c r="CB274" s="91"/>
      <c r="CC274" s="91"/>
      <c r="CD274" s="91"/>
      <c r="CE274" s="91"/>
      <c r="CF274" s="8"/>
      <c r="EB274" s="15"/>
      <c r="EC274" s="15"/>
      <c r="ED274" s="15"/>
      <c r="EE274" s="15"/>
      <c r="EF274" s="15"/>
      <c r="HB274" s="1"/>
      <c r="JO274" s="1"/>
      <c r="JS274" s="1"/>
    </row>
    <row r="275" spans="2:279" ht="18" customHeight="1" x14ac:dyDescent="0.25">
      <c r="B275" s="6"/>
      <c r="C275" s="179"/>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179"/>
      <c r="AG275" s="179"/>
      <c r="AH275" s="179"/>
      <c r="AI275" s="179"/>
      <c r="AJ275" s="179"/>
      <c r="AK275" s="179"/>
      <c r="AL275" s="179"/>
      <c r="AM275" s="179"/>
      <c r="AN275" s="179"/>
      <c r="AO275" s="179"/>
      <c r="AP275" s="8"/>
      <c r="AR275" s="6"/>
      <c r="AS275" s="91"/>
      <c r="AT275" s="91"/>
      <c r="AU275" s="91"/>
      <c r="AV275" s="91"/>
      <c r="AW275" s="91"/>
      <c r="AX275" s="91"/>
      <c r="AY275" s="91"/>
      <c r="AZ275" s="91"/>
      <c r="BA275" s="91"/>
      <c r="BB275" s="91"/>
      <c r="BC275" s="91"/>
      <c r="BD275" s="91"/>
      <c r="BE275" s="91"/>
      <c r="BF275" s="91"/>
      <c r="BG275" s="91"/>
      <c r="BH275" s="91"/>
      <c r="BI275" s="91"/>
      <c r="BJ275" s="91"/>
      <c r="BK275" s="91"/>
      <c r="BL275" s="91"/>
      <c r="BM275" s="91"/>
      <c r="BN275" s="91"/>
      <c r="BO275" s="91"/>
      <c r="BP275" s="91"/>
      <c r="BQ275" s="91"/>
      <c r="BR275" s="91"/>
      <c r="BS275" s="91"/>
      <c r="BT275" s="91"/>
      <c r="BU275" s="91"/>
      <c r="BV275" s="91"/>
      <c r="BW275" s="91"/>
      <c r="BX275" s="91"/>
      <c r="BY275" s="91"/>
      <c r="BZ275" s="91"/>
      <c r="CA275" s="91"/>
      <c r="CB275" s="91"/>
      <c r="CC275" s="91"/>
      <c r="CD275" s="91"/>
      <c r="CE275" s="91"/>
      <c r="CF275" s="8"/>
      <c r="EB275" s="15"/>
      <c r="EC275" s="15"/>
      <c r="ED275" s="15"/>
      <c r="EE275" s="15"/>
      <c r="EF275" s="15"/>
      <c r="HB275" s="1"/>
      <c r="JO275" s="1"/>
      <c r="JS275" s="1"/>
    </row>
    <row r="276" spans="2:279" ht="18" customHeight="1" x14ac:dyDescent="0.25">
      <c r="B276" s="6"/>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c r="Z276" s="179"/>
      <c r="AA276" s="179"/>
      <c r="AB276" s="179"/>
      <c r="AC276" s="179"/>
      <c r="AD276" s="179"/>
      <c r="AE276" s="179"/>
      <c r="AF276" s="179"/>
      <c r="AG276" s="179"/>
      <c r="AH276" s="179"/>
      <c r="AI276" s="179"/>
      <c r="AJ276" s="179"/>
      <c r="AK276" s="179"/>
      <c r="AL276" s="179"/>
      <c r="AM276" s="179"/>
      <c r="AN276" s="179"/>
      <c r="AO276" s="179"/>
      <c r="AP276" s="8"/>
      <c r="AR276" s="6"/>
      <c r="AS276" s="91"/>
      <c r="AT276" s="91"/>
      <c r="AU276" s="91"/>
      <c r="AV276" s="91"/>
      <c r="AW276" s="91"/>
      <c r="AX276" s="91"/>
      <c r="AY276" s="91"/>
      <c r="AZ276" s="91"/>
      <c r="BA276" s="91"/>
      <c r="BB276" s="91"/>
      <c r="BC276" s="91"/>
      <c r="BD276" s="91"/>
      <c r="BE276" s="91"/>
      <c r="BF276" s="91"/>
      <c r="BG276" s="91"/>
      <c r="BH276" s="91"/>
      <c r="BI276" s="91"/>
      <c r="BJ276" s="91"/>
      <c r="BK276" s="91"/>
      <c r="BL276" s="91"/>
      <c r="BM276" s="91"/>
      <c r="BN276" s="91"/>
      <c r="BO276" s="91"/>
      <c r="BP276" s="91"/>
      <c r="BQ276" s="91"/>
      <c r="BR276" s="91"/>
      <c r="BS276" s="91"/>
      <c r="BT276" s="91"/>
      <c r="BU276" s="91"/>
      <c r="BV276" s="91"/>
      <c r="BW276" s="91"/>
      <c r="BX276" s="91"/>
      <c r="BY276" s="91"/>
      <c r="BZ276" s="91"/>
      <c r="CA276" s="91"/>
      <c r="CB276" s="91"/>
      <c r="CC276" s="91"/>
      <c r="CD276" s="91"/>
      <c r="CE276" s="91"/>
      <c r="CF276" s="8"/>
      <c r="EB276" s="52"/>
      <c r="EC276" s="52"/>
      <c r="ED276" s="52"/>
      <c r="EE276" s="52"/>
      <c r="EF276" s="52"/>
      <c r="HB276" s="1"/>
      <c r="JO276" s="1"/>
      <c r="JS276" s="1"/>
    </row>
    <row r="277" spans="2:279" ht="18" customHeight="1" x14ac:dyDescent="0.3">
      <c r="B277" s="6"/>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c r="Z277" s="179"/>
      <c r="AA277" s="179"/>
      <c r="AB277" s="179"/>
      <c r="AC277" s="179"/>
      <c r="AD277" s="179"/>
      <c r="AE277" s="179"/>
      <c r="AF277" s="179"/>
      <c r="AG277" s="179"/>
      <c r="AH277" s="179"/>
      <c r="AI277" s="179"/>
      <c r="AJ277" s="179"/>
      <c r="AK277" s="179"/>
      <c r="AL277" s="179"/>
      <c r="AM277" s="179"/>
      <c r="AN277" s="179"/>
      <c r="AO277" s="179"/>
      <c r="AP277" s="8"/>
      <c r="AR277" s="6"/>
      <c r="AS277" s="30"/>
      <c r="AT277" s="91"/>
      <c r="AU277" s="91"/>
      <c r="AV277" s="91"/>
      <c r="AW277" s="91"/>
      <c r="AX277" s="91"/>
      <c r="AY277" s="91"/>
      <c r="AZ277" s="91"/>
      <c r="BA277" s="91"/>
      <c r="BB277" s="91"/>
      <c r="BC277" s="91"/>
      <c r="BD277" s="91"/>
      <c r="BE277" s="91"/>
      <c r="BF277" s="91"/>
      <c r="BG277" s="91"/>
      <c r="BH277" s="91"/>
      <c r="BI277" s="91"/>
      <c r="BJ277" s="91"/>
      <c r="BK277" s="91"/>
      <c r="BL277" s="91"/>
      <c r="BM277" s="91"/>
      <c r="BN277" s="91"/>
      <c r="BO277" s="91"/>
      <c r="BP277" s="91"/>
      <c r="BQ277" s="91"/>
      <c r="BR277" s="91"/>
      <c r="BS277" s="91"/>
      <c r="BT277" s="91"/>
      <c r="BU277" s="91"/>
      <c r="BV277" s="91"/>
      <c r="BW277" s="91"/>
      <c r="BX277" s="91"/>
      <c r="BY277" s="91"/>
      <c r="BZ277" s="91"/>
      <c r="CA277" s="91"/>
      <c r="CB277" s="91"/>
      <c r="CC277" s="91"/>
      <c r="CD277" s="91"/>
      <c r="CE277" s="91"/>
      <c r="CF277" s="8"/>
      <c r="EB277" s="56"/>
      <c r="EC277" s="56"/>
      <c r="ED277" s="56"/>
      <c r="EE277" s="56"/>
      <c r="EF277" s="56"/>
      <c r="HB277" s="1"/>
      <c r="JO277" s="1"/>
      <c r="JS277" s="1"/>
    </row>
    <row r="278" spans="2:279" ht="18" customHeight="1" x14ac:dyDescent="0.25">
      <c r="B278" s="6"/>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c r="Z278" s="179"/>
      <c r="AA278" s="179"/>
      <c r="AB278" s="179"/>
      <c r="AC278" s="179"/>
      <c r="AD278" s="179"/>
      <c r="AE278" s="179"/>
      <c r="AF278" s="179"/>
      <c r="AG278" s="179"/>
      <c r="AH278" s="179"/>
      <c r="AI278" s="179"/>
      <c r="AJ278" s="179"/>
      <c r="AK278" s="179"/>
      <c r="AL278" s="179"/>
      <c r="AM278" s="179"/>
      <c r="AN278" s="179"/>
      <c r="AO278" s="179"/>
      <c r="AP278" s="8"/>
      <c r="AR278" s="6"/>
      <c r="AS278" s="91"/>
      <c r="AT278" s="91"/>
      <c r="AU278" s="91"/>
      <c r="AV278" s="91"/>
      <c r="AW278" s="91"/>
      <c r="AX278" s="91"/>
      <c r="AY278" s="91"/>
      <c r="AZ278" s="91"/>
      <c r="BA278" s="91"/>
      <c r="BB278" s="91"/>
      <c r="BC278" s="91"/>
      <c r="BD278" s="91"/>
      <c r="BE278" s="91"/>
      <c r="BF278" s="91"/>
      <c r="BG278" s="91"/>
      <c r="BH278" s="91"/>
      <c r="BI278" s="91"/>
      <c r="BJ278" s="91"/>
      <c r="BK278" s="91"/>
      <c r="BL278" s="91"/>
      <c r="BM278" s="91"/>
      <c r="BN278" s="91"/>
      <c r="BO278" s="91"/>
      <c r="BP278" s="91"/>
      <c r="BQ278" s="91"/>
      <c r="BR278" s="91"/>
      <c r="BS278" s="91"/>
      <c r="BT278" s="91"/>
      <c r="BU278" s="91"/>
      <c r="BV278" s="91"/>
      <c r="BW278" s="91"/>
      <c r="BX278" s="91"/>
      <c r="BY278" s="91"/>
      <c r="BZ278" s="91"/>
      <c r="CA278" s="91"/>
      <c r="CB278" s="91"/>
      <c r="CC278" s="91"/>
      <c r="CD278" s="91"/>
      <c r="CE278" s="91"/>
      <c r="CF278" s="8"/>
      <c r="EB278" s="56"/>
      <c r="EC278" s="56"/>
      <c r="ED278" s="56"/>
      <c r="EE278" s="56"/>
      <c r="EF278" s="56"/>
      <c r="HB278" s="1"/>
      <c r="JO278" s="1"/>
      <c r="JS278" s="1"/>
    </row>
    <row r="279" spans="2:279" ht="18" customHeight="1" x14ac:dyDescent="0.25">
      <c r="B279" s="6"/>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c r="Z279" s="179"/>
      <c r="AA279" s="179"/>
      <c r="AB279" s="179"/>
      <c r="AC279" s="179"/>
      <c r="AD279" s="179"/>
      <c r="AE279" s="179"/>
      <c r="AF279" s="179"/>
      <c r="AG279" s="179"/>
      <c r="AH279" s="179"/>
      <c r="AI279" s="179"/>
      <c r="AJ279" s="179"/>
      <c r="AK279" s="179"/>
      <c r="AL279" s="179"/>
      <c r="AM279" s="179"/>
      <c r="AN279" s="179"/>
      <c r="AO279" s="179"/>
      <c r="AP279" s="8"/>
      <c r="AR279" s="6"/>
      <c r="AS279" s="91"/>
      <c r="AT279" s="91"/>
      <c r="AU279" s="91"/>
      <c r="AV279" s="91"/>
      <c r="AW279" s="91"/>
      <c r="AX279" s="91"/>
      <c r="AY279" s="91"/>
      <c r="AZ279" s="91"/>
      <c r="BA279" s="91"/>
      <c r="BB279" s="91"/>
      <c r="BC279" s="91"/>
      <c r="BD279" s="91"/>
      <c r="BE279" s="91"/>
      <c r="BF279" s="91"/>
      <c r="BG279" s="91"/>
      <c r="BH279" s="91"/>
      <c r="BI279" s="91"/>
      <c r="BJ279" s="91"/>
      <c r="BK279" s="91"/>
      <c r="BL279" s="91"/>
      <c r="BM279" s="91"/>
      <c r="BN279" s="91"/>
      <c r="BO279" s="91"/>
      <c r="BP279" s="91"/>
      <c r="BQ279" s="91"/>
      <c r="BR279" s="91"/>
      <c r="BS279" s="91"/>
      <c r="BT279" s="91"/>
      <c r="BU279" s="91"/>
      <c r="BV279" s="91"/>
      <c r="BW279" s="91"/>
      <c r="BX279" s="91"/>
      <c r="BY279" s="91"/>
      <c r="BZ279" s="91"/>
      <c r="CA279" s="91"/>
      <c r="CB279" s="91"/>
      <c r="CC279" s="91"/>
      <c r="CD279" s="91"/>
      <c r="CE279" s="91"/>
      <c r="CF279" s="8"/>
      <c r="EB279" s="56"/>
      <c r="EC279" s="56"/>
      <c r="ED279" s="56"/>
      <c r="EE279" s="56"/>
      <c r="EF279" s="56"/>
      <c r="EH279" s="56"/>
      <c r="EI279" s="56"/>
      <c r="EJ279" s="56"/>
      <c r="EK279" s="109"/>
      <c r="HB279" s="1"/>
      <c r="JO279" s="1"/>
      <c r="JS279" s="1"/>
    </row>
    <row r="280" spans="2:279" ht="18" customHeight="1" x14ac:dyDescent="0.25">
      <c r="B280" s="6"/>
      <c r="C280" s="179"/>
      <c r="D280" s="179"/>
      <c r="E280" s="179"/>
      <c r="F280" s="179"/>
      <c r="G280" s="179"/>
      <c r="H280" s="179"/>
      <c r="I280" s="179"/>
      <c r="J280" s="179"/>
      <c r="K280" s="179"/>
      <c r="L280" s="179"/>
      <c r="M280" s="179"/>
      <c r="N280" s="179"/>
      <c r="O280" s="179"/>
      <c r="P280" s="179"/>
      <c r="Q280" s="179"/>
      <c r="R280" s="179"/>
      <c r="S280" s="179"/>
      <c r="T280" s="179"/>
      <c r="U280" s="179"/>
      <c r="V280" s="179"/>
      <c r="W280" s="179"/>
      <c r="X280" s="179"/>
      <c r="Y280" s="179"/>
      <c r="Z280" s="179"/>
      <c r="AA280" s="179"/>
      <c r="AB280" s="179"/>
      <c r="AC280" s="179"/>
      <c r="AD280" s="179"/>
      <c r="AE280" s="179"/>
      <c r="AF280" s="179"/>
      <c r="AG280" s="179"/>
      <c r="AH280" s="179"/>
      <c r="AI280" s="179"/>
      <c r="AJ280" s="179"/>
      <c r="AK280" s="179"/>
      <c r="AL280" s="179"/>
      <c r="AM280" s="179"/>
      <c r="AN280" s="179"/>
      <c r="AO280" s="179"/>
      <c r="AP280" s="8"/>
      <c r="AR280" s="6"/>
      <c r="AS280" s="91"/>
      <c r="AT280" s="91"/>
      <c r="AU280" s="91"/>
      <c r="AV280" s="91"/>
      <c r="AW280" s="91"/>
      <c r="AX280" s="91"/>
      <c r="AY280" s="91"/>
      <c r="AZ280" s="91"/>
      <c r="BA280" s="91"/>
      <c r="BB280" s="91"/>
      <c r="BC280" s="91"/>
      <c r="BD280" s="91"/>
      <c r="BE280" s="91"/>
      <c r="BF280" s="91"/>
      <c r="BG280" s="91"/>
      <c r="BH280" s="91"/>
      <c r="BI280" s="91"/>
      <c r="BJ280" s="91"/>
      <c r="BK280" s="91"/>
      <c r="BL280" s="91"/>
      <c r="BM280" s="91"/>
      <c r="BN280" s="91"/>
      <c r="BO280" s="91"/>
      <c r="BP280" s="91"/>
      <c r="BQ280" s="91"/>
      <c r="BR280" s="91"/>
      <c r="BS280" s="91"/>
      <c r="BT280" s="91"/>
      <c r="BU280" s="91"/>
      <c r="BV280" s="91"/>
      <c r="BW280" s="91"/>
      <c r="BX280" s="91"/>
      <c r="BY280" s="91"/>
      <c r="BZ280" s="91"/>
      <c r="CA280" s="91"/>
      <c r="CB280" s="91"/>
      <c r="CC280" s="91"/>
      <c r="CD280" s="91"/>
      <c r="CE280" s="91"/>
      <c r="CF280" s="8"/>
      <c r="HB280" s="1"/>
      <c r="JO280" s="1"/>
      <c r="JS280" s="1"/>
    </row>
    <row r="281" spans="2:279" ht="18" customHeight="1" x14ac:dyDescent="0.25">
      <c r="B281" s="6"/>
      <c r="C281" s="179"/>
      <c r="D281" s="179"/>
      <c r="E281" s="179"/>
      <c r="F281" s="179"/>
      <c r="G281" s="179"/>
      <c r="H281" s="179"/>
      <c r="I281" s="179"/>
      <c r="J281" s="179"/>
      <c r="K281" s="179"/>
      <c r="L281" s="179"/>
      <c r="M281" s="179"/>
      <c r="N281" s="179"/>
      <c r="O281" s="179"/>
      <c r="P281" s="179"/>
      <c r="Q281" s="179"/>
      <c r="R281" s="179"/>
      <c r="S281" s="179"/>
      <c r="T281" s="179"/>
      <c r="U281" s="179"/>
      <c r="V281" s="179"/>
      <c r="W281" s="179"/>
      <c r="X281" s="179"/>
      <c r="Y281" s="179"/>
      <c r="Z281" s="179"/>
      <c r="AA281" s="179"/>
      <c r="AB281" s="179"/>
      <c r="AC281" s="179"/>
      <c r="AD281" s="179"/>
      <c r="AE281" s="179"/>
      <c r="AF281" s="179"/>
      <c r="AG281" s="179"/>
      <c r="AH281" s="179"/>
      <c r="AI281" s="179"/>
      <c r="AJ281" s="179"/>
      <c r="AK281" s="179"/>
      <c r="AL281" s="179"/>
      <c r="AM281" s="179"/>
      <c r="AN281" s="179"/>
      <c r="AO281" s="179"/>
      <c r="AP281" s="8"/>
      <c r="AR281" s="6"/>
      <c r="AS281" s="91"/>
      <c r="AT281" s="91"/>
      <c r="AU281" s="91"/>
      <c r="AV281" s="91"/>
      <c r="AW281" s="91"/>
      <c r="AX281" s="91"/>
      <c r="AY281" s="91"/>
      <c r="AZ281" s="91"/>
      <c r="BA281" s="91"/>
      <c r="BB281" s="91"/>
      <c r="BC281" s="91"/>
      <c r="BD281" s="91"/>
      <c r="BE281" s="91"/>
      <c r="BF281" s="91"/>
      <c r="BG281" s="91"/>
      <c r="BH281" s="91"/>
      <c r="BI281" s="91"/>
      <c r="BJ281" s="91"/>
      <c r="BK281" s="91"/>
      <c r="BL281" s="91"/>
      <c r="BM281" s="91"/>
      <c r="BN281" s="91"/>
      <c r="BO281" s="91"/>
      <c r="BP281" s="91"/>
      <c r="BQ281" s="91"/>
      <c r="BR281" s="91"/>
      <c r="BS281" s="91"/>
      <c r="BT281" s="91"/>
      <c r="BU281" s="91"/>
      <c r="BV281" s="91"/>
      <c r="BW281" s="91"/>
      <c r="BX281" s="91"/>
      <c r="BY281" s="91"/>
      <c r="BZ281" s="91"/>
      <c r="CA281" s="91"/>
      <c r="CB281" s="91"/>
      <c r="CC281" s="91"/>
      <c r="CD281" s="91"/>
      <c r="CE281" s="91"/>
      <c r="CF281" s="8"/>
      <c r="EB281" s="15"/>
      <c r="EC281" s="15"/>
      <c r="ED281" s="15"/>
      <c r="EE281" s="15"/>
      <c r="EF281" s="15"/>
      <c r="HB281" s="1"/>
      <c r="JO281" s="1"/>
      <c r="JS281" s="1"/>
    </row>
    <row r="282" spans="2:279" ht="18" customHeight="1" x14ac:dyDescent="0.25">
      <c r="B282" s="6"/>
      <c r="C282" s="179"/>
      <c r="D282" s="179"/>
      <c r="E282" s="179"/>
      <c r="F282" s="179"/>
      <c r="G282" s="179"/>
      <c r="H282" s="179"/>
      <c r="I282" s="179"/>
      <c r="J282" s="179"/>
      <c r="K282" s="179"/>
      <c r="L282" s="179"/>
      <c r="M282" s="179"/>
      <c r="N282" s="179"/>
      <c r="O282" s="179"/>
      <c r="P282" s="179"/>
      <c r="Q282" s="179"/>
      <c r="R282" s="179"/>
      <c r="S282" s="179"/>
      <c r="T282" s="179"/>
      <c r="U282" s="179"/>
      <c r="V282" s="179"/>
      <c r="W282" s="179"/>
      <c r="X282" s="179"/>
      <c r="Y282" s="179"/>
      <c r="Z282" s="179"/>
      <c r="AA282" s="179"/>
      <c r="AB282" s="179"/>
      <c r="AC282" s="179"/>
      <c r="AD282" s="179"/>
      <c r="AE282" s="179"/>
      <c r="AF282" s="179"/>
      <c r="AG282" s="179"/>
      <c r="AH282" s="179"/>
      <c r="AI282" s="179"/>
      <c r="AJ282" s="179"/>
      <c r="AK282" s="179"/>
      <c r="AL282" s="179"/>
      <c r="AM282" s="179"/>
      <c r="AN282" s="179"/>
      <c r="AO282" s="179"/>
      <c r="AP282" s="8"/>
      <c r="AR282" s="6"/>
      <c r="AS282" s="91"/>
      <c r="AT282" s="91"/>
      <c r="AU282" s="91"/>
      <c r="AV282" s="91"/>
      <c r="AW282" s="91"/>
      <c r="AX282" s="91"/>
      <c r="AY282" s="91"/>
      <c r="AZ282" s="91"/>
      <c r="BA282" s="91"/>
      <c r="BB282" s="91"/>
      <c r="BC282" s="91"/>
      <c r="BD282" s="91"/>
      <c r="BE282" s="91"/>
      <c r="BF282" s="91"/>
      <c r="BG282" s="91"/>
      <c r="BH282" s="91"/>
      <c r="BI282" s="91"/>
      <c r="BJ282" s="91"/>
      <c r="BK282" s="91"/>
      <c r="BL282" s="91"/>
      <c r="BM282" s="91"/>
      <c r="BN282" s="91"/>
      <c r="BO282" s="91"/>
      <c r="BP282" s="91"/>
      <c r="BQ282" s="91"/>
      <c r="BR282" s="91"/>
      <c r="BS282" s="91"/>
      <c r="BT282" s="91"/>
      <c r="BU282" s="91"/>
      <c r="BV282" s="91"/>
      <c r="BW282" s="91"/>
      <c r="BX282" s="91"/>
      <c r="BY282" s="91"/>
      <c r="BZ282" s="91"/>
      <c r="CA282" s="91"/>
      <c r="CB282" s="91"/>
      <c r="CC282" s="91"/>
      <c r="CD282" s="91"/>
      <c r="CE282" s="91"/>
      <c r="CF282" s="8"/>
      <c r="EB282" s="15"/>
      <c r="EC282" s="15"/>
      <c r="ED282" s="15"/>
      <c r="EE282" s="15"/>
      <c r="EF282" s="15"/>
      <c r="HB282" s="1"/>
      <c r="JO282" s="1"/>
      <c r="JS282" s="1"/>
    </row>
    <row r="283" spans="2:279" ht="18" customHeight="1" x14ac:dyDescent="0.25">
      <c r="B283" s="6"/>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c r="AB283" s="179"/>
      <c r="AC283" s="179"/>
      <c r="AD283" s="179"/>
      <c r="AE283" s="179"/>
      <c r="AF283" s="179"/>
      <c r="AG283" s="179"/>
      <c r="AH283" s="179"/>
      <c r="AI283" s="179"/>
      <c r="AJ283" s="179"/>
      <c r="AK283" s="179"/>
      <c r="AL283" s="179"/>
      <c r="AM283" s="179"/>
      <c r="AN283" s="179"/>
      <c r="AO283" s="179"/>
      <c r="AP283" s="8"/>
      <c r="AR283" s="6"/>
      <c r="AS283" s="91"/>
      <c r="AT283" s="91"/>
      <c r="AU283" s="91"/>
      <c r="AV283" s="91"/>
      <c r="AW283" s="91"/>
      <c r="AX283" s="91"/>
      <c r="AY283" s="91"/>
      <c r="AZ283" s="91"/>
      <c r="BA283" s="91"/>
      <c r="BB283" s="91"/>
      <c r="BC283" s="91"/>
      <c r="BD283" s="91"/>
      <c r="BE283" s="91"/>
      <c r="BF283" s="91"/>
      <c r="BG283" s="91"/>
      <c r="BH283" s="91"/>
      <c r="BI283" s="91"/>
      <c r="BJ283" s="91"/>
      <c r="BK283" s="91"/>
      <c r="BL283" s="91"/>
      <c r="BM283" s="91"/>
      <c r="BN283" s="91"/>
      <c r="BO283" s="91"/>
      <c r="BP283" s="91"/>
      <c r="BQ283" s="91"/>
      <c r="BR283" s="91"/>
      <c r="BS283" s="91"/>
      <c r="BT283" s="91"/>
      <c r="BU283" s="91"/>
      <c r="BV283" s="91"/>
      <c r="BW283" s="91"/>
      <c r="BX283" s="91"/>
      <c r="BY283" s="91"/>
      <c r="BZ283" s="91"/>
      <c r="CA283" s="91"/>
      <c r="CB283" s="91"/>
      <c r="CC283" s="91"/>
      <c r="CD283" s="91"/>
      <c r="CE283" s="91"/>
      <c r="CF283" s="8"/>
      <c r="HB283" s="1"/>
      <c r="JO283" s="1"/>
      <c r="JS283" s="1"/>
    </row>
    <row r="284" spans="2:279" ht="18" customHeight="1" x14ac:dyDescent="0.25">
      <c r="B284" s="6"/>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c r="Z284" s="179"/>
      <c r="AA284" s="179"/>
      <c r="AB284" s="179"/>
      <c r="AC284" s="179"/>
      <c r="AD284" s="179"/>
      <c r="AE284" s="179"/>
      <c r="AF284" s="179"/>
      <c r="AG284" s="179"/>
      <c r="AH284" s="179"/>
      <c r="AI284" s="179"/>
      <c r="AJ284" s="179"/>
      <c r="AK284" s="179"/>
      <c r="AL284" s="179"/>
      <c r="AM284" s="179"/>
      <c r="AN284" s="179"/>
      <c r="AO284" s="179"/>
      <c r="AP284" s="8"/>
      <c r="AR284" s="6"/>
      <c r="AS284" s="91"/>
      <c r="AT284" s="91"/>
      <c r="AU284" s="91"/>
      <c r="AV284" s="91"/>
      <c r="AW284" s="91"/>
      <c r="AX284" s="91"/>
      <c r="AY284" s="91"/>
      <c r="AZ284" s="91"/>
      <c r="BA284" s="91"/>
      <c r="BB284" s="91"/>
      <c r="BC284" s="91"/>
      <c r="BD284" s="91"/>
      <c r="BE284" s="91"/>
      <c r="BF284" s="91"/>
      <c r="BG284" s="91"/>
      <c r="BH284" s="91"/>
      <c r="BI284" s="91"/>
      <c r="BJ284" s="91"/>
      <c r="BK284" s="91"/>
      <c r="BL284" s="91"/>
      <c r="BM284" s="91"/>
      <c r="BN284" s="91"/>
      <c r="BO284" s="91"/>
      <c r="BP284" s="91"/>
      <c r="BQ284" s="91"/>
      <c r="BR284" s="91"/>
      <c r="BS284" s="91"/>
      <c r="BT284" s="91"/>
      <c r="BU284" s="91"/>
      <c r="BV284" s="91"/>
      <c r="BW284" s="91"/>
      <c r="BX284" s="91"/>
      <c r="BY284" s="91"/>
      <c r="BZ284" s="91"/>
      <c r="CA284" s="91"/>
      <c r="CB284" s="91"/>
      <c r="CC284" s="91"/>
      <c r="CD284" s="91"/>
      <c r="CE284" s="91"/>
      <c r="CF284" s="8"/>
      <c r="HB284" s="1"/>
      <c r="JO284" s="1"/>
      <c r="JS284" s="1"/>
    </row>
    <row r="285" spans="2:279" ht="18" customHeight="1" x14ac:dyDescent="0.25">
      <c r="B285" s="6"/>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c r="AB285" s="179"/>
      <c r="AC285" s="179"/>
      <c r="AD285" s="179"/>
      <c r="AE285" s="179"/>
      <c r="AF285" s="179"/>
      <c r="AG285" s="179"/>
      <c r="AH285" s="179"/>
      <c r="AI285" s="179"/>
      <c r="AJ285" s="179"/>
      <c r="AK285" s="179"/>
      <c r="AL285" s="179"/>
      <c r="AM285" s="179"/>
      <c r="AN285" s="179"/>
      <c r="AO285" s="179"/>
      <c r="AP285" s="8"/>
      <c r="AR285" s="6"/>
      <c r="AS285" s="91"/>
      <c r="AT285" s="91"/>
      <c r="AU285" s="91"/>
      <c r="AV285" s="91"/>
      <c r="AW285" s="91"/>
      <c r="AX285" s="91"/>
      <c r="AY285" s="91"/>
      <c r="AZ285" s="91"/>
      <c r="BA285" s="91"/>
      <c r="BB285" s="91"/>
      <c r="BC285" s="91"/>
      <c r="BD285" s="91"/>
      <c r="BE285" s="91"/>
      <c r="BF285" s="91"/>
      <c r="BG285" s="91"/>
      <c r="BH285" s="91"/>
      <c r="BI285" s="91"/>
      <c r="BJ285" s="91"/>
      <c r="BK285" s="91"/>
      <c r="BL285" s="91"/>
      <c r="BM285" s="91"/>
      <c r="BN285" s="91"/>
      <c r="BO285" s="91"/>
      <c r="BP285" s="91"/>
      <c r="BQ285" s="91"/>
      <c r="BR285" s="91"/>
      <c r="BS285" s="91"/>
      <c r="BT285" s="91"/>
      <c r="BU285" s="91"/>
      <c r="BV285" s="91"/>
      <c r="BW285" s="91"/>
      <c r="BX285" s="91"/>
      <c r="BY285" s="91"/>
      <c r="BZ285" s="91"/>
      <c r="CA285" s="91"/>
      <c r="CB285" s="91"/>
      <c r="CC285" s="91"/>
      <c r="CD285" s="91"/>
      <c r="CE285" s="91"/>
      <c r="CF285" s="8"/>
      <c r="HB285" s="1"/>
      <c r="JO285" s="1"/>
      <c r="JS285" s="1"/>
    </row>
    <row r="286" spans="2:279" ht="18" customHeight="1" x14ac:dyDescent="0.25">
      <c r="B286" s="6"/>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c r="Z286" s="179"/>
      <c r="AA286" s="179"/>
      <c r="AB286" s="179"/>
      <c r="AC286" s="179"/>
      <c r="AD286" s="179"/>
      <c r="AE286" s="179"/>
      <c r="AF286" s="179"/>
      <c r="AG286" s="179"/>
      <c r="AH286" s="179"/>
      <c r="AI286" s="179"/>
      <c r="AJ286" s="179"/>
      <c r="AK286" s="179"/>
      <c r="AL286" s="179"/>
      <c r="AM286" s="179"/>
      <c r="AN286" s="179"/>
      <c r="AO286" s="179"/>
      <c r="AP286" s="8"/>
      <c r="AR286" s="6"/>
      <c r="AS286" s="91"/>
      <c r="AT286" s="91"/>
      <c r="AU286" s="91"/>
      <c r="AV286" s="91"/>
      <c r="AW286" s="91"/>
      <c r="AX286" s="91"/>
      <c r="AY286" s="91"/>
      <c r="AZ286" s="91"/>
      <c r="BA286" s="91"/>
      <c r="BB286" s="91"/>
      <c r="BC286" s="91"/>
      <c r="BD286" s="91"/>
      <c r="BE286" s="91"/>
      <c r="BF286" s="91"/>
      <c r="BG286" s="91"/>
      <c r="BH286" s="91"/>
      <c r="BI286" s="91"/>
      <c r="BJ286" s="91"/>
      <c r="BK286" s="91"/>
      <c r="BL286" s="91"/>
      <c r="BM286" s="91"/>
      <c r="BN286" s="91"/>
      <c r="BO286" s="91"/>
      <c r="BP286" s="91"/>
      <c r="BQ286" s="91"/>
      <c r="BR286" s="91"/>
      <c r="BS286" s="91"/>
      <c r="BT286" s="91"/>
      <c r="BU286" s="91"/>
      <c r="BV286" s="91"/>
      <c r="BW286" s="91"/>
      <c r="BX286" s="91"/>
      <c r="BY286" s="91"/>
      <c r="BZ286" s="91"/>
      <c r="CA286" s="91"/>
      <c r="CB286" s="91"/>
      <c r="CC286" s="91"/>
      <c r="CD286" s="91"/>
      <c r="CE286" s="91"/>
      <c r="CF286" s="8"/>
      <c r="HB286" s="1"/>
      <c r="JO286" s="1"/>
      <c r="JS286" s="1"/>
    </row>
    <row r="287" spans="2:279" ht="18" customHeight="1" x14ac:dyDescent="0.25">
      <c r="B287" s="6"/>
      <c r="C287" s="179"/>
      <c r="D287" s="179"/>
      <c r="E287" s="179"/>
      <c r="F287" s="179"/>
      <c r="G287" s="179"/>
      <c r="H287" s="179"/>
      <c r="I287" s="179"/>
      <c r="J287" s="179"/>
      <c r="K287" s="179"/>
      <c r="L287" s="179"/>
      <c r="M287" s="179"/>
      <c r="N287" s="179"/>
      <c r="O287" s="179"/>
      <c r="P287" s="179"/>
      <c r="Q287" s="179"/>
      <c r="R287" s="179"/>
      <c r="S287" s="179"/>
      <c r="T287" s="179"/>
      <c r="U287" s="179"/>
      <c r="V287" s="179"/>
      <c r="W287" s="179"/>
      <c r="X287" s="179"/>
      <c r="Y287" s="179"/>
      <c r="Z287" s="179"/>
      <c r="AA287" s="179"/>
      <c r="AB287" s="179"/>
      <c r="AC287" s="179"/>
      <c r="AD287" s="179"/>
      <c r="AE287" s="179"/>
      <c r="AF287" s="179"/>
      <c r="AG287" s="179"/>
      <c r="AH287" s="179"/>
      <c r="AI287" s="179"/>
      <c r="AJ287" s="179"/>
      <c r="AK287" s="179"/>
      <c r="AL287" s="179"/>
      <c r="AM287" s="179"/>
      <c r="AN287" s="179"/>
      <c r="AO287" s="179"/>
      <c r="AP287" s="8"/>
      <c r="AR287" s="6"/>
      <c r="AS287" s="91"/>
      <c r="AT287" s="91"/>
      <c r="AU287" s="91"/>
      <c r="AV287" s="91"/>
      <c r="AW287" s="91"/>
      <c r="AX287" s="91"/>
      <c r="AY287" s="91"/>
      <c r="AZ287" s="91"/>
      <c r="BA287" s="91"/>
      <c r="BB287" s="91"/>
      <c r="BC287" s="91"/>
      <c r="BD287" s="91"/>
      <c r="BE287" s="91"/>
      <c r="BF287" s="91"/>
      <c r="BG287" s="91"/>
      <c r="BH287" s="91"/>
      <c r="BI287" s="91"/>
      <c r="BJ287" s="91"/>
      <c r="BK287" s="91"/>
      <c r="BL287" s="91"/>
      <c r="BM287" s="91"/>
      <c r="BN287" s="91"/>
      <c r="BO287" s="91"/>
      <c r="BP287" s="91"/>
      <c r="BQ287" s="91"/>
      <c r="BR287" s="91"/>
      <c r="BS287" s="91"/>
      <c r="BT287" s="91"/>
      <c r="BU287" s="91"/>
      <c r="BV287" s="91"/>
      <c r="BW287" s="91"/>
      <c r="BX287" s="91"/>
      <c r="BY287" s="91"/>
      <c r="BZ287" s="91"/>
      <c r="CA287" s="91"/>
      <c r="CB287" s="91"/>
      <c r="CC287" s="91"/>
      <c r="CD287" s="91"/>
      <c r="CE287" s="91"/>
      <c r="CF287" s="8"/>
      <c r="HB287" s="1"/>
      <c r="JO287" s="1"/>
      <c r="JS287" s="1"/>
    </row>
    <row r="288" spans="2:279" ht="18" customHeight="1" x14ac:dyDescent="0.25">
      <c r="B288" s="6"/>
      <c r="C288" s="179"/>
      <c r="D288" s="179"/>
      <c r="E288" s="179"/>
      <c r="F288" s="179"/>
      <c r="G288" s="179"/>
      <c r="H288" s="179"/>
      <c r="I288" s="179"/>
      <c r="J288" s="179"/>
      <c r="K288" s="179"/>
      <c r="L288" s="179"/>
      <c r="M288" s="179"/>
      <c r="N288" s="179"/>
      <c r="O288" s="179"/>
      <c r="P288" s="179"/>
      <c r="Q288" s="179"/>
      <c r="R288" s="179"/>
      <c r="S288" s="179"/>
      <c r="T288" s="179"/>
      <c r="U288" s="179"/>
      <c r="V288" s="179"/>
      <c r="W288" s="179"/>
      <c r="X288" s="179"/>
      <c r="Y288" s="179"/>
      <c r="Z288" s="179"/>
      <c r="AA288" s="179"/>
      <c r="AB288" s="179"/>
      <c r="AC288" s="179"/>
      <c r="AD288" s="179"/>
      <c r="AE288" s="179"/>
      <c r="AF288" s="179"/>
      <c r="AG288" s="179"/>
      <c r="AH288" s="179"/>
      <c r="AI288" s="179"/>
      <c r="AJ288" s="179"/>
      <c r="AK288" s="179"/>
      <c r="AL288" s="179"/>
      <c r="AM288" s="179"/>
      <c r="AN288" s="179"/>
      <c r="AO288" s="179"/>
      <c r="AP288" s="8"/>
      <c r="AR288" s="6"/>
      <c r="AS288" s="91"/>
      <c r="AT288" s="91"/>
      <c r="AU288" s="91"/>
      <c r="AV288" s="91"/>
      <c r="AW288" s="91"/>
      <c r="AX288" s="91"/>
      <c r="AY288" s="91"/>
      <c r="AZ288" s="91"/>
      <c r="BA288" s="91"/>
      <c r="BB288" s="91"/>
      <c r="BC288" s="91"/>
      <c r="BD288" s="91"/>
      <c r="BE288" s="91"/>
      <c r="BF288" s="91"/>
      <c r="BG288" s="91"/>
      <c r="BH288" s="91"/>
      <c r="BI288" s="91"/>
      <c r="BJ288" s="91"/>
      <c r="BK288" s="91"/>
      <c r="BL288" s="91"/>
      <c r="BM288" s="91"/>
      <c r="BN288" s="91"/>
      <c r="BO288" s="91"/>
      <c r="BP288" s="91"/>
      <c r="BQ288" s="91"/>
      <c r="BR288" s="91"/>
      <c r="BS288" s="91"/>
      <c r="BT288" s="91"/>
      <c r="BU288" s="91"/>
      <c r="BV288" s="91"/>
      <c r="BW288" s="91"/>
      <c r="BX288" s="91"/>
      <c r="BY288" s="91"/>
      <c r="BZ288" s="91"/>
      <c r="CA288" s="91"/>
      <c r="CB288" s="91"/>
      <c r="CC288" s="91"/>
      <c r="CD288" s="91"/>
      <c r="CE288" s="91"/>
      <c r="CF288" s="8"/>
      <c r="HB288" s="1"/>
      <c r="JO288" s="1"/>
      <c r="JS288" s="1"/>
    </row>
    <row r="289" spans="2:279" ht="18" customHeight="1" x14ac:dyDescent="0.25">
      <c r="B289" s="6"/>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c r="AB289" s="179"/>
      <c r="AC289" s="179"/>
      <c r="AD289" s="179"/>
      <c r="AE289" s="179"/>
      <c r="AF289" s="179"/>
      <c r="AG289" s="179"/>
      <c r="AH289" s="179"/>
      <c r="AI289" s="179"/>
      <c r="AJ289" s="179"/>
      <c r="AK289" s="179"/>
      <c r="AL289" s="179"/>
      <c r="AM289" s="179"/>
      <c r="AN289" s="179"/>
      <c r="AO289" s="179"/>
      <c r="AP289" s="8"/>
      <c r="AR289" s="6"/>
      <c r="AS289" s="91"/>
      <c r="AT289" s="91"/>
      <c r="AU289" s="91"/>
      <c r="AV289" s="91"/>
      <c r="AW289" s="91"/>
      <c r="AX289" s="91"/>
      <c r="AY289" s="91"/>
      <c r="AZ289" s="91"/>
      <c r="BA289" s="91"/>
      <c r="BB289" s="91"/>
      <c r="BC289" s="91"/>
      <c r="BD289" s="91"/>
      <c r="BE289" s="91"/>
      <c r="BF289" s="91"/>
      <c r="BG289" s="91"/>
      <c r="BH289" s="91"/>
      <c r="BI289" s="91"/>
      <c r="BJ289" s="91"/>
      <c r="BK289" s="91"/>
      <c r="BL289" s="91"/>
      <c r="BM289" s="91"/>
      <c r="BN289" s="91"/>
      <c r="BO289" s="91"/>
      <c r="BP289" s="91"/>
      <c r="BQ289" s="91"/>
      <c r="BR289" s="91"/>
      <c r="BS289" s="91"/>
      <c r="BT289" s="91"/>
      <c r="BU289" s="91"/>
      <c r="BV289" s="91"/>
      <c r="BW289" s="91"/>
      <c r="BX289" s="91"/>
      <c r="BY289" s="91"/>
      <c r="BZ289" s="91"/>
      <c r="CA289" s="91"/>
      <c r="CB289" s="91"/>
      <c r="CC289" s="91"/>
      <c r="CD289" s="91"/>
      <c r="CE289" s="91"/>
      <c r="CF289" s="8"/>
      <c r="HB289" s="1"/>
      <c r="JO289" s="1"/>
      <c r="JS289" s="1"/>
    </row>
    <row r="290" spans="2:279" ht="18" customHeight="1" x14ac:dyDescent="0.25">
      <c r="B290" s="6"/>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c r="AB290" s="179"/>
      <c r="AC290" s="179"/>
      <c r="AD290" s="179"/>
      <c r="AE290" s="179"/>
      <c r="AF290" s="179"/>
      <c r="AG290" s="179"/>
      <c r="AH290" s="179"/>
      <c r="AI290" s="179"/>
      <c r="AJ290" s="179"/>
      <c r="AK290" s="179"/>
      <c r="AL290" s="179"/>
      <c r="AM290" s="179"/>
      <c r="AN290" s="179"/>
      <c r="AO290" s="179"/>
      <c r="AP290" s="8"/>
      <c r="AR290" s="6"/>
      <c r="AS290" s="91"/>
      <c r="AT290" s="91"/>
      <c r="AU290" s="91"/>
      <c r="AV290" s="91"/>
      <c r="AW290" s="91"/>
      <c r="AX290" s="91"/>
      <c r="AY290" s="91"/>
      <c r="AZ290" s="91"/>
      <c r="BA290" s="91"/>
      <c r="BB290" s="91"/>
      <c r="BC290" s="91"/>
      <c r="BD290" s="91"/>
      <c r="BE290" s="91"/>
      <c r="BF290" s="91"/>
      <c r="BG290" s="91"/>
      <c r="BH290" s="91"/>
      <c r="BI290" s="91"/>
      <c r="BJ290" s="91"/>
      <c r="BK290" s="91"/>
      <c r="BL290" s="91"/>
      <c r="BM290" s="91"/>
      <c r="BN290" s="91"/>
      <c r="BO290" s="91"/>
      <c r="BP290" s="91"/>
      <c r="BQ290" s="91"/>
      <c r="BR290" s="91"/>
      <c r="BS290" s="91"/>
      <c r="BT290" s="91"/>
      <c r="BU290" s="91"/>
      <c r="BV290" s="91"/>
      <c r="BW290" s="91"/>
      <c r="BX290" s="91"/>
      <c r="BY290" s="91"/>
      <c r="BZ290" s="91"/>
      <c r="CA290" s="91"/>
      <c r="CB290" s="91"/>
      <c r="CC290" s="91"/>
      <c r="CD290" s="91"/>
      <c r="CE290" s="91"/>
      <c r="CF290" s="8"/>
      <c r="HB290" s="1"/>
      <c r="JO290" s="1"/>
      <c r="JS290" s="1"/>
    </row>
    <row r="291" spans="2:279" ht="18" customHeight="1" x14ac:dyDescent="0.25">
      <c r="B291" s="6"/>
      <c r="C291" s="179"/>
      <c r="D291" s="179"/>
      <c r="E291" s="179"/>
      <c r="F291" s="179"/>
      <c r="G291" s="179"/>
      <c r="H291" s="179"/>
      <c r="I291" s="179"/>
      <c r="J291" s="179"/>
      <c r="K291" s="179"/>
      <c r="L291" s="179"/>
      <c r="M291" s="179"/>
      <c r="N291" s="179"/>
      <c r="O291" s="179"/>
      <c r="P291" s="179"/>
      <c r="Q291" s="179"/>
      <c r="R291" s="179"/>
      <c r="S291" s="179"/>
      <c r="T291" s="179"/>
      <c r="U291" s="179"/>
      <c r="V291" s="179"/>
      <c r="W291" s="179"/>
      <c r="X291" s="179"/>
      <c r="Y291" s="179"/>
      <c r="Z291" s="179"/>
      <c r="AA291" s="179"/>
      <c r="AB291" s="179"/>
      <c r="AC291" s="179"/>
      <c r="AD291" s="179"/>
      <c r="AE291" s="179"/>
      <c r="AF291" s="179"/>
      <c r="AG291" s="179"/>
      <c r="AH291" s="179"/>
      <c r="AI291" s="179"/>
      <c r="AJ291" s="179"/>
      <c r="AK291" s="179"/>
      <c r="AL291" s="179"/>
      <c r="AM291" s="179"/>
      <c r="AN291" s="179"/>
      <c r="AO291" s="179"/>
      <c r="AP291" s="8"/>
      <c r="AR291" s="6"/>
      <c r="AS291" s="91"/>
      <c r="AT291" s="91"/>
      <c r="AU291" s="91"/>
      <c r="AV291" s="91"/>
      <c r="AW291" s="91"/>
      <c r="AX291" s="91"/>
      <c r="AY291" s="91"/>
      <c r="AZ291" s="91"/>
      <c r="BA291" s="91"/>
      <c r="BB291" s="91"/>
      <c r="BC291" s="91"/>
      <c r="BD291" s="91"/>
      <c r="BE291" s="91"/>
      <c r="BF291" s="91"/>
      <c r="BG291" s="91"/>
      <c r="BH291" s="91"/>
      <c r="BI291" s="91"/>
      <c r="BJ291" s="91"/>
      <c r="BK291" s="91"/>
      <c r="BL291" s="91"/>
      <c r="BM291" s="91"/>
      <c r="BN291" s="91"/>
      <c r="BO291" s="91"/>
      <c r="BP291" s="91"/>
      <c r="BQ291" s="91"/>
      <c r="BR291" s="91"/>
      <c r="BS291" s="91"/>
      <c r="BT291" s="91"/>
      <c r="BU291" s="91"/>
      <c r="BV291" s="91"/>
      <c r="BW291" s="91"/>
      <c r="BX291" s="91"/>
      <c r="BY291" s="91"/>
      <c r="BZ291" s="91"/>
      <c r="CA291" s="91"/>
      <c r="CB291" s="91"/>
      <c r="CC291" s="91"/>
      <c r="CD291" s="91"/>
      <c r="CE291" s="91"/>
      <c r="CF291" s="8"/>
      <c r="HB291" s="1"/>
      <c r="JO291" s="1"/>
      <c r="JS291" s="1"/>
    </row>
    <row r="292" spans="2:279" ht="18" customHeight="1" thickBot="1" x14ac:dyDescent="0.3">
      <c r="B292" s="6"/>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1"/>
      <c r="AO292" s="10"/>
      <c r="AP292" s="8"/>
      <c r="AR292" s="6"/>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1"/>
      <c r="CE292" s="10"/>
      <c r="CF292" s="8"/>
      <c r="HB292" s="1"/>
      <c r="JO292" s="1"/>
      <c r="JS292" s="1"/>
    </row>
    <row r="293" spans="2:279" ht="18" customHeight="1" x14ac:dyDescent="0.25">
      <c r="B293" s="6"/>
      <c r="D293" s="43" t="s">
        <v>84</v>
      </c>
      <c r="AO293" s="29" t="s">
        <v>473</v>
      </c>
      <c r="AP293" s="8"/>
      <c r="AR293" s="6"/>
      <c r="AT293" s="43" t="s">
        <v>84</v>
      </c>
      <c r="CE293" s="29" t="s">
        <v>474</v>
      </c>
      <c r="CF293" s="8"/>
      <c r="HB293" s="1"/>
      <c r="JO293" s="1"/>
      <c r="JS293" s="1"/>
    </row>
    <row r="294" spans="2:279" ht="18" customHeight="1" x14ac:dyDescent="0.25">
      <c r="B294" s="45"/>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7"/>
      <c r="AR294" s="45"/>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7"/>
      <c r="HB294" s="1"/>
      <c r="JO294" s="1"/>
      <c r="JS294" s="1"/>
    </row>
    <row r="295" spans="2:279" ht="18" customHeight="1" x14ac:dyDescent="0.25">
      <c r="HB295" s="1"/>
      <c r="JO295" s="1"/>
      <c r="JS295" s="1"/>
    </row>
    <row r="296" spans="2:279" ht="18" customHeight="1" x14ac:dyDescent="0.25">
      <c r="B296" s="3"/>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5"/>
      <c r="AR296" s="3"/>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5"/>
      <c r="HB296" s="1"/>
      <c r="JO296" s="1"/>
      <c r="JS296" s="1"/>
    </row>
    <row r="297" spans="2:279" ht="18" customHeight="1" x14ac:dyDescent="0.25">
      <c r="B297" s="6"/>
      <c r="AN297" s="7"/>
      <c r="AP297" s="8"/>
      <c r="AR297" s="6"/>
      <c r="CD297" s="7"/>
      <c r="CF297" s="8"/>
      <c r="HB297" s="1"/>
      <c r="JO297" s="1"/>
      <c r="JS297" s="1"/>
    </row>
    <row r="298" spans="2:279" ht="18" customHeight="1" x14ac:dyDescent="0.25">
      <c r="B298" s="6"/>
      <c r="AN298" s="9"/>
      <c r="AP298" s="8"/>
      <c r="AR298" s="6"/>
      <c r="CD298" s="9"/>
      <c r="CF298" s="8"/>
      <c r="HB298" s="1"/>
      <c r="JO298" s="1"/>
      <c r="JS298" s="1"/>
    </row>
    <row r="299" spans="2:279" ht="18" customHeight="1" thickBot="1" x14ac:dyDescent="0.3">
      <c r="B299" s="6"/>
      <c r="C299" s="104" t="s">
        <v>489</v>
      </c>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1"/>
      <c r="AO299" s="10"/>
      <c r="AP299" s="8"/>
      <c r="AR299" s="6"/>
      <c r="AS299" s="104" t="s">
        <v>489</v>
      </c>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1"/>
      <c r="CE299" s="10"/>
      <c r="CF299" s="8"/>
      <c r="HB299" s="1"/>
      <c r="JO299" s="1"/>
      <c r="JS299" s="1"/>
    </row>
    <row r="300" spans="2:279" ht="18" customHeight="1" x14ac:dyDescent="0.3">
      <c r="B300" s="6"/>
      <c r="AN300" s="9"/>
      <c r="AP300" s="8"/>
      <c r="AR300" s="6"/>
      <c r="AS300" s="30"/>
      <c r="CD300" s="9"/>
      <c r="CF300" s="8"/>
      <c r="HB300" s="1"/>
      <c r="JO300" s="1"/>
      <c r="JS300" s="1"/>
    </row>
    <row r="301" spans="2:279" ht="18" customHeight="1" x14ac:dyDescent="0.25">
      <c r="B301" s="6"/>
      <c r="C301" s="178" t="s">
        <v>590</v>
      </c>
      <c r="D301" s="178"/>
      <c r="E301" s="178"/>
      <c r="F301" s="178"/>
      <c r="G301" s="178"/>
      <c r="H301" s="178"/>
      <c r="I301" s="178"/>
      <c r="J301" s="178"/>
      <c r="K301" s="178"/>
      <c r="L301" s="178"/>
      <c r="M301" s="178"/>
      <c r="N301" s="178"/>
      <c r="O301" s="178"/>
      <c r="P301" s="178"/>
      <c r="Q301" s="178"/>
      <c r="R301" s="178"/>
      <c r="S301" s="178"/>
      <c r="T301" s="178"/>
      <c r="U301" s="178"/>
      <c r="V301" s="178"/>
      <c r="W301" s="178"/>
      <c r="X301" s="178"/>
      <c r="Y301" s="178"/>
      <c r="Z301" s="178"/>
      <c r="AA301" s="178"/>
      <c r="AB301" s="178"/>
      <c r="AC301" s="178"/>
      <c r="AD301" s="178"/>
      <c r="AE301" s="178"/>
      <c r="AF301" s="178"/>
      <c r="AG301" s="178"/>
      <c r="AH301" s="178"/>
      <c r="AI301" s="178"/>
      <c r="AJ301" s="178"/>
      <c r="AK301" s="178"/>
      <c r="AL301" s="178"/>
      <c r="AM301" s="178"/>
      <c r="AN301" s="178"/>
      <c r="AO301" s="178"/>
      <c r="AP301" s="8"/>
      <c r="AR301" s="6"/>
      <c r="AS301" s="178" t="s">
        <v>591</v>
      </c>
      <c r="AT301" s="178"/>
      <c r="AU301" s="178"/>
      <c r="AV301" s="178"/>
      <c r="AW301" s="178"/>
      <c r="AX301" s="178"/>
      <c r="AY301" s="178"/>
      <c r="AZ301" s="178"/>
      <c r="BA301" s="178"/>
      <c r="BB301" s="178"/>
      <c r="BC301" s="178"/>
      <c r="BD301" s="178"/>
      <c r="BE301" s="178"/>
      <c r="BF301" s="178"/>
      <c r="BG301" s="178"/>
      <c r="BH301" s="178"/>
      <c r="BI301" s="178"/>
      <c r="BJ301" s="178"/>
      <c r="BK301" s="178"/>
      <c r="BL301" s="178"/>
      <c r="BM301" s="178"/>
      <c r="BN301" s="178"/>
      <c r="BO301" s="178"/>
      <c r="BP301" s="178"/>
      <c r="BQ301" s="178"/>
      <c r="BR301" s="178"/>
      <c r="BS301" s="178"/>
      <c r="BT301" s="178"/>
      <c r="BU301" s="178"/>
      <c r="BV301" s="178"/>
      <c r="BW301" s="178"/>
      <c r="BX301" s="178"/>
      <c r="BY301" s="178"/>
      <c r="BZ301" s="178"/>
      <c r="CA301" s="178"/>
      <c r="CB301" s="178"/>
      <c r="CC301" s="178"/>
      <c r="CD301" s="178"/>
      <c r="CE301" s="178"/>
      <c r="CF301" s="8"/>
      <c r="HB301" s="1"/>
      <c r="JO301" s="1"/>
      <c r="JS301" s="1"/>
    </row>
    <row r="302" spans="2:279" ht="18" customHeight="1" x14ac:dyDescent="0.25">
      <c r="B302" s="6"/>
      <c r="AP302" s="8"/>
      <c r="AR302" s="6"/>
      <c r="CF302" s="8"/>
      <c r="HB302" s="1"/>
      <c r="JO302" s="1"/>
      <c r="JS302" s="1"/>
    </row>
    <row r="303" spans="2:279" ht="18" customHeight="1" x14ac:dyDescent="0.3">
      <c r="B303" s="6"/>
      <c r="C303" s="30" t="s">
        <v>483</v>
      </c>
      <c r="AP303" s="8"/>
      <c r="AR303" s="6"/>
      <c r="AS303" s="30" t="s">
        <v>592</v>
      </c>
      <c r="CF303" s="8"/>
      <c r="HB303" s="1"/>
      <c r="JO303" s="1"/>
      <c r="JS303" s="1"/>
    </row>
    <row r="304" spans="2:279" ht="18" customHeight="1" x14ac:dyDescent="0.25">
      <c r="B304" s="6"/>
      <c r="C304" s="153" t="s">
        <v>645</v>
      </c>
      <c r="D304" s="153"/>
      <c r="E304" s="153"/>
      <c r="F304" s="153"/>
      <c r="G304" s="153"/>
      <c r="H304" s="153"/>
      <c r="I304" s="153"/>
      <c r="J304" s="153"/>
      <c r="K304" s="153"/>
      <c r="L304" s="153"/>
      <c r="M304" s="153"/>
      <c r="N304" s="153"/>
      <c r="O304" s="153"/>
      <c r="P304" s="153"/>
      <c r="Q304" s="153"/>
      <c r="R304" s="153"/>
      <c r="S304" s="153"/>
      <c r="T304" s="153"/>
      <c r="U304" s="153"/>
      <c r="V304" s="153"/>
      <c r="W304" s="153"/>
      <c r="X304" s="153"/>
      <c r="Y304" s="153"/>
      <c r="Z304" s="153"/>
      <c r="AA304" s="153"/>
      <c r="AB304" s="153"/>
      <c r="AC304" s="153"/>
      <c r="AD304" s="153"/>
      <c r="AE304" s="153"/>
      <c r="AF304" s="153"/>
      <c r="AG304" s="153"/>
      <c r="AH304" s="153"/>
      <c r="AI304" s="153"/>
      <c r="AJ304" s="153"/>
      <c r="AK304" s="153"/>
      <c r="AL304" s="153"/>
      <c r="AM304" s="153"/>
      <c r="AN304" s="153"/>
      <c r="AO304" s="153"/>
      <c r="AP304" s="8"/>
      <c r="AR304" s="6"/>
      <c r="AS304" s="153" t="s">
        <v>648</v>
      </c>
      <c r="AT304" s="179"/>
      <c r="AU304" s="179"/>
      <c r="AV304" s="179"/>
      <c r="AW304" s="179"/>
      <c r="AX304" s="179"/>
      <c r="AY304" s="179"/>
      <c r="AZ304" s="179"/>
      <c r="BA304" s="179"/>
      <c r="BB304" s="179"/>
      <c r="BC304" s="179"/>
      <c r="BD304" s="179"/>
      <c r="BE304" s="179"/>
      <c r="BF304" s="179"/>
      <c r="BG304" s="179"/>
      <c r="BH304" s="179"/>
      <c r="BI304" s="179"/>
      <c r="BJ304" s="179"/>
      <c r="BK304" s="179"/>
      <c r="BL304" s="179"/>
      <c r="BM304" s="179"/>
      <c r="BN304" s="179"/>
      <c r="BO304" s="179"/>
      <c r="BP304" s="179"/>
      <c r="BQ304" s="179"/>
      <c r="BR304" s="179"/>
      <c r="BS304" s="179"/>
      <c r="BT304" s="179"/>
      <c r="BU304" s="179"/>
      <c r="BV304" s="179"/>
      <c r="BW304" s="179"/>
      <c r="BX304" s="179"/>
      <c r="BY304" s="179"/>
      <c r="BZ304" s="179"/>
      <c r="CA304" s="179"/>
      <c r="CB304" s="179"/>
      <c r="CC304" s="179"/>
      <c r="CD304" s="179"/>
      <c r="CE304" s="179"/>
      <c r="CF304" s="8"/>
      <c r="HB304" s="1"/>
      <c r="JO304" s="1"/>
      <c r="JS304" s="1"/>
    </row>
    <row r="305" spans="2:279" ht="18" customHeight="1" x14ac:dyDescent="0.25">
      <c r="B305" s="6"/>
      <c r="C305" s="153"/>
      <c r="D305" s="153"/>
      <c r="E305" s="153"/>
      <c r="F305" s="153"/>
      <c r="G305" s="153"/>
      <c r="H305" s="153"/>
      <c r="I305" s="153"/>
      <c r="J305" s="153"/>
      <c r="K305" s="153"/>
      <c r="L305" s="153"/>
      <c r="M305" s="153"/>
      <c r="N305" s="153"/>
      <c r="O305" s="153"/>
      <c r="P305" s="153"/>
      <c r="Q305" s="153"/>
      <c r="R305" s="153"/>
      <c r="S305" s="153"/>
      <c r="T305" s="153"/>
      <c r="U305" s="153"/>
      <c r="V305" s="153"/>
      <c r="W305" s="153"/>
      <c r="X305" s="153"/>
      <c r="Y305" s="153"/>
      <c r="Z305" s="153"/>
      <c r="AA305" s="153"/>
      <c r="AB305" s="153"/>
      <c r="AC305" s="153"/>
      <c r="AD305" s="153"/>
      <c r="AE305" s="153"/>
      <c r="AF305" s="153"/>
      <c r="AG305" s="153"/>
      <c r="AH305" s="153"/>
      <c r="AI305" s="153"/>
      <c r="AJ305" s="153"/>
      <c r="AK305" s="153"/>
      <c r="AL305" s="153"/>
      <c r="AM305" s="153"/>
      <c r="AN305" s="153"/>
      <c r="AO305" s="153"/>
      <c r="AP305" s="8"/>
      <c r="AR305" s="6"/>
      <c r="AS305" s="179"/>
      <c r="AT305" s="179"/>
      <c r="AU305" s="179"/>
      <c r="AV305" s="179"/>
      <c r="AW305" s="179"/>
      <c r="AX305" s="179"/>
      <c r="AY305" s="179"/>
      <c r="AZ305" s="179"/>
      <c r="BA305" s="179"/>
      <c r="BB305" s="179"/>
      <c r="BC305" s="179"/>
      <c r="BD305" s="179"/>
      <c r="BE305" s="179"/>
      <c r="BF305" s="179"/>
      <c r="BG305" s="179"/>
      <c r="BH305" s="179"/>
      <c r="BI305" s="179"/>
      <c r="BJ305" s="179"/>
      <c r="BK305" s="179"/>
      <c r="BL305" s="179"/>
      <c r="BM305" s="179"/>
      <c r="BN305" s="179"/>
      <c r="BO305" s="179"/>
      <c r="BP305" s="179"/>
      <c r="BQ305" s="179"/>
      <c r="BR305" s="179"/>
      <c r="BS305" s="179"/>
      <c r="BT305" s="179"/>
      <c r="BU305" s="179"/>
      <c r="BV305" s="179"/>
      <c r="BW305" s="179"/>
      <c r="BX305" s="179"/>
      <c r="BY305" s="179"/>
      <c r="BZ305" s="179"/>
      <c r="CA305" s="179"/>
      <c r="CB305" s="179"/>
      <c r="CC305" s="179"/>
      <c r="CD305" s="179"/>
      <c r="CE305" s="179"/>
      <c r="CF305" s="8"/>
      <c r="HB305" s="1"/>
      <c r="JO305" s="1"/>
      <c r="JS305" s="1"/>
    </row>
    <row r="306" spans="2:279" ht="18" customHeight="1" x14ac:dyDescent="0.25">
      <c r="B306" s="6"/>
      <c r="C306" s="153"/>
      <c r="D306" s="153"/>
      <c r="E306" s="153"/>
      <c r="F306" s="153"/>
      <c r="G306" s="153"/>
      <c r="H306" s="153"/>
      <c r="I306" s="153"/>
      <c r="J306" s="153"/>
      <c r="K306" s="153"/>
      <c r="L306" s="153"/>
      <c r="M306" s="153"/>
      <c r="N306" s="153"/>
      <c r="O306" s="153"/>
      <c r="P306" s="153"/>
      <c r="Q306" s="153"/>
      <c r="R306" s="153"/>
      <c r="S306" s="153"/>
      <c r="T306" s="153"/>
      <c r="U306" s="153"/>
      <c r="V306" s="153"/>
      <c r="W306" s="153"/>
      <c r="X306" s="153"/>
      <c r="Y306" s="153"/>
      <c r="Z306" s="153"/>
      <c r="AA306" s="153"/>
      <c r="AB306" s="153"/>
      <c r="AC306" s="153"/>
      <c r="AD306" s="153"/>
      <c r="AE306" s="153"/>
      <c r="AF306" s="153"/>
      <c r="AG306" s="153"/>
      <c r="AH306" s="153"/>
      <c r="AI306" s="153"/>
      <c r="AJ306" s="153"/>
      <c r="AK306" s="153"/>
      <c r="AL306" s="153"/>
      <c r="AM306" s="153"/>
      <c r="AN306" s="153"/>
      <c r="AO306" s="153"/>
      <c r="AP306" s="8"/>
      <c r="AR306" s="6"/>
      <c r="AS306" s="179"/>
      <c r="AT306" s="179"/>
      <c r="AU306" s="179"/>
      <c r="AV306" s="179"/>
      <c r="AW306" s="179"/>
      <c r="AX306" s="179"/>
      <c r="AY306" s="179"/>
      <c r="AZ306" s="179"/>
      <c r="BA306" s="179"/>
      <c r="BB306" s="179"/>
      <c r="BC306" s="179"/>
      <c r="BD306" s="179"/>
      <c r="BE306" s="179"/>
      <c r="BF306" s="179"/>
      <c r="BG306" s="179"/>
      <c r="BH306" s="179"/>
      <c r="BI306" s="179"/>
      <c r="BJ306" s="179"/>
      <c r="BK306" s="179"/>
      <c r="BL306" s="179"/>
      <c r="BM306" s="179"/>
      <c r="BN306" s="179"/>
      <c r="BO306" s="179"/>
      <c r="BP306" s="179"/>
      <c r="BQ306" s="179"/>
      <c r="BR306" s="179"/>
      <c r="BS306" s="179"/>
      <c r="BT306" s="179"/>
      <c r="BU306" s="179"/>
      <c r="BV306" s="179"/>
      <c r="BW306" s="179"/>
      <c r="BX306" s="179"/>
      <c r="BY306" s="179"/>
      <c r="BZ306" s="179"/>
      <c r="CA306" s="179"/>
      <c r="CB306" s="179"/>
      <c r="CC306" s="179"/>
      <c r="CD306" s="179"/>
      <c r="CE306" s="179"/>
      <c r="CF306" s="8"/>
    </row>
    <row r="307" spans="2:279" ht="18" customHeight="1" x14ac:dyDescent="0.25">
      <c r="B307" s="6"/>
      <c r="C307" s="153"/>
      <c r="D307" s="153"/>
      <c r="E307" s="153"/>
      <c r="F307" s="153"/>
      <c r="G307" s="153"/>
      <c r="H307" s="153"/>
      <c r="I307" s="153"/>
      <c r="J307" s="153"/>
      <c r="K307" s="153"/>
      <c r="L307" s="153"/>
      <c r="M307" s="153"/>
      <c r="N307" s="153"/>
      <c r="O307" s="153"/>
      <c r="P307" s="153"/>
      <c r="Q307" s="153"/>
      <c r="R307" s="153"/>
      <c r="S307" s="153"/>
      <c r="T307" s="153"/>
      <c r="U307" s="153"/>
      <c r="V307" s="153"/>
      <c r="W307" s="153"/>
      <c r="X307" s="153"/>
      <c r="Y307" s="153"/>
      <c r="Z307" s="153"/>
      <c r="AA307" s="153"/>
      <c r="AB307" s="153"/>
      <c r="AC307" s="153"/>
      <c r="AD307" s="153"/>
      <c r="AE307" s="153"/>
      <c r="AF307" s="153"/>
      <c r="AG307" s="153"/>
      <c r="AH307" s="153"/>
      <c r="AI307" s="153"/>
      <c r="AJ307" s="153"/>
      <c r="AK307" s="153"/>
      <c r="AL307" s="153"/>
      <c r="AM307" s="153"/>
      <c r="AN307" s="153"/>
      <c r="AO307" s="153"/>
      <c r="AP307" s="8"/>
      <c r="AR307" s="6"/>
      <c r="AS307" s="179"/>
      <c r="AT307" s="179"/>
      <c r="AU307" s="179"/>
      <c r="AV307" s="179"/>
      <c r="AW307" s="179"/>
      <c r="AX307" s="179"/>
      <c r="AY307" s="179"/>
      <c r="AZ307" s="179"/>
      <c r="BA307" s="179"/>
      <c r="BB307" s="179"/>
      <c r="BC307" s="179"/>
      <c r="BD307" s="179"/>
      <c r="BE307" s="179"/>
      <c r="BF307" s="179"/>
      <c r="BG307" s="179"/>
      <c r="BH307" s="179"/>
      <c r="BI307" s="179"/>
      <c r="BJ307" s="179"/>
      <c r="BK307" s="179"/>
      <c r="BL307" s="179"/>
      <c r="BM307" s="179"/>
      <c r="BN307" s="179"/>
      <c r="BO307" s="179"/>
      <c r="BP307" s="179"/>
      <c r="BQ307" s="179"/>
      <c r="BR307" s="179"/>
      <c r="BS307" s="179"/>
      <c r="BT307" s="179"/>
      <c r="BU307" s="179"/>
      <c r="BV307" s="179"/>
      <c r="BW307" s="179"/>
      <c r="BX307" s="179"/>
      <c r="BY307" s="179"/>
      <c r="BZ307" s="179"/>
      <c r="CA307" s="179"/>
      <c r="CB307" s="179"/>
      <c r="CC307" s="179"/>
      <c r="CD307" s="179"/>
      <c r="CE307" s="179"/>
      <c r="CF307" s="8"/>
    </row>
    <row r="308" spans="2:279" ht="18" customHeight="1" x14ac:dyDescent="0.25">
      <c r="B308" s="6"/>
      <c r="C308" s="153"/>
      <c r="D308" s="153"/>
      <c r="E308" s="153"/>
      <c r="F308" s="153"/>
      <c r="G308" s="153"/>
      <c r="H308" s="153"/>
      <c r="I308" s="153"/>
      <c r="J308" s="153"/>
      <c r="K308" s="153"/>
      <c r="L308" s="153"/>
      <c r="M308" s="153"/>
      <c r="N308" s="153"/>
      <c r="O308" s="153"/>
      <c r="P308" s="153"/>
      <c r="Q308" s="153"/>
      <c r="R308" s="153"/>
      <c r="S308" s="153"/>
      <c r="T308" s="153"/>
      <c r="U308" s="153"/>
      <c r="V308" s="153"/>
      <c r="W308" s="153"/>
      <c r="X308" s="153"/>
      <c r="Y308" s="153"/>
      <c r="Z308" s="153"/>
      <c r="AA308" s="153"/>
      <c r="AB308" s="153"/>
      <c r="AC308" s="153"/>
      <c r="AD308" s="153"/>
      <c r="AE308" s="153"/>
      <c r="AF308" s="153"/>
      <c r="AG308" s="153"/>
      <c r="AH308" s="153"/>
      <c r="AI308" s="153"/>
      <c r="AJ308" s="153"/>
      <c r="AK308" s="153"/>
      <c r="AL308" s="153"/>
      <c r="AM308" s="153"/>
      <c r="AN308" s="153"/>
      <c r="AO308" s="153"/>
      <c r="AP308" s="8"/>
      <c r="AR308" s="6"/>
      <c r="CF308" s="8"/>
    </row>
    <row r="309" spans="2:279" ht="18" customHeight="1" x14ac:dyDescent="0.25">
      <c r="B309" s="6"/>
      <c r="C309" s="153"/>
      <c r="D309" s="153"/>
      <c r="E309" s="153"/>
      <c r="F309" s="153"/>
      <c r="G309" s="153"/>
      <c r="H309" s="153"/>
      <c r="I309" s="153"/>
      <c r="J309" s="153"/>
      <c r="K309" s="153"/>
      <c r="L309" s="153"/>
      <c r="M309" s="153"/>
      <c r="N309" s="153"/>
      <c r="O309" s="153"/>
      <c r="P309" s="153"/>
      <c r="Q309" s="153"/>
      <c r="R309" s="153"/>
      <c r="S309" s="153"/>
      <c r="T309" s="153"/>
      <c r="U309" s="153"/>
      <c r="V309" s="153"/>
      <c r="W309" s="153"/>
      <c r="X309" s="153"/>
      <c r="Y309" s="153"/>
      <c r="Z309" s="153"/>
      <c r="AA309" s="153"/>
      <c r="AB309" s="153"/>
      <c r="AC309" s="153"/>
      <c r="AD309" s="153"/>
      <c r="AE309" s="153"/>
      <c r="AF309" s="153"/>
      <c r="AG309" s="153"/>
      <c r="AH309" s="153"/>
      <c r="AI309" s="153"/>
      <c r="AJ309" s="153"/>
      <c r="AK309" s="153"/>
      <c r="AL309" s="153"/>
      <c r="AM309" s="153"/>
      <c r="AN309" s="153"/>
      <c r="AO309" s="153"/>
      <c r="AP309" s="8"/>
      <c r="AR309" s="6"/>
      <c r="AS309" s="162" t="s">
        <v>612</v>
      </c>
      <c r="AT309" s="162"/>
      <c r="AU309" s="162"/>
      <c r="AV309" s="162"/>
      <c r="AW309" s="162"/>
      <c r="AX309" s="162"/>
      <c r="AY309" s="162"/>
      <c r="AZ309" s="162"/>
      <c r="BA309" s="162"/>
      <c r="BB309" s="162"/>
      <c r="BC309" s="162"/>
      <c r="BD309" s="162"/>
      <c r="BE309" s="162"/>
      <c r="BF309" s="162"/>
      <c r="BG309" s="162"/>
      <c r="BH309" s="162"/>
      <c r="BI309" s="162"/>
      <c r="BJ309" s="162"/>
      <c r="BK309" s="162"/>
      <c r="BL309" s="162"/>
      <c r="BM309" s="162"/>
      <c r="BN309" s="162"/>
      <c r="BO309" s="162"/>
      <c r="BP309" s="162"/>
      <c r="BQ309" s="162"/>
      <c r="BR309" s="162"/>
      <c r="BS309" s="162"/>
      <c r="BT309" s="162"/>
      <c r="BU309" s="162"/>
      <c r="BV309" s="162"/>
      <c r="BW309" s="162"/>
      <c r="BX309" s="162"/>
      <c r="BY309" s="162"/>
      <c r="BZ309" s="162"/>
      <c r="CA309" s="162"/>
      <c r="CB309" s="162"/>
      <c r="CC309" s="162"/>
      <c r="CD309" s="162"/>
      <c r="CE309" s="162"/>
      <c r="CF309" s="8"/>
    </row>
    <row r="310" spans="2:279" ht="18" customHeight="1" x14ac:dyDescent="0.25">
      <c r="B310" s="6"/>
      <c r="C310" s="153"/>
      <c r="D310" s="153"/>
      <c r="E310" s="153"/>
      <c r="F310" s="153"/>
      <c r="G310" s="153"/>
      <c r="H310" s="153"/>
      <c r="I310" s="153"/>
      <c r="J310" s="153"/>
      <c r="K310" s="153"/>
      <c r="L310" s="153"/>
      <c r="M310" s="153"/>
      <c r="N310" s="153"/>
      <c r="O310" s="153"/>
      <c r="P310" s="153"/>
      <c r="Q310" s="153"/>
      <c r="R310" s="153"/>
      <c r="S310" s="153"/>
      <c r="T310" s="153"/>
      <c r="U310" s="153"/>
      <c r="V310" s="153"/>
      <c r="W310" s="153"/>
      <c r="X310" s="153"/>
      <c r="Y310" s="153"/>
      <c r="Z310" s="153"/>
      <c r="AA310" s="153"/>
      <c r="AB310" s="153"/>
      <c r="AC310" s="153"/>
      <c r="AD310" s="153"/>
      <c r="AE310" s="153"/>
      <c r="AF310" s="153"/>
      <c r="AG310" s="153"/>
      <c r="AH310" s="153"/>
      <c r="AI310" s="153"/>
      <c r="AJ310" s="153"/>
      <c r="AK310" s="153"/>
      <c r="AL310" s="153"/>
      <c r="AM310" s="153"/>
      <c r="AN310" s="153"/>
      <c r="AO310" s="153"/>
      <c r="AP310" s="8"/>
      <c r="AR310" s="6"/>
      <c r="AS310" s="159" t="s">
        <v>57</v>
      </c>
      <c r="AT310" s="159"/>
      <c r="AU310" s="159"/>
      <c r="AV310" s="159"/>
      <c r="AW310" s="159"/>
      <c r="AX310" s="159"/>
      <c r="AY310" s="160"/>
      <c r="AZ310" s="165">
        <v>1</v>
      </c>
      <c r="BA310" s="166"/>
      <c r="BB310" s="169">
        <v>2</v>
      </c>
      <c r="BC310" s="170"/>
      <c r="BD310" s="169">
        <v>3</v>
      </c>
      <c r="BE310" s="170"/>
      <c r="BF310" s="169">
        <v>4</v>
      </c>
      <c r="BG310" s="170"/>
      <c r="BH310" s="169">
        <v>5</v>
      </c>
      <c r="BI310" s="170"/>
      <c r="BJ310" s="169">
        <v>7</v>
      </c>
      <c r="BK310" s="170"/>
      <c r="BL310" s="169">
        <v>11</v>
      </c>
      <c r="BM310" s="170"/>
      <c r="BN310" s="169">
        <v>13</v>
      </c>
      <c r="BO310" s="170"/>
      <c r="BP310" s="169">
        <v>17</v>
      </c>
      <c r="BQ310" s="170"/>
      <c r="BR310" s="169">
        <v>19</v>
      </c>
      <c r="BS310" s="170"/>
      <c r="BT310" s="169">
        <v>23</v>
      </c>
      <c r="BU310" s="170"/>
      <c r="BV310" s="169">
        <v>25</v>
      </c>
      <c r="BW310" s="170"/>
      <c r="BX310" s="169">
        <v>29</v>
      </c>
      <c r="BY310" s="170"/>
      <c r="BZ310" s="169">
        <v>31</v>
      </c>
      <c r="CA310" s="170"/>
      <c r="CB310" s="169">
        <v>35</v>
      </c>
      <c r="CC310" s="170"/>
      <c r="CD310" s="169">
        <v>37</v>
      </c>
      <c r="CE310" s="171"/>
      <c r="CF310" s="8"/>
    </row>
    <row r="311" spans="2:279" ht="18" customHeight="1" x14ac:dyDescent="0.35">
      <c r="B311" s="6"/>
      <c r="C311" s="153"/>
      <c r="D311" s="153"/>
      <c r="E311" s="153"/>
      <c r="F311" s="153"/>
      <c r="G311" s="153"/>
      <c r="H311" s="153"/>
      <c r="I311" s="153"/>
      <c r="J311" s="153"/>
      <c r="K311" s="153"/>
      <c r="L311" s="153"/>
      <c r="M311" s="153"/>
      <c r="N311" s="153"/>
      <c r="O311" s="153"/>
      <c r="P311" s="153"/>
      <c r="Q311" s="153"/>
      <c r="R311" s="153"/>
      <c r="S311" s="153"/>
      <c r="T311" s="153"/>
      <c r="U311" s="153"/>
      <c r="V311" s="153"/>
      <c r="W311" s="153"/>
      <c r="X311" s="153"/>
      <c r="Y311" s="153"/>
      <c r="Z311" s="153"/>
      <c r="AA311" s="153"/>
      <c r="AB311" s="153"/>
      <c r="AC311" s="153"/>
      <c r="AD311" s="153"/>
      <c r="AE311" s="153"/>
      <c r="AF311" s="153"/>
      <c r="AG311" s="153"/>
      <c r="AH311" s="153"/>
      <c r="AI311" s="153"/>
      <c r="AJ311" s="153"/>
      <c r="AK311" s="153"/>
      <c r="AL311" s="153"/>
      <c r="AM311" s="153"/>
      <c r="AN311" s="153"/>
      <c r="AO311" s="153"/>
      <c r="AP311" s="8"/>
      <c r="AR311" s="6"/>
      <c r="AS311" s="159" t="s">
        <v>593</v>
      </c>
      <c r="AT311" s="159"/>
      <c r="AU311" s="159"/>
      <c r="AV311" s="159"/>
      <c r="AW311" s="159"/>
      <c r="AX311" s="159"/>
      <c r="AY311" s="160"/>
      <c r="AZ311" s="165">
        <f>FF5</f>
        <v>555.59013663016856</v>
      </c>
      <c r="BA311" s="166"/>
      <c r="BB311" s="169">
        <v>1</v>
      </c>
      <c r="BC311" s="170"/>
      <c r="BD311" s="169">
        <v>1</v>
      </c>
      <c r="BE311" s="170"/>
      <c r="BF311" s="169">
        <v>1</v>
      </c>
      <c r="BG311" s="170"/>
      <c r="BH311" s="169">
        <v>120</v>
      </c>
      <c r="BI311" s="170"/>
      <c r="BJ311" s="169">
        <v>100</v>
      </c>
      <c r="BK311" s="170"/>
      <c r="BL311" s="169">
        <v>80</v>
      </c>
      <c r="BM311" s="170"/>
      <c r="BN311" s="169">
        <v>60</v>
      </c>
      <c r="BO311" s="170"/>
      <c r="BP311" s="169">
        <v>40</v>
      </c>
      <c r="BQ311" s="170"/>
      <c r="BR311" s="169">
        <v>30</v>
      </c>
      <c r="BS311" s="170"/>
      <c r="BT311" s="169">
        <v>20</v>
      </c>
      <c r="BU311" s="170"/>
      <c r="BV311" s="169">
        <v>10</v>
      </c>
      <c r="BW311" s="170"/>
      <c r="BX311" s="169">
        <v>8</v>
      </c>
      <c r="BY311" s="170"/>
      <c r="BZ311" s="169">
        <v>6</v>
      </c>
      <c r="CA311" s="170"/>
      <c r="CB311" s="169">
        <v>4</v>
      </c>
      <c r="CC311" s="170"/>
      <c r="CD311" s="169">
        <v>1</v>
      </c>
      <c r="CE311" s="171"/>
      <c r="CF311" s="8"/>
    </row>
    <row r="312" spans="2:279" ht="18" customHeight="1" x14ac:dyDescent="0.25">
      <c r="B312" s="6"/>
      <c r="C312" s="153"/>
      <c r="D312" s="153"/>
      <c r="E312" s="153"/>
      <c r="F312" s="153"/>
      <c r="G312" s="153"/>
      <c r="H312" s="153"/>
      <c r="I312" s="153"/>
      <c r="J312" s="153"/>
      <c r="K312" s="153"/>
      <c r="L312" s="153"/>
      <c r="M312" s="153"/>
      <c r="N312" s="153"/>
      <c r="O312" s="153"/>
      <c r="P312" s="153"/>
      <c r="Q312" s="153"/>
      <c r="R312" s="153"/>
      <c r="S312" s="153"/>
      <c r="T312" s="153"/>
      <c r="U312" s="153"/>
      <c r="V312" s="153"/>
      <c r="W312" s="153"/>
      <c r="X312" s="153"/>
      <c r="Y312" s="153"/>
      <c r="Z312" s="153"/>
      <c r="AA312" s="153"/>
      <c r="AB312" s="153"/>
      <c r="AC312" s="153"/>
      <c r="AD312" s="153"/>
      <c r="AE312" s="153"/>
      <c r="AF312" s="153"/>
      <c r="AG312" s="153"/>
      <c r="AH312" s="153"/>
      <c r="AI312" s="153"/>
      <c r="AJ312" s="153"/>
      <c r="AK312" s="153"/>
      <c r="AL312" s="153"/>
      <c r="AM312" s="153"/>
      <c r="AN312" s="153"/>
      <c r="AO312" s="153"/>
      <c r="AP312" s="8"/>
      <c r="AR312" s="6"/>
      <c r="CF312" s="8"/>
    </row>
    <row r="313" spans="2:279" ht="18" customHeight="1" x14ac:dyDescent="0.25">
      <c r="B313" s="6"/>
      <c r="C313" s="153"/>
      <c r="D313" s="153"/>
      <c r="E313" s="153"/>
      <c r="F313" s="153"/>
      <c r="G313" s="153"/>
      <c r="H313" s="153"/>
      <c r="I313" s="153"/>
      <c r="J313" s="153"/>
      <c r="K313" s="153"/>
      <c r="L313" s="153"/>
      <c r="M313" s="153"/>
      <c r="N313" s="153"/>
      <c r="O313" s="153"/>
      <c r="P313" s="153"/>
      <c r="Q313" s="153"/>
      <c r="R313" s="153"/>
      <c r="S313" s="153"/>
      <c r="T313" s="153"/>
      <c r="U313" s="153"/>
      <c r="V313" s="153"/>
      <c r="W313" s="153"/>
      <c r="X313" s="153"/>
      <c r="Y313" s="153"/>
      <c r="Z313" s="153"/>
      <c r="AA313" s="153"/>
      <c r="AB313" s="153"/>
      <c r="AC313" s="153"/>
      <c r="AD313" s="153"/>
      <c r="AE313" s="153"/>
      <c r="AF313" s="153"/>
      <c r="AG313" s="153"/>
      <c r="AH313" s="153"/>
      <c r="AI313" s="153"/>
      <c r="AJ313" s="153"/>
      <c r="AK313" s="153"/>
      <c r="AL313" s="153"/>
      <c r="AM313" s="153"/>
      <c r="AN313" s="153"/>
      <c r="AO313" s="153"/>
      <c r="AP313" s="8"/>
      <c r="AR313" s="6"/>
      <c r="AS313" s="172" t="s">
        <v>646</v>
      </c>
      <c r="AT313" s="172"/>
      <c r="AU313" s="172"/>
      <c r="AV313" s="172"/>
      <c r="AW313" s="172"/>
      <c r="AX313" s="172"/>
      <c r="AY313" s="172"/>
      <c r="AZ313" s="172"/>
      <c r="BA313" s="172"/>
      <c r="BB313" s="172"/>
      <c r="BC313" s="172"/>
      <c r="BD313" s="172"/>
      <c r="BE313" s="172"/>
      <c r="BF313" s="172"/>
      <c r="BG313" s="172"/>
      <c r="BH313" s="172"/>
      <c r="BI313" s="172"/>
      <c r="BJ313" s="172"/>
      <c r="BK313" s="172"/>
      <c r="BL313" s="172"/>
      <c r="BM313" s="172"/>
      <c r="BN313" s="172"/>
      <c r="BO313" s="172"/>
      <c r="BP313" s="172"/>
      <c r="BQ313" s="172"/>
      <c r="BR313" s="172"/>
      <c r="BS313" s="172"/>
      <c r="BT313" s="172"/>
      <c r="BU313" s="172"/>
      <c r="BV313" s="172"/>
      <c r="BW313" s="172"/>
      <c r="BX313" s="172"/>
      <c r="BY313" s="172"/>
      <c r="BZ313" s="172"/>
      <c r="CA313" s="172"/>
      <c r="CB313" s="172"/>
      <c r="CC313" s="172"/>
      <c r="CD313" s="172"/>
      <c r="CE313" s="172"/>
      <c r="CF313" s="8"/>
    </row>
    <row r="314" spans="2:279" ht="18" customHeight="1" x14ac:dyDescent="0.25">
      <c r="B314" s="6"/>
      <c r="C314" s="153"/>
      <c r="D314" s="153"/>
      <c r="E314" s="153"/>
      <c r="F314" s="153"/>
      <c r="G314" s="153"/>
      <c r="H314" s="153"/>
      <c r="I314" s="153"/>
      <c r="J314" s="153"/>
      <c r="K314" s="153"/>
      <c r="L314" s="153"/>
      <c r="M314" s="153"/>
      <c r="N314" s="153"/>
      <c r="O314" s="153"/>
      <c r="P314" s="153"/>
      <c r="Q314" s="153"/>
      <c r="R314" s="153"/>
      <c r="S314" s="153"/>
      <c r="T314" s="153"/>
      <c r="U314" s="153"/>
      <c r="V314" s="153"/>
      <c r="W314" s="153"/>
      <c r="X314" s="153"/>
      <c r="Y314" s="153"/>
      <c r="Z314" s="153"/>
      <c r="AA314" s="153"/>
      <c r="AB314" s="153"/>
      <c r="AC314" s="153"/>
      <c r="AD314" s="153"/>
      <c r="AE314" s="153"/>
      <c r="AF314" s="153"/>
      <c r="AG314" s="153"/>
      <c r="AH314" s="153"/>
      <c r="AI314" s="153"/>
      <c r="AJ314" s="153"/>
      <c r="AK314" s="153"/>
      <c r="AL314" s="153"/>
      <c r="AM314" s="153"/>
      <c r="AN314" s="153"/>
      <c r="AO314" s="153"/>
      <c r="AP314" s="8"/>
      <c r="AR314" s="6"/>
      <c r="CF314" s="8"/>
      <c r="CI314" s="280" t="s">
        <v>627</v>
      </c>
      <c r="CJ314" s="280"/>
      <c r="CK314" s="280"/>
      <c r="CL314" s="280"/>
      <c r="CM314" s="280"/>
    </row>
    <row r="315" spans="2:279" ht="18" customHeight="1" x14ac:dyDescent="0.25">
      <c r="B315" s="6"/>
      <c r="C315" s="153"/>
      <c r="D315" s="153"/>
      <c r="E315" s="153"/>
      <c r="F315" s="153"/>
      <c r="G315" s="153"/>
      <c r="H315" s="153"/>
      <c r="I315" s="153"/>
      <c r="J315" s="153"/>
      <c r="K315" s="153"/>
      <c r="L315" s="153"/>
      <c r="M315" s="153"/>
      <c r="N315" s="153"/>
      <c r="O315" s="153"/>
      <c r="P315" s="153"/>
      <c r="Q315" s="153"/>
      <c r="R315" s="153"/>
      <c r="S315" s="153"/>
      <c r="T315" s="153"/>
      <c r="U315" s="153"/>
      <c r="V315" s="153"/>
      <c r="W315" s="153"/>
      <c r="X315" s="153"/>
      <c r="Y315" s="153"/>
      <c r="Z315" s="153"/>
      <c r="AA315" s="153"/>
      <c r="AB315" s="153"/>
      <c r="AC315" s="153"/>
      <c r="AD315" s="153"/>
      <c r="AE315" s="153"/>
      <c r="AF315" s="153"/>
      <c r="AG315" s="153"/>
      <c r="AH315" s="153"/>
      <c r="AI315" s="153"/>
      <c r="AJ315" s="153"/>
      <c r="AK315" s="153"/>
      <c r="AL315" s="153"/>
      <c r="AM315" s="153"/>
      <c r="AN315" s="153"/>
      <c r="AO315" s="153"/>
      <c r="AP315" s="8"/>
      <c r="AR315" s="6"/>
      <c r="AS315" s="162" t="s">
        <v>632</v>
      </c>
      <c r="AT315" s="162"/>
      <c r="AU315" s="162"/>
      <c r="AV315" s="162"/>
      <c r="AW315" s="162"/>
      <c r="AX315" s="162"/>
      <c r="AY315" s="162"/>
      <c r="AZ315" s="162"/>
      <c r="BA315" s="162"/>
      <c r="BB315" s="162"/>
      <c r="BC315" s="162"/>
      <c r="BD315" s="162"/>
      <c r="BE315" s="162"/>
      <c r="BF315" s="162"/>
      <c r="BG315" s="162"/>
      <c r="BH315" s="162"/>
      <c r="BI315" s="162"/>
      <c r="BJ315" s="162"/>
      <c r="BK315" s="162"/>
      <c r="BL315" s="162"/>
      <c r="BM315" s="162"/>
      <c r="BN315" s="162"/>
      <c r="BO315" s="162"/>
      <c r="BP315" s="162"/>
      <c r="BQ315" s="162"/>
      <c r="BR315" s="162"/>
      <c r="BS315" s="162"/>
      <c r="BT315" s="162"/>
      <c r="BU315" s="162"/>
      <c r="BV315" s="162"/>
      <c r="BW315" s="162"/>
      <c r="BX315" s="162"/>
      <c r="BY315" s="162"/>
      <c r="BZ315" s="162"/>
      <c r="CA315" s="162"/>
      <c r="CB315" s="162"/>
      <c r="CC315" s="162"/>
      <c r="CD315" s="162"/>
      <c r="CE315" s="162"/>
      <c r="CF315" s="8"/>
      <c r="CI315" s="280"/>
      <c r="CJ315" s="280"/>
      <c r="CK315" s="280"/>
      <c r="CL315" s="280"/>
      <c r="CM315" s="280"/>
    </row>
    <row r="316" spans="2:279" ht="18" customHeight="1" x14ac:dyDescent="0.25">
      <c r="B316" s="6"/>
      <c r="C316" s="153"/>
      <c r="D316" s="153"/>
      <c r="E316" s="153"/>
      <c r="F316" s="153"/>
      <c r="G316" s="153"/>
      <c r="H316" s="153"/>
      <c r="I316" s="153"/>
      <c r="J316" s="153"/>
      <c r="K316" s="153"/>
      <c r="L316" s="153"/>
      <c r="M316" s="153"/>
      <c r="N316" s="153"/>
      <c r="O316" s="153"/>
      <c r="P316" s="153"/>
      <c r="Q316" s="153"/>
      <c r="R316" s="153"/>
      <c r="S316" s="153"/>
      <c r="T316" s="153"/>
      <c r="U316" s="153"/>
      <c r="V316" s="153"/>
      <c r="W316" s="153"/>
      <c r="X316" s="153"/>
      <c r="Y316" s="153"/>
      <c r="Z316" s="153"/>
      <c r="AA316" s="153"/>
      <c r="AB316" s="153"/>
      <c r="AC316" s="153"/>
      <c r="AD316" s="153"/>
      <c r="AE316" s="153"/>
      <c r="AF316" s="153"/>
      <c r="AG316" s="153"/>
      <c r="AH316" s="153"/>
      <c r="AI316" s="153"/>
      <c r="AJ316" s="153"/>
      <c r="AK316" s="153"/>
      <c r="AL316" s="153"/>
      <c r="AM316" s="153"/>
      <c r="AN316" s="153"/>
      <c r="AO316" s="153"/>
      <c r="AP316" s="8"/>
      <c r="AR316" s="6"/>
      <c r="AS316" s="159" t="s">
        <v>57</v>
      </c>
      <c r="AT316" s="159"/>
      <c r="AU316" s="159"/>
      <c r="AV316" s="159"/>
      <c r="AW316" s="159"/>
      <c r="AX316" s="159"/>
      <c r="AY316" s="160"/>
      <c r="AZ316" s="165">
        <v>1</v>
      </c>
      <c r="BA316" s="166"/>
      <c r="BB316" s="167">
        <f>$BB$310</f>
        <v>2</v>
      </c>
      <c r="BC316" s="168"/>
      <c r="BD316" s="167">
        <f>$BD$310</f>
        <v>3</v>
      </c>
      <c r="BE316" s="168"/>
      <c r="BF316" s="167">
        <f>$BF$310</f>
        <v>4</v>
      </c>
      <c r="BG316" s="168"/>
      <c r="BH316" s="167">
        <f>$BH$310</f>
        <v>5</v>
      </c>
      <c r="BI316" s="168"/>
      <c r="BJ316" s="167">
        <f>$BJ$310</f>
        <v>7</v>
      </c>
      <c r="BK316" s="168"/>
      <c r="BL316" s="167">
        <f>$BL$310</f>
        <v>11</v>
      </c>
      <c r="BM316" s="168"/>
      <c r="BN316" s="167">
        <f>$BN$310</f>
        <v>13</v>
      </c>
      <c r="BO316" s="168"/>
      <c r="BP316" s="167">
        <f>$BP$310</f>
        <v>17</v>
      </c>
      <c r="BQ316" s="168"/>
      <c r="BR316" s="167">
        <f>$BR$310</f>
        <v>19</v>
      </c>
      <c r="BS316" s="168"/>
      <c r="BT316" s="167">
        <f>$BT$310</f>
        <v>23</v>
      </c>
      <c r="BU316" s="168"/>
      <c r="BV316" s="167">
        <f>$BV$310</f>
        <v>25</v>
      </c>
      <c r="BW316" s="168"/>
      <c r="BX316" s="167">
        <f>$BX$310</f>
        <v>29</v>
      </c>
      <c r="BY316" s="168"/>
      <c r="BZ316" s="167">
        <f>$BZ$310</f>
        <v>31</v>
      </c>
      <c r="CA316" s="168"/>
      <c r="CB316" s="167">
        <f>$CB$310</f>
        <v>35</v>
      </c>
      <c r="CC316" s="168"/>
      <c r="CD316" s="167">
        <f>$CD$310</f>
        <v>37</v>
      </c>
      <c r="CE316" s="168"/>
      <c r="CF316" s="8"/>
      <c r="CI316" s="2"/>
      <c r="CK316" s="155" t="s">
        <v>629</v>
      </c>
    </row>
    <row r="317" spans="2:279" ht="18" customHeight="1" x14ac:dyDescent="0.35">
      <c r="B317" s="6"/>
      <c r="C317" s="153"/>
      <c r="D317" s="153"/>
      <c r="E317" s="153"/>
      <c r="F317" s="153"/>
      <c r="G317" s="153"/>
      <c r="H317" s="153"/>
      <c r="I317" s="153"/>
      <c r="J317" s="153"/>
      <c r="K317" s="153"/>
      <c r="L317" s="153"/>
      <c r="M317" s="153"/>
      <c r="N317" s="153"/>
      <c r="O317" s="153"/>
      <c r="P317" s="153"/>
      <c r="Q317" s="153"/>
      <c r="R317" s="153"/>
      <c r="S317" s="153"/>
      <c r="T317" s="153"/>
      <c r="U317" s="153"/>
      <c r="V317" s="153"/>
      <c r="W317" s="153"/>
      <c r="X317" s="153"/>
      <c r="Y317" s="153"/>
      <c r="Z317" s="153"/>
      <c r="AA317" s="153"/>
      <c r="AB317" s="153"/>
      <c r="AC317" s="153"/>
      <c r="AD317" s="153"/>
      <c r="AE317" s="153"/>
      <c r="AF317" s="153"/>
      <c r="AG317" s="153"/>
      <c r="AH317" s="153"/>
      <c r="AI317" s="153"/>
      <c r="AJ317" s="153"/>
      <c r="AK317" s="153"/>
      <c r="AL317" s="153"/>
      <c r="AM317" s="153"/>
      <c r="AN317" s="153"/>
      <c r="AO317" s="153"/>
      <c r="AP317" s="8"/>
      <c r="AR317" s="6"/>
      <c r="AS317" s="159" t="s">
        <v>593</v>
      </c>
      <c r="AT317" s="159"/>
      <c r="AU317" s="159"/>
      <c r="AV317" s="159"/>
      <c r="AW317" s="159"/>
      <c r="AX317" s="159"/>
      <c r="AY317" s="160"/>
      <c r="AZ317" s="165">
        <f>FR25</f>
        <v>138.89310732414691</v>
      </c>
      <c r="BA317" s="166"/>
      <c r="BB317" s="167">
        <f>$FR$26</f>
        <v>3.5953439234945608E-2</v>
      </c>
      <c r="BC317" s="168"/>
      <c r="BD317" s="167">
        <f>$FR$27</f>
        <v>0.13334133248155855</v>
      </c>
      <c r="BE317" s="168"/>
      <c r="BF317" s="167">
        <f>$FR$28</f>
        <v>0.90699354118005227</v>
      </c>
      <c r="BG317" s="168"/>
      <c r="BH317" s="167">
        <f>$FR$29</f>
        <v>116.78396953676854</v>
      </c>
      <c r="BI317" s="168"/>
      <c r="BJ317" s="167">
        <f>$FR$30</f>
        <v>12.114499023736929</v>
      </c>
      <c r="BK317" s="168"/>
      <c r="BL317" s="167">
        <f>$FR$31</f>
        <v>2.2364167016622352</v>
      </c>
      <c r="BM317" s="168"/>
      <c r="BN317" s="167">
        <f>$FR$32</f>
        <v>1.0968294391712632</v>
      </c>
      <c r="BO317" s="168"/>
      <c r="BP317" s="167">
        <f>$FR$33</f>
        <v>1.3711791640222279</v>
      </c>
      <c r="BQ317" s="168"/>
      <c r="BR317" s="167">
        <f>$FR$34</f>
        <v>1.1812421233213448</v>
      </c>
      <c r="BS317" s="168"/>
      <c r="BT317" s="167">
        <f>$FR$35</f>
        <v>0.91579699719305285</v>
      </c>
      <c r="BU317" s="168"/>
      <c r="BV317" s="167">
        <f>$FR$36</f>
        <v>0.48127702675361922</v>
      </c>
      <c r="BW317" s="168"/>
      <c r="BX317" s="167">
        <f>$FR$37</f>
        <v>0.41630099125650799</v>
      </c>
      <c r="BY317" s="168"/>
      <c r="BZ317" s="167">
        <f>$FR$38</f>
        <v>0.32264451649981457</v>
      </c>
      <c r="CA317" s="168"/>
      <c r="CB317" s="167">
        <f>$FR$39</f>
        <v>0.22804798901648746</v>
      </c>
      <c r="CC317" s="168"/>
      <c r="CD317" s="167">
        <f>$FR$40</f>
        <v>5.8554002442022475E-2</v>
      </c>
      <c r="CE317" s="168"/>
      <c r="CF317" s="8"/>
      <c r="CJ317" s="133" t="s">
        <v>626</v>
      </c>
      <c r="CK317" s="155"/>
      <c r="CM317" s="1" t="s">
        <v>115</v>
      </c>
      <c r="CN317" s="2" t="s">
        <v>628</v>
      </c>
      <c r="CQ317" s="1" t="s">
        <v>630</v>
      </c>
    </row>
    <row r="318" spans="2:279" ht="18" customHeight="1" x14ac:dyDescent="0.25">
      <c r="B318" s="6"/>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c r="AC318" s="62"/>
      <c r="AD318" s="62"/>
      <c r="AE318" s="62"/>
      <c r="AF318" s="62"/>
      <c r="AG318" s="62"/>
      <c r="AH318" s="62"/>
      <c r="AI318" s="62"/>
      <c r="AJ318" s="62"/>
      <c r="AK318" s="62"/>
      <c r="AL318" s="62"/>
      <c r="AM318" s="62"/>
      <c r="AN318" s="62"/>
      <c r="AO318" s="62"/>
      <c r="AP318" s="8"/>
      <c r="AR318" s="6"/>
      <c r="CF318" s="8"/>
      <c r="CJ318" s="69">
        <f t="shared" ref="CJ318:CJ332" si="253">SUM(FR26:FV26)</f>
        <v>0.13386196607996631</v>
      </c>
      <c r="CK318" s="34">
        <f t="shared" ref="CK318:CK332" si="254">FP26</f>
        <v>0.13386088160289972</v>
      </c>
      <c r="CM318" s="69">
        <f t="shared" ref="CM318:CM332" si="255">CJ341</f>
        <v>2</v>
      </c>
      <c r="CN318" s="13">
        <f t="shared" ref="CN318:CN332" si="256">CJ318/CK318</f>
        <v>1.0000081015234146</v>
      </c>
      <c r="CO318" s="12">
        <f>CN318-1</f>
        <v>8.1015234145720427E-6</v>
      </c>
      <c r="CQ318" s="131">
        <f t="shared" ref="CQ318:CQ332" si="257">1/CN318</f>
        <v>0.99999189854221959</v>
      </c>
    </row>
    <row r="319" spans="2:279" ht="18" customHeight="1" x14ac:dyDescent="0.25">
      <c r="B319" s="6"/>
      <c r="AP319" s="8"/>
      <c r="AR319" s="6"/>
      <c r="AS319" s="162" t="s">
        <v>631</v>
      </c>
      <c r="AT319" s="162"/>
      <c r="AU319" s="162"/>
      <c r="AV319" s="162"/>
      <c r="AW319" s="162"/>
      <c r="AX319" s="162"/>
      <c r="AY319" s="162"/>
      <c r="AZ319" s="162"/>
      <c r="BA319" s="162"/>
      <c r="BB319" s="162"/>
      <c r="BC319" s="162"/>
      <c r="BD319" s="162"/>
      <c r="BE319" s="162"/>
      <c r="BF319" s="162"/>
      <c r="BG319" s="162"/>
      <c r="BH319" s="162"/>
      <c r="BI319" s="162"/>
      <c r="BJ319" s="162"/>
      <c r="BK319" s="162"/>
      <c r="BL319" s="162"/>
      <c r="BM319" s="162"/>
      <c r="BN319" s="162"/>
      <c r="BO319" s="162"/>
      <c r="BP319" s="162"/>
      <c r="BQ319" s="162"/>
      <c r="BR319" s="162"/>
      <c r="BS319" s="162"/>
      <c r="BT319" s="162"/>
      <c r="BU319" s="162"/>
      <c r="BV319" s="162"/>
      <c r="BW319" s="162"/>
      <c r="BX319" s="162"/>
      <c r="BY319" s="162"/>
      <c r="BZ319" s="162"/>
      <c r="CA319" s="162"/>
      <c r="CB319" s="162"/>
      <c r="CC319" s="162"/>
      <c r="CD319" s="162"/>
      <c r="CE319" s="162"/>
      <c r="CF319" s="8"/>
      <c r="CJ319" s="69">
        <f t="shared" si="253"/>
        <v>0.42978772021187189</v>
      </c>
      <c r="CK319" s="34">
        <f t="shared" si="254"/>
        <v>0.42971946207435457</v>
      </c>
      <c r="CM319" s="69">
        <f t="shared" si="255"/>
        <v>3</v>
      </c>
      <c r="CN319" s="13">
        <f t="shared" si="256"/>
        <v>1.0001588434863709</v>
      </c>
      <c r="CO319" s="12">
        <f t="shared" ref="CO319:CO332" si="258">CN319-1</f>
        <v>1.588434863708521E-4</v>
      </c>
      <c r="CQ319" s="131">
        <f t="shared" si="257"/>
        <v>0.99984118174087511</v>
      </c>
    </row>
    <row r="320" spans="2:279" ht="18" customHeight="1" x14ac:dyDescent="0.25">
      <c r="B320" s="6"/>
      <c r="C320" s="91"/>
      <c r="D320" s="91"/>
      <c r="E320" s="91"/>
      <c r="F320" s="91"/>
      <c r="G320" s="91"/>
      <c r="H320" s="91"/>
      <c r="I320" s="91"/>
      <c r="J320" s="91"/>
      <c r="K320" s="91"/>
      <c r="L320" s="91"/>
      <c r="M320" s="91"/>
      <c r="N320" s="91"/>
      <c r="O320" s="91"/>
      <c r="P320" s="91"/>
      <c r="Q320" s="91"/>
      <c r="R320" s="91"/>
      <c r="S320" s="91"/>
      <c r="T320" s="91"/>
      <c r="U320" s="91"/>
      <c r="V320" s="91"/>
      <c r="W320" s="91"/>
      <c r="X320" s="91"/>
      <c r="Y320" s="91"/>
      <c r="Z320" s="91"/>
      <c r="AA320" s="91"/>
      <c r="AB320" s="91"/>
      <c r="AC320" s="91"/>
      <c r="AD320" s="91"/>
      <c r="AE320" s="91"/>
      <c r="AF320" s="91"/>
      <c r="AG320" s="91"/>
      <c r="AH320" s="91"/>
      <c r="AI320" s="91"/>
      <c r="AJ320" s="91"/>
      <c r="AK320" s="91"/>
      <c r="AL320" s="91"/>
      <c r="AM320" s="91"/>
      <c r="AN320" s="91"/>
      <c r="AO320" s="91"/>
      <c r="AP320" s="8"/>
      <c r="AR320" s="6"/>
      <c r="AS320" s="159" t="s">
        <v>57</v>
      </c>
      <c r="AT320" s="159"/>
      <c r="AU320" s="159"/>
      <c r="AV320" s="159"/>
      <c r="AW320" s="159"/>
      <c r="AX320" s="159"/>
      <c r="AY320" s="160"/>
      <c r="AZ320" s="165">
        <v>1</v>
      </c>
      <c r="BA320" s="166"/>
      <c r="BB320" s="167">
        <f>$BB$310</f>
        <v>2</v>
      </c>
      <c r="BC320" s="168"/>
      <c r="BD320" s="167">
        <f>$BD$310</f>
        <v>3</v>
      </c>
      <c r="BE320" s="168"/>
      <c r="BF320" s="167">
        <f>$BF$310</f>
        <v>4</v>
      </c>
      <c r="BG320" s="168"/>
      <c r="BH320" s="167">
        <f>$BH$310</f>
        <v>5</v>
      </c>
      <c r="BI320" s="168"/>
      <c r="BJ320" s="167">
        <f>$BJ$310</f>
        <v>7</v>
      </c>
      <c r="BK320" s="168"/>
      <c r="BL320" s="167">
        <f>$BL$310</f>
        <v>11</v>
      </c>
      <c r="BM320" s="168"/>
      <c r="BN320" s="167">
        <f>$BN$310</f>
        <v>13</v>
      </c>
      <c r="BO320" s="168"/>
      <c r="BP320" s="167">
        <f>$BP$310</f>
        <v>17</v>
      </c>
      <c r="BQ320" s="168"/>
      <c r="BR320" s="167">
        <f>$BR$310</f>
        <v>19</v>
      </c>
      <c r="BS320" s="168"/>
      <c r="BT320" s="167">
        <f>$BT$310</f>
        <v>23</v>
      </c>
      <c r="BU320" s="168"/>
      <c r="BV320" s="167">
        <f>$BV$310</f>
        <v>25</v>
      </c>
      <c r="BW320" s="168"/>
      <c r="BX320" s="167">
        <f>$BX$310</f>
        <v>29</v>
      </c>
      <c r="BY320" s="168"/>
      <c r="BZ320" s="167">
        <f>$BZ$310</f>
        <v>31</v>
      </c>
      <c r="CA320" s="168"/>
      <c r="CB320" s="167">
        <f>$CB$310</f>
        <v>35</v>
      </c>
      <c r="CC320" s="168"/>
      <c r="CD320" s="167">
        <f>$CD$310</f>
        <v>37</v>
      </c>
      <c r="CE320" s="168"/>
      <c r="CF320" s="8"/>
      <c r="CJ320" s="69">
        <f t="shared" si="253"/>
        <v>2.2051399547968904</v>
      </c>
      <c r="CK320" s="34">
        <f t="shared" si="254"/>
        <v>2.1983626666982596</v>
      </c>
      <c r="CM320" s="69">
        <f t="shared" si="255"/>
        <v>4</v>
      </c>
      <c r="CN320" s="13">
        <f t="shared" si="256"/>
        <v>1.0030828799093507</v>
      </c>
      <c r="CO320" s="12">
        <f t="shared" si="258"/>
        <v>3.0828799093507442E-3</v>
      </c>
      <c r="CQ320" s="131">
        <f t="shared" si="257"/>
        <v>0.99692659502908743</v>
      </c>
    </row>
    <row r="321" spans="2:95" ht="18" customHeight="1" x14ac:dyDescent="0.35">
      <c r="B321" s="6"/>
      <c r="C321" s="91"/>
      <c r="D321" s="91"/>
      <c r="E321" s="91"/>
      <c r="F321" s="91"/>
      <c r="G321" s="91"/>
      <c r="H321" s="91"/>
      <c r="I321" s="91"/>
      <c r="J321" s="91"/>
      <c r="K321" s="91"/>
      <c r="L321" s="91"/>
      <c r="M321" s="91"/>
      <c r="N321" s="91"/>
      <c r="O321" s="91"/>
      <c r="P321" s="91"/>
      <c r="Q321" s="91"/>
      <c r="R321" s="91"/>
      <c r="S321" s="91"/>
      <c r="T321" s="91"/>
      <c r="U321" s="91"/>
      <c r="V321" s="91"/>
      <c r="W321" s="91"/>
      <c r="X321" s="91"/>
      <c r="Y321" s="91"/>
      <c r="Z321" s="91"/>
      <c r="AA321" s="91"/>
      <c r="AB321" s="91"/>
      <c r="AC321" s="91"/>
      <c r="AD321" s="91"/>
      <c r="AE321" s="91"/>
      <c r="AF321" s="91"/>
      <c r="AG321" s="91"/>
      <c r="AH321" s="91"/>
      <c r="AI321" s="91"/>
      <c r="AJ321" s="91"/>
      <c r="AK321" s="91"/>
      <c r="AL321" s="91"/>
      <c r="AM321" s="91"/>
      <c r="AN321" s="91"/>
      <c r="AO321" s="91"/>
      <c r="AP321" s="8"/>
      <c r="AR321" s="6"/>
      <c r="AS321" s="159" t="s">
        <v>593</v>
      </c>
      <c r="AT321" s="159"/>
      <c r="AU321" s="159"/>
      <c r="AV321" s="159"/>
      <c r="AW321" s="159"/>
      <c r="AX321" s="159"/>
      <c r="AY321" s="160"/>
      <c r="AZ321" s="165">
        <f>FS25</f>
        <v>138.897780024171</v>
      </c>
      <c r="BA321" s="166"/>
      <c r="BB321" s="167">
        <f>$FS$26</f>
        <v>3.3572407456093967E-2</v>
      </c>
      <c r="BC321" s="168"/>
      <c r="BD321" s="167">
        <f>$FS$27</f>
        <v>0.10705406211999013</v>
      </c>
      <c r="BE321" s="168"/>
      <c r="BF321" s="167">
        <f>$FS$28</f>
        <v>0.51003394230371724</v>
      </c>
      <c r="BG321" s="168"/>
      <c r="BH321" s="167">
        <f>$FS$29</f>
        <v>30.259516613934469</v>
      </c>
      <c r="BI321" s="168"/>
      <c r="BJ321" s="167">
        <f>$FS$30</f>
        <v>94.734174329629369</v>
      </c>
      <c r="BK321" s="168"/>
      <c r="BL321" s="167">
        <f>$FS$31</f>
        <v>5.8226675052514061</v>
      </c>
      <c r="BM321" s="168"/>
      <c r="BN321" s="167">
        <f>$FS$32</f>
        <v>2.562463233831036</v>
      </c>
      <c r="BO321" s="168"/>
      <c r="BP321" s="167">
        <f>$FS$33</f>
        <v>2.898002976411008</v>
      </c>
      <c r="BQ321" s="168"/>
      <c r="BR321" s="167">
        <f>$FS$34</f>
        <v>2.4247648071131707</v>
      </c>
      <c r="BS321" s="168"/>
      <c r="BT321" s="167">
        <f>$FS$35</f>
        <v>1.8014368601410187</v>
      </c>
      <c r="BU321" s="168"/>
      <c r="BV321" s="167">
        <f>$FS$36</f>
        <v>0.93074986556476724</v>
      </c>
      <c r="BW321" s="168"/>
      <c r="BX321" s="167">
        <f>$FS$37</f>
        <v>0.78188412746054969</v>
      </c>
      <c r="BY321" s="168"/>
      <c r="BZ321" s="167">
        <f>$FS$38</f>
        <v>0.59817444020259514</v>
      </c>
      <c r="CA321" s="168"/>
      <c r="CB321" s="167">
        <f>$FS$39</f>
        <v>0.41295722449695399</v>
      </c>
      <c r="CC321" s="168"/>
      <c r="CD321" s="167">
        <f>$FS$40</f>
        <v>0.10489511851163587</v>
      </c>
      <c r="CE321" s="168"/>
      <c r="CF321" s="8"/>
      <c r="CJ321" s="69">
        <f t="shared" si="253"/>
        <v>184.05477065078426</v>
      </c>
      <c r="CK321" s="34">
        <f t="shared" si="254"/>
        <v>144.52618442187301</v>
      </c>
      <c r="CM321" s="69">
        <f t="shared" si="255"/>
        <v>5</v>
      </c>
      <c r="CN321" s="13">
        <f t="shared" si="256"/>
        <v>1.2735046689776781</v>
      </c>
      <c r="CO321" s="12">
        <f t="shared" si="258"/>
        <v>0.27350466897767811</v>
      </c>
      <c r="CQ321" s="131">
        <f t="shared" si="257"/>
        <v>0.78523465548246685</v>
      </c>
    </row>
    <row r="322" spans="2:95" ht="18" customHeight="1" x14ac:dyDescent="0.25">
      <c r="B322" s="6"/>
      <c r="AP322" s="8"/>
      <c r="AR322" s="6"/>
      <c r="AS322" s="91"/>
      <c r="AT322" s="91"/>
      <c r="AU322" s="91"/>
      <c r="AV322" s="91"/>
      <c r="AW322" s="91"/>
      <c r="AX322" s="91"/>
      <c r="AY322" s="91"/>
      <c r="AZ322" s="91"/>
      <c r="BA322" s="91"/>
      <c r="BB322" s="91"/>
      <c r="BC322" s="91"/>
      <c r="BD322" s="91"/>
      <c r="BE322" s="91"/>
      <c r="BF322" s="91"/>
      <c r="BG322" s="91"/>
      <c r="BH322" s="91"/>
      <c r="BI322" s="91"/>
      <c r="BJ322" s="91"/>
      <c r="BK322" s="91"/>
      <c r="BL322" s="91"/>
      <c r="BM322" s="91"/>
      <c r="BN322" s="91"/>
      <c r="BO322" s="91"/>
      <c r="BP322" s="91"/>
      <c r="BQ322" s="91"/>
      <c r="BR322" s="91"/>
      <c r="BS322" s="91"/>
      <c r="BT322" s="91"/>
      <c r="BU322" s="91"/>
      <c r="BV322" s="91"/>
      <c r="BW322" s="91"/>
      <c r="BX322" s="91"/>
      <c r="BY322" s="91"/>
      <c r="BZ322" s="91"/>
      <c r="CA322" s="91"/>
      <c r="CB322" s="91"/>
      <c r="CC322" s="91"/>
      <c r="CD322" s="91"/>
      <c r="CE322" s="91"/>
      <c r="CF322" s="8"/>
      <c r="CJ322" s="69">
        <f t="shared" si="253"/>
        <v>143.88952208723211</v>
      </c>
      <c r="CK322" s="34">
        <f t="shared" si="254"/>
        <v>106.60434743083984</v>
      </c>
      <c r="CM322" s="69">
        <f t="shared" si="255"/>
        <v>7</v>
      </c>
      <c r="CN322" s="13">
        <f t="shared" si="256"/>
        <v>1.3497528530023715</v>
      </c>
      <c r="CO322" s="12">
        <f t="shared" si="258"/>
        <v>0.34975285300237147</v>
      </c>
      <c r="CQ322" s="131">
        <f t="shared" si="257"/>
        <v>0.74087637434928466</v>
      </c>
    </row>
    <row r="323" spans="2:95" ht="18" customHeight="1" x14ac:dyDescent="0.25">
      <c r="B323" s="6"/>
      <c r="AP323" s="8"/>
      <c r="AR323" s="6"/>
      <c r="AS323" s="162" t="s">
        <v>633</v>
      </c>
      <c r="AT323" s="162"/>
      <c r="AU323" s="162"/>
      <c r="AV323" s="162"/>
      <c r="AW323" s="162"/>
      <c r="AX323" s="162"/>
      <c r="AY323" s="162"/>
      <c r="AZ323" s="162"/>
      <c r="BA323" s="162"/>
      <c r="BB323" s="162"/>
      <c r="BC323" s="162"/>
      <c r="BD323" s="162"/>
      <c r="BE323" s="162"/>
      <c r="BF323" s="162"/>
      <c r="BG323" s="162"/>
      <c r="BH323" s="162"/>
      <c r="BI323" s="162"/>
      <c r="BJ323" s="162"/>
      <c r="BK323" s="162"/>
      <c r="BL323" s="162"/>
      <c r="BM323" s="162"/>
      <c r="BN323" s="162"/>
      <c r="BO323" s="162"/>
      <c r="BP323" s="162"/>
      <c r="BQ323" s="162"/>
      <c r="BR323" s="162"/>
      <c r="BS323" s="162"/>
      <c r="BT323" s="162"/>
      <c r="BU323" s="162"/>
      <c r="BV323" s="162"/>
      <c r="BW323" s="162"/>
      <c r="BX323" s="162"/>
      <c r="BY323" s="162"/>
      <c r="BZ323" s="162"/>
      <c r="CA323" s="162"/>
      <c r="CB323" s="162"/>
      <c r="CC323" s="162"/>
      <c r="CD323" s="162"/>
      <c r="CE323" s="162"/>
      <c r="CF323" s="8"/>
      <c r="CJ323" s="69">
        <f t="shared" si="253"/>
        <v>105.18387397278246</v>
      </c>
      <c r="CK323" s="34">
        <f t="shared" si="254"/>
        <v>82.920338570357828</v>
      </c>
      <c r="CM323" s="69">
        <f t="shared" si="255"/>
        <v>11</v>
      </c>
      <c r="CN323" s="13">
        <f t="shared" si="256"/>
        <v>1.2684930595590134</v>
      </c>
      <c r="CO323" s="12">
        <f t="shared" si="258"/>
        <v>0.26849305955901337</v>
      </c>
      <c r="CQ323" s="131">
        <f t="shared" si="257"/>
        <v>0.78833698967785137</v>
      </c>
    </row>
    <row r="324" spans="2:95" ht="18" customHeight="1" x14ac:dyDescent="0.25">
      <c r="B324" s="6"/>
      <c r="AP324" s="8"/>
      <c r="AR324" s="6"/>
      <c r="AS324" s="159" t="s">
        <v>57</v>
      </c>
      <c r="AT324" s="159"/>
      <c r="AU324" s="159"/>
      <c r="AV324" s="159"/>
      <c r="AW324" s="159"/>
      <c r="AX324" s="159"/>
      <c r="AY324" s="160"/>
      <c r="AZ324" s="165">
        <v>1</v>
      </c>
      <c r="BA324" s="166"/>
      <c r="BB324" s="167">
        <f>$BB$310</f>
        <v>2</v>
      </c>
      <c r="BC324" s="168"/>
      <c r="BD324" s="167">
        <f>$BD$310</f>
        <v>3</v>
      </c>
      <c r="BE324" s="168"/>
      <c r="BF324" s="167">
        <f>$BF$310</f>
        <v>4</v>
      </c>
      <c r="BG324" s="168"/>
      <c r="BH324" s="167">
        <f>$BH$310</f>
        <v>5</v>
      </c>
      <c r="BI324" s="168"/>
      <c r="BJ324" s="167">
        <f>$BJ$310</f>
        <v>7</v>
      </c>
      <c r="BK324" s="168"/>
      <c r="BL324" s="167">
        <f>$BL$310</f>
        <v>11</v>
      </c>
      <c r="BM324" s="168"/>
      <c r="BN324" s="167">
        <f>$BN$310</f>
        <v>13</v>
      </c>
      <c r="BO324" s="168"/>
      <c r="BP324" s="167">
        <f>$BP$310</f>
        <v>17</v>
      </c>
      <c r="BQ324" s="168"/>
      <c r="BR324" s="167">
        <f>$BR$310</f>
        <v>19</v>
      </c>
      <c r="BS324" s="168"/>
      <c r="BT324" s="167">
        <f>$BT$310</f>
        <v>23</v>
      </c>
      <c r="BU324" s="168"/>
      <c r="BV324" s="167">
        <f>$BV$310</f>
        <v>25</v>
      </c>
      <c r="BW324" s="168"/>
      <c r="BX324" s="167">
        <f>$BX$310</f>
        <v>29</v>
      </c>
      <c r="BY324" s="168"/>
      <c r="BZ324" s="167">
        <f>$BZ$310</f>
        <v>31</v>
      </c>
      <c r="CA324" s="168"/>
      <c r="CB324" s="167">
        <f>$CB$310</f>
        <v>35</v>
      </c>
      <c r="CC324" s="168"/>
      <c r="CD324" s="167">
        <f>$CD$310</f>
        <v>37</v>
      </c>
      <c r="CE324" s="168"/>
      <c r="CF324" s="8"/>
      <c r="CJ324" s="69">
        <f t="shared" si="253"/>
        <v>68.421374003754906</v>
      </c>
      <c r="CK324" s="34">
        <f t="shared" si="254"/>
        <v>58.826183015242435</v>
      </c>
      <c r="CM324" s="69">
        <f t="shared" si="255"/>
        <v>13</v>
      </c>
      <c r="CN324" s="13">
        <f t="shared" si="256"/>
        <v>1.1631108886671477</v>
      </c>
      <c r="CO324" s="12">
        <f t="shared" si="258"/>
        <v>0.16311088866714774</v>
      </c>
      <c r="CQ324" s="131">
        <f t="shared" si="257"/>
        <v>0.85976325193373215</v>
      </c>
    </row>
    <row r="325" spans="2:95" ht="18" customHeight="1" x14ac:dyDescent="0.35">
      <c r="B325" s="6"/>
      <c r="AP325" s="8"/>
      <c r="AR325" s="6"/>
      <c r="AS325" s="159" t="s">
        <v>593</v>
      </c>
      <c r="AT325" s="159"/>
      <c r="AU325" s="159"/>
      <c r="AV325" s="159"/>
      <c r="AW325" s="159"/>
      <c r="AX325" s="159"/>
      <c r="AY325" s="160"/>
      <c r="AZ325" s="165">
        <f>FT25</f>
        <v>138.89934375542532</v>
      </c>
      <c r="BA325" s="166"/>
      <c r="BB325" s="167">
        <f>$FT$26</f>
        <v>3.2285214082810841E-2</v>
      </c>
      <c r="BC325" s="168"/>
      <c r="BD325" s="167">
        <f>$FT$27</f>
        <v>9.5649845816954543E-2</v>
      </c>
      <c r="BE325" s="168"/>
      <c r="BF325" s="167">
        <f>$FT$28</f>
        <v>0.40189900861890554</v>
      </c>
      <c r="BG325" s="168"/>
      <c r="BH325" s="167">
        <f>$FT$29</f>
        <v>19.138733502199827</v>
      </c>
      <c r="BI325" s="168"/>
      <c r="BJ325" s="167">
        <f>$FT$30</f>
        <v>20.09778646407187</v>
      </c>
      <c r="BK325" s="168"/>
      <c r="BL325" s="167">
        <f>$FT$31</f>
        <v>68.636269789442338</v>
      </c>
      <c r="BM325" s="168"/>
      <c r="BN325" s="167">
        <f>$FT$32</f>
        <v>14.834771417777578</v>
      </c>
      <c r="BO325" s="168"/>
      <c r="BP325" s="167">
        <f>$FT$33</f>
        <v>10.008713792092188</v>
      </c>
      <c r="BQ325" s="168"/>
      <c r="BR325" s="167">
        <f>$FT$34</f>
        <v>7.5999698263654523</v>
      </c>
      <c r="BS325" s="168"/>
      <c r="BT325" s="167">
        <f>$FT$35</f>
        <v>5.0547182356576661</v>
      </c>
      <c r="BU325" s="168"/>
      <c r="BV325" s="167">
        <f>$FT$36</f>
        <v>2.5202249160554753</v>
      </c>
      <c r="BW325" s="168"/>
      <c r="BX325" s="167">
        <f>$FT$37</f>
        <v>2.0082272178411098</v>
      </c>
      <c r="BY325" s="168"/>
      <c r="BZ325" s="167">
        <f>$FT$38</f>
        <v>1.504726231950376</v>
      </c>
      <c r="CA325" s="168"/>
      <c r="CB325" s="167">
        <f>$FT$39</f>
        <v>1.0029724631139345</v>
      </c>
      <c r="CC325" s="168"/>
      <c r="CD325" s="167">
        <f>$FT$40</f>
        <v>0.25090013675347517</v>
      </c>
      <c r="CE325" s="168"/>
      <c r="CF325" s="8"/>
      <c r="CJ325" s="69">
        <f t="shared" si="253"/>
        <v>33.477933557446981</v>
      </c>
      <c r="CK325" s="34">
        <f t="shared" si="254"/>
        <v>33.462138094395392</v>
      </c>
      <c r="CM325" s="69">
        <f t="shared" si="255"/>
        <v>17</v>
      </c>
      <c r="CN325" s="13">
        <f t="shared" si="256"/>
        <v>1.0004720398620981</v>
      </c>
      <c r="CO325" s="12">
        <f t="shared" si="258"/>
        <v>4.7203986209809479E-4</v>
      </c>
      <c r="CQ325" s="131">
        <f t="shared" si="257"/>
        <v>0.99952818285440226</v>
      </c>
    </row>
    <row r="326" spans="2:95" ht="18" customHeight="1" x14ac:dyDescent="0.25">
      <c r="B326" s="6"/>
      <c r="AP326" s="8"/>
      <c r="AR326" s="6"/>
      <c r="AS326" s="91"/>
      <c r="AT326" s="91"/>
      <c r="AU326" s="91"/>
      <c r="AV326" s="91"/>
      <c r="AW326" s="91"/>
      <c r="AX326" s="91"/>
      <c r="AY326" s="91"/>
      <c r="AZ326" s="91"/>
      <c r="BA326" s="91"/>
      <c r="BB326" s="91"/>
      <c r="BC326" s="91"/>
      <c r="BD326" s="91"/>
      <c r="BE326" s="91"/>
      <c r="BF326" s="91"/>
      <c r="BG326" s="91"/>
      <c r="BH326" s="91"/>
      <c r="BI326" s="91"/>
      <c r="BJ326" s="91"/>
      <c r="BK326" s="91"/>
      <c r="BL326" s="91"/>
      <c r="BM326" s="91"/>
      <c r="BN326" s="91"/>
      <c r="BO326" s="91"/>
      <c r="BP326" s="91"/>
      <c r="BQ326" s="91"/>
      <c r="BR326" s="91"/>
      <c r="BS326" s="91"/>
      <c r="BT326" s="91"/>
      <c r="BU326" s="91"/>
      <c r="BV326" s="91"/>
      <c r="BW326" s="91"/>
      <c r="BX326" s="91"/>
      <c r="BY326" s="91"/>
      <c r="BZ326" s="91"/>
      <c r="CA326" s="91"/>
      <c r="CB326" s="91"/>
      <c r="CC326" s="91"/>
      <c r="CD326" s="91"/>
      <c r="CE326" s="91"/>
      <c r="CF326" s="8"/>
      <c r="CJ326" s="69">
        <f t="shared" si="253"/>
        <v>24.330371438486228</v>
      </c>
      <c r="CK326" s="34">
        <f t="shared" si="254"/>
        <v>24.316042357000793</v>
      </c>
      <c r="CM326" s="69">
        <f t="shared" si="255"/>
        <v>19</v>
      </c>
      <c r="CN326" s="13">
        <f t="shared" si="256"/>
        <v>1.0005892851013771</v>
      </c>
      <c r="CO326" s="12">
        <f t="shared" si="258"/>
        <v>5.8928510137712387E-4</v>
      </c>
      <c r="CQ326" s="131">
        <f t="shared" si="257"/>
        <v>0.99941106195104079</v>
      </c>
    </row>
    <row r="327" spans="2:95" ht="18" customHeight="1" x14ac:dyDescent="0.25">
      <c r="B327" s="6"/>
      <c r="AP327" s="8"/>
      <c r="AR327" s="6"/>
      <c r="AS327" s="162" t="s">
        <v>634</v>
      </c>
      <c r="AT327" s="162"/>
      <c r="AU327" s="162"/>
      <c r="AV327" s="162"/>
      <c r="AW327" s="162"/>
      <c r="AX327" s="162"/>
      <c r="AY327" s="162"/>
      <c r="AZ327" s="162"/>
      <c r="BA327" s="162"/>
      <c r="BB327" s="162"/>
      <c r="BC327" s="162"/>
      <c r="BD327" s="162"/>
      <c r="BE327" s="162"/>
      <c r="BF327" s="162"/>
      <c r="BG327" s="162"/>
      <c r="BH327" s="162"/>
      <c r="BI327" s="162"/>
      <c r="BJ327" s="162"/>
      <c r="BK327" s="162"/>
      <c r="BL327" s="162"/>
      <c r="BM327" s="162"/>
      <c r="BN327" s="162"/>
      <c r="BO327" s="162"/>
      <c r="BP327" s="162"/>
      <c r="BQ327" s="162"/>
      <c r="BR327" s="162"/>
      <c r="BS327" s="162"/>
      <c r="BT327" s="162"/>
      <c r="BU327" s="162"/>
      <c r="BV327" s="162"/>
      <c r="BW327" s="162"/>
      <c r="BX327" s="162"/>
      <c r="BY327" s="162"/>
      <c r="BZ327" s="162"/>
      <c r="CA327" s="162"/>
      <c r="CB327" s="162"/>
      <c r="CC327" s="162"/>
      <c r="CD327" s="162"/>
      <c r="CE327" s="162"/>
      <c r="CF327" s="8"/>
      <c r="CJ327" s="69">
        <f t="shared" si="253"/>
        <v>15.70003012136574</v>
      </c>
      <c r="CK327" s="34">
        <f t="shared" si="254"/>
        <v>15.671751712318978</v>
      </c>
      <c r="CM327" s="69">
        <f t="shared" si="255"/>
        <v>23</v>
      </c>
      <c r="CN327" s="13">
        <f t="shared" si="256"/>
        <v>1.0018044191591253</v>
      </c>
      <c r="CO327" s="12">
        <f t="shared" si="258"/>
        <v>1.8044191591253256E-3</v>
      </c>
      <c r="CQ327" s="131">
        <f t="shared" si="257"/>
        <v>0.99819883090489869</v>
      </c>
    </row>
    <row r="328" spans="2:95" ht="18" customHeight="1" x14ac:dyDescent="0.25">
      <c r="B328" s="6"/>
      <c r="AP328" s="8"/>
      <c r="AR328" s="6"/>
      <c r="AS328" s="159" t="s">
        <v>57</v>
      </c>
      <c r="AT328" s="159"/>
      <c r="AU328" s="159"/>
      <c r="AV328" s="159"/>
      <c r="AW328" s="159"/>
      <c r="AX328" s="159"/>
      <c r="AY328" s="160"/>
      <c r="AZ328" s="165">
        <v>1</v>
      </c>
      <c r="BA328" s="166"/>
      <c r="BB328" s="167">
        <f>$BB$310</f>
        <v>2</v>
      </c>
      <c r="BC328" s="168"/>
      <c r="BD328" s="167">
        <f>$BD$310</f>
        <v>3</v>
      </c>
      <c r="BE328" s="168"/>
      <c r="BF328" s="167">
        <f>$BF$310</f>
        <v>4</v>
      </c>
      <c r="BG328" s="168"/>
      <c r="BH328" s="167">
        <f>$BH$310</f>
        <v>5</v>
      </c>
      <c r="BI328" s="168"/>
      <c r="BJ328" s="167">
        <f>$BJ$310</f>
        <v>7</v>
      </c>
      <c r="BK328" s="168"/>
      <c r="BL328" s="167">
        <f>$BL$310</f>
        <v>11</v>
      </c>
      <c r="BM328" s="168"/>
      <c r="BN328" s="167">
        <f>$BN$310</f>
        <v>13</v>
      </c>
      <c r="BO328" s="168"/>
      <c r="BP328" s="167">
        <f>$BP$310</f>
        <v>17</v>
      </c>
      <c r="BQ328" s="168"/>
      <c r="BR328" s="167">
        <f>$BR$310</f>
        <v>19</v>
      </c>
      <c r="BS328" s="168"/>
      <c r="BT328" s="167">
        <f>$BT$310</f>
        <v>23</v>
      </c>
      <c r="BU328" s="168"/>
      <c r="BV328" s="167">
        <f>$BV$310</f>
        <v>25</v>
      </c>
      <c r="BW328" s="168"/>
      <c r="BX328" s="167">
        <f>$BX$310</f>
        <v>29</v>
      </c>
      <c r="BY328" s="168"/>
      <c r="BZ328" s="167">
        <f>$BZ$310</f>
        <v>31</v>
      </c>
      <c r="CA328" s="168"/>
      <c r="CB328" s="167">
        <f>$CB$310</f>
        <v>35</v>
      </c>
      <c r="CC328" s="168"/>
      <c r="CD328" s="167">
        <f>$CD$310</f>
        <v>37</v>
      </c>
      <c r="CE328" s="168"/>
      <c r="CF328" s="8"/>
      <c r="CJ328" s="69">
        <f t="shared" si="253"/>
        <v>7.7840445409387709</v>
      </c>
      <c r="CK328" s="34">
        <f t="shared" si="254"/>
        <v>7.7648958282233247</v>
      </c>
      <c r="CM328" s="69">
        <f t="shared" si="255"/>
        <v>25</v>
      </c>
      <c r="CN328" s="13">
        <f t="shared" si="256"/>
        <v>1.0024660617655481</v>
      </c>
      <c r="CO328" s="12">
        <f t="shared" si="258"/>
        <v>2.4660617655480888E-3</v>
      </c>
      <c r="CQ328" s="131">
        <f t="shared" si="257"/>
        <v>0.99754000473471904</v>
      </c>
    </row>
    <row r="329" spans="2:95" ht="18" customHeight="1" x14ac:dyDescent="0.35">
      <c r="B329" s="6"/>
      <c r="AP329" s="8"/>
      <c r="AR329" s="6"/>
      <c r="AS329" s="159" t="s">
        <v>593</v>
      </c>
      <c r="AT329" s="159"/>
      <c r="AU329" s="159"/>
      <c r="AV329" s="159"/>
      <c r="AW329" s="159"/>
      <c r="AX329" s="159"/>
      <c r="AY329" s="160"/>
      <c r="AZ329" s="165">
        <f>FU25</f>
        <v>138.8995220356565</v>
      </c>
      <c r="BA329" s="166"/>
      <c r="BB329" s="167">
        <f>$FU$26</f>
        <v>3.2050799272478607E-2</v>
      </c>
      <c r="BC329" s="168"/>
      <c r="BD329" s="167">
        <f>$FU$27</f>
        <v>9.3742173684686778E-2</v>
      </c>
      <c r="BE329" s="168"/>
      <c r="BF329" s="167">
        <f>$FU$28</f>
        <v>0.38621222569331787</v>
      </c>
      <c r="BG329" s="168"/>
      <c r="BH329" s="167">
        <f>$FU$29</f>
        <v>17.872495273426303</v>
      </c>
      <c r="BI329" s="168"/>
      <c r="BJ329" s="167">
        <f>$FU$30</f>
        <v>16.943013779838036</v>
      </c>
      <c r="BK329" s="168"/>
      <c r="BL329" s="167">
        <f>$FU$31</f>
        <v>28.48847089094874</v>
      </c>
      <c r="BM329" s="168"/>
      <c r="BN329" s="167">
        <f>$FU$32</f>
        <v>49.927260846009482</v>
      </c>
      <c r="BO329" s="168"/>
      <c r="BP329" s="167">
        <f>$FU$33</f>
        <v>19.199667358830229</v>
      </c>
      <c r="BQ329" s="168"/>
      <c r="BR329" s="167">
        <f>$FU$34</f>
        <v>13.12421934471846</v>
      </c>
      <c r="BS329" s="168"/>
      <c r="BT329" s="167">
        <f>$FU$35</f>
        <v>7.9280117408101622</v>
      </c>
      <c r="BU329" s="168"/>
      <c r="BV329" s="167">
        <f>$FU$36</f>
        <v>3.8517634510270393</v>
      </c>
      <c r="BW329" s="168"/>
      <c r="BX329" s="167">
        <f>$FU$37</f>
        <v>2.9673544651484796</v>
      </c>
      <c r="BY329" s="168"/>
      <c r="BZ329" s="167">
        <f>$FU$38</f>
        <v>2.1973396968184598</v>
      </c>
      <c r="CA329" s="168"/>
      <c r="CB329" s="167">
        <f>$FU$39</f>
        <v>1.4384953859889931</v>
      </c>
      <c r="CC329" s="168"/>
      <c r="CD329" s="167">
        <f>$FU$40</f>
        <v>0.35727658949467511</v>
      </c>
      <c r="CE329" s="168"/>
      <c r="CF329" s="8"/>
      <c r="CJ329" s="69">
        <f t="shared" si="253"/>
        <v>6.1737870560659749</v>
      </c>
      <c r="CK329" s="34">
        <f t="shared" si="254"/>
        <v>6.1506216309712336</v>
      </c>
      <c r="CM329" s="69">
        <f t="shared" si="255"/>
        <v>29</v>
      </c>
      <c r="CN329" s="13">
        <f t="shared" si="256"/>
        <v>1.0037663550913443</v>
      </c>
      <c r="CO329" s="12">
        <f t="shared" si="258"/>
        <v>3.7663550913442645E-3</v>
      </c>
      <c r="CQ329" s="131">
        <f t="shared" si="257"/>
        <v>0.99624777711243218</v>
      </c>
    </row>
    <row r="330" spans="2:95" ht="18" customHeight="1" x14ac:dyDescent="0.25">
      <c r="B330" s="6"/>
      <c r="AP330" s="8"/>
      <c r="AR330" s="6"/>
      <c r="AS330" s="91"/>
      <c r="AT330" s="91"/>
      <c r="AU330" s="91"/>
      <c r="AV330" s="91"/>
      <c r="AW330" s="91"/>
      <c r="AX330" s="91"/>
      <c r="AY330" s="91"/>
      <c r="AZ330" s="91"/>
      <c r="BA330" s="91"/>
      <c r="BB330" s="91"/>
      <c r="BC330" s="91"/>
      <c r="BD330" s="91"/>
      <c r="BE330" s="91"/>
      <c r="BF330" s="91"/>
      <c r="BG330" s="91"/>
      <c r="BH330" s="91"/>
      <c r="BI330" s="91"/>
      <c r="BJ330" s="91"/>
      <c r="BK330" s="91"/>
      <c r="BL330" s="91"/>
      <c r="BM330" s="91"/>
      <c r="BN330" s="91"/>
      <c r="BO330" s="91"/>
      <c r="BP330" s="91"/>
      <c r="BQ330" s="91"/>
      <c r="BR330" s="91"/>
      <c r="BS330" s="91"/>
      <c r="BT330" s="91"/>
      <c r="BU330" s="91"/>
      <c r="BV330" s="91"/>
      <c r="BW330" s="91"/>
      <c r="BX330" s="91"/>
      <c r="BY330" s="91"/>
      <c r="BZ330" s="91"/>
      <c r="CA330" s="91"/>
      <c r="CB330" s="91"/>
      <c r="CC330" s="91"/>
      <c r="CD330" s="91"/>
      <c r="CE330" s="91"/>
      <c r="CF330" s="8"/>
      <c r="CJ330" s="69">
        <f t="shared" si="253"/>
        <v>4.622899390484152</v>
      </c>
      <c r="CK330" s="34">
        <f t="shared" si="254"/>
        <v>4.6026799055014944</v>
      </c>
      <c r="CM330" s="69">
        <f t="shared" si="255"/>
        <v>31</v>
      </c>
      <c r="CN330" s="13">
        <f t="shared" si="256"/>
        <v>1.0043929809149861</v>
      </c>
      <c r="CO330" s="12">
        <f t="shared" si="258"/>
        <v>4.3929809149860777E-3</v>
      </c>
      <c r="CQ330" s="131">
        <f t="shared" si="257"/>
        <v>0.99562623296014663</v>
      </c>
    </row>
    <row r="331" spans="2:95" ht="18" customHeight="1" x14ac:dyDescent="0.25">
      <c r="B331" s="6"/>
      <c r="AP331" s="8"/>
      <c r="AR331" s="6"/>
      <c r="AS331" s="162" t="s">
        <v>635</v>
      </c>
      <c r="AT331" s="162"/>
      <c r="AU331" s="162"/>
      <c r="AV331" s="162"/>
      <c r="AW331" s="162"/>
      <c r="AX331" s="162"/>
      <c r="AY331" s="162"/>
      <c r="AZ331" s="162"/>
      <c r="BA331" s="162"/>
      <c r="BB331" s="162"/>
      <c r="BC331" s="162"/>
      <c r="BD331" s="162"/>
      <c r="BE331" s="162"/>
      <c r="BF331" s="162"/>
      <c r="BG331" s="162"/>
      <c r="BH331" s="162"/>
      <c r="BI331" s="162"/>
      <c r="BJ331" s="162"/>
      <c r="BK331" s="162"/>
      <c r="BL331" s="162"/>
      <c r="BM331" s="162"/>
      <c r="BN331" s="162"/>
      <c r="BO331" s="162"/>
      <c r="BP331" s="162"/>
      <c r="BQ331" s="162"/>
      <c r="BR331" s="162"/>
      <c r="BS331" s="162"/>
      <c r="BT331" s="162"/>
      <c r="BU331" s="162"/>
      <c r="BV331" s="162"/>
      <c r="BW331" s="162"/>
      <c r="BX331" s="162"/>
      <c r="BY331" s="162"/>
      <c r="BZ331" s="162"/>
      <c r="CA331" s="162"/>
      <c r="CB331" s="162"/>
      <c r="CC331" s="162"/>
      <c r="CD331" s="162"/>
      <c r="CE331" s="162"/>
      <c r="CF331" s="8"/>
      <c r="CJ331" s="69">
        <f t="shared" si="253"/>
        <v>3.082482122838019</v>
      </c>
      <c r="CK331" s="34">
        <f t="shared" si="254"/>
        <v>3.0653739214156559</v>
      </c>
      <c r="CM331" s="69">
        <f t="shared" si="255"/>
        <v>35</v>
      </c>
      <c r="CN331" s="13">
        <f t="shared" si="256"/>
        <v>1.0055811140372926</v>
      </c>
      <c r="CO331" s="12">
        <f t="shared" si="258"/>
        <v>5.5811140372925561E-3</v>
      </c>
      <c r="CQ331" s="131">
        <f t="shared" si="257"/>
        <v>0.99444986191627538</v>
      </c>
    </row>
    <row r="332" spans="2:95" ht="18" customHeight="1" x14ac:dyDescent="0.25">
      <c r="B332" s="6"/>
      <c r="AP332" s="8"/>
      <c r="AR332" s="6"/>
      <c r="AS332" s="159" t="s">
        <v>57</v>
      </c>
      <c r="AT332" s="159"/>
      <c r="AU332" s="159"/>
      <c r="AV332" s="159"/>
      <c r="AW332" s="159"/>
      <c r="AX332" s="159"/>
      <c r="AY332" s="160"/>
      <c r="AZ332" s="165">
        <v>1</v>
      </c>
      <c r="BA332" s="166"/>
      <c r="BB332" s="167">
        <f>$BB$310</f>
        <v>2</v>
      </c>
      <c r="BC332" s="168"/>
      <c r="BD332" s="167">
        <f>$BD$310</f>
        <v>3</v>
      </c>
      <c r="BE332" s="168"/>
      <c r="BF332" s="167">
        <f>$BF$310</f>
        <v>4</v>
      </c>
      <c r="BG332" s="168"/>
      <c r="BH332" s="167">
        <f>$BH$310</f>
        <v>5</v>
      </c>
      <c r="BI332" s="168"/>
      <c r="BJ332" s="167">
        <f>$BJ$310</f>
        <v>7</v>
      </c>
      <c r="BK332" s="168"/>
      <c r="BL332" s="167">
        <f>$BL$310</f>
        <v>11</v>
      </c>
      <c r="BM332" s="168"/>
      <c r="BN332" s="167">
        <f>$BN$310</f>
        <v>13</v>
      </c>
      <c r="BO332" s="168"/>
      <c r="BP332" s="167">
        <f>$BP$310</f>
        <v>17</v>
      </c>
      <c r="BQ332" s="168"/>
      <c r="BR332" s="167">
        <f>$BR$310</f>
        <v>19</v>
      </c>
      <c r="BS332" s="168"/>
      <c r="BT332" s="167">
        <f>$BT$310</f>
        <v>23</v>
      </c>
      <c r="BU332" s="168"/>
      <c r="BV332" s="167">
        <f>$BV$310</f>
        <v>25</v>
      </c>
      <c r="BW332" s="168"/>
      <c r="BX332" s="167">
        <f>$BX$310</f>
        <v>29</v>
      </c>
      <c r="BY332" s="168"/>
      <c r="BZ332" s="167">
        <f>$BZ$310</f>
        <v>31</v>
      </c>
      <c r="CA332" s="168"/>
      <c r="CB332" s="167">
        <f>$CB$310</f>
        <v>35</v>
      </c>
      <c r="CC332" s="168"/>
      <c r="CD332" s="167">
        <f>$CD$310</f>
        <v>37</v>
      </c>
      <c r="CE332" s="168"/>
      <c r="CF332" s="8"/>
      <c r="CJ332" s="69">
        <f t="shared" si="253"/>
        <v>0.77162805896067443</v>
      </c>
      <c r="CK332" s="34">
        <f t="shared" si="254"/>
        <v>0.76692139629007583</v>
      </c>
      <c r="CM332" s="69">
        <f t="shared" si="255"/>
        <v>37</v>
      </c>
      <c r="CN332" s="13">
        <f t="shared" si="256"/>
        <v>1.0061370861386405</v>
      </c>
      <c r="CO332" s="12">
        <f t="shared" si="258"/>
        <v>6.1370861386405018E-3</v>
      </c>
      <c r="CQ332" s="131">
        <f t="shared" si="257"/>
        <v>0.99390034795139748</v>
      </c>
    </row>
    <row r="333" spans="2:95" ht="18" customHeight="1" x14ac:dyDescent="0.35">
      <c r="B333" s="6"/>
      <c r="AP333" s="8"/>
      <c r="AR333" s="6"/>
      <c r="AS333" s="159" t="s">
        <v>593</v>
      </c>
      <c r="AT333" s="159"/>
      <c r="AU333" s="159"/>
      <c r="AV333" s="159"/>
      <c r="AW333" s="159"/>
      <c r="AX333" s="159"/>
      <c r="AY333" s="160"/>
      <c r="AZ333" s="165">
        <f>FV25</f>
        <v>4.629988704146806E-4</v>
      </c>
      <c r="BA333" s="166"/>
      <c r="BB333" s="167">
        <f>$FV$26</f>
        <v>1.0603363727647308E-7</v>
      </c>
      <c r="BC333" s="168"/>
      <c r="BD333" s="167">
        <f>$FV$27</f>
        <v>3.0610868184291273E-7</v>
      </c>
      <c r="BE333" s="168"/>
      <c r="BF333" s="167">
        <f>$FV$28</f>
        <v>1.2370008972533255E-6</v>
      </c>
      <c r="BG333" s="168"/>
      <c r="BH333" s="167">
        <f>$FV$29</f>
        <v>5.572445510854003E-5</v>
      </c>
      <c r="BI333" s="168"/>
      <c r="BJ333" s="167">
        <f>$FV$30</f>
        <v>4.848995591315457E-5</v>
      </c>
      <c r="BK333" s="168"/>
      <c r="BL333" s="167">
        <f>$FV$31</f>
        <v>4.9085477742297811E-5</v>
      </c>
      <c r="BM333" s="168"/>
      <c r="BN333" s="167">
        <f>$FV$32</f>
        <v>4.9066965541287203E-5</v>
      </c>
      <c r="BO333" s="168"/>
      <c r="BP333" s="167">
        <f>$FV$33</f>
        <v>3.7026609133138403E-4</v>
      </c>
      <c r="BQ333" s="168"/>
      <c r="BR333" s="167">
        <f>$FV$34</f>
        <v>1.7533696779871297E-4</v>
      </c>
      <c r="BS333" s="168"/>
      <c r="BT333" s="167">
        <f>$FV$35</f>
        <v>6.6287563841996392E-5</v>
      </c>
      <c r="BU333" s="168"/>
      <c r="BV333" s="167">
        <f>$FV$36</f>
        <v>2.9281537869958635E-5</v>
      </c>
      <c r="BW333" s="168"/>
      <c r="BX333" s="167">
        <f>$FV$37</f>
        <v>2.0254359328477634E-5</v>
      </c>
      <c r="BY333" s="168"/>
      <c r="BZ333" s="167">
        <f>$FV$38</f>
        <v>1.4505012906650066E-5</v>
      </c>
      <c r="CA333" s="168"/>
      <c r="CB333" s="167">
        <f>$FV$39</f>
        <v>9.0602216497821665E-6</v>
      </c>
      <c r="CC333" s="168"/>
      <c r="CD333" s="167">
        <f>$FV$40</f>
        <v>2.2117588658422679E-6</v>
      </c>
      <c r="CE333" s="168"/>
      <c r="CF333" s="8"/>
      <c r="CO333" s="130">
        <f>SUM(CO318:CO331)</f>
        <v>1.0771835510571184</v>
      </c>
    </row>
    <row r="334" spans="2:95" ht="18" customHeight="1" x14ac:dyDescent="0.25">
      <c r="B334" s="6"/>
      <c r="AP334" s="8"/>
      <c r="AR334" s="6"/>
      <c r="AS334" s="91"/>
      <c r="AT334" s="91"/>
      <c r="AU334" s="91"/>
      <c r="AV334" s="91"/>
      <c r="AW334" s="91"/>
      <c r="AX334" s="91"/>
      <c r="AY334" s="91"/>
      <c r="AZ334" s="91"/>
      <c r="BA334" s="91"/>
      <c r="BB334" s="91"/>
      <c r="BC334" s="91"/>
      <c r="BD334" s="91"/>
      <c r="BE334" s="91"/>
      <c r="BF334" s="91"/>
      <c r="BG334" s="91"/>
      <c r="BH334" s="91"/>
      <c r="BI334" s="91"/>
      <c r="BJ334" s="91"/>
      <c r="BK334" s="91"/>
      <c r="BL334" s="91"/>
      <c r="BM334" s="91"/>
      <c r="BN334" s="91"/>
      <c r="BO334" s="91"/>
      <c r="BP334" s="91"/>
      <c r="BQ334" s="91"/>
      <c r="BR334" s="91"/>
      <c r="BS334" s="91"/>
      <c r="BT334" s="91"/>
      <c r="BU334" s="91"/>
      <c r="BV334" s="91"/>
      <c r="BW334" s="91"/>
      <c r="BX334" s="91"/>
      <c r="BY334" s="91"/>
      <c r="BZ334" s="91"/>
      <c r="CA334" s="91"/>
      <c r="CB334" s="91"/>
      <c r="CC334" s="91"/>
      <c r="CD334" s="91"/>
      <c r="CE334" s="91"/>
      <c r="CF334" s="8"/>
      <c r="CM334" s="12"/>
    </row>
    <row r="335" spans="2:95" ht="18" customHeight="1" x14ac:dyDescent="0.25">
      <c r="B335" s="6"/>
      <c r="AP335" s="8"/>
      <c r="AR335" s="6"/>
      <c r="AS335" s="162" t="s">
        <v>653</v>
      </c>
      <c r="AT335" s="162"/>
      <c r="AU335" s="162"/>
      <c r="AV335" s="162"/>
      <c r="AW335" s="162"/>
      <c r="AX335" s="162"/>
      <c r="AY335" s="162"/>
      <c r="AZ335" s="162"/>
      <c r="BA335" s="162"/>
      <c r="BB335" s="162"/>
      <c r="BC335" s="162"/>
      <c r="BD335" s="162"/>
      <c r="BE335" s="162"/>
      <c r="BF335" s="162"/>
      <c r="BG335" s="162"/>
      <c r="BH335" s="162"/>
      <c r="BI335" s="162"/>
      <c r="BJ335" s="162"/>
      <c r="BK335" s="162"/>
      <c r="BL335" s="162"/>
      <c r="BM335" s="162"/>
      <c r="BN335" s="162"/>
      <c r="BO335" s="162"/>
      <c r="BP335" s="162"/>
      <c r="BQ335" s="162"/>
      <c r="BR335" s="162"/>
      <c r="BS335" s="162"/>
      <c r="BT335" s="162"/>
      <c r="BU335" s="162"/>
      <c r="BV335" s="162"/>
      <c r="BW335" s="162"/>
      <c r="BX335" s="162"/>
      <c r="BY335" s="162"/>
      <c r="BZ335" s="162"/>
      <c r="CA335" s="162"/>
      <c r="CB335" s="162"/>
      <c r="CC335" s="162"/>
      <c r="CD335" s="162"/>
      <c r="CE335" s="162"/>
      <c r="CF335" s="8"/>
    </row>
    <row r="336" spans="2:95" ht="18" customHeight="1" x14ac:dyDescent="0.25">
      <c r="B336" s="6"/>
      <c r="AP336" s="8"/>
      <c r="AR336" s="6"/>
      <c r="AS336" s="159" t="s">
        <v>57</v>
      </c>
      <c r="AT336" s="159"/>
      <c r="AU336" s="159"/>
      <c r="AV336" s="159"/>
      <c r="AW336" s="159"/>
      <c r="AX336" s="159"/>
      <c r="AY336" s="160"/>
      <c r="AZ336" s="161">
        <v>1</v>
      </c>
      <c r="BA336" s="161"/>
      <c r="BB336" s="161">
        <f>$BB$310</f>
        <v>2</v>
      </c>
      <c r="BC336" s="161"/>
      <c r="BD336" s="161">
        <f>$BD$310</f>
        <v>3</v>
      </c>
      <c r="BE336" s="161"/>
      <c r="BF336" s="161">
        <f>$BF$310</f>
        <v>4</v>
      </c>
      <c r="BG336" s="161"/>
      <c r="BH336" s="161">
        <f>$BH$310</f>
        <v>5</v>
      </c>
      <c r="BI336" s="161"/>
      <c r="BJ336" s="161">
        <f>$BJ$310</f>
        <v>7</v>
      </c>
      <c r="BK336" s="161"/>
      <c r="BL336" s="161">
        <f>$BL$310</f>
        <v>11</v>
      </c>
      <c r="BM336" s="161"/>
      <c r="BN336" s="161">
        <f>$BN$310</f>
        <v>13</v>
      </c>
      <c r="BO336" s="161"/>
      <c r="BP336" s="161">
        <f>$BP$310</f>
        <v>17</v>
      </c>
      <c r="BQ336" s="161"/>
      <c r="BR336" s="161">
        <f>$BR$310</f>
        <v>19</v>
      </c>
      <c r="BS336" s="161"/>
      <c r="BT336" s="161">
        <f>$BT$310</f>
        <v>23</v>
      </c>
      <c r="BU336" s="161"/>
      <c r="BV336" s="161">
        <f>$BV$310</f>
        <v>25</v>
      </c>
      <c r="BW336" s="161"/>
      <c r="BX336" s="161">
        <f>$BX$310</f>
        <v>29</v>
      </c>
      <c r="BY336" s="161"/>
      <c r="BZ336" s="161">
        <f>$BZ$310</f>
        <v>31</v>
      </c>
      <c r="CA336" s="161"/>
      <c r="CB336" s="161">
        <f>$CB$310</f>
        <v>35</v>
      </c>
      <c r="CC336" s="161"/>
      <c r="CD336" s="161">
        <f>$CD$310</f>
        <v>37</v>
      </c>
      <c r="CE336" s="161"/>
      <c r="CF336" s="8"/>
    </row>
    <row r="337" spans="2:97" ht="18" customHeight="1" x14ac:dyDescent="0.35">
      <c r="B337" s="6"/>
      <c r="AP337" s="8"/>
      <c r="AR337" s="6"/>
      <c r="AS337" s="159" t="s">
        <v>593</v>
      </c>
      <c r="AT337" s="159"/>
      <c r="AU337" s="159"/>
      <c r="AV337" s="159"/>
      <c r="AW337" s="159"/>
      <c r="AX337" s="159"/>
      <c r="AY337" s="160"/>
      <c r="AZ337" s="161">
        <f>FP25</f>
        <v>555.59013663017106</v>
      </c>
      <c r="BA337" s="161"/>
      <c r="BB337" s="161">
        <f>$FP$26</f>
        <v>0.13386088160289972</v>
      </c>
      <c r="BC337" s="161"/>
      <c r="BD337" s="161">
        <f>$FP$27</f>
        <v>0.42971946207435457</v>
      </c>
      <c r="BE337" s="161"/>
      <c r="BF337" s="161">
        <f>$FP$28</f>
        <v>2.1983626666982596</v>
      </c>
      <c r="BG337" s="161"/>
      <c r="BH337" s="161">
        <f>$FP$29</f>
        <v>144.52618442187301</v>
      </c>
      <c r="BI337" s="161"/>
      <c r="BJ337" s="161">
        <f>$FP$30</f>
        <v>106.60434743083984</v>
      </c>
      <c r="BK337" s="161"/>
      <c r="BL337" s="161">
        <f>$FP$31</f>
        <v>82.920338570357828</v>
      </c>
      <c r="BM337" s="161"/>
      <c r="BN337" s="161">
        <f>$FP$32</f>
        <v>58.826183015242435</v>
      </c>
      <c r="BO337" s="161"/>
      <c r="BP337" s="161">
        <f>$FP$33</f>
        <v>33.462138094395392</v>
      </c>
      <c r="BQ337" s="161"/>
      <c r="BR337" s="161">
        <f>$FP$34</f>
        <v>24.316042357000793</v>
      </c>
      <c r="BS337" s="161"/>
      <c r="BT337" s="161">
        <f>$FP$35</f>
        <v>15.671751712318978</v>
      </c>
      <c r="BU337" s="161"/>
      <c r="BV337" s="161">
        <f>$FP$36</f>
        <v>7.7648958282233247</v>
      </c>
      <c r="BW337" s="161"/>
      <c r="BX337" s="161">
        <f>$FP$37</f>
        <v>6.1506216309712336</v>
      </c>
      <c r="BY337" s="161"/>
      <c r="BZ337" s="161">
        <f>$FP$38</f>
        <v>4.6026799055014944</v>
      </c>
      <c r="CA337" s="161"/>
      <c r="CB337" s="161">
        <f>$FP$39</f>
        <v>3.0653739214156559</v>
      </c>
      <c r="CC337" s="161"/>
      <c r="CD337" s="161">
        <f>$FP$40</f>
        <v>0.76692139629007583</v>
      </c>
      <c r="CE337" s="161"/>
      <c r="CF337" s="8"/>
    </row>
    <row r="338" spans="2:97" ht="18" customHeight="1" x14ac:dyDescent="0.25">
      <c r="B338" s="6"/>
      <c r="AP338" s="8"/>
      <c r="AR338" s="6"/>
      <c r="AS338" s="163" t="s">
        <v>647</v>
      </c>
      <c r="AT338" s="163"/>
      <c r="AU338" s="163"/>
      <c r="AV338" s="163"/>
      <c r="AW338" s="163"/>
      <c r="AX338" s="163"/>
      <c r="AY338" s="163"/>
      <c r="AZ338" s="163"/>
      <c r="BA338" s="163"/>
      <c r="BB338" s="163"/>
      <c r="BC338" s="163"/>
      <c r="BD338" s="163"/>
      <c r="BE338" s="163"/>
      <c r="BF338" s="163"/>
      <c r="BG338" s="163"/>
      <c r="BH338" s="163"/>
      <c r="BI338" s="163"/>
      <c r="BJ338" s="163"/>
      <c r="BK338" s="163"/>
      <c r="BL338" s="163"/>
      <c r="BM338" s="163"/>
      <c r="BN338" s="163"/>
      <c r="BO338" s="163"/>
      <c r="BP338" s="163"/>
      <c r="BQ338" s="163"/>
      <c r="BR338" s="163"/>
      <c r="BS338" s="163"/>
      <c r="BT338" s="163"/>
      <c r="BU338" s="163"/>
      <c r="BV338" s="163"/>
      <c r="BW338" s="163"/>
      <c r="BX338" s="163"/>
      <c r="BY338" s="163"/>
      <c r="BZ338" s="163"/>
      <c r="CA338" s="163"/>
      <c r="CB338" s="163"/>
      <c r="CC338" s="163"/>
      <c r="CD338" s="163"/>
      <c r="CF338" s="8"/>
    </row>
    <row r="339" spans="2:97" ht="18" customHeight="1" x14ac:dyDescent="0.25">
      <c r="B339" s="6"/>
      <c r="AP339" s="8"/>
      <c r="AR339" s="6"/>
      <c r="AS339" s="163"/>
      <c r="AT339" s="163"/>
      <c r="AU339" s="163"/>
      <c r="AV339" s="163"/>
      <c r="AW339" s="163"/>
      <c r="AX339" s="163"/>
      <c r="AY339" s="163"/>
      <c r="AZ339" s="163"/>
      <c r="BA339" s="163"/>
      <c r="BB339" s="163"/>
      <c r="BC339" s="163"/>
      <c r="BD339" s="163"/>
      <c r="BE339" s="163"/>
      <c r="BF339" s="163"/>
      <c r="BG339" s="163"/>
      <c r="BH339" s="163"/>
      <c r="BI339" s="163"/>
      <c r="BJ339" s="163"/>
      <c r="BK339" s="163"/>
      <c r="BL339" s="163"/>
      <c r="BM339" s="163"/>
      <c r="BN339" s="163"/>
      <c r="BO339" s="163"/>
      <c r="BP339" s="163"/>
      <c r="BQ339" s="163"/>
      <c r="BR339" s="163"/>
      <c r="BS339" s="163"/>
      <c r="BT339" s="163"/>
      <c r="BU339" s="163"/>
      <c r="BV339" s="163"/>
      <c r="BW339" s="163"/>
      <c r="BX339" s="163"/>
      <c r="BY339" s="163"/>
      <c r="BZ339" s="163"/>
      <c r="CA339" s="163"/>
      <c r="CB339" s="163"/>
      <c r="CC339" s="163"/>
      <c r="CD339" s="163"/>
      <c r="CF339" s="8"/>
      <c r="CO339" s="2"/>
    </row>
    <row r="340" spans="2:97" ht="18" customHeight="1" x14ac:dyDescent="0.35">
      <c r="B340" s="6"/>
      <c r="AP340" s="8"/>
      <c r="AR340" s="6"/>
      <c r="AS340" s="163"/>
      <c r="AT340" s="163"/>
      <c r="AU340" s="163"/>
      <c r="AV340" s="163"/>
      <c r="AW340" s="163"/>
      <c r="AX340" s="163"/>
      <c r="AY340" s="163"/>
      <c r="AZ340" s="163"/>
      <c r="BA340" s="163"/>
      <c r="BB340" s="163"/>
      <c r="BC340" s="163"/>
      <c r="BD340" s="163"/>
      <c r="BE340" s="163"/>
      <c r="BF340" s="163"/>
      <c r="BG340" s="163"/>
      <c r="BH340" s="163"/>
      <c r="BI340" s="163"/>
      <c r="BJ340" s="163"/>
      <c r="BK340" s="163"/>
      <c r="BL340" s="163"/>
      <c r="BM340" s="163"/>
      <c r="BN340" s="163"/>
      <c r="BO340" s="163"/>
      <c r="BP340" s="163"/>
      <c r="BQ340" s="163"/>
      <c r="BR340" s="163"/>
      <c r="BS340" s="163"/>
      <c r="BT340" s="163"/>
      <c r="BU340" s="163"/>
      <c r="BV340" s="163"/>
      <c r="BW340" s="163"/>
      <c r="BX340" s="163"/>
      <c r="BY340" s="163"/>
      <c r="BZ340" s="163"/>
      <c r="CA340" s="163"/>
      <c r="CB340" s="163"/>
      <c r="CC340" s="163"/>
      <c r="CD340" s="163"/>
      <c r="CF340" s="8"/>
      <c r="CJ340" s="97" t="s">
        <v>508</v>
      </c>
      <c r="CK340" s="97" t="s">
        <v>623</v>
      </c>
      <c r="CL340" s="97" t="s">
        <v>624</v>
      </c>
      <c r="CM340" s="97" t="s">
        <v>625</v>
      </c>
      <c r="CO340" s="97" t="s">
        <v>115</v>
      </c>
      <c r="CP340" s="97" t="s">
        <v>622</v>
      </c>
      <c r="CR340" s="97" t="s">
        <v>619</v>
      </c>
    </row>
    <row r="341" spans="2:97" ht="18" customHeight="1" thickBot="1" x14ac:dyDescent="0.3">
      <c r="B341" s="6"/>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1"/>
      <c r="AO341" s="10"/>
      <c r="AP341" s="8"/>
      <c r="AR341" s="6"/>
      <c r="AS341" s="164"/>
      <c r="AT341" s="164"/>
      <c r="AU341" s="164"/>
      <c r="AV341" s="164"/>
      <c r="AW341" s="164"/>
      <c r="AX341" s="164"/>
      <c r="AY341" s="164"/>
      <c r="AZ341" s="164"/>
      <c r="BA341" s="164"/>
      <c r="BB341" s="164"/>
      <c r="BC341" s="164"/>
      <c r="BD341" s="164"/>
      <c r="BE341" s="164"/>
      <c r="BF341" s="164"/>
      <c r="BG341" s="164"/>
      <c r="BH341" s="164"/>
      <c r="BI341" s="164"/>
      <c r="BJ341" s="164"/>
      <c r="BK341" s="164"/>
      <c r="BL341" s="164"/>
      <c r="BM341" s="164"/>
      <c r="BN341" s="164"/>
      <c r="BO341" s="164"/>
      <c r="BP341" s="164"/>
      <c r="BQ341" s="164"/>
      <c r="BR341" s="164"/>
      <c r="BS341" s="164"/>
      <c r="BT341" s="164"/>
      <c r="BU341" s="164"/>
      <c r="BV341" s="164"/>
      <c r="BW341" s="164"/>
      <c r="BX341" s="164"/>
      <c r="BY341" s="164"/>
      <c r="BZ341" s="164"/>
      <c r="CA341" s="164"/>
      <c r="CB341" s="164"/>
      <c r="CC341" s="164"/>
      <c r="CD341" s="164"/>
      <c r="CE341" s="10"/>
      <c r="CF341" s="8"/>
      <c r="CJ341" s="69">
        <f>EY26</f>
        <v>2</v>
      </c>
      <c r="CK341" s="69">
        <f>FF26</f>
        <v>1</v>
      </c>
      <c r="CL341" s="14">
        <f>GZ26</f>
        <v>1.1338168942441296</v>
      </c>
      <c r="CM341" s="14">
        <f>FP26</f>
        <v>0.13386088160289972</v>
      </c>
      <c r="CO341" s="69">
        <f>CJ341</f>
        <v>2</v>
      </c>
      <c r="CP341" s="129">
        <f>FI26/(($S$17/1.73)*1000)</f>
        <v>1.1318290144265079E-4</v>
      </c>
      <c r="CQ341" s="130">
        <v>0</v>
      </c>
      <c r="CR341" s="132">
        <f t="shared" ref="CR341:CR355" si="259">CL341/$V$388</f>
        <v>1.3339022285225055E-3</v>
      </c>
      <c r="CS341" s="131">
        <v>0</v>
      </c>
    </row>
    <row r="342" spans="2:97" ht="18" customHeight="1" x14ac:dyDescent="0.25">
      <c r="B342" s="6"/>
      <c r="D342" s="43" t="s">
        <v>84</v>
      </c>
      <c r="AO342" s="29" t="s">
        <v>570</v>
      </c>
      <c r="AP342" s="8"/>
      <c r="AR342" s="6"/>
      <c r="AT342" s="43" t="s">
        <v>84</v>
      </c>
      <c r="CE342" s="29" t="s">
        <v>571</v>
      </c>
      <c r="CF342" s="8"/>
      <c r="CJ342" s="69">
        <f t="shared" ref="CJ342:CJ355" si="260">EY27</f>
        <v>3</v>
      </c>
      <c r="CK342" s="69">
        <f t="shared" ref="CK342:CK355" si="261">FF27</f>
        <v>1</v>
      </c>
      <c r="CL342" s="14">
        <f t="shared" ref="CL342:CL355" si="262">GZ27</f>
        <v>1.4294223222028994</v>
      </c>
      <c r="CM342" s="14">
        <f t="shared" ref="CM342:CM355" si="263">FP27</f>
        <v>0.42971946207435457</v>
      </c>
      <c r="CO342" s="69">
        <f t="shared" ref="CO342:CO355" si="264">CJ342</f>
        <v>3</v>
      </c>
      <c r="CP342" s="129">
        <f t="shared" ref="CP342:CP355" si="265">FI27/(($S$17/1.73)*1000)</f>
        <v>2.1401365147761769E-4</v>
      </c>
      <c r="CQ342" s="130">
        <v>0</v>
      </c>
      <c r="CR342" s="132">
        <f t="shared" si="259"/>
        <v>1.6816733202387052E-3</v>
      </c>
      <c r="CS342" s="131">
        <v>0</v>
      </c>
    </row>
    <row r="343" spans="2:97" ht="18" customHeight="1" x14ac:dyDescent="0.25">
      <c r="B343" s="45"/>
      <c r="C343" s="46"/>
      <c r="D343" s="46"/>
      <c r="E343" s="46"/>
      <c r="F343" s="46"/>
      <c r="G343" s="46"/>
      <c r="H343" s="46"/>
      <c r="I343" s="46"/>
      <c r="J343" s="46"/>
      <c r="K343" s="46"/>
      <c r="L343" s="46"/>
      <c r="M343" s="46"/>
      <c r="N343" s="46"/>
      <c r="O343" s="46"/>
      <c r="P343" s="46"/>
      <c r="Q343" s="46"/>
      <c r="R343" s="46"/>
      <c r="S343" s="46"/>
      <c r="T343" s="46"/>
      <c r="U343" s="46"/>
      <c r="V343" s="46"/>
      <c r="W343" s="46"/>
      <c r="X343" s="46"/>
      <c r="Y343" s="46"/>
      <c r="Z343" s="46"/>
      <c r="AA343" s="46"/>
      <c r="AB343" s="46"/>
      <c r="AC343" s="46"/>
      <c r="AD343" s="46"/>
      <c r="AE343" s="46"/>
      <c r="AF343" s="46"/>
      <c r="AG343" s="46"/>
      <c r="AH343" s="46"/>
      <c r="AI343" s="46"/>
      <c r="AJ343" s="46"/>
      <c r="AK343" s="46"/>
      <c r="AL343" s="46"/>
      <c r="AM343" s="46"/>
      <c r="AN343" s="46"/>
      <c r="AO343" s="46"/>
      <c r="AP343" s="47"/>
      <c r="AR343" s="45"/>
      <c r="AS343" s="46"/>
      <c r="AT343" s="46"/>
      <c r="AU343" s="46"/>
      <c r="AV343" s="46"/>
      <c r="AW343" s="46"/>
      <c r="AX343" s="46"/>
      <c r="AY343" s="46"/>
      <c r="AZ343" s="46"/>
      <c r="BA343" s="46"/>
      <c r="BB343" s="46"/>
      <c r="BC343" s="46"/>
      <c r="BD343" s="46"/>
      <c r="BE343" s="46"/>
      <c r="BF343" s="46"/>
      <c r="BG343" s="46"/>
      <c r="BH343" s="46"/>
      <c r="BI343" s="46"/>
      <c r="BJ343" s="46"/>
      <c r="BK343" s="46"/>
      <c r="BL343" s="46"/>
      <c r="BM343" s="46"/>
      <c r="BN343" s="46"/>
      <c r="BO343" s="46"/>
      <c r="BP343" s="46"/>
      <c r="BQ343" s="46"/>
      <c r="BR343" s="46"/>
      <c r="BS343" s="46"/>
      <c r="BT343" s="46"/>
      <c r="BU343" s="46"/>
      <c r="BV343" s="46"/>
      <c r="BW343" s="46"/>
      <c r="BX343" s="46"/>
      <c r="BY343" s="46"/>
      <c r="BZ343" s="46"/>
      <c r="CA343" s="46"/>
      <c r="CB343" s="46"/>
      <c r="CC343" s="46"/>
      <c r="CD343" s="46"/>
      <c r="CE343" s="46"/>
      <c r="CF343" s="47"/>
      <c r="CJ343" s="69">
        <f t="shared" si="260"/>
        <v>4</v>
      </c>
      <c r="CK343" s="69">
        <f t="shared" si="261"/>
        <v>1</v>
      </c>
      <c r="CL343" s="14">
        <f t="shared" si="262"/>
        <v>3.1682282717417971</v>
      </c>
      <c r="CM343" s="14">
        <f t="shared" si="263"/>
        <v>2.1983626666982596</v>
      </c>
      <c r="CO343" s="69">
        <f t="shared" si="264"/>
        <v>4</v>
      </c>
      <c r="CP343" s="129">
        <f t="shared" si="265"/>
        <v>6.3243985714713359E-4</v>
      </c>
      <c r="CQ343" s="130">
        <v>0</v>
      </c>
      <c r="CR343" s="132">
        <f t="shared" si="259"/>
        <v>3.7273273785197614E-3</v>
      </c>
      <c r="CS343" s="131">
        <v>0</v>
      </c>
    </row>
    <row r="344" spans="2:97" ht="18" customHeight="1" x14ac:dyDescent="0.25">
      <c r="CJ344" s="69">
        <f t="shared" si="260"/>
        <v>5</v>
      </c>
      <c r="CK344" s="69">
        <f t="shared" si="261"/>
        <v>120</v>
      </c>
      <c r="CL344" s="14">
        <f t="shared" si="262"/>
        <v>88.340390591394126</v>
      </c>
      <c r="CM344" s="14">
        <f t="shared" si="263"/>
        <v>144.52618442187301</v>
      </c>
      <c r="CO344" s="69">
        <f t="shared" si="264"/>
        <v>5</v>
      </c>
      <c r="CP344" s="129">
        <f t="shared" si="265"/>
        <v>2.2042674030169712E-2</v>
      </c>
      <c r="CQ344" s="130">
        <v>0</v>
      </c>
      <c r="CR344" s="132">
        <f t="shared" si="259"/>
        <v>0.10392987128399309</v>
      </c>
      <c r="CS344" s="131">
        <v>0</v>
      </c>
    </row>
    <row r="345" spans="2:97" ht="18" customHeight="1" x14ac:dyDescent="0.25">
      <c r="B345" s="3"/>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5"/>
      <c r="AR345" s="3"/>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c r="BY345" s="4"/>
      <c r="BZ345" s="4"/>
      <c r="CA345" s="4"/>
      <c r="CB345" s="4"/>
      <c r="CC345" s="4"/>
      <c r="CD345" s="4"/>
      <c r="CE345" s="4"/>
      <c r="CF345" s="5"/>
      <c r="CJ345" s="69">
        <f t="shared" si="260"/>
        <v>7</v>
      </c>
      <c r="CK345" s="69">
        <f t="shared" si="261"/>
        <v>100</v>
      </c>
      <c r="CL345" s="14">
        <f t="shared" si="262"/>
        <v>35.672307764649453</v>
      </c>
      <c r="CM345" s="14">
        <f t="shared" si="263"/>
        <v>106.60434743083984</v>
      </c>
      <c r="CO345" s="69">
        <f t="shared" si="264"/>
        <v>7</v>
      </c>
      <c r="CP345" s="129">
        <f t="shared" si="265"/>
        <v>1.2461129188909641E-2</v>
      </c>
      <c r="CQ345" s="130">
        <v>0</v>
      </c>
      <c r="CR345" s="132">
        <f t="shared" si="259"/>
        <v>4.196742089958759E-2</v>
      </c>
      <c r="CS345" s="131">
        <v>0</v>
      </c>
    </row>
    <row r="346" spans="2:97" ht="18" customHeight="1" x14ac:dyDescent="0.25">
      <c r="B346" s="6"/>
      <c r="AN346" s="7"/>
      <c r="AP346" s="8"/>
      <c r="AR346" s="6"/>
      <c r="CD346" s="7"/>
      <c r="CF346" s="8"/>
      <c r="CJ346" s="69">
        <f t="shared" si="260"/>
        <v>11</v>
      </c>
      <c r="CK346" s="69">
        <f t="shared" si="261"/>
        <v>80</v>
      </c>
      <c r="CL346" s="14">
        <f t="shared" si="262"/>
        <v>10.296314020853213</v>
      </c>
      <c r="CM346" s="14">
        <f t="shared" si="263"/>
        <v>82.920338570357828</v>
      </c>
      <c r="CO346" s="69">
        <f t="shared" si="264"/>
        <v>11</v>
      </c>
      <c r="CP346" s="129">
        <f t="shared" si="265"/>
        <v>5.6519511260720448E-3</v>
      </c>
      <c r="CQ346" s="130">
        <v>0</v>
      </c>
      <c r="CR346" s="132">
        <f t="shared" si="259"/>
        <v>1.2113310612768486E-2</v>
      </c>
      <c r="CS346" s="131">
        <v>0</v>
      </c>
    </row>
    <row r="347" spans="2:97" ht="18" customHeight="1" x14ac:dyDescent="0.25">
      <c r="B347" s="6"/>
      <c r="AN347" s="9"/>
      <c r="AP347" s="8"/>
      <c r="AR347" s="6"/>
      <c r="CD347" s="9"/>
      <c r="CF347" s="8"/>
      <c r="CJ347" s="69">
        <f t="shared" si="260"/>
        <v>13</v>
      </c>
      <c r="CK347" s="69">
        <f t="shared" si="261"/>
        <v>60</v>
      </c>
      <c r="CL347" s="14">
        <f t="shared" si="262"/>
        <v>5.3439620839503545</v>
      </c>
      <c r="CM347" s="14">
        <f t="shared" si="263"/>
        <v>58.826183015242435</v>
      </c>
      <c r="CO347" s="69">
        <f t="shared" si="264"/>
        <v>13</v>
      </c>
      <c r="CP347" s="129">
        <f t="shared" si="265"/>
        <v>3.4668083832958734E-3</v>
      </c>
      <c r="CQ347" s="130">
        <v>0</v>
      </c>
      <c r="CR347" s="132">
        <f t="shared" si="259"/>
        <v>6.2870142164121821E-3</v>
      </c>
      <c r="CS347" s="131">
        <v>0</v>
      </c>
    </row>
    <row r="348" spans="2:97" ht="18" customHeight="1" thickBot="1" x14ac:dyDescent="0.3">
      <c r="B348" s="6"/>
      <c r="C348" s="104" t="s">
        <v>489</v>
      </c>
      <c r="D348" s="10"/>
      <c r="E348" s="10"/>
      <c r="F348" s="10"/>
      <c r="G348" s="10"/>
      <c r="H348" s="10"/>
      <c r="I348" s="10"/>
      <c r="J348" s="10"/>
      <c r="K348" s="10"/>
      <c r="L348" s="10"/>
      <c r="M348" s="10"/>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1"/>
      <c r="AO348" s="10"/>
      <c r="AP348" s="8"/>
      <c r="AR348" s="6"/>
      <c r="AS348" s="104" t="s">
        <v>489</v>
      </c>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1"/>
      <c r="CE348" s="10"/>
      <c r="CF348" s="8"/>
      <c r="CJ348" s="69">
        <f t="shared" si="260"/>
        <v>17</v>
      </c>
      <c r="CK348" s="69">
        <f t="shared" si="261"/>
        <v>40</v>
      </c>
      <c r="CL348" s="14">
        <f t="shared" si="262"/>
        <v>6.9256835919606488</v>
      </c>
      <c r="CM348" s="14">
        <f t="shared" si="263"/>
        <v>33.462138094395392</v>
      </c>
      <c r="CO348" s="69">
        <f t="shared" si="264"/>
        <v>17</v>
      </c>
      <c r="CP348" s="129">
        <f t="shared" si="265"/>
        <v>5.8753512013122889E-3</v>
      </c>
      <c r="CQ348" s="130">
        <v>0</v>
      </c>
      <c r="CR348" s="132">
        <f t="shared" si="259"/>
        <v>8.1478630493654683E-3</v>
      </c>
      <c r="CS348" s="131">
        <v>0</v>
      </c>
    </row>
    <row r="349" spans="2:97" ht="18" customHeight="1" x14ac:dyDescent="0.3">
      <c r="B349" s="6"/>
      <c r="AN349" s="9"/>
      <c r="AP349" s="8"/>
      <c r="AR349" s="6"/>
      <c r="AS349" s="30"/>
      <c r="CD349" s="9"/>
      <c r="CF349" s="8"/>
      <c r="CJ349" s="69">
        <f t="shared" si="260"/>
        <v>19</v>
      </c>
      <c r="CK349" s="69">
        <f t="shared" si="261"/>
        <v>30</v>
      </c>
      <c r="CL349" s="14">
        <f t="shared" si="262"/>
        <v>5.965315058785956</v>
      </c>
      <c r="CM349" s="14">
        <f t="shared" si="263"/>
        <v>24.316042357000793</v>
      </c>
      <c r="CO349" s="69">
        <f t="shared" si="264"/>
        <v>19</v>
      </c>
      <c r="CP349" s="129">
        <f t="shared" si="265"/>
        <v>5.6559949255776216E-3</v>
      </c>
      <c r="CQ349" s="130">
        <v>0</v>
      </c>
      <c r="CR349" s="132">
        <f t="shared" si="259"/>
        <v>7.0180177162187714E-3</v>
      </c>
      <c r="CS349" s="131">
        <v>0</v>
      </c>
    </row>
    <row r="350" spans="2:97" ht="18" customHeight="1" x14ac:dyDescent="0.3">
      <c r="B350" s="6"/>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8"/>
      <c r="AR350" s="6"/>
      <c r="CF350" s="8"/>
      <c r="CJ350" s="69">
        <f t="shared" si="260"/>
        <v>23</v>
      </c>
      <c r="CK350" s="69">
        <f t="shared" si="261"/>
        <v>20</v>
      </c>
      <c r="CL350" s="14">
        <f t="shared" si="262"/>
        <v>4.5425517054404017</v>
      </c>
      <c r="CM350" s="14">
        <f t="shared" si="263"/>
        <v>15.671751712318978</v>
      </c>
      <c r="CO350" s="69">
        <f t="shared" si="264"/>
        <v>23</v>
      </c>
      <c r="CP350" s="129">
        <f t="shared" si="265"/>
        <v>5.213740769782085E-3</v>
      </c>
      <c r="CQ350" s="130">
        <v>0</v>
      </c>
      <c r="CR350" s="132">
        <f t="shared" si="259"/>
        <v>5.3441784769887079E-3</v>
      </c>
      <c r="CS350" s="131">
        <v>0</v>
      </c>
    </row>
    <row r="351" spans="2:97" ht="18" customHeight="1" x14ac:dyDescent="0.3">
      <c r="B351" s="6"/>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8"/>
      <c r="AR351" s="6"/>
      <c r="CF351" s="8"/>
      <c r="CJ351" s="69">
        <f t="shared" si="260"/>
        <v>25</v>
      </c>
      <c r="CK351" s="69">
        <f t="shared" si="261"/>
        <v>10</v>
      </c>
      <c r="CL351" s="14">
        <f t="shared" si="262"/>
        <v>2.35282246463392</v>
      </c>
      <c r="CM351" s="14">
        <f t="shared" si="263"/>
        <v>7.7648958282233247</v>
      </c>
      <c r="CO351" s="69">
        <f t="shared" si="264"/>
        <v>25</v>
      </c>
      <c r="CP351" s="129">
        <f t="shared" si="265"/>
        <v>2.9352884424177477E-3</v>
      </c>
      <c r="CQ351" s="130">
        <v>0</v>
      </c>
      <c r="CR351" s="132">
        <f t="shared" si="259"/>
        <v>2.7680264289810822E-3</v>
      </c>
      <c r="CS351" s="131">
        <v>0</v>
      </c>
    </row>
    <row r="352" spans="2:97" ht="18" customHeight="1" x14ac:dyDescent="0.3">
      <c r="B352" s="6"/>
      <c r="C352" s="30"/>
      <c r="AP352" s="8"/>
      <c r="AR352" s="6"/>
      <c r="CF352" s="8"/>
      <c r="CJ352" s="69">
        <f t="shared" si="260"/>
        <v>29</v>
      </c>
      <c r="CK352" s="69">
        <f t="shared" si="261"/>
        <v>8</v>
      </c>
      <c r="CL352" s="14">
        <f t="shared" si="262"/>
        <v>1.9636874675460603</v>
      </c>
      <c r="CM352" s="14">
        <f t="shared" si="263"/>
        <v>6.1506216309712336</v>
      </c>
      <c r="CO352" s="69">
        <f t="shared" si="264"/>
        <v>29</v>
      </c>
      <c r="CP352" s="129">
        <f t="shared" si="265"/>
        <v>2.8417890813654261E-3</v>
      </c>
      <c r="CQ352" s="130">
        <v>0</v>
      </c>
      <c r="CR352" s="132">
        <f t="shared" si="259"/>
        <v>2.3102205500541884E-3</v>
      </c>
      <c r="CS352" s="131">
        <v>0</v>
      </c>
    </row>
    <row r="353" spans="2:97" ht="18" customHeight="1" x14ac:dyDescent="0.25">
      <c r="B353" s="6"/>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c r="AA353" s="62"/>
      <c r="AB353" s="62"/>
      <c r="AC353" s="62"/>
      <c r="AD353" s="62"/>
      <c r="AE353" s="62"/>
      <c r="AF353" s="62"/>
      <c r="AG353" s="62"/>
      <c r="AH353" s="62"/>
      <c r="AI353" s="62"/>
      <c r="AJ353" s="62"/>
      <c r="AK353" s="62"/>
      <c r="AL353" s="62"/>
      <c r="AM353" s="62"/>
      <c r="AN353" s="62"/>
      <c r="AO353" s="62"/>
      <c r="AP353" s="8"/>
      <c r="AR353" s="6"/>
      <c r="BA353" s="2"/>
      <c r="CF353" s="8"/>
      <c r="CJ353" s="69">
        <f t="shared" si="260"/>
        <v>31</v>
      </c>
      <c r="CK353" s="69">
        <f t="shared" si="261"/>
        <v>6</v>
      </c>
      <c r="CL353" s="14">
        <f t="shared" si="262"/>
        <v>1.4914746743730383</v>
      </c>
      <c r="CM353" s="14">
        <f t="shared" si="263"/>
        <v>4.6026799055014944</v>
      </c>
      <c r="CO353" s="69">
        <f t="shared" si="264"/>
        <v>31</v>
      </c>
      <c r="CP353" s="129">
        <f t="shared" si="265"/>
        <v>2.3072730882541847E-3</v>
      </c>
      <c r="CQ353" s="130">
        <v>0</v>
      </c>
      <c r="CR353" s="132">
        <f t="shared" si="259"/>
        <v>1.7546760874976922E-3</v>
      </c>
      <c r="CS353" s="131">
        <v>0</v>
      </c>
    </row>
    <row r="354" spans="2:97" ht="18" customHeight="1" x14ac:dyDescent="0.25">
      <c r="B354" s="6"/>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c r="AA354" s="62"/>
      <c r="AB354" s="62"/>
      <c r="AC354" s="62"/>
      <c r="AD354" s="62"/>
      <c r="AE354" s="62"/>
      <c r="AF354" s="62"/>
      <c r="AG354" s="62"/>
      <c r="AH354" s="62"/>
      <c r="AI354" s="62"/>
      <c r="AJ354" s="62"/>
      <c r="AK354" s="62"/>
      <c r="AL354" s="62"/>
      <c r="AM354" s="62"/>
      <c r="AN354" s="62"/>
      <c r="AO354" s="62"/>
      <c r="AP354" s="8"/>
      <c r="AR354" s="6"/>
      <c r="CF354" s="8"/>
      <c r="CJ354" s="69">
        <f t="shared" si="260"/>
        <v>35</v>
      </c>
      <c r="CK354" s="69">
        <f t="shared" si="261"/>
        <v>4</v>
      </c>
      <c r="CL354" s="14">
        <f t="shared" si="262"/>
        <v>1.0094657870122159</v>
      </c>
      <c r="CM354" s="14">
        <f t="shared" si="263"/>
        <v>3.0653739214156559</v>
      </c>
      <c r="CO354" s="69">
        <f t="shared" si="264"/>
        <v>35</v>
      </c>
      <c r="CP354" s="129">
        <f t="shared" si="265"/>
        <v>1.7631164366691274E-3</v>
      </c>
      <c r="CQ354" s="130">
        <v>0</v>
      </c>
      <c r="CR354" s="132">
        <f t="shared" si="259"/>
        <v>1.1876068082496657E-3</v>
      </c>
      <c r="CS354" s="131">
        <v>0</v>
      </c>
    </row>
    <row r="355" spans="2:97" ht="18" customHeight="1" x14ac:dyDescent="0.25">
      <c r="B355" s="6"/>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c r="AA355" s="62"/>
      <c r="AB355" s="62"/>
      <c r="AC355" s="62"/>
      <c r="AD355" s="62"/>
      <c r="AE355" s="62"/>
      <c r="AF355" s="62"/>
      <c r="AG355" s="62"/>
      <c r="AH355" s="62"/>
      <c r="AI355" s="62"/>
      <c r="AJ355" s="62"/>
      <c r="AK355" s="62"/>
      <c r="AL355" s="62"/>
      <c r="AM355" s="62"/>
      <c r="AN355" s="62"/>
      <c r="AO355" s="62"/>
      <c r="AP355" s="8"/>
      <c r="AR355" s="6"/>
      <c r="CF355" s="8"/>
      <c r="CJ355" s="69">
        <f t="shared" si="260"/>
        <v>37</v>
      </c>
      <c r="CK355" s="69">
        <f t="shared" si="261"/>
        <v>1</v>
      </c>
      <c r="CL355" s="14">
        <f t="shared" si="262"/>
        <v>0.25337972770938999</v>
      </c>
      <c r="CM355" s="14">
        <f t="shared" si="263"/>
        <v>0.76692139629007583</v>
      </c>
      <c r="CO355" s="69">
        <f t="shared" si="264"/>
        <v>37</v>
      </c>
      <c r="CP355" s="129">
        <f t="shared" si="265"/>
        <v>4.678373649286617E-4</v>
      </c>
      <c r="CQ355" s="130">
        <v>0</v>
      </c>
      <c r="CR355" s="132">
        <f t="shared" si="259"/>
        <v>2.9809379730516469E-4</v>
      </c>
      <c r="CS355" s="131">
        <v>0</v>
      </c>
    </row>
    <row r="356" spans="2:97" ht="18" customHeight="1" x14ac:dyDescent="0.25">
      <c r="B356" s="6"/>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c r="AA356" s="62"/>
      <c r="AB356" s="62"/>
      <c r="AC356" s="62"/>
      <c r="AD356" s="62"/>
      <c r="AE356" s="62"/>
      <c r="AF356" s="62"/>
      <c r="AG356" s="62"/>
      <c r="AH356" s="62"/>
      <c r="AI356" s="62"/>
      <c r="AJ356" s="62"/>
      <c r="AK356" s="62"/>
      <c r="AL356" s="62"/>
      <c r="AM356" s="62"/>
      <c r="AN356" s="62"/>
      <c r="AO356" s="62"/>
      <c r="AP356" s="8"/>
      <c r="AR356" s="6"/>
      <c r="CF356" s="8"/>
      <c r="CJ356" s="15"/>
    </row>
    <row r="357" spans="2:97" ht="18" customHeight="1" x14ac:dyDescent="0.25">
      <c r="B357" s="6"/>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c r="AA357" s="62"/>
      <c r="AB357" s="62"/>
      <c r="AC357" s="62"/>
      <c r="AD357" s="62"/>
      <c r="AE357" s="62"/>
      <c r="AF357" s="62"/>
      <c r="AG357" s="62"/>
      <c r="AH357" s="62"/>
      <c r="AI357" s="62"/>
      <c r="AJ357" s="62"/>
      <c r="AK357" s="62"/>
      <c r="AL357" s="62"/>
      <c r="AM357" s="62"/>
      <c r="AN357" s="62"/>
      <c r="AO357" s="62"/>
      <c r="AP357" s="8"/>
      <c r="AR357" s="6"/>
      <c r="CF357" s="8"/>
      <c r="CJ357" s="15"/>
    </row>
    <row r="358" spans="2:97" ht="18" customHeight="1" x14ac:dyDescent="0.25">
      <c r="B358" s="6"/>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c r="AA358" s="62"/>
      <c r="AB358" s="62"/>
      <c r="AC358" s="62"/>
      <c r="AD358" s="62"/>
      <c r="AE358" s="62"/>
      <c r="AF358" s="62"/>
      <c r="AG358" s="62"/>
      <c r="AH358" s="62"/>
      <c r="AI358" s="62"/>
      <c r="AJ358" s="62"/>
      <c r="AK358" s="62"/>
      <c r="AL358" s="62"/>
      <c r="AM358" s="62"/>
      <c r="AN358" s="62"/>
      <c r="AO358" s="62"/>
      <c r="AP358" s="8"/>
      <c r="AR358" s="6"/>
      <c r="CF358" s="8"/>
      <c r="CJ358" s="15"/>
    </row>
    <row r="359" spans="2:97" ht="18" customHeight="1" x14ac:dyDescent="0.25">
      <c r="B359" s="6"/>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c r="AA359" s="62"/>
      <c r="AB359" s="62"/>
      <c r="AC359" s="62"/>
      <c r="AD359" s="62"/>
      <c r="AE359" s="62"/>
      <c r="AF359" s="62"/>
      <c r="AG359" s="62"/>
      <c r="AH359" s="62"/>
      <c r="AI359" s="62"/>
      <c r="AJ359" s="62"/>
      <c r="AK359" s="62"/>
      <c r="AL359" s="62"/>
      <c r="AM359" s="62"/>
      <c r="AN359" s="62"/>
      <c r="AO359" s="62"/>
      <c r="AP359" s="8"/>
      <c r="AR359" s="6"/>
      <c r="CF359" s="8"/>
      <c r="CJ359" s="15"/>
    </row>
    <row r="360" spans="2:97" ht="18" customHeight="1" x14ac:dyDescent="0.25">
      <c r="B360" s="6"/>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c r="AA360" s="62"/>
      <c r="AB360" s="62"/>
      <c r="AC360" s="62"/>
      <c r="AD360" s="62"/>
      <c r="AE360" s="62"/>
      <c r="AF360" s="62"/>
      <c r="AG360" s="62"/>
      <c r="AH360" s="62"/>
      <c r="AI360" s="62"/>
      <c r="AJ360" s="62"/>
      <c r="AK360" s="62"/>
      <c r="AL360" s="62"/>
      <c r="AM360" s="62"/>
      <c r="AN360" s="62"/>
      <c r="AO360" s="62"/>
      <c r="AP360" s="8"/>
      <c r="AR360" s="6"/>
      <c r="CF360" s="8"/>
      <c r="CJ360" s="15"/>
    </row>
    <row r="361" spans="2:97" ht="18" customHeight="1" x14ac:dyDescent="0.25">
      <c r="B361" s="6"/>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c r="AA361" s="62"/>
      <c r="AB361" s="62"/>
      <c r="AC361" s="62"/>
      <c r="AD361" s="62"/>
      <c r="AE361" s="62"/>
      <c r="AF361" s="62"/>
      <c r="AG361" s="62"/>
      <c r="AH361" s="62"/>
      <c r="AI361" s="62"/>
      <c r="AJ361" s="62"/>
      <c r="AK361" s="62"/>
      <c r="AL361" s="62"/>
      <c r="AM361" s="62"/>
      <c r="AN361" s="62"/>
      <c r="AO361" s="62"/>
      <c r="AP361" s="8"/>
      <c r="AR361" s="6"/>
      <c r="CF361" s="8"/>
      <c r="CJ361" s="15"/>
    </row>
    <row r="362" spans="2:97" ht="18" customHeight="1" x14ac:dyDescent="0.25">
      <c r="B362" s="6"/>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c r="AA362" s="62"/>
      <c r="AB362" s="62"/>
      <c r="AC362" s="62"/>
      <c r="AD362" s="62"/>
      <c r="AE362" s="62"/>
      <c r="AF362" s="62"/>
      <c r="AG362" s="62"/>
      <c r="AH362" s="62"/>
      <c r="AI362" s="62"/>
      <c r="AJ362" s="62"/>
      <c r="AK362" s="62"/>
      <c r="AL362" s="62"/>
      <c r="AM362" s="62"/>
      <c r="AN362" s="62"/>
      <c r="AO362" s="62"/>
      <c r="AP362" s="8"/>
      <c r="AR362" s="6"/>
      <c r="CF362" s="8"/>
    </row>
    <row r="363" spans="2:97" ht="18" customHeight="1" x14ac:dyDescent="0.25">
      <c r="B363" s="6"/>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c r="AA363" s="62"/>
      <c r="AB363" s="62"/>
      <c r="AC363" s="62"/>
      <c r="AD363" s="62"/>
      <c r="AE363" s="62"/>
      <c r="AF363" s="62"/>
      <c r="AG363" s="62"/>
      <c r="AH363" s="62"/>
      <c r="AI363" s="62"/>
      <c r="AJ363" s="62"/>
      <c r="AK363" s="62"/>
      <c r="AL363" s="62"/>
      <c r="AM363" s="62"/>
      <c r="AN363" s="62"/>
      <c r="AO363" s="62"/>
      <c r="AP363" s="8"/>
      <c r="AR363" s="6"/>
      <c r="CF363" s="8"/>
    </row>
    <row r="364" spans="2:97" ht="18" customHeight="1" x14ac:dyDescent="0.25">
      <c r="B364" s="6"/>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c r="AA364" s="62"/>
      <c r="AB364" s="62"/>
      <c r="AC364" s="62"/>
      <c r="AD364" s="62"/>
      <c r="AE364" s="62"/>
      <c r="AF364" s="62"/>
      <c r="AG364" s="62"/>
      <c r="AH364" s="62"/>
      <c r="AI364" s="62"/>
      <c r="AJ364" s="62"/>
      <c r="AK364" s="62"/>
      <c r="AL364" s="62"/>
      <c r="AM364" s="62"/>
      <c r="AN364" s="62"/>
      <c r="AO364" s="62"/>
      <c r="AP364" s="8"/>
      <c r="AR364" s="6"/>
      <c r="CF364" s="8"/>
    </row>
    <row r="365" spans="2:97" ht="18" customHeight="1" x14ac:dyDescent="0.25">
      <c r="B365" s="6"/>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c r="AC365" s="62"/>
      <c r="AD365" s="62"/>
      <c r="AE365" s="62"/>
      <c r="AF365" s="62"/>
      <c r="AG365" s="62"/>
      <c r="AH365" s="62"/>
      <c r="AI365" s="62"/>
      <c r="AJ365" s="62"/>
      <c r="AK365" s="62"/>
      <c r="AL365" s="62"/>
      <c r="AM365" s="62"/>
      <c r="AN365" s="62"/>
      <c r="AO365" s="62"/>
      <c r="AP365" s="8"/>
      <c r="AR365" s="6"/>
      <c r="CF365" s="8"/>
    </row>
    <row r="366" spans="2:97" ht="18" customHeight="1" x14ac:dyDescent="0.25">
      <c r="B366" s="6"/>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c r="AA366" s="62"/>
      <c r="AB366" s="62"/>
      <c r="AC366" s="62"/>
      <c r="AD366" s="62"/>
      <c r="AE366" s="62"/>
      <c r="AF366" s="62"/>
      <c r="AG366" s="62"/>
      <c r="AH366" s="62"/>
      <c r="AI366" s="62"/>
      <c r="AJ366" s="62"/>
      <c r="AK366" s="62"/>
      <c r="AL366" s="62"/>
      <c r="AM366" s="62"/>
      <c r="AN366" s="62"/>
      <c r="AO366" s="62"/>
      <c r="AP366" s="8"/>
      <c r="AR366" s="6"/>
      <c r="CF366" s="8"/>
    </row>
    <row r="367" spans="2:97" ht="18" customHeight="1" x14ac:dyDescent="0.25">
      <c r="B367" s="6"/>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c r="AA367" s="62"/>
      <c r="AB367" s="62"/>
      <c r="AC367" s="62"/>
      <c r="AD367" s="62"/>
      <c r="AE367" s="62"/>
      <c r="AF367" s="62"/>
      <c r="AG367" s="62"/>
      <c r="AH367" s="62"/>
      <c r="AI367" s="62"/>
      <c r="AJ367" s="62"/>
      <c r="AK367" s="62"/>
      <c r="AL367" s="62"/>
      <c r="AM367" s="62"/>
      <c r="AN367" s="62"/>
      <c r="AO367" s="62"/>
      <c r="AP367" s="8"/>
      <c r="AR367" s="6"/>
      <c r="CF367" s="8"/>
    </row>
    <row r="368" spans="2:97" ht="18" customHeight="1" x14ac:dyDescent="0.25">
      <c r="B368" s="6"/>
      <c r="AP368" s="8"/>
      <c r="AR368" s="6"/>
      <c r="CF368" s="8"/>
    </row>
    <row r="369" spans="2:84" ht="18" customHeight="1" x14ac:dyDescent="0.25">
      <c r="B369" s="6"/>
      <c r="C369" s="91"/>
      <c r="D369" s="91"/>
      <c r="E369" s="91"/>
      <c r="F369" s="91"/>
      <c r="G369" s="91"/>
      <c r="H369" s="91"/>
      <c r="I369" s="91"/>
      <c r="J369" s="91"/>
      <c r="K369" s="91"/>
      <c r="L369" s="91"/>
      <c r="M369" s="91"/>
      <c r="N369" s="91"/>
      <c r="O369" s="91"/>
      <c r="P369" s="91"/>
      <c r="Q369" s="91"/>
      <c r="R369" s="91"/>
      <c r="S369" s="91"/>
      <c r="T369" s="91"/>
      <c r="U369" s="91"/>
      <c r="V369" s="91"/>
      <c r="W369" s="91"/>
      <c r="X369" s="91"/>
      <c r="Y369" s="91"/>
      <c r="Z369" s="91"/>
      <c r="AA369" s="91"/>
      <c r="AB369" s="91"/>
      <c r="AC369" s="91"/>
      <c r="AD369" s="91"/>
      <c r="AE369" s="91"/>
      <c r="AF369" s="91"/>
      <c r="AG369" s="91"/>
      <c r="AH369" s="91"/>
      <c r="AI369" s="91"/>
      <c r="AJ369" s="91"/>
      <c r="AK369" s="91"/>
      <c r="AL369" s="91"/>
      <c r="AM369" s="91"/>
      <c r="AN369" s="91"/>
      <c r="AO369" s="91"/>
      <c r="AP369" s="8"/>
      <c r="AR369" s="6"/>
      <c r="CF369" s="8"/>
    </row>
    <row r="370" spans="2:84" ht="18" customHeight="1" x14ac:dyDescent="0.25">
      <c r="B370" s="6"/>
      <c r="C370" s="91"/>
      <c r="D370" s="91"/>
      <c r="E370" s="91"/>
      <c r="F370" s="91"/>
      <c r="G370" s="91"/>
      <c r="H370" s="91"/>
      <c r="I370" s="91"/>
      <c r="J370" s="91"/>
      <c r="K370" s="91"/>
      <c r="L370" s="91"/>
      <c r="M370" s="91"/>
      <c r="N370" s="91"/>
      <c r="O370" s="91"/>
      <c r="P370" s="91"/>
      <c r="Q370" s="91"/>
      <c r="R370" s="91"/>
      <c r="S370" s="91"/>
      <c r="T370" s="91"/>
      <c r="U370" s="91"/>
      <c r="V370" s="91"/>
      <c r="W370" s="91"/>
      <c r="X370" s="91"/>
      <c r="Y370" s="91"/>
      <c r="Z370" s="91"/>
      <c r="AA370" s="91"/>
      <c r="AB370" s="91"/>
      <c r="AC370" s="91"/>
      <c r="AD370" s="91"/>
      <c r="AE370" s="91"/>
      <c r="AF370" s="91"/>
      <c r="AG370" s="91"/>
      <c r="AH370" s="91"/>
      <c r="AI370" s="91"/>
      <c r="AJ370" s="91"/>
      <c r="AK370" s="91"/>
      <c r="AL370" s="91"/>
      <c r="AM370" s="91"/>
      <c r="AN370" s="91"/>
      <c r="AO370" s="91"/>
      <c r="AP370" s="8"/>
      <c r="AR370" s="6"/>
      <c r="CF370" s="8"/>
    </row>
    <row r="371" spans="2:84" ht="18" customHeight="1" x14ac:dyDescent="0.25">
      <c r="B371" s="6"/>
      <c r="AP371" s="8"/>
      <c r="AR371" s="6"/>
      <c r="CF371" s="8"/>
    </row>
    <row r="372" spans="2:84" ht="18" customHeight="1" x14ac:dyDescent="0.25">
      <c r="B372" s="6"/>
      <c r="AP372" s="8"/>
      <c r="AR372" s="6"/>
      <c r="CF372" s="8"/>
    </row>
    <row r="373" spans="2:84" ht="18" customHeight="1" x14ac:dyDescent="0.25">
      <c r="B373" s="6"/>
      <c r="C373" s="1" t="s">
        <v>649</v>
      </c>
      <c r="D373" s="153" t="s">
        <v>650</v>
      </c>
      <c r="E373" s="153"/>
      <c r="F373" s="153"/>
      <c r="G373" s="153"/>
      <c r="H373" s="153"/>
      <c r="I373" s="153"/>
      <c r="J373" s="153"/>
      <c r="K373" s="153"/>
      <c r="L373" s="153"/>
      <c r="M373" s="153"/>
      <c r="N373" s="153"/>
      <c r="O373" s="153"/>
      <c r="P373" s="153"/>
      <c r="Q373" s="153"/>
      <c r="R373" s="153"/>
      <c r="S373" s="153"/>
      <c r="T373" s="153"/>
      <c r="U373" s="153"/>
      <c r="V373" s="153"/>
      <c r="W373" s="153"/>
      <c r="X373" s="153"/>
      <c r="Y373" s="153"/>
      <c r="Z373" s="153"/>
      <c r="AA373" s="153"/>
      <c r="AB373" s="153"/>
      <c r="AC373" s="153"/>
      <c r="AD373" s="153"/>
      <c r="AE373" s="153"/>
      <c r="AF373" s="153"/>
      <c r="AG373" s="153"/>
      <c r="AH373" s="153"/>
      <c r="AI373" s="153"/>
      <c r="AJ373" s="153"/>
      <c r="AK373" s="153"/>
      <c r="AL373" s="153"/>
      <c r="AM373" s="153"/>
      <c r="AN373" s="153"/>
      <c r="AO373" s="153"/>
      <c r="AP373" s="8"/>
      <c r="AR373" s="6"/>
      <c r="CF373" s="8"/>
    </row>
    <row r="374" spans="2:84" ht="18" customHeight="1" x14ac:dyDescent="0.3">
      <c r="B374" s="6"/>
      <c r="C374" s="91"/>
      <c r="D374" s="153"/>
      <c r="E374" s="153"/>
      <c r="F374" s="153"/>
      <c r="G374" s="153"/>
      <c r="H374" s="153"/>
      <c r="I374" s="153"/>
      <c r="J374" s="153"/>
      <c r="K374" s="153"/>
      <c r="L374" s="153"/>
      <c r="M374" s="153"/>
      <c r="N374" s="153"/>
      <c r="O374" s="153"/>
      <c r="P374" s="153"/>
      <c r="Q374" s="153"/>
      <c r="R374" s="153"/>
      <c r="S374" s="153"/>
      <c r="T374" s="153"/>
      <c r="U374" s="153"/>
      <c r="V374" s="153"/>
      <c r="W374" s="153"/>
      <c r="X374" s="153"/>
      <c r="Y374" s="153"/>
      <c r="Z374" s="153"/>
      <c r="AA374" s="153"/>
      <c r="AB374" s="153"/>
      <c r="AC374" s="153"/>
      <c r="AD374" s="153"/>
      <c r="AE374" s="153"/>
      <c r="AF374" s="153"/>
      <c r="AG374" s="153"/>
      <c r="AH374" s="153"/>
      <c r="AI374" s="153"/>
      <c r="AJ374" s="153"/>
      <c r="AK374" s="153"/>
      <c r="AL374" s="153"/>
      <c r="AM374" s="153"/>
      <c r="AN374" s="153"/>
      <c r="AO374" s="153"/>
      <c r="AP374" s="8"/>
      <c r="AR374" s="6"/>
      <c r="AS374" s="154" t="s">
        <v>654</v>
      </c>
      <c r="AT374" s="154"/>
      <c r="AU374" s="154"/>
      <c r="AV374" s="154"/>
      <c r="AW374" s="154"/>
      <c r="AX374" s="154"/>
      <c r="AY374" s="154"/>
      <c r="AZ374" s="154"/>
      <c r="BA374" s="154"/>
      <c r="BB374" s="154"/>
      <c r="BC374" s="154"/>
      <c r="BD374" s="154"/>
      <c r="BE374" s="154"/>
      <c r="BF374" s="154"/>
      <c r="BG374" s="154"/>
      <c r="BH374" s="154"/>
      <c r="BI374" s="154"/>
      <c r="BJ374" s="154"/>
      <c r="BK374" s="154"/>
      <c r="BL374" s="154"/>
      <c r="BM374" s="154"/>
      <c r="BN374" s="154"/>
      <c r="BO374" s="154"/>
      <c r="BP374" s="154"/>
      <c r="BQ374" s="154"/>
      <c r="BR374" s="154"/>
      <c r="BS374" s="154"/>
      <c r="BT374" s="154"/>
      <c r="BU374" s="154"/>
      <c r="BV374" s="154"/>
      <c r="BW374" s="154"/>
      <c r="BX374" s="154"/>
      <c r="BY374" s="154"/>
      <c r="BZ374" s="154"/>
      <c r="CA374" s="154"/>
      <c r="CB374" s="154"/>
      <c r="CC374" s="154"/>
      <c r="CD374" s="154"/>
      <c r="CE374" s="154"/>
      <c r="CF374" s="8"/>
    </row>
    <row r="375" spans="2:84" ht="18" customHeight="1" x14ac:dyDescent="0.25">
      <c r="B375" s="6"/>
      <c r="C375" s="91"/>
      <c r="D375" s="153"/>
      <c r="E375" s="153"/>
      <c r="F375" s="153"/>
      <c r="G375" s="153"/>
      <c r="H375" s="153"/>
      <c r="I375" s="153"/>
      <c r="J375" s="153"/>
      <c r="K375" s="153"/>
      <c r="L375" s="153"/>
      <c r="M375" s="153"/>
      <c r="N375" s="153"/>
      <c r="O375" s="153"/>
      <c r="P375" s="153"/>
      <c r="Q375" s="153"/>
      <c r="R375" s="153"/>
      <c r="S375" s="153"/>
      <c r="T375" s="153"/>
      <c r="U375" s="153"/>
      <c r="V375" s="153"/>
      <c r="W375" s="153"/>
      <c r="X375" s="153"/>
      <c r="Y375" s="153"/>
      <c r="Z375" s="153"/>
      <c r="AA375" s="153"/>
      <c r="AB375" s="153"/>
      <c r="AC375" s="153"/>
      <c r="AD375" s="153"/>
      <c r="AE375" s="153"/>
      <c r="AF375" s="153"/>
      <c r="AG375" s="153"/>
      <c r="AH375" s="153"/>
      <c r="AI375" s="153"/>
      <c r="AJ375" s="153"/>
      <c r="AK375" s="153"/>
      <c r="AL375" s="153"/>
      <c r="AM375" s="153"/>
      <c r="AN375" s="153"/>
      <c r="AO375" s="153"/>
      <c r="AP375" s="8"/>
      <c r="AR375" s="6"/>
      <c r="CF375" s="8"/>
    </row>
    <row r="376" spans="2:84" ht="18" customHeight="1" x14ac:dyDescent="0.25">
      <c r="B376" s="6"/>
      <c r="C376" s="91"/>
      <c r="D376" s="153"/>
      <c r="E376" s="153"/>
      <c r="F376" s="153"/>
      <c r="G376" s="153"/>
      <c r="H376" s="153"/>
      <c r="I376" s="153"/>
      <c r="J376" s="153"/>
      <c r="K376" s="153"/>
      <c r="L376" s="153"/>
      <c r="M376" s="153"/>
      <c r="N376" s="153"/>
      <c r="O376" s="153"/>
      <c r="P376" s="153"/>
      <c r="Q376" s="153"/>
      <c r="R376" s="153"/>
      <c r="S376" s="153"/>
      <c r="T376" s="153"/>
      <c r="U376" s="153"/>
      <c r="V376" s="153"/>
      <c r="W376" s="153"/>
      <c r="X376" s="153"/>
      <c r="Y376" s="153"/>
      <c r="Z376" s="153"/>
      <c r="AA376" s="153"/>
      <c r="AB376" s="153"/>
      <c r="AC376" s="153"/>
      <c r="AD376" s="153"/>
      <c r="AE376" s="153"/>
      <c r="AF376" s="153"/>
      <c r="AG376" s="153"/>
      <c r="AH376" s="153"/>
      <c r="AI376" s="153"/>
      <c r="AJ376" s="153"/>
      <c r="AK376" s="153"/>
      <c r="AL376" s="153"/>
      <c r="AM376" s="153"/>
      <c r="AN376" s="153"/>
      <c r="AO376" s="153"/>
      <c r="AP376" s="8"/>
      <c r="AR376" s="6"/>
      <c r="CF376" s="8"/>
    </row>
    <row r="377" spans="2:84" ht="18" customHeight="1" x14ac:dyDescent="0.25">
      <c r="B377" s="6"/>
      <c r="C377" s="91"/>
      <c r="D377" s="153"/>
      <c r="E377" s="153"/>
      <c r="F377" s="153"/>
      <c r="G377" s="153"/>
      <c r="H377" s="153"/>
      <c r="I377" s="153"/>
      <c r="J377" s="153"/>
      <c r="K377" s="153"/>
      <c r="L377" s="153"/>
      <c r="M377" s="153"/>
      <c r="N377" s="153"/>
      <c r="O377" s="153"/>
      <c r="P377" s="153"/>
      <c r="Q377" s="153"/>
      <c r="R377" s="153"/>
      <c r="S377" s="153"/>
      <c r="T377" s="153"/>
      <c r="U377" s="153"/>
      <c r="V377" s="153"/>
      <c r="W377" s="153"/>
      <c r="X377" s="153"/>
      <c r="Y377" s="153"/>
      <c r="Z377" s="153"/>
      <c r="AA377" s="153"/>
      <c r="AB377" s="153"/>
      <c r="AC377" s="153"/>
      <c r="AD377" s="153"/>
      <c r="AE377" s="153"/>
      <c r="AF377" s="153"/>
      <c r="AG377" s="153"/>
      <c r="AH377" s="153"/>
      <c r="AI377" s="153"/>
      <c r="AJ377" s="153"/>
      <c r="AK377" s="153"/>
      <c r="AL377" s="153"/>
      <c r="AM377" s="153"/>
      <c r="AN377" s="153"/>
      <c r="AO377" s="153"/>
      <c r="AP377" s="8"/>
      <c r="AR377" s="6"/>
      <c r="CF377" s="8"/>
    </row>
    <row r="378" spans="2:84" ht="18" customHeight="1" x14ac:dyDescent="0.25">
      <c r="B378" s="6"/>
      <c r="C378" s="91"/>
      <c r="D378" s="153"/>
      <c r="E378" s="153"/>
      <c r="F378" s="153"/>
      <c r="G378" s="153"/>
      <c r="H378" s="153"/>
      <c r="I378" s="153"/>
      <c r="J378" s="153"/>
      <c r="K378" s="153"/>
      <c r="L378" s="153"/>
      <c r="M378" s="153"/>
      <c r="N378" s="153"/>
      <c r="O378" s="153"/>
      <c r="P378" s="153"/>
      <c r="Q378" s="153"/>
      <c r="R378" s="153"/>
      <c r="S378" s="153"/>
      <c r="T378" s="153"/>
      <c r="U378" s="153"/>
      <c r="V378" s="153"/>
      <c r="W378" s="153"/>
      <c r="X378" s="153"/>
      <c r="Y378" s="153"/>
      <c r="Z378" s="153"/>
      <c r="AA378" s="153"/>
      <c r="AB378" s="153"/>
      <c r="AC378" s="153"/>
      <c r="AD378" s="153"/>
      <c r="AE378" s="153"/>
      <c r="AF378" s="153"/>
      <c r="AG378" s="153"/>
      <c r="AH378" s="153"/>
      <c r="AI378" s="153"/>
      <c r="AJ378" s="153"/>
      <c r="AK378" s="153"/>
      <c r="AL378" s="153"/>
      <c r="AM378" s="153"/>
      <c r="AN378" s="153"/>
      <c r="AO378" s="153"/>
      <c r="AP378" s="8"/>
      <c r="AR378" s="6"/>
      <c r="CF378" s="8"/>
    </row>
    <row r="379" spans="2:84" ht="18" customHeight="1" x14ac:dyDescent="0.3">
      <c r="B379" s="6"/>
      <c r="C379" s="91"/>
      <c r="D379" s="153"/>
      <c r="E379" s="153"/>
      <c r="F379" s="153"/>
      <c r="G379" s="153"/>
      <c r="H379" s="153"/>
      <c r="I379" s="153"/>
      <c r="J379" s="153"/>
      <c r="K379" s="153"/>
      <c r="L379" s="153"/>
      <c r="M379" s="153"/>
      <c r="N379" s="153"/>
      <c r="O379" s="153"/>
      <c r="P379" s="153"/>
      <c r="Q379" s="153"/>
      <c r="R379" s="153"/>
      <c r="S379" s="153"/>
      <c r="T379" s="153"/>
      <c r="U379" s="153"/>
      <c r="V379" s="153"/>
      <c r="W379" s="153"/>
      <c r="X379" s="153"/>
      <c r="Y379" s="153"/>
      <c r="Z379" s="153"/>
      <c r="AA379" s="153"/>
      <c r="AB379" s="153"/>
      <c r="AC379" s="153"/>
      <c r="AD379" s="153"/>
      <c r="AE379" s="153"/>
      <c r="AF379" s="153"/>
      <c r="AG379" s="153"/>
      <c r="AH379" s="153"/>
      <c r="AI379" s="153"/>
      <c r="AJ379" s="153"/>
      <c r="AK379" s="153"/>
      <c r="AL379" s="153"/>
      <c r="AM379" s="153"/>
      <c r="AN379" s="153"/>
      <c r="AO379" s="153"/>
      <c r="AP379" s="8"/>
      <c r="AR379" s="6"/>
      <c r="AT379" s="30"/>
      <c r="AU379" s="30"/>
      <c r="AV379" s="30"/>
      <c r="AW379" s="30"/>
      <c r="AX379" s="30"/>
      <c r="AY379" s="30"/>
      <c r="AZ379" s="30"/>
      <c r="BA379" s="30"/>
      <c r="BB379" s="30"/>
      <c r="BC379" s="30"/>
      <c r="BD379" s="30"/>
      <c r="BE379" s="30"/>
      <c r="BF379" s="30"/>
      <c r="BG379" s="30"/>
      <c r="BH379" s="30"/>
      <c r="BI379" s="30"/>
      <c r="BJ379" s="30"/>
      <c r="BK379" s="30"/>
      <c r="BL379" s="30"/>
      <c r="BM379" s="30"/>
      <c r="BN379" s="30"/>
      <c r="BO379" s="30"/>
      <c r="BP379" s="30"/>
      <c r="BQ379" s="30"/>
      <c r="BR379" s="30"/>
      <c r="BS379" s="30"/>
      <c r="BT379" s="30"/>
      <c r="BU379" s="30"/>
      <c r="BV379" s="30"/>
      <c r="BW379" s="30"/>
      <c r="BX379" s="30"/>
      <c r="BY379" s="30"/>
      <c r="BZ379" s="30"/>
      <c r="CA379" s="30"/>
      <c r="CB379" s="30"/>
      <c r="CC379" s="30"/>
      <c r="CD379" s="30"/>
      <c r="CE379" s="30"/>
      <c r="CF379" s="8"/>
    </row>
    <row r="380" spans="2:84" ht="18" customHeight="1" x14ac:dyDescent="0.3">
      <c r="B380" s="6"/>
      <c r="AP380" s="8"/>
      <c r="AR380" s="6"/>
      <c r="AT380" s="30"/>
      <c r="AU380" s="30"/>
      <c r="AV380" s="30"/>
      <c r="AW380" s="30"/>
      <c r="AX380" s="30"/>
      <c r="AY380" s="30"/>
      <c r="AZ380" s="30"/>
      <c r="BA380" s="30"/>
      <c r="BB380" s="30"/>
      <c r="BC380" s="30"/>
      <c r="BD380" s="30"/>
      <c r="BE380" s="30"/>
      <c r="BF380" s="30"/>
      <c r="BG380" s="30"/>
      <c r="BH380" s="30"/>
      <c r="BI380" s="30"/>
      <c r="BJ380" s="30"/>
      <c r="BK380" s="30"/>
      <c r="BS380" s="30"/>
      <c r="BT380" s="30"/>
      <c r="BU380" s="30"/>
      <c r="BV380" s="30"/>
      <c r="BW380" s="30"/>
      <c r="BX380" s="30"/>
      <c r="BY380" s="30"/>
      <c r="BZ380" s="30"/>
      <c r="CA380" s="30"/>
      <c r="CB380" s="30"/>
      <c r="CC380" s="30"/>
      <c r="CD380" s="30"/>
      <c r="CE380" s="30"/>
      <c r="CF380" s="8"/>
    </row>
    <row r="381" spans="2:84" ht="18" customHeight="1" x14ac:dyDescent="0.3">
      <c r="B381" s="6"/>
      <c r="C381" s="154" t="s">
        <v>651</v>
      </c>
      <c r="D381" s="154"/>
      <c r="E381" s="154"/>
      <c r="F381" s="154"/>
      <c r="G381" s="154"/>
      <c r="H381" s="154"/>
      <c r="I381" s="154"/>
      <c r="J381" s="154"/>
      <c r="K381" s="154"/>
      <c r="L381" s="154"/>
      <c r="M381" s="154"/>
      <c r="N381" s="154"/>
      <c r="O381" s="154"/>
      <c r="P381" s="154"/>
      <c r="Q381" s="154"/>
      <c r="R381" s="154"/>
      <c r="S381" s="154"/>
      <c r="T381" s="154"/>
      <c r="U381" s="154"/>
      <c r="V381" s="154"/>
      <c r="W381" s="154"/>
      <c r="X381" s="154"/>
      <c r="Y381" s="154"/>
      <c r="Z381" s="154"/>
      <c r="AA381" s="154"/>
      <c r="AB381" s="154"/>
      <c r="AC381" s="154"/>
      <c r="AD381" s="154"/>
      <c r="AE381" s="154"/>
      <c r="AF381" s="154"/>
      <c r="AG381" s="154"/>
      <c r="AH381" s="154"/>
      <c r="AI381" s="154"/>
      <c r="AJ381" s="154"/>
      <c r="AK381" s="154"/>
      <c r="AL381" s="154"/>
      <c r="AM381" s="154"/>
      <c r="AN381" s="154"/>
      <c r="AO381" s="154"/>
      <c r="AP381" s="8"/>
      <c r="AR381" s="6"/>
      <c r="AS381" s="30"/>
      <c r="AT381" s="30"/>
      <c r="AU381" s="30"/>
      <c r="AV381" s="30"/>
      <c r="AW381" s="30"/>
      <c r="AX381" s="30"/>
      <c r="AY381" s="30"/>
      <c r="AZ381" s="30"/>
      <c r="BA381" s="30"/>
      <c r="BB381" s="30"/>
      <c r="BC381" s="30"/>
      <c r="BD381" s="30"/>
      <c r="BE381" s="30"/>
      <c r="BF381" s="30"/>
      <c r="BG381" s="30"/>
      <c r="BH381" s="30"/>
      <c r="BI381" s="30"/>
      <c r="BJ381" s="30"/>
      <c r="BK381" s="30"/>
      <c r="BL381" s="30"/>
      <c r="BM381" s="30"/>
      <c r="BN381" s="30"/>
      <c r="BO381" s="30"/>
      <c r="BP381" s="30"/>
      <c r="BQ381" s="30"/>
      <c r="BR381" s="30"/>
      <c r="BS381" s="30"/>
      <c r="BT381" s="30"/>
      <c r="BU381" s="30"/>
      <c r="BV381" s="30"/>
      <c r="BW381" s="30"/>
      <c r="BX381" s="30"/>
      <c r="BY381" s="30"/>
      <c r="BZ381" s="30"/>
      <c r="CA381" s="30"/>
      <c r="CB381" s="30"/>
      <c r="CC381" s="30"/>
      <c r="CD381" s="30"/>
      <c r="CE381" s="30"/>
      <c r="CF381" s="8"/>
    </row>
    <row r="382" spans="2:84" ht="18" customHeight="1" x14ac:dyDescent="0.3">
      <c r="B382" s="6"/>
      <c r="C382" s="91"/>
      <c r="AD382" s="91"/>
      <c r="AE382" s="91"/>
      <c r="AF382" s="91"/>
      <c r="AG382" s="91"/>
      <c r="AH382" s="91"/>
      <c r="AI382" s="91"/>
      <c r="AJ382" s="91"/>
      <c r="AK382" s="91"/>
      <c r="AL382" s="91"/>
      <c r="AM382" s="91"/>
      <c r="AN382" s="91"/>
      <c r="AO382" s="91"/>
      <c r="AP382" s="8"/>
      <c r="AR382" s="6"/>
      <c r="AS382" s="30"/>
      <c r="AT382" s="30"/>
      <c r="AU382" s="30"/>
      <c r="AV382" s="30"/>
      <c r="AW382" s="30"/>
      <c r="AX382" s="30"/>
      <c r="AY382" s="30"/>
      <c r="AZ382" s="30"/>
      <c r="BA382" s="30"/>
      <c r="BB382" s="30"/>
      <c r="BC382" s="30"/>
      <c r="BD382" s="30"/>
      <c r="BE382" s="30"/>
      <c r="BF382" s="30"/>
      <c r="BG382" s="30"/>
      <c r="BH382" s="30"/>
      <c r="BI382" s="30"/>
      <c r="BJ382" s="30"/>
      <c r="BK382" s="30"/>
      <c r="BL382" s="30"/>
      <c r="BM382" s="30"/>
      <c r="BN382" s="30"/>
      <c r="BO382" s="30"/>
      <c r="BP382" s="30"/>
      <c r="BQ382" s="30"/>
      <c r="BR382" s="30"/>
      <c r="BS382" s="30"/>
      <c r="BT382" s="30"/>
      <c r="BU382" s="30"/>
      <c r="BV382" s="30"/>
      <c r="BW382" s="30"/>
      <c r="BX382" s="30"/>
      <c r="BY382" s="30"/>
      <c r="BZ382" s="30"/>
      <c r="CA382" s="30"/>
      <c r="CB382" s="30"/>
      <c r="CC382" s="30"/>
      <c r="CD382" s="30"/>
      <c r="CE382" s="30"/>
      <c r="CF382" s="8"/>
    </row>
    <row r="383" spans="2:84" ht="18" customHeight="1" x14ac:dyDescent="0.3">
      <c r="B383" s="6"/>
      <c r="C383" s="153" t="s">
        <v>652</v>
      </c>
      <c r="D383" s="153"/>
      <c r="E383" s="153"/>
      <c r="F383" s="153"/>
      <c r="G383" s="153"/>
      <c r="H383" s="153"/>
      <c r="I383" s="153"/>
      <c r="J383" s="153"/>
      <c r="K383" s="153"/>
      <c r="L383" s="153"/>
      <c r="M383" s="153"/>
      <c r="N383" s="153"/>
      <c r="O383" s="153"/>
      <c r="P383" s="153"/>
      <c r="Q383" s="153"/>
      <c r="R383" s="153"/>
      <c r="S383" s="153"/>
      <c r="T383" s="153"/>
      <c r="U383" s="153"/>
      <c r="V383" s="153"/>
      <c r="W383" s="153"/>
      <c r="X383" s="153"/>
      <c r="Y383" s="153"/>
      <c r="Z383" s="153"/>
      <c r="AA383" s="153"/>
      <c r="AB383" s="153"/>
      <c r="AC383" s="153"/>
      <c r="AD383" s="153"/>
      <c r="AE383" s="153"/>
      <c r="AF383" s="153"/>
      <c r="AG383" s="153"/>
      <c r="AH383" s="153"/>
      <c r="AI383" s="153"/>
      <c r="AJ383" s="153"/>
      <c r="AK383" s="153"/>
      <c r="AL383" s="153"/>
      <c r="AM383" s="153"/>
      <c r="AN383" s="153"/>
      <c r="AO383" s="153"/>
      <c r="AP383" s="8"/>
      <c r="AR383" s="6"/>
      <c r="AS383" s="30"/>
      <c r="AT383" s="30"/>
      <c r="AU383" s="30"/>
      <c r="AV383" s="30"/>
      <c r="AW383" s="30"/>
      <c r="AX383" s="30"/>
      <c r="AY383" s="30"/>
      <c r="AZ383" s="30"/>
      <c r="BA383" s="30"/>
      <c r="BB383" s="30"/>
      <c r="BC383" s="30"/>
      <c r="BD383" s="30"/>
      <c r="BE383" s="30"/>
      <c r="BF383" s="30"/>
      <c r="BG383" s="30"/>
      <c r="BH383" s="30"/>
      <c r="BI383" s="30"/>
      <c r="BJ383" s="30"/>
      <c r="BK383" s="30"/>
      <c r="BL383" s="30"/>
      <c r="BM383" s="30"/>
      <c r="BN383" s="30"/>
      <c r="BO383" s="30"/>
      <c r="BP383" s="30"/>
      <c r="BQ383" s="30"/>
      <c r="BR383" s="30"/>
      <c r="BS383" s="30"/>
      <c r="BT383" s="30"/>
      <c r="BU383" s="30"/>
      <c r="BV383" s="30"/>
      <c r="BW383" s="30"/>
      <c r="BX383" s="30"/>
      <c r="BY383" s="30"/>
      <c r="BZ383" s="30"/>
      <c r="CA383" s="30"/>
      <c r="CB383" s="30"/>
      <c r="CC383" s="30"/>
      <c r="CD383" s="30"/>
      <c r="CE383" s="30"/>
      <c r="CF383" s="8"/>
    </row>
    <row r="384" spans="2:84" ht="18" customHeight="1" x14ac:dyDescent="0.3">
      <c r="B384" s="6"/>
      <c r="C384" s="153"/>
      <c r="D384" s="153"/>
      <c r="E384" s="153"/>
      <c r="F384" s="153"/>
      <c r="G384" s="153"/>
      <c r="H384" s="153"/>
      <c r="I384" s="153"/>
      <c r="J384" s="153"/>
      <c r="K384" s="153"/>
      <c r="L384" s="153"/>
      <c r="M384" s="153"/>
      <c r="N384" s="153"/>
      <c r="O384" s="153"/>
      <c r="P384" s="153"/>
      <c r="Q384" s="153"/>
      <c r="R384" s="153"/>
      <c r="S384" s="153"/>
      <c r="T384" s="153"/>
      <c r="U384" s="153"/>
      <c r="V384" s="153"/>
      <c r="W384" s="153"/>
      <c r="X384" s="153"/>
      <c r="Y384" s="153"/>
      <c r="Z384" s="153"/>
      <c r="AA384" s="153"/>
      <c r="AB384" s="153"/>
      <c r="AC384" s="153"/>
      <c r="AD384" s="153"/>
      <c r="AE384" s="153"/>
      <c r="AF384" s="153"/>
      <c r="AG384" s="153"/>
      <c r="AH384" s="153"/>
      <c r="AI384" s="153"/>
      <c r="AJ384" s="153"/>
      <c r="AK384" s="153"/>
      <c r="AL384" s="153"/>
      <c r="AM384" s="153"/>
      <c r="AN384" s="153"/>
      <c r="AO384" s="153"/>
      <c r="AP384" s="8"/>
      <c r="AR384" s="6"/>
      <c r="AS384" s="30"/>
      <c r="AT384" s="30"/>
      <c r="AU384" s="30"/>
      <c r="AV384" s="30"/>
      <c r="AW384" s="30"/>
      <c r="AX384" s="30"/>
      <c r="AY384" s="30"/>
      <c r="AZ384" s="30"/>
      <c r="BA384" s="30"/>
      <c r="BB384" s="30"/>
      <c r="BC384" s="30"/>
      <c r="BD384" s="30"/>
      <c r="BE384" s="30"/>
      <c r="BF384" s="30"/>
      <c r="BG384" s="30"/>
      <c r="BH384" s="30"/>
      <c r="BI384" s="30"/>
      <c r="BJ384" s="30"/>
      <c r="BK384" s="30"/>
      <c r="BL384" s="30"/>
      <c r="BM384" s="30"/>
      <c r="BN384" s="30"/>
      <c r="BO384" s="30"/>
      <c r="BP384" s="30"/>
      <c r="BQ384" s="30"/>
      <c r="BR384" s="30"/>
      <c r="BS384" s="30"/>
      <c r="BT384" s="30"/>
      <c r="BU384" s="30"/>
      <c r="BV384" s="30"/>
      <c r="BW384" s="30"/>
      <c r="BX384" s="30"/>
      <c r="BY384" s="30"/>
      <c r="BZ384" s="30"/>
      <c r="CA384" s="30"/>
      <c r="CB384" s="30"/>
      <c r="CC384" s="30"/>
      <c r="CD384" s="30"/>
      <c r="CE384" s="30"/>
      <c r="CF384" s="8"/>
    </row>
    <row r="385" spans="2:84" ht="18" customHeight="1" x14ac:dyDescent="0.3">
      <c r="B385" s="6"/>
      <c r="C385" s="153"/>
      <c r="D385" s="153"/>
      <c r="E385" s="153"/>
      <c r="F385" s="153"/>
      <c r="G385" s="153"/>
      <c r="H385" s="153"/>
      <c r="I385" s="153"/>
      <c r="J385" s="153"/>
      <c r="K385" s="153"/>
      <c r="L385" s="153"/>
      <c r="M385" s="153"/>
      <c r="N385" s="153"/>
      <c r="O385" s="153"/>
      <c r="P385" s="153"/>
      <c r="Q385" s="153"/>
      <c r="R385" s="153"/>
      <c r="S385" s="153"/>
      <c r="T385" s="153"/>
      <c r="U385" s="153"/>
      <c r="V385" s="153"/>
      <c r="W385" s="153"/>
      <c r="X385" s="153"/>
      <c r="Y385" s="153"/>
      <c r="Z385" s="153"/>
      <c r="AA385" s="153"/>
      <c r="AB385" s="153"/>
      <c r="AC385" s="153"/>
      <c r="AD385" s="153"/>
      <c r="AE385" s="153"/>
      <c r="AF385" s="153"/>
      <c r="AG385" s="153"/>
      <c r="AH385" s="153"/>
      <c r="AI385" s="153"/>
      <c r="AJ385" s="153"/>
      <c r="AK385" s="153"/>
      <c r="AL385" s="153"/>
      <c r="AM385" s="153"/>
      <c r="AN385" s="153"/>
      <c r="AO385" s="153"/>
      <c r="AP385" s="8"/>
      <c r="AR385" s="6"/>
      <c r="AS385" s="30"/>
      <c r="AT385" s="30"/>
      <c r="AU385" s="30"/>
      <c r="AV385" s="30"/>
      <c r="AW385" s="30"/>
      <c r="AX385" s="30"/>
      <c r="AY385" s="30"/>
      <c r="AZ385" s="30"/>
      <c r="BA385" s="30"/>
      <c r="BB385" s="30"/>
      <c r="BC385" s="30"/>
      <c r="BD385" s="30"/>
      <c r="BE385" s="30"/>
      <c r="BF385" s="30"/>
      <c r="BG385" s="30"/>
      <c r="BH385" s="30"/>
      <c r="BI385" s="30"/>
      <c r="BJ385" s="30"/>
      <c r="BK385" s="30"/>
      <c r="BL385" s="30"/>
      <c r="BM385" s="30"/>
      <c r="BN385" s="30"/>
      <c r="BO385" s="30"/>
      <c r="BP385" s="30"/>
      <c r="BQ385" s="30"/>
      <c r="BR385" s="30"/>
      <c r="BS385" s="30"/>
      <c r="BT385" s="30"/>
      <c r="BU385" s="30"/>
      <c r="BV385" s="30"/>
      <c r="BW385" s="30"/>
      <c r="BX385" s="30"/>
      <c r="BY385" s="30"/>
      <c r="BZ385" s="30"/>
      <c r="CA385" s="30"/>
      <c r="CB385" s="30"/>
      <c r="CC385" s="30"/>
      <c r="CD385" s="30"/>
      <c r="CE385" s="30"/>
      <c r="CF385" s="8"/>
    </row>
    <row r="386" spans="2:84" ht="18" customHeight="1" x14ac:dyDescent="0.3">
      <c r="B386" s="6"/>
      <c r="C386" s="91"/>
      <c r="D386" s="91"/>
      <c r="E386" s="91"/>
      <c r="F386" s="91"/>
      <c r="G386" s="91"/>
      <c r="H386" s="91"/>
      <c r="I386" s="91"/>
      <c r="J386" s="91"/>
      <c r="K386" s="91"/>
      <c r="L386" s="91"/>
      <c r="M386" s="91"/>
      <c r="N386" s="91"/>
      <c r="O386" s="91"/>
      <c r="P386" s="91"/>
      <c r="Q386" s="91"/>
      <c r="R386" s="91"/>
      <c r="S386" s="91"/>
      <c r="T386" s="91"/>
      <c r="U386" s="91"/>
      <c r="V386" s="91"/>
      <c r="W386" s="91"/>
      <c r="X386" s="91"/>
      <c r="Y386" s="91"/>
      <c r="Z386" s="91"/>
      <c r="AA386" s="91"/>
      <c r="AB386" s="91"/>
      <c r="AC386" s="91"/>
      <c r="AD386" s="91"/>
      <c r="AE386" s="91"/>
      <c r="AF386" s="91"/>
      <c r="AG386" s="91"/>
      <c r="AH386" s="91"/>
      <c r="AI386" s="91"/>
      <c r="AJ386" s="91"/>
      <c r="AK386" s="91"/>
      <c r="AL386" s="91"/>
      <c r="AM386" s="91"/>
      <c r="AN386" s="91"/>
      <c r="AO386" s="91"/>
      <c r="AP386" s="8"/>
      <c r="AR386" s="6"/>
      <c r="AS386" s="30"/>
      <c r="AT386" s="30"/>
      <c r="AU386" s="30"/>
      <c r="AV386" s="30"/>
      <c r="AW386" s="30"/>
      <c r="AX386" s="30"/>
      <c r="AY386" s="30"/>
      <c r="AZ386" s="30"/>
      <c r="BA386" s="30"/>
      <c r="BB386" s="30"/>
      <c r="BC386" s="30"/>
      <c r="BD386" s="30"/>
      <c r="BE386" s="30"/>
      <c r="BF386" s="30"/>
      <c r="BG386" s="30"/>
      <c r="BH386" s="30"/>
      <c r="BI386" s="30"/>
      <c r="BJ386" s="30"/>
      <c r="BK386" s="30"/>
      <c r="BL386" s="30"/>
      <c r="BM386" s="30"/>
      <c r="BN386" s="30"/>
      <c r="BO386" s="30"/>
      <c r="BP386" s="30"/>
      <c r="BQ386" s="30"/>
      <c r="BR386" s="30"/>
      <c r="BS386" s="30"/>
      <c r="BT386" s="30"/>
      <c r="BU386" s="30"/>
      <c r="BV386" s="30"/>
      <c r="BW386" s="30"/>
      <c r="BX386" s="30"/>
      <c r="BY386" s="30"/>
      <c r="BZ386" s="30"/>
      <c r="CA386" s="30"/>
      <c r="CB386" s="30"/>
      <c r="CC386" s="30"/>
      <c r="CD386" s="30"/>
      <c r="CE386" s="30"/>
      <c r="CF386" s="8"/>
    </row>
    <row r="387" spans="2:84" ht="18" customHeight="1" x14ac:dyDescent="0.3">
      <c r="B387" s="6"/>
      <c r="C387" s="18" t="s">
        <v>620</v>
      </c>
      <c r="D387" s="91"/>
      <c r="E387" s="91"/>
      <c r="F387" s="91"/>
      <c r="G387" s="91"/>
      <c r="H387" s="91"/>
      <c r="I387" s="91"/>
      <c r="J387" s="91"/>
      <c r="K387" s="91"/>
      <c r="L387" s="91"/>
      <c r="M387" s="91"/>
      <c r="N387" s="91"/>
      <c r="O387" s="91"/>
      <c r="P387" s="91"/>
      <c r="Q387" s="91"/>
      <c r="R387" s="91"/>
      <c r="S387" s="91"/>
      <c r="T387" s="91"/>
      <c r="U387" s="91"/>
      <c r="V387" s="91"/>
      <c r="W387" s="91"/>
      <c r="X387" s="91"/>
      <c r="Y387" s="91"/>
      <c r="Z387" s="91"/>
      <c r="AA387" s="91"/>
      <c r="AB387" s="91"/>
      <c r="AC387" s="91"/>
      <c r="AD387" s="91"/>
      <c r="AE387" s="91"/>
      <c r="AF387" s="91"/>
      <c r="AG387" s="91"/>
      <c r="AH387" s="91"/>
      <c r="AI387" s="91"/>
      <c r="AJ387" s="91"/>
      <c r="AK387" s="91"/>
      <c r="AL387" s="91"/>
      <c r="AM387" s="91"/>
      <c r="AN387" s="91"/>
      <c r="AO387" s="91"/>
      <c r="AP387" s="8"/>
      <c r="AR387" s="6"/>
      <c r="AS387" s="30"/>
      <c r="AT387" s="30"/>
      <c r="AU387" s="30"/>
      <c r="AV387" s="30"/>
      <c r="AW387" s="30"/>
      <c r="AX387" s="30"/>
      <c r="AY387" s="30"/>
      <c r="AZ387" s="30"/>
      <c r="BA387" s="30"/>
      <c r="BB387" s="30"/>
      <c r="BC387" s="30"/>
      <c r="BD387" s="30"/>
      <c r="BE387" s="30"/>
      <c r="BF387" s="30"/>
      <c r="BG387" s="30"/>
      <c r="BH387" s="30"/>
      <c r="BI387" s="30"/>
      <c r="BJ387" s="30"/>
      <c r="BK387" s="30"/>
      <c r="BL387" s="30"/>
      <c r="BM387" s="30"/>
      <c r="BN387" s="30"/>
      <c r="BO387" s="30"/>
      <c r="BP387" s="30"/>
      <c r="BQ387" s="30"/>
      <c r="BR387" s="30"/>
      <c r="BS387" s="30"/>
      <c r="BT387" s="30"/>
      <c r="BU387" s="30"/>
      <c r="BV387" s="30"/>
      <c r="BW387" s="30"/>
      <c r="BX387" s="30"/>
      <c r="BY387" s="30"/>
      <c r="BZ387" s="30"/>
      <c r="CA387" s="30"/>
      <c r="CB387" s="30"/>
      <c r="CC387" s="30"/>
      <c r="CD387" s="30"/>
      <c r="CE387" s="30"/>
      <c r="CF387" s="8"/>
    </row>
    <row r="388" spans="2:84" ht="18" customHeight="1" x14ac:dyDescent="0.3">
      <c r="B388" s="6"/>
      <c r="C388" s="1" t="s">
        <v>621</v>
      </c>
      <c r="D388" s="91"/>
      <c r="E388" s="91"/>
      <c r="F388" s="91"/>
      <c r="G388" s="91"/>
      <c r="H388" s="91"/>
      <c r="I388" s="91"/>
      <c r="J388" s="91"/>
      <c r="K388" s="91"/>
      <c r="L388" s="91"/>
      <c r="M388" s="91"/>
      <c r="N388" s="91"/>
      <c r="O388" s="91"/>
      <c r="P388" s="91"/>
      <c r="Q388" s="91"/>
      <c r="R388" s="91"/>
      <c r="S388" s="91"/>
      <c r="T388" s="91"/>
      <c r="U388" s="91"/>
      <c r="V388" s="156">
        <v>850</v>
      </c>
      <c r="W388" s="156"/>
      <c r="X388" s="156"/>
      <c r="Y388" s="156"/>
      <c r="Z388" s="157" t="s">
        <v>39</v>
      </c>
      <c r="AA388" s="158"/>
      <c r="AB388" s="158"/>
      <c r="AC388" s="91"/>
      <c r="AD388" s="91"/>
      <c r="AE388" s="91"/>
      <c r="AF388" s="91"/>
      <c r="AG388" s="91"/>
      <c r="AH388" s="91"/>
      <c r="AI388" s="91"/>
      <c r="AJ388" s="91"/>
      <c r="AK388" s="91"/>
      <c r="AL388" s="91"/>
      <c r="AM388" s="91"/>
      <c r="AN388" s="91"/>
      <c r="AO388" s="91"/>
      <c r="AP388" s="8"/>
      <c r="AR388" s="6"/>
      <c r="AS388" s="30"/>
      <c r="AT388" s="30"/>
      <c r="AU388" s="30"/>
      <c r="AV388" s="30"/>
      <c r="AW388" s="30"/>
      <c r="AX388" s="30"/>
      <c r="AY388" s="30"/>
      <c r="AZ388" s="30"/>
      <c r="BA388" s="30"/>
      <c r="BB388" s="30"/>
      <c r="BC388" s="30"/>
      <c r="BD388" s="30"/>
      <c r="BE388" s="30"/>
      <c r="BF388" s="30"/>
      <c r="BG388" s="30"/>
      <c r="BH388" s="30"/>
      <c r="BI388" s="30"/>
      <c r="BJ388" s="30"/>
      <c r="BK388" s="30"/>
      <c r="BL388" s="30"/>
      <c r="BM388" s="30"/>
      <c r="BN388" s="30"/>
      <c r="BO388" s="30"/>
      <c r="BP388" s="30"/>
      <c r="BQ388" s="30"/>
      <c r="BR388" s="30"/>
      <c r="BS388" s="30"/>
      <c r="BT388" s="30"/>
      <c r="BU388" s="30"/>
      <c r="BV388" s="30"/>
      <c r="BW388" s="30"/>
      <c r="BX388" s="30"/>
      <c r="BY388" s="30"/>
      <c r="BZ388" s="30"/>
      <c r="CA388" s="30"/>
      <c r="CB388" s="30"/>
      <c r="CC388" s="30"/>
      <c r="CD388" s="30"/>
      <c r="CE388" s="30"/>
      <c r="CF388" s="8"/>
    </row>
    <row r="389" spans="2:84" ht="18" customHeight="1" x14ac:dyDescent="0.3">
      <c r="B389" s="6"/>
      <c r="C389" s="91"/>
      <c r="D389" s="91"/>
      <c r="E389" s="91"/>
      <c r="F389" s="91"/>
      <c r="G389" s="91"/>
      <c r="H389" s="91"/>
      <c r="I389" s="91"/>
      <c r="J389" s="91"/>
      <c r="K389" s="91"/>
      <c r="L389" s="91"/>
      <c r="M389" s="91"/>
      <c r="N389" s="91"/>
      <c r="O389" s="91"/>
      <c r="P389" s="91"/>
      <c r="Q389" s="91"/>
      <c r="R389" s="91"/>
      <c r="S389" s="91"/>
      <c r="T389" s="91"/>
      <c r="U389" s="91"/>
      <c r="V389" s="91"/>
      <c r="W389" s="91"/>
      <c r="X389" s="91"/>
      <c r="Y389" s="91"/>
      <c r="Z389" s="91"/>
      <c r="AA389" s="91"/>
      <c r="AB389" s="91"/>
      <c r="AC389" s="91"/>
      <c r="AD389" s="91"/>
      <c r="AE389" s="91"/>
      <c r="AF389" s="91"/>
      <c r="AG389" s="91"/>
      <c r="AH389" s="91"/>
      <c r="AI389" s="91"/>
      <c r="AJ389" s="91"/>
      <c r="AK389" s="91"/>
      <c r="AL389" s="91"/>
      <c r="AM389" s="91"/>
      <c r="AN389" s="91"/>
      <c r="AO389" s="91"/>
      <c r="AP389" s="8"/>
      <c r="AR389" s="6"/>
      <c r="AS389" s="30"/>
      <c r="AT389" s="30"/>
      <c r="AU389" s="30"/>
      <c r="AV389" s="30"/>
      <c r="AW389" s="30"/>
      <c r="AX389" s="30"/>
      <c r="AY389" s="30"/>
      <c r="AZ389" s="30"/>
      <c r="BA389" s="30"/>
      <c r="BB389" s="30"/>
      <c r="BC389" s="30"/>
      <c r="BD389" s="30"/>
      <c r="BE389" s="30"/>
      <c r="BF389" s="30"/>
      <c r="BG389" s="30"/>
      <c r="BH389" s="30"/>
      <c r="BI389" s="30"/>
      <c r="BJ389" s="30"/>
      <c r="BK389" s="30"/>
      <c r="BL389" s="30"/>
      <c r="BM389" s="30"/>
      <c r="BN389" s="30"/>
      <c r="BO389" s="30"/>
      <c r="BP389" s="30"/>
      <c r="BQ389" s="30"/>
      <c r="BR389" s="30"/>
      <c r="BS389" s="30"/>
      <c r="BT389" s="30"/>
      <c r="BU389" s="30"/>
      <c r="BV389" s="30"/>
      <c r="BW389" s="30"/>
      <c r="BX389" s="30"/>
      <c r="BY389" s="30"/>
      <c r="BZ389" s="30"/>
      <c r="CA389" s="30"/>
      <c r="CB389" s="30"/>
      <c r="CC389" s="30"/>
      <c r="CD389" s="30"/>
      <c r="CE389" s="30"/>
      <c r="CF389" s="8"/>
    </row>
    <row r="390" spans="2:84" ht="18" customHeight="1" thickBot="1" x14ac:dyDescent="0.3">
      <c r="B390" s="6"/>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1"/>
      <c r="AO390" s="10"/>
      <c r="AP390" s="8"/>
      <c r="AR390" s="6"/>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1"/>
      <c r="CE390" s="10"/>
      <c r="CF390" s="8"/>
    </row>
    <row r="391" spans="2:84" ht="18" customHeight="1" x14ac:dyDescent="0.25">
      <c r="B391" s="6"/>
      <c r="D391" s="43" t="s">
        <v>84</v>
      </c>
      <c r="AO391" s="29" t="s">
        <v>613</v>
      </c>
      <c r="AP391" s="8"/>
      <c r="AR391" s="6"/>
      <c r="AT391" s="43" t="s">
        <v>84</v>
      </c>
      <c r="CE391" s="29" t="s">
        <v>614</v>
      </c>
      <c r="CF391" s="8"/>
    </row>
    <row r="392" spans="2:84" ht="18" customHeight="1" x14ac:dyDescent="0.25">
      <c r="B392" s="45"/>
      <c r="C392" s="46"/>
      <c r="D392" s="46"/>
      <c r="E392" s="46"/>
      <c r="F392" s="46"/>
      <c r="G392" s="46"/>
      <c r="H392" s="46"/>
      <c r="I392" s="46"/>
      <c r="J392" s="46"/>
      <c r="K392" s="46"/>
      <c r="L392" s="46"/>
      <c r="M392" s="46"/>
      <c r="N392" s="46"/>
      <c r="O392" s="46"/>
      <c r="P392" s="46"/>
      <c r="Q392" s="46"/>
      <c r="R392" s="46"/>
      <c r="S392" s="46"/>
      <c r="T392" s="46"/>
      <c r="U392" s="46"/>
      <c r="V392" s="46"/>
      <c r="W392" s="46"/>
      <c r="X392" s="46"/>
      <c r="Y392" s="46"/>
      <c r="Z392" s="46"/>
      <c r="AA392" s="46"/>
      <c r="AB392" s="46"/>
      <c r="AC392" s="46"/>
      <c r="AD392" s="46"/>
      <c r="AE392" s="46"/>
      <c r="AF392" s="46"/>
      <c r="AG392" s="46"/>
      <c r="AH392" s="46"/>
      <c r="AI392" s="46"/>
      <c r="AJ392" s="46"/>
      <c r="AK392" s="46"/>
      <c r="AL392" s="46"/>
      <c r="AM392" s="46"/>
      <c r="AN392" s="46"/>
      <c r="AO392" s="46"/>
      <c r="AP392" s="47"/>
      <c r="AR392" s="45"/>
      <c r="AS392" s="46"/>
      <c r="AT392" s="46"/>
      <c r="AU392" s="46"/>
      <c r="AV392" s="46"/>
      <c r="AW392" s="46"/>
      <c r="AX392" s="46"/>
      <c r="AY392" s="46"/>
      <c r="AZ392" s="46"/>
      <c r="BA392" s="46"/>
      <c r="BB392" s="46"/>
      <c r="BC392" s="46"/>
      <c r="BD392" s="46"/>
      <c r="BE392" s="46"/>
      <c r="BF392" s="46"/>
      <c r="BG392" s="46"/>
      <c r="BH392" s="46"/>
      <c r="BI392" s="46"/>
      <c r="BJ392" s="46"/>
      <c r="BK392" s="46"/>
      <c r="BL392" s="46"/>
      <c r="BM392" s="46"/>
      <c r="BN392" s="46"/>
      <c r="BO392" s="46"/>
      <c r="BP392" s="46"/>
      <c r="BQ392" s="46"/>
      <c r="BR392" s="46"/>
      <c r="BS392" s="46"/>
      <c r="BT392" s="46"/>
      <c r="BU392" s="46"/>
      <c r="BV392" s="46"/>
      <c r="BW392" s="46"/>
      <c r="BX392" s="46"/>
      <c r="BY392" s="46"/>
      <c r="BZ392" s="46"/>
      <c r="CA392" s="46"/>
      <c r="CB392" s="46"/>
      <c r="CC392" s="46"/>
      <c r="CD392" s="46"/>
      <c r="CE392" s="46"/>
      <c r="CF392" s="47"/>
    </row>
    <row r="393" spans="2:84" ht="18" customHeight="1" x14ac:dyDescent="0.25"/>
    <row r="394" spans="2:84" ht="18" customHeight="1" x14ac:dyDescent="0.25">
      <c r="B394" s="3"/>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5"/>
      <c r="AR394" s="3"/>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c r="BY394" s="4"/>
      <c r="BZ394" s="4"/>
      <c r="CA394" s="4"/>
      <c r="CB394" s="4"/>
      <c r="CC394" s="4"/>
      <c r="CD394" s="4"/>
      <c r="CE394" s="4"/>
      <c r="CF394" s="5"/>
    </row>
    <row r="395" spans="2:84" ht="18" customHeight="1" x14ac:dyDescent="0.25">
      <c r="B395" s="6"/>
      <c r="AN395" s="7"/>
      <c r="AP395" s="8"/>
      <c r="AR395" s="6"/>
      <c r="CD395" s="7"/>
      <c r="CF395" s="8"/>
    </row>
    <row r="396" spans="2:84" ht="18" customHeight="1" x14ac:dyDescent="0.25">
      <c r="B396" s="6"/>
      <c r="AN396" s="9"/>
      <c r="AP396" s="8"/>
      <c r="AR396" s="6"/>
      <c r="CD396" s="9"/>
      <c r="CF396" s="8"/>
    </row>
    <row r="397" spans="2:84" ht="18" customHeight="1" thickBot="1" x14ac:dyDescent="0.3">
      <c r="B397" s="6"/>
      <c r="C397" s="104" t="s">
        <v>489</v>
      </c>
      <c r="D397" s="10"/>
      <c r="E397" s="10"/>
      <c r="F397" s="10"/>
      <c r="G397" s="10"/>
      <c r="H397" s="10"/>
      <c r="I397" s="10"/>
      <c r="J397" s="10"/>
      <c r="K397" s="10"/>
      <c r="L397" s="10"/>
      <c r="M397" s="10"/>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1"/>
      <c r="AO397" s="10"/>
      <c r="AP397" s="8"/>
      <c r="AR397" s="6"/>
      <c r="AS397" s="104" t="s">
        <v>489</v>
      </c>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1"/>
      <c r="CE397" s="10"/>
      <c r="CF397" s="8"/>
    </row>
    <row r="398" spans="2:84" ht="18" customHeight="1" x14ac:dyDescent="0.3">
      <c r="B398" s="6"/>
      <c r="AN398" s="9"/>
      <c r="AP398" s="8"/>
      <c r="AR398" s="6"/>
      <c r="AS398" s="30"/>
      <c r="CD398" s="9"/>
      <c r="CF398" s="8"/>
    </row>
    <row r="399" spans="2:84" ht="18" customHeight="1" x14ac:dyDescent="0.3">
      <c r="B399" s="6"/>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8"/>
      <c r="AR399" s="6"/>
      <c r="AS399" s="154" t="s">
        <v>655</v>
      </c>
      <c r="AT399" s="154"/>
      <c r="AU399" s="154"/>
      <c r="AV399" s="154"/>
      <c r="AW399" s="154"/>
      <c r="AX399" s="154"/>
      <c r="AY399" s="154"/>
      <c r="AZ399" s="154"/>
      <c r="BA399" s="154"/>
      <c r="BB399" s="154"/>
      <c r="BC399" s="154"/>
      <c r="BD399" s="154"/>
      <c r="BE399" s="154"/>
      <c r="BF399" s="154"/>
      <c r="BG399" s="154"/>
      <c r="BH399" s="154"/>
      <c r="BI399" s="154"/>
      <c r="BJ399" s="154"/>
      <c r="BK399" s="154"/>
      <c r="BL399" s="154"/>
      <c r="BM399" s="154"/>
      <c r="BN399" s="154"/>
      <c r="BO399" s="154"/>
      <c r="BP399" s="154"/>
      <c r="BQ399" s="154"/>
      <c r="BR399" s="154"/>
      <c r="BS399" s="154"/>
      <c r="BT399" s="154"/>
      <c r="BU399" s="154"/>
      <c r="BV399" s="154"/>
      <c r="BW399" s="154"/>
      <c r="BX399" s="154"/>
      <c r="BY399" s="154"/>
      <c r="BZ399" s="154"/>
      <c r="CA399" s="154"/>
      <c r="CB399" s="154"/>
      <c r="CC399" s="154"/>
      <c r="CD399" s="154"/>
      <c r="CE399" s="154"/>
      <c r="CF399" s="8"/>
    </row>
    <row r="400" spans="2:84" ht="18" customHeight="1" x14ac:dyDescent="0.3">
      <c r="B400" s="6"/>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8"/>
      <c r="AR400" s="6"/>
      <c r="CF400" s="8"/>
    </row>
    <row r="401" spans="2:84" ht="18" customHeight="1" x14ac:dyDescent="0.3">
      <c r="B401" s="6"/>
      <c r="C401" s="30"/>
      <c r="AP401" s="8"/>
      <c r="AR401" s="6"/>
      <c r="CF401" s="8"/>
    </row>
    <row r="402" spans="2:84" ht="18" customHeight="1" x14ac:dyDescent="0.25">
      <c r="B402" s="6"/>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c r="AA402" s="62"/>
      <c r="AB402" s="62"/>
      <c r="AC402" s="62"/>
      <c r="AD402" s="62"/>
      <c r="AE402" s="62"/>
      <c r="AF402" s="62"/>
      <c r="AG402" s="62"/>
      <c r="AH402" s="62"/>
      <c r="AI402" s="62"/>
      <c r="AJ402" s="62"/>
      <c r="AK402" s="62"/>
      <c r="AL402" s="62"/>
      <c r="AM402" s="62"/>
      <c r="AN402" s="62"/>
      <c r="AO402" s="62"/>
      <c r="AP402" s="8"/>
      <c r="AR402" s="6"/>
      <c r="CF402" s="8"/>
    </row>
    <row r="403" spans="2:84" ht="18" customHeight="1" x14ac:dyDescent="0.25">
      <c r="B403" s="6"/>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c r="AA403" s="62"/>
      <c r="AB403" s="62"/>
      <c r="AC403" s="62"/>
      <c r="AD403" s="62"/>
      <c r="AE403" s="62"/>
      <c r="AF403" s="62"/>
      <c r="AG403" s="62"/>
      <c r="AH403" s="62"/>
      <c r="AI403" s="62"/>
      <c r="AJ403" s="62"/>
      <c r="AK403" s="62"/>
      <c r="AL403" s="62"/>
      <c r="AM403" s="62"/>
      <c r="AN403" s="62"/>
      <c r="AO403" s="62"/>
      <c r="AP403" s="8"/>
      <c r="AR403" s="6"/>
      <c r="CF403" s="8"/>
    </row>
    <row r="404" spans="2:84" ht="18" customHeight="1" x14ac:dyDescent="0.25">
      <c r="B404" s="6"/>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c r="AA404" s="62"/>
      <c r="AB404" s="62"/>
      <c r="AC404" s="62"/>
      <c r="AD404" s="62"/>
      <c r="AE404" s="62"/>
      <c r="AF404" s="62"/>
      <c r="AG404" s="62"/>
      <c r="AH404" s="62"/>
      <c r="AI404" s="62"/>
      <c r="AJ404" s="62"/>
      <c r="AK404" s="62"/>
      <c r="AL404" s="62"/>
      <c r="AM404" s="62"/>
      <c r="AN404" s="62"/>
      <c r="AO404" s="62"/>
      <c r="AP404" s="8"/>
      <c r="AR404" s="6"/>
      <c r="CF404" s="8"/>
    </row>
    <row r="405" spans="2:84" ht="18" customHeight="1" x14ac:dyDescent="0.25">
      <c r="B405" s="6"/>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c r="AA405" s="62"/>
      <c r="AB405" s="62"/>
      <c r="AC405" s="62"/>
      <c r="AD405" s="62"/>
      <c r="AE405" s="62"/>
      <c r="AF405" s="62"/>
      <c r="AG405" s="62"/>
      <c r="AH405" s="62"/>
      <c r="AI405" s="62"/>
      <c r="AJ405" s="62"/>
      <c r="AK405" s="62"/>
      <c r="AL405" s="62"/>
      <c r="AM405" s="62"/>
      <c r="AN405" s="62"/>
      <c r="AO405" s="62"/>
      <c r="AP405" s="8"/>
      <c r="AR405" s="6"/>
      <c r="CF405" s="8"/>
    </row>
    <row r="406" spans="2:84" ht="18" customHeight="1" x14ac:dyDescent="0.25">
      <c r="B406" s="6"/>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c r="AA406" s="62"/>
      <c r="AB406" s="62"/>
      <c r="AC406" s="62"/>
      <c r="AD406" s="62"/>
      <c r="AE406" s="62"/>
      <c r="AF406" s="62"/>
      <c r="AG406" s="62"/>
      <c r="AH406" s="62"/>
      <c r="AI406" s="62"/>
      <c r="AJ406" s="62"/>
      <c r="AK406" s="62"/>
      <c r="AL406" s="62"/>
      <c r="AM406" s="62"/>
      <c r="AN406" s="62"/>
      <c r="AO406" s="62"/>
      <c r="AP406" s="8"/>
      <c r="AR406" s="6"/>
      <c r="CF406" s="8"/>
    </row>
    <row r="407" spans="2:84" ht="18" customHeight="1" x14ac:dyDescent="0.25">
      <c r="B407" s="6"/>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c r="AA407" s="62"/>
      <c r="AB407" s="62"/>
      <c r="AC407" s="62"/>
      <c r="AD407" s="62"/>
      <c r="AE407" s="62"/>
      <c r="AF407" s="62"/>
      <c r="AG407" s="62"/>
      <c r="AH407" s="62"/>
      <c r="AI407" s="62"/>
      <c r="AJ407" s="62"/>
      <c r="AK407" s="62"/>
      <c r="AL407" s="62"/>
      <c r="AM407" s="62"/>
      <c r="AN407" s="62"/>
      <c r="AO407" s="62"/>
      <c r="AP407" s="8"/>
      <c r="AR407" s="6"/>
      <c r="CF407" s="8"/>
    </row>
    <row r="408" spans="2:84" ht="18" customHeight="1" x14ac:dyDescent="0.25">
      <c r="B408" s="6"/>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c r="AA408" s="62"/>
      <c r="AB408" s="62"/>
      <c r="AC408" s="62"/>
      <c r="AD408" s="62"/>
      <c r="AE408" s="62"/>
      <c r="AF408" s="62"/>
      <c r="AG408" s="62"/>
      <c r="AH408" s="62"/>
      <c r="AI408" s="62"/>
      <c r="AJ408" s="62"/>
      <c r="AK408" s="62"/>
      <c r="AL408" s="62"/>
      <c r="AM408" s="62"/>
      <c r="AN408" s="62"/>
      <c r="AO408" s="62"/>
      <c r="AP408" s="8"/>
      <c r="AR408" s="6"/>
      <c r="CF408" s="8"/>
    </row>
    <row r="409" spans="2:84" ht="18" customHeight="1" x14ac:dyDescent="0.25">
      <c r="B409" s="6"/>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c r="AA409" s="62"/>
      <c r="AB409" s="62"/>
      <c r="AC409" s="62"/>
      <c r="AD409" s="62"/>
      <c r="AE409" s="62"/>
      <c r="AF409" s="62"/>
      <c r="AG409" s="62"/>
      <c r="AH409" s="62"/>
      <c r="AI409" s="62"/>
      <c r="AJ409" s="62"/>
      <c r="AK409" s="62"/>
      <c r="AL409" s="62"/>
      <c r="AM409" s="62"/>
      <c r="AN409" s="62"/>
      <c r="AO409" s="62"/>
      <c r="AP409" s="8"/>
      <c r="AR409" s="6"/>
      <c r="CF409" s="8"/>
    </row>
    <row r="410" spans="2:84" ht="18" customHeight="1" x14ac:dyDescent="0.25">
      <c r="B410" s="6"/>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c r="AA410" s="62"/>
      <c r="AB410" s="62"/>
      <c r="AC410" s="62"/>
      <c r="AD410" s="62"/>
      <c r="AE410" s="62"/>
      <c r="AF410" s="62"/>
      <c r="AG410" s="62"/>
      <c r="AH410" s="62"/>
      <c r="AI410" s="62"/>
      <c r="AJ410" s="62"/>
      <c r="AK410" s="62"/>
      <c r="AL410" s="62"/>
      <c r="AM410" s="62"/>
      <c r="AN410" s="62"/>
      <c r="AO410" s="62"/>
      <c r="AP410" s="8"/>
      <c r="AR410" s="6"/>
      <c r="CF410" s="8"/>
    </row>
    <row r="411" spans="2:84" ht="18" customHeight="1" x14ac:dyDescent="0.25">
      <c r="B411" s="6"/>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c r="AA411" s="62"/>
      <c r="AB411" s="62"/>
      <c r="AC411" s="62"/>
      <c r="AD411" s="62"/>
      <c r="AE411" s="62"/>
      <c r="AF411" s="62"/>
      <c r="AG411" s="62"/>
      <c r="AH411" s="62"/>
      <c r="AI411" s="62"/>
      <c r="AJ411" s="62"/>
      <c r="AK411" s="62"/>
      <c r="AL411" s="62"/>
      <c r="AM411" s="62"/>
      <c r="AN411" s="62"/>
      <c r="AO411" s="62"/>
      <c r="AP411" s="8"/>
      <c r="AR411" s="6"/>
      <c r="AS411" s="138"/>
      <c r="AT411" s="138"/>
      <c r="AU411" s="138"/>
      <c r="AV411" s="139" t="s">
        <v>656</v>
      </c>
      <c r="AW411" s="279">
        <f>CO333</f>
        <v>1.0771835510571184</v>
      </c>
      <c r="AX411" s="265"/>
      <c r="AY411" s="265"/>
      <c r="AZ411" s="265"/>
      <c r="BA411" s="265"/>
      <c r="CF411" s="8"/>
    </row>
    <row r="412" spans="2:84" ht="18" customHeight="1" x14ac:dyDescent="0.25">
      <c r="B412" s="6"/>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c r="AA412" s="62"/>
      <c r="AB412" s="62"/>
      <c r="AC412" s="62"/>
      <c r="AD412" s="62"/>
      <c r="AE412" s="62"/>
      <c r="AF412" s="62"/>
      <c r="AG412" s="62"/>
      <c r="AH412" s="62"/>
      <c r="AI412" s="62"/>
      <c r="AJ412" s="62"/>
      <c r="AK412" s="62"/>
      <c r="AL412" s="62"/>
      <c r="AM412" s="62"/>
      <c r="AN412" s="62"/>
      <c r="AO412" s="62"/>
      <c r="AP412" s="8"/>
      <c r="AR412" s="6"/>
      <c r="CF412" s="8"/>
    </row>
    <row r="413" spans="2:84" ht="18" customHeight="1" x14ac:dyDescent="0.25">
      <c r="B413" s="6"/>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c r="AA413" s="62"/>
      <c r="AB413" s="62"/>
      <c r="AC413" s="62"/>
      <c r="AD413" s="62"/>
      <c r="AE413" s="62"/>
      <c r="AF413" s="62"/>
      <c r="AG413" s="62"/>
      <c r="AH413" s="62"/>
      <c r="AI413" s="62"/>
      <c r="AJ413" s="62"/>
      <c r="AK413" s="62"/>
      <c r="AL413" s="62"/>
      <c r="AM413" s="62"/>
      <c r="AN413" s="62"/>
      <c r="AO413" s="62"/>
      <c r="AP413" s="8"/>
      <c r="AR413" s="6"/>
      <c r="CF413" s="8"/>
    </row>
    <row r="414" spans="2:84" ht="18" customHeight="1" x14ac:dyDescent="0.25">
      <c r="B414" s="6"/>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c r="AA414" s="62"/>
      <c r="AB414" s="62"/>
      <c r="AC414" s="62"/>
      <c r="AD414" s="62"/>
      <c r="AE414" s="62"/>
      <c r="AF414" s="62"/>
      <c r="AG414" s="62"/>
      <c r="AH414" s="62"/>
      <c r="AI414" s="62"/>
      <c r="AJ414" s="62"/>
      <c r="AK414" s="62"/>
      <c r="AL414" s="62"/>
      <c r="AM414" s="62"/>
      <c r="AN414" s="62"/>
      <c r="AO414" s="62"/>
      <c r="AP414" s="8"/>
      <c r="AR414" s="6"/>
      <c r="CF414" s="8"/>
    </row>
    <row r="415" spans="2:84" ht="18" customHeight="1" x14ac:dyDescent="0.25">
      <c r="B415" s="6"/>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c r="AA415" s="62"/>
      <c r="AB415" s="62"/>
      <c r="AC415" s="62"/>
      <c r="AD415" s="62"/>
      <c r="AE415" s="62"/>
      <c r="AF415" s="62"/>
      <c r="AG415" s="62"/>
      <c r="AH415" s="62"/>
      <c r="AI415" s="62"/>
      <c r="AJ415" s="62"/>
      <c r="AK415" s="62"/>
      <c r="AL415" s="62"/>
      <c r="AM415" s="62"/>
      <c r="AN415" s="62"/>
      <c r="AO415" s="62"/>
      <c r="AP415" s="8"/>
      <c r="AR415" s="6"/>
      <c r="CF415" s="8"/>
    </row>
    <row r="416" spans="2:84" ht="18" customHeight="1" x14ac:dyDescent="0.25">
      <c r="B416" s="6"/>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c r="AA416" s="62"/>
      <c r="AB416" s="62"/>
      <c r="AC416" s="62"/>
      <c r="AD416" s="62"/>
      <c r="AE416" s="62"/>
      <c r="AF416" s="62"/>
      <c r="AG416" s="62"/>
      <c r="AH416" s="62"/>
      <c r="AI416" s="62"/>
      <c r="AJ416" s="62"/>
      <c r="AK416" s="62"/>
      <c r="AL416" s="62"/>
      <c r="AM416" s="62"/>
      <c r="AN416" s="62"/>
      <c r="AO416" s="62"/>
      <c r="AP416" s="8"/>
      <c r="AR416" s="6"/>
      <c r="CF416" s="8"/>
    </row>
    <row r="417" spans="2:84" ht="18" customHeight="1" x14ac:dyDescent="0.25">
      <c r="B417" s="6"/>
      <c r="AP417" s="8"/>
      <c r="AR417" s="6"/>
      <c r="CF417" s="8"/>
    </row>
    <row r="418" spans="2:84" ht="18" customHeight="1" x14ac:dyDescent="0.25">
      <c r="B418" s="6"/>
      <c r="C418" s="91"/>
      <c r="D418" s="91"/>
      <c r="E418" s="91"/>
      <c r="F418" s="91"/>
      <c r="G418" s="91"/>
      <c r="H418" s="91"/>
      <c r="I418" s="91"/>
      <c r="J418" s="91"/>
      <c r="K418" s="91"/>
      <c r="L418" s="91"/>
      <c r="M418" s="91"/>
      <c r="N418" s="91"/>
      <c r="O418" s="91"/>
      <c r="P418" s="91"/>
      <c r="Q418" s="91"/>
      <c r="R418" s="91"/>
      <c r="S418" s="91"/>
      <c r="T418" s="91"/>
      <c r="U418" s="91"/>
      <c r="V418" s="91"/>
      <c r="W418" s="91"/>
      <c r="X418" s="91"/>
      <c r="Y418" s="91"/>
      <c r="Z418" s="91"/>
      <c r="AA418" s="91"/>
      <c r="AB418" s="91"/>
      <c r="AC418" s="91"/>
      <c r="AD418" s="91"/>
      <c r="AE418" s="91"/>
      <c r="AF418" s="91"/>
      <c r="AG418" s="91"/>
      <c r="AH418" s="91"/>
      <c r="AI418" s="91"/>
      <c r="AJ418" s="91"/>
      <c r="AK418" s="91"/>
      <c r="AL418" s="91"/>
      <c r="AM418" s="91"/>
      <c r="AN418" s="91"/>
      <c r="AO418" s="91"/>
      <c r="AP418" s="8"/>
      <c r="AR418" s="6"/>
      <c r="CF418" s="8"/>
    </row>
    <row r="419" spans="2:84" ht="18" customHeight="1" x14ac:dyDescent="0.25">
      <c r="B419" s="6"/>
      <c r="C419" s="91"/>
      <c r="D419" s="91"/>
      <c r="E419" s="91"/>
      <c r="F419" s="91"/>
      <c r="G419" s="91"/>
      <c r="H419" s="91"/>
      <c r="I419" s="91"/>
      <c r="J419" s="91"/>
      <c r="K419" s="91"/>
      <c r="L419" s="91"/>
      <c r="M419" s="91"/>
      <c r="N419" s="91"/>
      <c r="O419" s="91"/>
      <c r="P419" s="91"/>
      <c r="Q419" s="91"/>
      <c r="R419" s="91"/>
      <c r="S419" s="91"/>
      <c r="T419" s="91"/>
      <c r="U419" s="91"/>
      <c r="V419" s="91"/>
      <c r="W419" s="91"/>
      <c r="X419" s="91"/>
      <c r="Y419" s="91"/>
      <c r="Z419" s="91"/>
      <c r="AA419" s="91"/>
      <c r="AB419" s="91"/>
      <c r="AC419" s="91"/>
      <c r="AD419" s="91"/>
      <c r="AE419" s="91"/>
      <c r="AF419" s="91"/>
      <c r="AG419" s="91"/>
      <c r="AH419" s="91"/>
      <c r="AI419" s="91"/>
      <c r="AJ419" s="91"/>
      <c r="AK419" s="91"/>
      <c r="AL419" s="91"/>
      <c r="AM419" s="91"/>
      <c r="AN419" s="91"/>
      <c r="AO419" s="91"/>
      <c r="AP419" s="8"/>
      <c r="AR419" s="6"/>
      <c r="CF419" s="8"/>
    </row>
    <row r="420" spans="2:84" ht="18" customHeight="1" x14ac:dyDescent="0.25">
      <c r="B420" s="6"/>
      <c r="AP420" s="8"/>
      <c r="AR420" s="6"/>
      <c r="CF420" s="8"/>
    </row>
    <row r="421" spans="2:84" ht="18" customHeight="1" x14ac:dyDescent="0.25">
      <c r="B421" s="6"/>
      <c r="AP421" s="8"/>
      <c r="AR421" s="6"/>
      <c r="CF421" s="8"/>
    </row>
    <row r="422" spans="2:84" ht="18" customHeight="1" x14ac:dyDescent="0.25">
      <c r="B422" s="6"/>
      <c r="AP422" s="8"/>
      <c r="AR422" s="6"/>
      <c r="CF422" s="8"/>
    </row>
    <row r="423" spans="2:84" ht="18" customHeight="1" x14ac:dyDescent="0.25">
      <c r="B423" s="6"/>
      <c r="AP423" s="8"/>
      <c r="AR423" s="6"/>
      <c r="CF423" s="8"/>
    </row>
    <row r="424" spans="2:84" ht="18" customHeight="1" x14ac:dyDescent="0.25">
      <c r="B424" s="6"/>
      <c r="AP424" s="8"/>
      <c r="AR424" s="6"/>
      <c r="CF424" s="8"/>
    </row>
    <row r="425" spans="2:84" ht="18" customHeight="1" x14ac:dyDescent="0.25">
      <c r="B425" s="6"/>
      <c r="AP425" s="8"/>
      <c r="AR425" s="6"/>
      <c r="CF425" s="8"/>
    </row>
    <row r="426" spans="2:84" ht="18" customHeight="1" x14ac:dyDescent="0.25">
      <c r="B426" s="6"/>
      <c r="AP426" s="8"/>
      <c r="AR426" s="6"/>
      <c r="CF426" s="8"/>
    </row>
    <row r="427" spans="2:84" ht="18" customHeight="1" x14ac:dyDescent="0.25">
      <c r="B427" s="6"/>
      <c r="AP427" s="8"/>
      <c r="AR427" s="6"/>
      <c r="CF427" s="8"/>
    </row>
    <row r="428" spans="2:84" ht="18" customHeight="1" x14ac:dyDescent="0.3">
      <c r="B428" s="6"/>
      <c r="AP428" s="8"/>
      <c r="AR428" s="6"/>
      <c r="AS428" s="30"/>
      <c r="AT428" s="30"/>
      <c r="AU428" s="30"/>
      <c r="AV428" s="30"/>
      <c r="AW428" s="30"/>
      <c r="AX428" s="30"/>
      <c r="AY428" s="30"/>
      <c r="AZ428" s="30"/>
      <c r="BA428" s="30"/>
      <c r="BB428" s="30"/>
      <c r="BC428" s="30"/>
      <c r="BD428" s="30"/>
      <c r="BE428" s="30"/>
      <c r="BF428" s="30"/>
      <c r="BG428" s="30"/>
      <c r="BH428" s="30"/>
      <c r="BI428" s="30"/>
      <c r="BJ428" s="30"/>
      <c r="BK428" s="30"/>
      <c r="BL428" s="30"/>
      <c r="BM428" s="30"/>
      <c r="BN428" s="30"/>
      <c r="BO428" s="30"/>
      <c r="BP428" s="30"/>
      <c r="BQ428" s="30"/>
      <c r="BR428" s="30"/>
      <c r="BS428" s="30"/>
      <c r="BT428" s="30"/>
      <c r="BU428" s="30"/>
      <c r="BV428" s="30"/>
      <c r="BW428" s="30"/>
      <c r="BX428" s="30"/>
      <c r="BY428" s="30"/>
      <c r="BZ428" s="30"/>
      <c r="CA428" s="30"/>
      <c r="CB428" s="30"/>
      <c r="CC428" s="30"/>
      <c r="CD428" s="30"/>
      <c r="CE428" s="30"/>
      <c r="CF428" s="8"/>
    </row>
    <row r="429" spans="2:84" ht="18" customHeight="1" x14ac:dyDescent="0.3">
      <c r="B429" s="6"/>
      <c r="AP429" s="8"/>
      <c r="AR429" s="6"/>
      <c r="AS429" s="30"/>
      <c r="AT429" s="30"/>
      <c r="AU429" s="30"/>
      <c r="AV429" s="30"/>
      <c r="AW429" s="30"/>
      <c r="AX429" s="30"/>
      <c r="AY429" s="30"/>
      <c r="AZ429" s="30"/>
      <c r="BA429" s="30"/>
      <c r="BB429" s="30"/>
      <c r="BC429" s="30"/>
      <c r="BD429" s="30"/>
      <c r="BE429" s="30"/>
      <c r="BF429" s="30"/>
      <c r="BG429" s="30"/>
      <c r="BH429" s="30"/>
      <c r="BI429" s="30"/>
      <c r="BJ429" s="30"/>
      <c r="BK429" s="30"/>
      <c r="BL429" s="30"/>
      <c r="BM429" s="30"/>
      <c r="BN429" s="30"/>
      <c r="BO429" s="30"/>
      <c r="BP429" s="30"/>
      <c r="BQ429" s="30"/>
      <c r="BR429" s="30"/>
      <c r="BS429" s="30"/>
      <c r="BT429" s="30"/>
      <c r="BU429" s="30"/>
      <c r="BV429" s="30"/>
      <c r="BW429" s="30"/>
      <c r="BX429" s="30"/>
      <c r="BY429" s="30"/>
      <c r="BZ429" s="30"/>
      <c r="CA429" s="30"/>
      <c r="CB429" s="30"/>
      <c r="CC429" s="30"/>
      <c r="CD429" s="30"/>
      <c r="CE429" s="30"/>
      <c r="CF429" s="8"/>
    </row>
    <row r="430" spans="2:84" ht="18" customHeight="1" x14ac:dyDescent="0.3">
      <c r="B430" s="6"/>
      <c r="AP430" s="8"/>
      <c r="AR430" s="6"/>
      <c r="AS430" s="30"/>
      <c r="AT430" s="30"/>
      <c r="AU430" s="30"/>
      <c r="AV430" s="30"/>
      <c r="AW430" s="30"/>
      <c r="AX430" s="30"/>
      <c r="AY430" s="30"/>
      <c r="AZ430" s="30"/>
      <c r="BA430" s="30"/>
      <c r="BB430" s="30"/>
      <c r="BC430" s="30"/>
      <c r="BD430" s="30"/>
      <c r="BE430" s="30"/>
      <c r="BF430" s="30"/>
      <c r="BG430" s="30"/>
      <c r="BH430" s="30"/>
      <c r="BI430" s="30"/>
      <c r="BJ430" s="30"/>
      <c r="BK430" s="30"/>
      <c r="BL430" s="30"/>
      <c r="BM430" s="30"/>
      <c r="BN430" s="30"/>
      <c r="BO430" s="30"/>
      <c r="BP430" s="30"/>
      <c r="BQ430" s="30"/>
      <c r="BR430" s="30"/>
      <c r="BS430" s="30"/>
      <c r="BT430" s="30"/>
      <c r="BU430" s="30"/>
      <c r="BV430" s="30"/>
      <c r="BW430" s="30"/>
      <c r="BX430" s="30"/>
      <c r="BY430" s="30"/>
      <c r="BZ430" s="30"/>
      <c r="CA430" s="30"/>
      <c r="CB430" s="30"/>
      <c r="CC430" s="30"/>
      <c r="CD430" s="30"/>
      <c r="CE430" s="30"/>
      <c r="CF430" s="8"/>
    </row>
    <row r="431" spans="2:84" ht="18" customHeight="1" x14ac:dyDescent="0.3">
      <c r="B431" s="6"/>
      <c r="AP431" s="8"/>
      <c r="AR431" s="6"/>
      <c r="AS431" s="30"/>
      <c r="AT431" s="30"/>
      <c r="AU431" s="30"/>
      <c r="AV431" s="30"/>
      <c r="AW431" s="30"/>
      <c r="AX431" s="30"/>
      <c r="AY431" s="30"/>
      <c r="AZ431" s="30"/>
      <c r="BA431" s="30"/>
      <c r="BB431" s="30"/>
      <c r="BC431" s="30"/>
      <c r="BD431" s="30"/>
      <c r="BE431" s="30"/>
      <c r="BF431" s="30"/>
      <c r="BG431" s="30"/>
      <c r="BH431" s="30"/>
      <c r="BI431" s="30"/>
      <c r="BJ431" s="30"/>
      <c r="BK431" s="30"/>
      <c r="BL431" s="30"/>
      <c r="BM431" s="30"/>
      <c r="BN431" s="30"/>
      <c r="BO431" s="30"/>
      <c r="BP431" s="30"/>
      <c r="BQ431" s="30"/>
      <c r="BR431" s="30"/>
      <c r="BS431" s="30"/>
      <c r="BT431" s="30"/>
      <c r="BU431" s="30"/>
      <c r="BV431" s="30"/>
      <c r="BW431" s="30"/>
      <c r="BX431" s="30"/>
      <c r="BY431" s="30"/>
      <c r="BZ431" s="30"/>
      <c r="CA431" s="30"/>
      <c r="CB431" s="30"/>
      <c r="CC431" s="30"/>
      <c r="CD431" s="30"/>
      <c r="CE431" s="30"/>
      <c r="CF431" s="8"/>
    </row>
    <row r="432" spans="2:84" ht="18" customHeight="1" x14ac:dyDescent="0.3">
      <c r="B432" s="6"/>
      <c r="AP432" s="8"/>
      <c r="AR432" s="6"/>
      <c r="AS432" s="30"/>
      <c r="AT432" s="30"/>
      <c r="AU432" s="30"/>
      <c r="AV432" s="30"/>
      <c r="AW432" s="30"/>
      <c r="AX432" s="30"/>
      <c r="AY432" s="30"/>
      <c r="AZ432" s="30"/>
      <c r="BA432" s="30"/>
      <c r="BB432" s="30"/>
      <c r="BC432" s="30"/>
      <c r="BD432" s="30"/>
      <c r="BE432" s="30"/>
      <c r="BF432" s="30"/>
      <c r="BG432" s="30"/>
      <c r="BH432" s="30"/>
      <c r="BI432" s="30"/>
      <c r="BJ432" s="30"/>
      <c r="BK432" s="30"/>
      <c r="BL432" s="30"/>
      <c r="BM432" s="30"/>
      <c r="BN432" s="30"/>
      <c r="BO432" s="30"/>
      <c r="BP432" s="30"/>
      <c r="BQ432" s="30"/>
      <c r="BR432" s="30"/>
      <c r="BS432" s="30"/>
      <c r="BT432" s="30"/>
      <c r="BU432" s="30"/>
      <c r="BV432" s="30"/>
      <c r="BW432" s="30"/>
      <c r="BX432" s="30"/>
      <c r="BY432" s="30"/>
      <c r="BZ432" s="30"/>
      <c r="CA432" s="30"/>
      <c r="CB432" s="30"/>
      <c r="CC432" s="30"/>
      <c r="CD432" s="30"/>
      <c r="CE432" s="30"/>
      <c r="CF432" s="8"/>
    </row>
    <row r="433" spans="2:84" ht="18" customHeight="1" x14ac:dyDescent="0.3">
      <c r="B433" s="6"/>
      <c r="AP433" s="8"/>
      <c r="AR433" s="6"/>
      <c r="AS433" s="30"/>
      <c r="AT433" s="30"/>
      <c r="AU433" s="30"/>
      <c r="AV433" s="30"/>
      <c r="AW433" s="30"/>
      <c r="AX433" s="30"/>
      <c r="AY433" s="30"/>
      <c r="AZ433" s="30"/>
      <c r="BA433" s="30"/>
      <c r="BB433" s="30"/>
      <c r="BC433" s="30"/>
      <c r="BD433" s="30"/>
      <c r="BE433" s="30"/>
      <c r="BF433" s="30"/>
      <c r="BG433" s="30"/>
      <c r="BH433" s="30"/>
      <c r="BI433" s="30"/>
      <c r="BJ433" s="30"/>
      <c r="BK433" s="30"/>
      <c r="BL433" s="30"/>
      <c r="BM433" s="30"/>
      <c r="BN433" s="30"/>
      <c r="BO433" s="30"/>
      <c r="BP433" s="30"/>
      <c r="BQ433" s="30"/>
      <c r="BR433" s="30"/>
      <c r="BS433" s="30"/>
      <c r="BT433" s="30"/>
      <c r="BU433" s="30"/>
      <c r="BV433" s="30"/>
      <c r="BW433" s="30"/>
      <c r="BX433" s="30"/>
      <c r="BY433" s="30"/>
      <c r="BZ433" s="30"/>
      <c r="CA433" s="30"/>
      <c r="CB433" s="30"/>
      <c r="CC433" s="30"/>
      <c r="CD433" s="30"/>
      <c r="CE433" s="30"/>
      <c r="CF433" s="8"/>
    </row>
    <row r="434" spans="2:84" ht="18" customHeight="1" x14ac:dyDescent="0.3">
      <c r="B434" s="6"/>
      <c r="AP434" s="8"/>
      <c r="AR434" s="6"/>
      <c r="AS434" s="30"/>
      <c r="AT434" s="30"/>
      <c r="AU434" s="30"/>
      <c r="AV434" s="30"/>
      <c r="AW434" s="30"/>
      <c r="AX434" s="30"/>
      <c r="AY434" s="30"/>
      <c r="AZ434" s="30"/>
      <c r="BA434" s="30"/>
      <c r="BB434" s="30"/>
      <c r="BC434" s="30"/>
      <c r="BD434" s="30"/>
      <c r="BE434" s="30"/>
      <c r="BF434" s="30"/>
      <c r="BG434" s="30"/>
      <c r="BH434" s="30"/>
      <c r="BI434" s="30"/>
      <c r="BJ434" s="30"/>
      <c r="BK434" s="30"/>
      <c r="BL434" s="30"/>
      <c r="BM434" s="30"/>
      <c r="BN434" s="30"/>
      <c r="BO434" s="30"/>
      <c r="BP434" s="30"/>
      <c r="BQ434" s="30"/>
      <c r="BR434" s="30"/>
      <c r="BS434" s="30"/>
      <c r="BT434" s="30"/>
      <c r="BU434" s="30"/>
      <c r="BV434" s="30"/>
      <c r="BW434" s="30"/>
      <c r="BX434" s="30"/>
      <c r="BY434" s="30"/>
      <c r="BZ434" s="30"/>
      <c r="CA434" s="30"/>
      <c r="CB434" s="30"/>
      <c r="CC434" s="30"/>
      <c r="CD434" s="30"/>
      <c r="CE434" s="30"/>
      <c r="CF434" s="8"/>
    </row>
    <row r="435" spans="2:84" ht="18" customHeight="1" x14ac:dyDescent="0.3">
      <c r="B435" s="6"/>
      <c r="AP435" s="8"/>
      <c r="AR435" s="6"/>
      <c r="AS435" s="30"/>
      <c r="AT435" s="30"/>
      <c r="AU435" s="30"/>
      <c r="AV435" s="30"/>
      <c r="AW435" s="30"/>
      <c r="AX435" s="30"/>
      <c r="AY435" s="30"/>
      <c r="AZ435" s="30"/>
      <c r="BA435" s="30"/>
      <c r="BB435" s="30"/>
      <c r="BC435" s="30"/>
      <c r="BD435" s="30"/>
      <c r="BE435" s="30"/>
      <c r="BF435" s="30"/>
      <c r="BG435" s="30"/>
      <c r="BH435" s="30"/>
      <c r="BI435" s="30"/>
      <c r="BJ435" s="30"/>
      <c r="BK435" s="30"/>
      <c r="BL435" s="30"/>
      <c r="BM435" s="30"/>
      <c r="BN435" s="30"/>
      <c r="BO435" s="30"/>
      <c r="BP435" s="30"/>
      <c r="BQ435" s="30"/>
      <c r="BR435" s="30"/>
      <c r="BS435" s="30"/>
      <c r="BT435" s="30"/>
      <c r="BU435" s="30"/>
      <c r="BV435" s="30"/>
      <c r="BW435" s="30"/>
      <c r="BX435" s="30"/>
      <c r="BY435" s="30"/>
      <c r="BZ435" s="30"/>
      <c r="CA435" s="30"/>
      <c r="CB435" s="30"/>
      <c r="CC435" s="30"/>
      <c r="CD435" s="30"/>
      <c r="CE435" s="30"/>
      <c r="CF435" s="8"/>
    </row>
    <row r="436" spans="2:84" ht="18" customHeight="1" x14ac:dyDescent="0.3">
      <c r="B436" s="6"/>
      <c r="AP436" s="8"/>
      <c r="AR436" s="6"/>
      <c r="AS436" s="30"/>
      <c r="AT436" s="30"/>
      <c r="AU436" s="30"/>
      <c r="AV436" s="30"/>
      <c r="AW436" s="30"/>
      <c r="AX436" s="30"/>
      <c r="AY436" s="30"/>
      <c r="AZ436" s="30"/>
      <c r="BA436" s="30"/>
      <c r="BB436" s="30"/>
      <c r="BC436" s="30"/>
      <c r="BD436" s="30"/>
      <c r="BE436" s="30"/>
      <c r="BF436" s="30"/>
      <c r="BG436" s="30"/>
      <c r="BH436" s="30"/>
      <c r="BI436" s="30"/>
      <c r="BJ436" s="30"/>
      <c r="BK436" s="30"/>
      <c r="BL436" s="30"/>
      <c r="BM436" s="30"/>
      <c r="BN436" s="30"/>
      <c r="BO436" s="30"/>
      <c r="BP436" s="30"/>
      <c r="BQ436" s="30"/>
      <c r="BR436" s="30"/>
      <c r="BS436" s="30"/>
      <c r="BT436" s="30"/>
      <c r="BU436" s="30"/>
      <c r="BV436" s="30"/>
      <c r="BW436" s="30"/>
      <c r="BX436" s="30"/>
      <c r="BY436" s="30"/>
      <c r="BZ436" s="30"/>
      <c r="CA436" s="30"/>
      <c r="CB436" s="30"/>
      <c r="CC436" s="30"/>
      <c r="CD436" s="30"/>
      <c r="CE436" s="30"/>
      <c r="CF436" s="8"/>
    </row>
    <row r="437" spans="2:84" ht="18" customHeight="1" x14ac:dyDescent="0.3">
      <c r="B437" s="6"/>
      <c r="AP437" s="8"/>
      <c r="AR437" s="6"/>
      <c r="AS437" s="30"/>
      <c r="AT437" s="30"/>
      <c r="AU437" s="30"/>
      <c r="AV437" s="30"/>
      <c r="AW437" s="30"/>
      <c r="AX437" s="30"/>
      <c r="AY437" s="30"/>
      <c r="AZ437" s="30"/>
      <c r="BA437" s="30"/>
      <c r="BB437" s="30"/>
      <c r="BC437" s="30"/>
      <c r="BD437" s="30"/>
      <c r="BE437" s="30"/>
      <c r="BF437" s="30"/>
      <c r="BG437" s="30"/>
      <c r="BH437" s="30"/>
      <c r="BI437" s="30"/>
      <c r="BJ437" s="30"/>
      <c r="BK437" s="30"/>
      <c r="BL437" s="30"/>
      <c r="BM437" s="30"/>
      <c r="BN437" s="30"/>
      <c r="BO437" s="30"/>
      <c r="BP437" s="30"/>
      <c r="BQ437" s="30"/>
      <c r="BR437" s="30"/>
      <c r="BS437" s="30"/>
      <c r="BT437" s="30"/>
      <c r="BU437" s="30"/>
      <c r="BV437" s="30"/>
      <c r="BW437" s="30"/>
      <c r="BX437" s="30"/>
      <c r="BY437" s="30"/>
      <c r="BZ437" s="30"/>
      <c r="CA437" s="30"/>
      <c r="CB437" s="30"/>
      <c r="CC437" s="30"/>
      <c r="CD437" s="30"/>
      <c r="CE437" s="30"/>
      <c r="CF437" s="8"/>
    </row>
    <row r="438" spans="2:84" ht="18" customHeight="1" x14ac:dyDescent="0.3">
      <c r="B438" s="6"/>
      <c r="AP438" s="8"/>
      <c r="AR438" s="6"/>
      <c r="AS438" s="30"/>
      <c r="AT438" s="30"/>
      <c r="AU438" s="30"/>
      <c r="AV438" s="30"/>
      <c r="AW438" s="30"/>
      <c r="AX438" s="30"/>
      <c r="AY438" s="30"/>
      <c r="AZ438" s="30"/>
      <c r="BA438" s="30"/>
      <c r="BB438" s="30"/>
      <c r="BC438" s="30"/>
      <c r="BD438" s="30"/>
      <c r="BE438" s="30"/>
      <c r="BF438" s="30"/>
      <c r="BG438" s="30"/>
      <c r="BH438" s="30"/>
      <c r="BI438" s="30"/>
      <c r="BJ438" s="30"/>
      <c r="BK438" s="30"/>
      <c r="BL438" s="30"/>
      <c r="BM438" s="30"/>
      <c r="BN438" s="30"/>
      <c r="BO438" s="30"/>
      <c r="BP438" s="30"/>
      <c r="BQ438" s="30"/>
      <c r="BR438" s="30"/>
      <c r="BS438" s="30"/>
      <c r="BT438" s="30"/>
      <c r="BU438" s="30"/>
      <c r="BV438" s="30"/>
      <c r="BW438" s="30"/>
      <c r="BX438" s="30"/>
      <c r="BY438" s="30"/>
      <c r="BZ438" s="30"/>
      <c r="CA438" s="30"/>
      <c r="CB438" s="30"/>
      <c r="CC438" s="30"/>
      <c r="CD438" s="30"/>
      <c r="CE438" s="30"/>
      <c r="CF438" s="8"/>
    </row>
    <row r="439" spans="2:84" ht="18" customHeight="1" thickBot="1" x14ac:dyDescent="0.3">
      <c r="B439" s="6"/>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1"/>
      <c r="AO439" s="10"/>
      <c r="AP439" s="8"/>
      <c r="AR439" s="6"/>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1"/>
      <c r="CE439" s="10"/>
      <c r="CF439" s="8"/>
    </row>
    <row r="440" spans="2:84" ht="18" customHeight="1" x14ac:dyDescent="0.25">
      <c r="B440" s="6"/>
      <c r="D440" s="43" t="s">
        <v>84</v>
      </c>
      <c r="AO440" s="29" t="s">
        <v>615</v>
      </c>
      <c r="AP440" s="8"/>
      <c r="AR440" s="6"/>
      <c r="AT440" s="43" t="s">
        <v>84</v>
      </c>
      <c r="CE440" s="29" t="s">
        <v>616</v>
      </c>
      <c r="CF440" s="8"/>
    </row>
    <row r="441" spans="2:84" ht="18" customHeight="1" x14ac:dyDescent="0.25">
      <c r="B441" s="45"/>
      <c r="C441" s="46"/>
      <c r="D441" s="46"/>
      <c r="E441" s="46"/>
      <c r="F441" s="46"/>
      <c r="G441" s="46"/>
      <c r="H441" s="46"/>
      <c r="I441" s="46"/>
      <c r="J441" s="46"/>
      <c r="K441" s="46"/>
      <c r="L441" s="46"/>
      <c r="M441" s="46"/>
      <c r="N441" s="46"/>
      <c r="O441" s="46"/>
      <c r="P441" s="46"/>
      <c r="Q441" s="46"/>
      <c r="R441" s="46"/>
      <c r="S441" s="46"/>
      <c r="T441" s="46"/>
      <c r="U441" s="46"/>
      <c r="V441" s="46"/>
      <c r="W441" s="46"/>
      <c r="X441" s="46"/>
      <c r="Y441" s="46"/>
      <c r="Z441" s="46"/>
      <c r="AA441" s="46"/>
      <c r="AB441" s="46"/>
      <c r="AC441" s="46"/>
      <c r="AD441" s="46"/>
      <c r="AE441" s="46"/>
      <c r="AF441" s="46"/>
      <c r="AG441" s="46"/>
      <c r="AH441" s="46"/>
      <c r="AI441" s="46"/>
      <c r="AJ441" s="46"/>
      <c r="AK441" s="46"/>
      <c r="AL441" s="46"/>
      <c r="AM441" s="46"/>
      <c r="AN441" s="46"/>
      <c r="AO441" s="46"/>
      <c r="AP441" s="47"/>
      <c r="AR441" s="45"/>
      <c r="AS441" s="46"/>
      <c r="AT441" s="46"/>
      <c r="AU441" s="46"/>
      <c r="AV441" s="46"/>
      <c r="AW441" s="46"/>
      <c r="AX441" s="46"/>
      <c r="AY441" s="46"/>
      <c r="AZ441" s="46"/>
      <c r="BA441" s="46"/>
      <c r="BB441" s="46"/>
      <c r="BC441" s="46"/>
      <c r="BD441" s="46"/>
      <c r="BE441" s="46"/>
      <c r="BF441" s="46"/>
      <c r="BG441" s="46"/>
      <c r="BH441" s="46"/>
      <c r="BI441" s="46"/>
      <c r="BJ441" s="46"/>
      <c r="BK441" s="46"/>
      <c r="BL441" s="46"/>
      <c r="BM441" s="46"/>
      <c r="BN441" s="46"/>
      <c r="BO441" s="46"/>
      <c r="BP441" s="46"/>
      <c r="BQ441" s="46"/>
      <c r="BR441" s="46"/>
      <c r="BS441" s="46"/>
      <c r="BT441" s="46"/>
      <c r="BU441" s="46"/>
      <c r="BV441" s="46"/>
      <c r="BW441" s="46"/>
      <c r="BX441" s="46"/>
      <c r="BY441" s="46"/>
      <c r="BZ441" s="46"/>
      <c r="CA441" s="46"/>
      <c r="CB441" s="46"/>
      <c r="CC441" s="46"/>
      <c r="CD441" s="46"/>
      <c r="CE441" s="46"/>
      <c r="CF441" s="47"/>
    </row>
    <row r="442" spans="2:84" ht="18" customHeight="1" x14ac:dyDescent="0.25"/>
    <row r="443" spans="2:84" ht="18" customHeight="1" x14ac:dyDescent="0.25"/>
    <row r="444" spans="2:84" ht="18" customHeight="1" x14ac:dyDescent="0.25"/>
    <row r="445" spans="2:84" ht="18" customHeight="1" x14ac:dyDescent="0.25"/>
    <row r="446" spans="2:84" ht="18" customHeight="1" x14ac:dyDescent="0.25"/>
    <row r="447" spans="2:84" ht="18" customHeight="1" x14ac:dyDescent="0.25"/>
    <row r="448" spans="2:84"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sheetData>
  <sheetProtection algorithmName="SHA-512" hashValue="prhK8VR59DkMFiJO+h4hyF04GmohRH7ASiVAZL0V8s/zm1FWnfxz5Rd88g/CzRasYmDw+S67/l4ksotJzHzSqQ==" saltValue="6onYDm2bVTTiF8g9K0OO2Q==" spinCount="100000" sheet="1" objects="1" scenarios="1"/>
  <mergeCells count="1467">
    <mergeCell ref="AS399:CE399"/>
    <mergeCell ref="AW411:BA411"/>
    <mergeCell ref="CI314:CM315"/>
    <mergeCell ref="CK316:CK317"/>
    <mergeCell ref="CI13:CM13"/>
    <mergeCell ref="CA21:CC21"/>
    <mergeCell ref="AS29:CE29"/>
    <mergeCell ref="AZ41:BD41"/>
    <mergeCell ref="BF41:BJ41"/>
    <mergeCell ref="BL41:BO41"/>
    <mergeCell ref="CA41:CC41"/>
    <mergeCell ref="AZ44:BD44"/>
    <mergeCell ref="BF44:BJ44"/>
    <mergeCell ref="BL44:BO44"/>
    <mergeCell ref="CA44:CC44"/>
    <mergeCell ref="CX46:CZ46"/>
    <mergeCell ref="CI71:CM71"/>
    <mergeCell ref="BZ76:CB77"/>
    <mergeCell ref="CC76:CE77"/>
    <mergeCell ref="BZ57:CE58"/>
    <mergeCell ref="CC60:CE60"/>
    <mergeCell ref="CC61:CE61"/>
    <mergeCell ref="CC62:CE62"/>
    <mergeCell ref="CC64:CE64"/>
    <mergeCell ref="CC65:CE65"/>
    <mergeCell ref="CC66:CE66"/>
    <mergeCell ref="CC67:CE67"/>
    <mergeCell ref="CC68:CE68"/>
    <mergeCell ref="CC69:CE69"/>
    <mergeCell ref="CC70:CE70"/>
    <mergeCell ref="CC71:CE71"/>
    <mergeCell ref="CC72:CE72"/>
    <mergeCell ref="CC73:CE73"/>
    <mergeCell ref="CC74:CE74"/>
    <mergeCell ref="AS75:AU75"/>
    <mergeCell ref="AV75:AW75"/>
    <mergeCell ref="AX75:AY75"/>
    <mergeCell ref="FR23:FV24"/>
    <mergeCell ref="BZ59:CB59"/>
    <mergeCell ref="CC59:CE59"/>
    <mergeCell ref="BZ60:CB60"/>
    <mergeCell ref="BZ61:CB61"/>
    <mergeCell ref="BZ62:CB62"/>
    <mergeCell ref="BZ63:CB63"/>
    <mergeCell ref="BZ64:CB64"/>
    <mergeCell ref="BZ65:CB65"/>
    <mergeCell ref="BZ66:CB66"/>
    <mergeCell ref="BZ67:CB67"/>
    <mergeCell ref="BZ68:CB68"/>
    <mergeCell ref="BZ69:CB69"/>
    <mergeCell ref="BZ70:CB70"/>
    <mergeCell ref="BZ71:CB71"/>
    <mergeCell ref="BZ72:CB72"/>
    <mergeCell ref="BZ74:CB74"/>
    <mergeCell ref="BZ75:CB75"/>
    <mergeCell ref="AS74:AU74"/>
    <mergeCell ref="AV74:AW74"/>
    <mergeCell ref="AX74:AY74"/>
    <mergeCell ref="AZ74:BA74"/>
    <mergeCell ref="BB74:BC74"/>
    <mergeCell ref="BD74:BE74"/>
    <mergeCell ref="BH73:BI73"/>
    <mergeCell ref="BJ73:BK73"/>
    <mergeCell ref="BL73:BM73"/>
    <mergeCell ref="AK63:AM63"/>
    <mergeCell ref="CI33:CM34"/>
    <mergeCell ref="CI38:CM38"/>
    <mergeCell ref="CI42:CM42"/>
    <mergeCell ref="CO12:CS13"/>
    <mergeCell ref="AS78:CD79"/>
    <mergeCell ref="AS76:AU77"/>
    <mergeCell ref="AV76:AW77"/>
    <mergeCell ref="AX76:AY77"/>
    <mergeCell ref="AZ76:BA77"/>
    <mergeCell ref="BB76:BC77"/>
    <mergeCell ref="BD76:BE77"/>
    <mergeCell ref="BF76:BG77"/>
    <mergeCell ref="BH76:BI77"/>
    <mergeCell ref="BJ76:BK77"/>
    <mergeCell ref="BL76:BM77"/>
    <mergeCell ref="BN76:BO77"/>
    <mergeCell ref="BP76:BQ77"/>
    <mergeCell ref="BR76:BS77"/>
    <mergeCell ref="BT76:BU77"/>
    <mergeCell ref="BV76:BW77"/>
    <mergeCell ref="BX76:BY77"/>
    <mergeCell ref="BL74:BM74"/>
    <mergeCell ref="AV73:AW73"/>
    <mergeCell ref="AX73:AY73"/>
    <mergeCell ref="AZ73:BA73"/>
    <mergeCell ref="BB73:BC73"/>
    <mergeCell ref="BD73:BE73"/>
    <mergeCell ref="BF73:BG73"/>
    <mergeCell ref="CC75:CE75"/>
    <mergeCell ref="CC63:CE63"/>
    <mergeCell ref="BT74:BU74"/>
    <mergeCell ref="BN73:BO73"/>
    <mergeCell ref="BP73:BQ73"/>
    <mergeCell ref="BR73:BS73"/>
    <mergeCell ref="BT73:BU73"/>
    <mergeCell ref="BV73:BW73"/>
    <mergeCell ref="BX73:BY73"/>
    <mergeCell ref="BZ73:CB73"/>
    <mergeCell ref="AZ75:BA75"/>
    <mergeCell ref="BB75:BC75"/>
    <mergeCell ref="BD75:BE75"/>
    <mergeCell ref="BF75:BG75"/>
    <mergeCell ref="BH75:BI75"/>
    <mergeCell ref="BJ75:BK75"/>
    <mergeCell ref="BL75:BM75"/>
    <mergeCell ref="BN75:BO75"/>
    <mergeCell ref="BP75:BQ75"/>
    <mergeCell ref="BR75:BS75"/>
    <mergeCell ref="BT75:BU75"/>
    <mergeCell ref="BV75:BW75"/>
    <mergeCell ref="BX75:BY75"/>
    <mergeCell ref="BN74:BO74"/>
    <mergeCell ref="BP74:BQ74"/>
    <mergeCell ref="BR74:BS74"/>
    <mergeCell ref="BF74:BG74"/>
    <mergeCell ref="BH74:BI74"/>
    <mergeCell ref="BJ74:BK74"/>
    <mergeCell ref="BV74:BW74"/>
    <mergeCell ref="BX74:BY74"/>
    <mergeCell ref="BL71:BM71"/>
    <mergeCell ref="BN71:BO71"/>
    <mergeCell ref="BP71:BQ71"/>
    <mergeCell ref="BR71:BS71"/>
    <mergeCell ref="BT71:BU71"/>
    <mergeCell ref="BV71:BW71"/>
    <mergeCell ref="BX71:BY71"/>
    <mergeCell ref="AS72:AU72"/>
    <mergeCell ref="AV72:AW72"/>
    <mergeCell ref="AX72:AY72"/>
    <mergeCell ref="AZ72:BA72"/>
    <mergeCell ref="BB72:BC72"/>
    <mergeCell ref="BD72:BE72"/>
    <mergeCell ref="BF72:BG72"/>
    <mergeCell ref="BH72:BI72"/>
    <mergeCell ref="BJ72:BK72"/>
    <mergeCell ref="BL72:BM72"/>
    <mergeCell ref="BN72:BO72"/>
    <mergeCell ref="BP72:BQ72"/>
    <mergeCell ref="BR72:BS72"/>
    <mergeCell ref="BT72:BU72"/>
    <mergeCell ref="BV72:BW72"/>
    <mergeCell ref="BX72:BY72"/>
    <mergeCell ref="AS71:AU71"/>
    <mergeCell ref="AV71:AW71"/>
    <mergeCell ref="AX71:AY71"/>
    <mergeCell ref="AZ71:BA71"/>
    <mergeCell ref="BB71:BC71"/>
    <mergeCell ref="BD71:BE71"/>
    <mergeCell ref="BF71:BG71"/>
    <mergeCell ref="BH71:BI71"/>
    <mergeCell ref="BJ71:BK71"/>
    <mergeCell ref="BJ68:BK68"/>
    <mergeCell ref="AS70:AU70"/>
    <mergeCell ref="AV70:AW70"/>
    <mergeCell ref="AX70:AY70"/>
    <mergeCell ref="AZ70:BA70"/>
    <mergeCell ref="BB70:BC70"/>
    <mergeCell ref="BD70:BE70"/>
    <mergeCell ref="BF70:BG70"/>
    <mergeCell ref="BH70:BI70"/>
    <mergeCell ref="BJ70:BK70"/>
    <mergeCell ref="BL70:BM70"/>
    <mergeCell ref="BN70:BO70"/>
    <mergeCell ref="BP70:BQ70"/>
    <mergeCell ref="BR70:BS70"/>
    <mergeCell ref="BT70:BU70"/>
    <mergeCell ref="BV70:BW70"/>
    <mergeCell ref="BX70:BY70"/>
    <mergeCell ref="BX67:BY67"/>
    <mergeCell ref="BL68:BM68"/>
    <mergeCell ref="BN68:BO68"/>
    <mergeCell ref="BP68:BQ68"/>
    <mergeCell ref="BR68:BS68"/>
    <mergeCell ref="BT68:BU68"/>
    <mergeCell ref="BV68:BW68"/>
    <mergeCell ref="BX68:BY68"/>
    <mergeCell ref="AS69:AU69"/>
    <mergeCell ref="AV69:AW69"/>
    <mergeCell ref="AX69:AY69"/>
    <mergeCell ref="AZ69:BA69"/>
    <mergeCell ref="BB69:BC69"/>
    <mergeCell ref="BD69:BE69"/>
    <mergeCell ref="BF69:BG69"/>
    <mergeCell ref="BH69:BI69"/>
    <mergeCell ref="BJ69:BK69"/>
    <mergeCell ref="BL69:BM69"/>
    <mergeCell ref="BN69:BO69"/>
    <mergeCell ref="BP69:BQ69"/>
    <mergeCell ref="BR69:BS69"/>
    <mergeCell ref="BT69:BU69"/>
    <mergeCell ref="BV69:BW69"/>
    <mergeCell ref="BX69:BY69"/>
    <mergeCell ref="AS68:AU68"/>
    <mergeCell ref="AV68:AW68"/>
    <mergeCell ref="AX68:AY68"/>
    <mergeCell ref="AZ68:BA68"/>
    <mergeCell ref="BB68:BC68"/>
    <mergeCell ref="BD68:BE68"/>
    <mergeCell ref="BF68:BG68"/>
    <mergeCell ref="BH68:BI68"/>
    <mergeCell ref="BH65:BI65"/>
    <mergeCell ref="BJ65:BK65"/>
    <mergeCell ref="AS67:AU67"/>
    <mergeCell ref="AV67:AW67"/>
    <mergeCell ref="AX67:AY67"/>
    <mergeCell ref="AZ67:BA67"/>
    <mergeCell ref="BB67:BC67"/>
    <mergeCell ref="BD67:BE67"/>
    <mergeCell ref="BF67:BG67"/>
    <mergeCell ref="BH67:BI67"/>
    <mergeCell ref="BJ67:BK67"/>
    <mergeCell ref="BL67:BM67"/>
    <mergeCell ref="BN67:BO67"/>
    <mergeCell ref="BP67:BQ67"/>
    <mergeCell ref="BR67:BS67"/>
    <mergeCell ref="BT67:BU67"/>
    <mergeCell ref="BV67:BW67"/>
    <mergeCell ref="BV64:BW64"/>
    <mergeCell ref="BX64:BY64"/>
    <mergeCell ref="BL65:BM65"/>
    <mergeCell ref="BN65:BO65"/>
    <mergeCell ref="BP65:BQ65"/>
    <mergeCell ref="BR65:BS65"/>
    <mergeCell ref="BT65:BU65"/>
    <mergeCell ref="BV65:BW65"/>
    <mergeCell ref="BX65:BY65"/>
    <mergeCell ref="AS66:AU66"/>
    <mergeCell ref="AV66:AW66"/>
    <mergeCell ref="AX66:AY66"/>
    <mergeCell ref="AZ66:BA66"/>
    <mergeCell ref="BB66:BC66"/>
    <mergeCell ref="BD66:BE66"/>
    <mergeCell ref="BF66:BG66"/>
    <mergeCell ref="BH66:BI66"/>
    <mergeCell ref="BJ66:BK66"/>
    <mergeCell ref="BL66:BM66"/>
    <mergeCell ref="BN66:BO66"/>
    <mergeCell ref="BP66:BQ66"/>
    <mergeCell ref="BR66:BS66"/>
    <mergeCell ref="BT66:BU66"/>
    <mergeCell ref="BV66:BW66"/>
    <mergeCell ref="BX66:BY66"/>
    <mergeCell ref="AS65:AU65"/>
    <mergeCell ref="AV65:AW65"/>
    <mergeCell ref="AX65:AY65"/>
    <mergeCell ref="AZ65:BA65"/>
    <mergeCell ref="BB65:BC65"/>
    <mergeCell ref="BD65:BE65"/>
    <mergeCell ref="BF65:BG65"/>
    <mergeCell ref="BD62:BE62"/>
    <mergeCell ref="BF62:BG62"/>
    <mergeCell ref="BH62:BI62"/>
    <mergeCell ref="AS64:AU64"/>
    <mergeCell ref="AV64:AW64"/>
    <mergeCell ref="AX64:AY64"/>
    <mergeCell ref="AZ64:BA64"/>
    <mergeCell ref="BB64:BC64"/>
    <mergeCell ref="BD64:BE64"/>
    <mergeCell ref="BF64:BG64"/>
    <mergeCell ref="BH64:BI64"/>
    <mergeCell ref="BJ64:BK64"/>
    <mergeCell ref="BL64:BM64"/>
    <mergeCell ref="BN64:BO64"/>
    <mergeCell ref="BP64:BQ64"/>
    <mergeCell ref="BR64:BS64"/>
    <mergeCell ref="BT64:BU64"/>
    <mergeCell ref="BD61:BE61"/>
    <mergeCell ref="BF61:BG61"/>
    <mergeCell ref="BH61:BI61"/>
    <mergeCell ref="BJ61:BK61"/>
    <mergeCell ref="BL61:BM61"/>
    <mergeCell ref="BN61:BO61"/>
    <mergeCell ref="BP61:BQ61"/>
    <mergeCell ref="BR61:BS61"/>
    <mergeCell ref="BT61:BU61"/>
    <mergeCell ref="BV61:BW61"/>
    <mergeCell ref="BX61:BY61"/>
    <mergeCell ref="BD59:BE59"/>
    <mergeCell ref="BT59:BU59"/>
    <mergeCell ref="BV59:BW59"/>
    <mergeCell ref="BV62:BW62"/>
    <mergeCell ref="BX62:BY62"/>
    <mergeCell ref="AS63:AU63"/>
    <mergeCell ref="AV63:AW63"/>
    <mergeCell ref="AX63:AY63"/>
    <mergeCell ref="AZ63:BA63"/>
    <mergeCell ref="BB63:BC63"/>
    <mergeCell ref="BD63:BE63"/>
    <mergeCell ref="BF63:BG63"/>
    <mergeCell ref="BH63:BI63"/>
    <mergeCell ref="BJ63:BK63"/>
    <mergeCell ref="BL63:BM63"/>
    <mergeCell ref="BN63:BO63"/>
    <mergeCell ref="BP63:BQ63"/>
    <mergeCell ref="BR63:BS63"/>
    <mergeCell ref="BT63:BU63"/>
    <mergeCell ref="BV63:BW63"/>
    <mergeCell ref="BX63:BY63"/>
    <mergeCell ref="AK75:AO75"/>
    <mergeCell ref="AK76:AO76"/>
    <mergeCell ref="AK77:AO77"/>
    <mergeCell ref="AK78:AO78"/>
    <mergeCell ref="AK79:AO79"/>
    <mergeCell ref="AK57:AM57"/>
    <mergeCell ref="AK62:AM62"/>
    <mergeCell ref="BX59:BY59"/>
    <mergeCell ref="AS60:AU60"/>
    <mergeCell ref="AV60:AW60"/>
    <mergeCell ref="AX60:AY60"/>
    <mergeCell ref="AZ60:BA60"/>
    <mergeCell ref="BB60:BC60"/>
    <mergeCell ref="BD60:BE60"/>
    <mergeCell ref="BF60:BG60"/>
    <mergeCell ref="BH60:BI60"/>
    <mergeCell ref="BJ60:BK60"/>
    <mergeCell ref="BL60:BM60"/>
    <mergeCell ref="BN60:BO60"/>
    <mergeCell ref="BP60:BQ60"/>
    <mergeCell ref="BR60:BS60"/>
    <mergeCell ref="BT60:BU60"/>
    <mergeCell ref="BV60:BW60"/>
    <mergeCell ref="BX60:BY60"/>
    <mergeCell ref="BJ62:BK62"/>
    <mergeCell ref="BL62:BM62"/>
    <mergeCell ref="BN62:BO62"/>
    <mergeCell ref="BP62:BQ62"/>
    <mergeCell ref="BR62:BS62"/>
    <mergeCell ref="BT62:BU62"/>
    <mergeCell ref="BR59:BS59"/>
    <mergeCell ref="AS61:AU61"/>
    <mergeCell ref="AZ12:BD13"/>
    <mergeCell ref="BF12:BJ13"/>
    <mergeCell ref="BP12:BZ12"/>
    <mergeCell ref="CA12:CC12"/>
    <mergeCell ref="H13:W13"/>
    <mergeCell ref="AE13:AN13"/>
    <mergeCell ref="AS13:AY13"/>
    <mergeCell ref="BL13:BO13"/>
    <mergeCell ref="EZ3:FD3"/>
    <mergeCell ref="FJ3:FN3"/>
    <mergeCell ref="FF3:FF4"/>
    <mergeCell ref="AK90:AO91"/>
    <mergeCell ref="AS56:CE56"/>
    <mergeCell ref="AS58:AU59"/>
    <mergeCell ref="AV58:AW58"/>
    <mergeCell ref="AX58:AY58"/>
    <mergeCell ref="AZ58:BA58"/>
    <mergeCell ref="BB58:BC58"/>
    <mergeCell ref="BD58:BE58"/>
    <mergeCell ref="BF58:BG58"/>
    <mergeCell ref="BH58:BI58"/>
    <mergeCell ref="BJ58:BK58"/>
    <mergeCell ref="BL58:BM58"/>
    <mergeCell ref="BN58:BO58"/>
    <mergeCell ref="BP58:BQ58"/>
    <mergeCell ref="BR58:BS58"/>
    <mergeCell ref="BT58:BU58"/>
    <mergeCell ref="BV58:BW58"/>
    <mergeCell ref="BX58:BY58"/>
    <mergeCell ref="AV59:AW59"/>
    <mergeCell ref="AX59:AY59"/>
    <mergeCell ref="W17:AJ17"/>
    <mergeCell ref="AK17:AM17"/>
    <mergeCell ref="AZ17:BD17"/>
    <mergeCell ref="BF17:BJ17"/>
    <mergeCell ref="BL17:BO17"/>
    <mergeCell ref="AN20:AO20"/>
    <mergeCell ref="AS20:CE20"/>
    <mergeCell ref="AD20:AE20"/>
    <mergeCell ref="AF20:AG20"/>
    <mergeCell ref="AH20:AI20"/>
    <mergeCell ref="AJ20:AK20"/>
    <mergeCell ref="AL20:AM20"/>
    <mergeCell ref="GP1:GT1"/>
    <mergeCell ref="C7:AO8"/>
    <mergeCell ref="AS9:CE9"/>
    <mergeCell ref="H11:W11"/>
    <mergeCell ref="AE11:AN11"/>
    <mergeCell ref="AS11:CE11"/>
    <mergeCell ref="EL3:EO3"/>
    <mergeCell ref="EQ3:ES3"/>
    <mergeCell ref="EU3:EW3"/>
    <mergeCell ref="FO3:FO4"/>
    <mergeCell ref="FP2:FP4"/>
    <mergeCell ref="FR2:FV3"/>
    <mergeCell ref="BQ13:BZ13"/>
    <mergeCell ref="CA13:CC13"/>
    <mergeCell ref="AZ14:BD14"/>
    <mergeCell ref="BF14:BJ14"/>
    <mergeCell ref="BL14:BO14"/>
    <mergeCell ref="CA14:CC14"/>
    <mergeCell ref="H12:W12"/>
    <mergeCell ref="AE12:AN12"/>
    <mergeCell ref="V20:W20"/>
    <mergeCell ref="X20:Y20"/>
    <mergeCell ref="Z20:AA20"/>
    <mergeCell ref="AB20:AC20"/>
    <mergeCell ref="R21:S21"/>
    <mergeCell ref="T21:U21"/>
    <mergeCell ref="V21:W21"/>
    <mergeCell ref="X21:Y21"/>
    <mergeCell ref="Z21:AA21"/>
    <mergeCell ref="AB21:AC21"/>
    <mergeCell ref="AZ21:BD22"/>
    <mergeCell ref="BF21:BJ22"/>
    <mergeCell ref="AZ15:BD15"/>
    <mergeCell ref="BF15:BJ15"/>
    <mergeCell ref="BL15:BO15"/>
    <mergeCell ref="CA15:CC15"/>
    <mergeCell ref="C16:AO16"/>
    <mergeCell ref="AZ16:BD16"/>
    <mergeCell ref="BF16:BJ16"/>
    <mergeCell ref="BL16:BO16"/>
    <mergeCell ref="CA16:CC16"/>
    <mergeCell ref="CA17:CC17"/>
    <mergeCell ref="CA18:CC18"/>
    <mergeCell ref="C19:AO19"/>
    <mergeCell ref="C20:I20"/>
    <mergeCell ref="J20:K20"/>
    <mergeCell ref="L20:M20"/>
    <mergeCell ref="N20:O20"/>
    <mergeCell ref="P20:Q20"/>
    <mergeCell ref="R20:S20"/>
    <mergeCell ref="T20:U20"/>
    <mergeCell ref="S17:U17"/>
    <mergeCell ref="BT21:BZ21"/>
    <mergeCell ref="CA27:CC27"/>
    <mergeCell ref="AS22:AY22"/>
    <mergeCell ref="BL22:BO22"/>
    <mergeCell ref="BQ22:BZ22"/>
    <mergeCell ref="CA22:CC22"/>
    <mergeCell ref="AD21:AE21"/>
    <mergeCell ref="AF21:AG21"/>
    <mergeCell ref="AH21:AI21"/>
    <mergeCell ref="AJ21:AK21"/>
    <mergeCell ref="AL21:AM21"/>
    <mergeCell ref="AN21:AO21"/>
    <mergeCell ref="C23:AO23"/>
    <mergeCell ref="AZ23:BD23"/>
    <mergeCell ref="BF23:BJ23"/>
    <mergeCell ref="BL23:BO23"/>
    <mergeCell ref="CA23:CC23"/>
    <mergeCell ref="C21:I21"/>
    <mergeCell ref="J21:K21"/>
    <mergeCell ref="L21:M21"/>
    <mergeCell ref="N21:O21"/>
    <mergeCell ref="P21:Q21"/>
    <mergeCell ref="F29:I29"/>
    <mergeCell ref="K29:N29"/>
    <mergeCell ref="P29:S29"/>
    <mergeCell ref="U29:X29"/>
    <mergeCell ref="Z29:AC29"/>
    <mergeCell ref="AE29:AH29"/>
    <mergeCell ref="AS31:AY31"/>
    <mergeCell ref="BL31:BO31"/>
    <mergeCell ref="BQ31:BZ31"/>
    <mergeCell ref="CA31:CC31"/>
    <mergeCell ref="AJ29:AO29"/>
    <mergeCell ref="C24:N24"/>
    <mergeCell ref="AZ24:BD24"/>
    <mergeCell ref="BF24:BJ24"/>
    <mergeCell ref="BL24:BO24"/>
    <mergeCell ref="F26:N26"/>
    <mergeCell ref="P26:S28"/>
    <mergeCell ref="U26:X28"/>
    <mergeCell ref="AE26:AH28"/>
    <mergeCell ref="AJ26:AO28"/>
    <mergeCell ref="AZ26:BD26"/>
    <mergeCell ref="F27:I28"/>
    <mergeCell ref="K27:N28"/>
    <mergeCell ref="CA24:CC24"/>
    <mergeCell ref="Z25:AC28"/>
    <mergeCell ref="AZ25:BD25"/>
    <mergeCell ref="BF25:BJ25"/>
    <mergeCell ref="BL25:BO25"/>
    <mergeCell ref="CA25:CC25"/>
    <mergeCell ref="BF26:BJ26"/>
    <mergeCell ref="BL26:BO26"/>
    <mergeCell ref="CA26:CC26"/>
    <mergeCell ref="F32:I32"/>
    <mergeCell ref="K32:N32"/>
    <mergeCell ref="P32:S32"/>
    <mergeCell ref="U32:X32"/>
    <mergeCell ref="Z32:AC32"/>
    <mergeCell ref="AE32:AH32"/>
    <mergeCell ref="BF30:BJ31"/>
    <mergeCell ref="BT30:BZ30"/>
    <mergeCell ref="CA30:CC30"/>
    <mergeCell ref="F31:I31"/>
    <mergeCell ref="K31:N31"/>
    <mergeCell ref="P31:S31"/>
    <mergeCell ref="U31:X31"/>
    <mergeCell ref="Z31:AC31"/>
    <mergeCell ref="AE31:AH31"/>
    <mergeCell ref="AZ32:BD32"/>
    <mergeCell ref="BF32:BJ32"/>
    <mergeCell ref="BL32:BO32"/>
    <mergeCell ref="CA32:CC32"/>
    <mergeCell ref="AJ30:AO30"/>
    <mergeCell ref="AJ31:AO31"/>
    <mergeCell ref="AJ32:AO32"/>
    <mergeCell ref="F30:I30"/>
    <mergeCell ref="K30:N30"/>
    <mergeCell ref="P30:S30"/>
    <mergeCell ref="U30:X30"/>
    <mergeCell ref="Z30:AC30"/>
    <mergeCell ref="AE30:AH30"/>
    <mergeCell ref="AZ30:BD31"/>
    <mergeCell ref="F34:I34"/>
    <mergeCell ref="AZ33:BD33"/>
    <mergeCell ref="BF33:BJ33"/>
    <mergeCell ref="BL33:BO33"/>
    <mergeCell ref="CA33:CC33"/>
    <mergeCell ref="AE33:AH33"/>
    <mergeCell ref="AZ34:BD34"/>
    <mergeCell ref="BF34:BJ34"/>
    <mergeCell ref="BL34:BO34"/>
    <mergeCell ref="CA34:CC34"/>
    <mergeCell ref="F33:I33"/>
    <mergeCell ref="K33:N33"/>
    <mergeCell ref="P33:S33"/>
    <mergeCell ref="U33:X33"/>
    <mergeCell ref="Z33:AC33"/>
    <mergeCell ref="AJ33:AO33"/>
    <mergeCell ref="W36:AE36"/>
    <mergeCell ref="AL36:AO39"/>
    <mergeCell ref="AZ35:BD35"/>
    <mergeCell ref="BF35:BJ35"/>
    <mergeCell ref="BL35:BO35"/>
    <mergeCell ref="AG40:AJ40"/>
    <mergeCell ref="CA35:CC35"/>
    <mergeCell ref="G37:J39"/>
    <mergeCell ref="L37:O39"/>
    <mergeCell ref="Q37:U39"/>
    <mergeCell ref="W37:Z39"/>
    <mergeCell ref="AB37:AE39"/>
    <mergeCell ref="AG37:AJ39"/>
    <mergeCell ref="CA36:CC36"/>
    <mergeCell ref="AS38:CE38"/>
    <mergeCell ref="C35:AO35"/>
    <mergeCell ref="AS40:AY40"/>
    <mergeCell ref="BL40:BO40"/>
    <mergeCell ref="BQ40:BZ40"/>
    <mergeCell ref="CA40:CC40"/>
    <mergeCell ref="AL40:AO40"/>
    <mergeCell ref="AZ39:BD40"/>
    <mergeCell ref="BF39:BJ40"/>
    <mergeCell ref="BT39:BZ39"/>
    <mergeCell ref="CA39:CC39"/>
    <mergeCell ref="G40:J40"/>
    <mergeCell ref="L40:O40"/>
    <mergeCell ref="Q40:U40"/>
    <mergeCell ref="W40:Z40"/>
    <mergeCell ref="AB40:AE40"/>
    <mergeCell ref="G43:J43"/>
    <mergeCell ref="L43:O43"/>
    <mergeCell ref="Q43:U43"/>
    <mergeCell ref="W43:Z43"/>
    <mergeCell ref="AB43:AE43"/>
    <mergeCell ref="G42:J42"/>
    <mergeCell ref="L42:O42"/>
    <mergeCell ref="Q42:U42"/>
    <mergeCell ref="W42:Z42"/>
    <mergeCell ref="AB42:AE42"/>
    <mergeCell ref="AG42:AJ42"/>
    <mergeCell ref="AG41:AJ41"/>
    <mergeCell ref="AL41:AO41"/>
    <mergeCell ref="G41:J41"/>
    <mergeCell ref="L41:O41"/>
    <mergeCell ref="Q41:U41"/>
    <mergeCell ref="W41:Z41"/>
    <mergeCell ref="AB41:AE41"/>
    <mergeCell ref="T46:V46"/>
    <mergeCell ref="CA45:CC45"/>
    <mergeCell ref="AG43:AJ43"/>
    <mergeCell ref="AZ42:BD42"/>
    <mergeCell ref="BF42:BJ42"/>
    <mergeCell ref="BL42:BO42"/>
    <mergeCell ref="CA42:CC42"/>
    <mergeCell ref="AG45:AJ45"/>
    <mergeCell ref="AZ43:BD43"/>
    <mergeCell ref="BF43:BJ43"/>
    <mergeCell ref="BL43:BO43"/>
    <mergeCell ref="CA43:CC43"/>
    <mergeCell ref="AL42:AO42"/>
    <mergeCell ref="AL43:AO43"/>
    <mergeCell ref="AL44:AO44"/>
    <mergeCell ref="AM46:AO46"/>
    <mergeCell ref="AB73:AC73"/>
    <mergeCell ref="AD73:AE73"/>
    <mergeCell ref="AS54:BG54"/>
    <mergeCell ref="C70:AO70"/>
    <mergeCell ref="F72:G72"/>
    <mergeCell ref="H72:I72"/>
    <mergeCell ref="J72:K72"/>
    <mergeCell ref="L72:M72"/>
    <mergeCell ref="N72:O72"/>
    <mergeCell ref="T45:V45"/>
    <mergeCell ref="BF59:BG59"/>
    <mergeCell ref="BH59:BI59"/>
    <mergeCell ref="BJ59:BK59"/>
    <mergeCell ref="BL59:BM59"/>
    <mergeCell ref="BN59:BO59"/>
    <mergeCell ref="BP59:BQ59"/>
    <mergeCell ref="X73:Y73"/>
    <mergeCell ref="Z73:AA73"/>
    <mergeCell ref="R72:S72"/>
    <mergeCell ref="T72:U72"/>
    <mergeCell ref="AK72:AO73"/>
    <mergeCell ref="AD57:AJ57"/>
    <mergeCell ref="AZ59:BA59"/>
    <mergeCell ref="BB59:BC59"/>
    <mergeCell ref="H74:I74"/>
    <mergeCell ref="J74:K74"/>
    <mergeCell ref="L74:M74"/>
    <mergeCell ref="N74:O74"/>
    <mergeCell ref="P74:Q74"/>
    <mergeCell ref="R74:S74"/>
    <mergeCell ref="T74:U74"/>
    <mergeCell ref="J73:K73"/>
    <mergeCell ref="L73:M73"/>
    <mergeCell ref="N73:O73"/>
    <mergeCell ref="Z72:AA72"/>
    <mergeCell ref="AB72:AC72"/>
    <mergeCell ref="P72:Q72"/>
    <mergeCell ref="AK74:AO74"/>
    <mergeCell ref="AV61:AW61"/>
    <mergeCell ref="AX61:AY61"/>
    <mergeCell ref="AZ61:BA61"/>
    <mergeCell ref="BB61:BC61"/>
    <mergeCell ref="AS62:AU62"/>
    <mergeCell ref="AV62:AW62"/>
    <mergeCell ref="AX62:AY62"/>
    <mergeCell ref="AZ62:BA62"/>
    <mergeCell ref="BB62:BC62"/>
    <mergeCell ref="AS73:AU73"/>
    <mergeCell ref="F73:G73"/>
    <mergeCell ref="H73:I73"/>
    <mergeCell ref="AH74:AI74"/>
    <mergeCell ref="C75:E75"/>
    <mergeCell ref="F75:G75"/>
    <mergeCell ref="H75:I75"/>
    <mergeCell ref="J75:K75"/>
    <mergeCell ref="L75:M75"/>
    <mergeCell ref="N75:O75"/>
    <mergeCell ref="P75:Q75"/>
    <mergeCell ref="V74:W74"/>
    <mergeCell ref="X74:Y74"/>
    <mergeCell ref="Z74:AA74"/>
    <mergeCell ref="AB74:AC74"/>
    <mergeCell ref="AD74:AE74"/>
    <mergeCell ref="AF74:AG74"/>
    <mergeCell ref="AD75:AE75"/>
    <mergeCell ref="AF75:AG75"/>
    <mergeCell ref="AH75:AI75"/>
    <mergeCell ref="Z75:AA75"/>
    <mergeCell ref="AB75:AC75"/>
    <mergeCell ref="C72:E73"/>
    <mergeCell ref="AF73:AG73"/>
    <mergeCell ref="AH73:AI73"/>
    <mergeCell ref="AF72:AG72"/>
    <mergeCell ref="AH72:AI72"/>
    <mergeCell ref="C74:E74"/>
    <mergeCell ref="F74:G74"/>
    <mergeCell ref="P73:Q73"/>
    <mergeCell ref="R73:S73"/>
    <mergeCell ref="T73:U73"/>
    <mergeCell ref="V73:W73"/>
    <mergeCell ref="C76:E76"/>
    <mergeCell ref="F76:G76"/>
    <mergeCell ref="H76:I76"/>
    <mergeCell ref="J76:K76"/>
    <mergeCell ref="L76:M76"/>
    <mergeCell ref="R75:S75"/>
    <mergeCell ref="T75:U75"/>
    <mergeCell ref="V75:W75"/>
    <mergeCell ref="X75:Y75"/>
    <mergeCell ref="P77:Q77"/>
    <mergeCell ref="R77:S77"/>
    <mergeCell ref="T77:U77"/>
    <mergeCell ref="Z76:AA76"/>
    <mergeCell ref="AB76:AC76"/>
    <mergeCell ref="AD76:AE76"/>
    <mergeCell ref="AF76:AG76"/>
    <mergeCell ref="AH76:AI76"/>
    <mergeCell ref="N76:O76"/>
    <mergeCell ref="P76:Q76"/>
    <mergeCell ref="R76:S76"/>
    <mergeCell ref="T76:U76"/>
    <mergeCell ref="V76:W76"/>
    <mergeCell ref="X76:Y76"/>
    <mergeCell ref="Z79:AA79"/>
    <mergeCell ref="V79:W79"/>
    <mergeCell ref="X79:Y79"/>
    <mergeCell ref="AB78:AC78"/>
    <mergeCell ref="AH77:AI77"/>
    <mergeCell ref="C78:E78"/>
    <mergeCell ref="F78:G78"/>
    <mergeCell ref="H78:I78"/>
    <mergeCell ref="J78:K78"/>
    <mergeCell ref="L78:M78"/>
    <mergeCell ref="N78:O78"/>
    <mergeCell ref="P78:Q78"/>
    <mergeCell ref="V77:W77"/>
    <mergeCell ref="X77:Y77"/>
    <mergeCell ref="Z77:AA77"/>
    <mergeCell ref="AB77:AC77"/>
    <mergeCell ref="AD77:AE77"/>
    <mergeCell ref="AF77:AG77"/>
    <mergeCell ref="C77:E77"/>
    <mergeCell ref="F77:G77"/>
    <mergeCell ref="H77:I77"/>
    <mergeCell ref="J77:K77"/>
    <mergeCell ref="L77:M77"/>
    <mergeCell ref="N77:O77"/>
    <mergeCell ref="Z78:AA78"/>
    <mergeCell ref="AD78:AE78"/>
    <mergeCell ref="AF78:AG78"/>
    <mergeCell ref="AH78:AI78"/>
    <mergeCell ref="AH80:AI80"/>
    <mergeCell ref="V80:W80"/>
    <mergeCell ref="X80:Y80"/>
    <mergeCell ref="Z80:AA80"/>
    <mergeCell ref="AB80:AC80"/>
    <mergeCell ref="AD80:AE80"/>
    <mergeCell ref="AF80:AG80"/>
    <mergeCell ref="R80:S80"/>
    <mergeCell ref="T80:U80"/>
    <mergeCell ref="C82:E82"/>
    <mergeCell ref="F82:G82"/>
    <mergeCell ref="H82:I82"/>
    <mergeCell ref="J82:K82"/>
    <mergeCell ref="L82:M82"/>
    <mergeCell ref="N82:O82"/>
    <mergeCell ref="AD81:AE81"/>
    <mergeCell ref="AF81:AG81"/>
    <mergeCell ref="AH81:AI81"/>
    <mergeCell ref="C81:E81"/>
    <mergeCell ref="F81:G81"/>
    <mergeCell ref="H81:I81"/>
    <mergeCell ref="J81:K81"/>
    <mergeCell ref="L81:M81"/>
    <mergeCell ref="N81:O81"/>
    <mergeCell ref="P81:Q81"/>
    <mergeCell ref="AB82:AC82"/>
    <mergeCell ref="AD82:AE82"/>
    <mergeCell ref="R81:S81"/>
    <mergeCell ref="T81:U81"/>
    <mergeCell ref="V81:W81"/>
    <mergeCell ref="X81:Y81"/>
    <mergeCell ref="Z81:AA81"/>
    <mergeCell ref="AB81:AC81"/>
    <mergeCell ref="AH83:AI83"/>
    <mergeCell ref="P83:Q83"/>
    <mergeCell ref="R83:S83"/>
    <mergeCell ref="T83:U83"/>
    <mergeCell ref="V83:W83"/>
    <mergeCell ref="X83:Y83"/>
    <mergeCell ref="Z83:AA83"/>
    <mergeCell ref="AB83:AC83"/>
    <mergeCell ref="AD83:AE83"/>
    <mergeCell ref="AF83:AG83"/>
    <mergeCell ref="C83:E83"/>
    <mergeCell ref="F83:G83"/>
    <mergeCell ref="H83:I83"/>
    <mergeCell ref="J83:K83"/>
    <mergeCell ref="L83:M83"/>
    <mergeCell ref="N83:O83"/>
    <mergeCell ref="C84:E84"/>
    <mergeCell ref="F84:G84"/>
    <mergeCell ref="H84:I84"/>
    <mergeCell ref="J84:K84"/>
    <mergeCell ref="L84:M84"/>
    <mergeCell ref="N84:O84"/>
    <mergeCell ref="AB84:AC84"/>
    <mergeCell ref="AD84:AE84"/>
    <mergeCell ref="AF84:AG84"/>
    <mergeCell ref="AH84:AI84"/>
    <mergeCell ref="P84:Q84"/>
    <mergeCell ref="R84:S84"/>
    <mergeCell ref="T84:U84"/>
    <mergeCell ref="V84:W84"/>
    <mergeCell ref="X84:Y84"/>
    <mergeCell ref="Z84:AA84"/>
    <mergeCell ref="AH85:AI85"/>
    <mergeCell ref="P85:Q85"/>
    <mergeCell ref="R85:S85"/>
    <mergeCell ref="T85:U85"/>
    <mergeCell ref="V85:W85"/>
    <mergeCell ref="X85:Y85"/>
    <mergeCell ref="Z85:AA85"/>
    <mergeCell ref="C85:E85"/>
    <mergeCell ref="F85:G85"/>
    <mergeCell ref="H85:I85"/>
    <mergeCell ref="J85:K85"/>
    <mergeCell ref="L85:M85"/>
    <mergeCell ref="N85:O85"/>
    <mergeCell ref="C86:E86"/>
    <mergeCell ref="F86:G86"/>
    <mergeCell ref="H86:I86"/>
    <mergeCell ref="J86:K86"/>
    <mergeCell ref="L86:M86"/>
    <mergeCell ref="N86:O86"/>
    <mergeCell ref="AB85:AC85"/>
    <mergeCell ref="AD85:AE85"/>
    <mergeCell ref="AF85:AG85"/>
    <mergeCell ref="AB86:AC86"/>
    <mergeCell ref="AD86:AE86"/>
    <mergeCell ref="AF86:AG86"/>
    <mergeCell ref="P87:Q87"/>
    <mergeCell ref="R87:S87"/>
    <mergeCell ref="T87:U87"/>
    <mergeCell ref="V87:W87"/>
    <mergeCell ref="X87:Y87"/>
    <mergeCell ref="Z87:AA87"/>
    <mergeCell ref="AB87:AC87"/>
    <mergeCell ref="AD87:AE87"/>
    <mergeCell ref="AF87:AG87"/>
    <mergeCell ref="C87:E87"/>
    <mergeCell ref="F87:G87"/>
    <mergeCell ref="H87:I87"/>
    <mergeCell ref="J87:K87"/>
    <mergeCell ref="L87:M87"/>
    <mergeCell ref="N87:O87"/>
    <mergeCell ref="C89:E89"/>
    <mergeCell ref="F89:G89"/>
    <mergeCell ref="H89:I89"/>
    <mergeCell ref="J89:K89"/>
    <mergeCell ref="L89:M89"/>
    <mergeCell ref="N89:O89"/>
    <mergeCell ref="J88:K88"/>
    <mergeCell ref="L88:M88"/>
    <mergeCell ref="N88:O88"/>
    <mergeCell ref="N90:O91"/>
    <mergeCell ref="AB89:AC89"/>
    <mergeCell ref="AD89:AE89"/>
    <mergeCell ref="AF89:AG89"/>
    <mergeCell ref="AH89:AI89"/>
    <mergeCell ref="P89:Q89"/>
    <mergeCell ref="R89:S89"/>
    <mergeCell ref="T89:U89"/>
    <mergeCell ref="V89:W89"/>
    <mergeCell ref="X89:Y89"/>
    <mergeCell ref="Z89:AA89"/>
    <mergeCell ref="AH88:AI88"/>
    <mergeCell ref="AB90:AC91"/>
    <mergeCell ref="AD90:AE91"/>
    <mergeCell ref="AF90:AG91"/>
    <mergeCell ref="AH90:AI91"/>
    <mergeCell ref="P90:Q91"/>
    <mergeCell ref="R90:S91"/>
    <mergeCell ref="T90:U91"/>
    <mergeCell ref="V90:W91"/>
    <mergeCell ref="X90:Y91"/>
    <mergeCell ref="Z90:AA91"/>
    <mergeCell ref="C90:E91"/>
    <mergeCell ref="BV105:BY105"/>
    <mergeCell ref="BV106:BY106"/>
    <mergeCell ref="AS106:AZ106"/>
    <mergeCell ref="BB106:BE106"/>
    <mergeCell ref="BG106:BJ106"/>
    <mergeCell ref="BL106:BO106"/>
    <mergeCell ref="BQ106:BT106"/>
    <mergeCell ref="M139:V139"/>
    <mergeCell ref="M140:V140"/>
    <mergeCell ref="AS105:AZ105"/>
    <mergeCell ref="BB105:BE105"/>
    <mergeCell ref="BG105:BJ105"/>
    <mergeCell ref="BL105:BO105"/>
    <mergeCell ref="AS107:AZ107"/>
    <mergeCell ref="BB107:BE107"/>
    <mergeCell ref="BG107:BJ107"/>
    <mergeCell ref="BL107:BO107"/>
    <mergeCell ref="BQ107:BT107"/>
    <mergeCell ref="AS108:AZ108"/>
    <mergeCell ref="BB108:BE108"/>
    <mergeCell ref="BG108:BJ108"/>
    <mergeCell ref="BL108:BO108"/>
    <mergeCell ref="BQ108:BT108"/>
    <mergeCell ref="AS109:AZ109"/>
    <mergeCell ref="BB109:BE109"/>
    <mergeCell ref="AW113:AZ113"/>
    <mergeCell ref="BB113:BE113"/>
    <mergeCell ref="BG113:BJ113"/>
    <mergeCell ref="BL113:BO113"/>
    <mergeCell ref="BQ113:BT113"/>
    <mergeCell ref="BG136:BJ136"/>
    <mergeCell ref="BL136:BO136"/>
    <mergeCell ref="BV115:BY115"/>
    <mergeCell ref="AW114:AZ114"/>
    <mergeCell ref="BB114:BE114"/>
    <mergeCell ref="BG114:BJ114"/>
    <mergeCell ref="BL114:BO114"/>
    <mergeCell ref="BQ114:BT114"/>
    <mergeCell ref="D180:Q180"/>
    <mergeCell ref="BQ136:BT136"/>
    <mergeCell ref="C159:AO159"/>
    <mergeCell ref="M132:V132"/>
    <mergeCell ref="C160:AO172"/>
    <mergeCell ref="M133:V133"/>
    <mergeCell ref="M134:V134"/>
    <mergeCell ref="M135:V135"/>
    <mergeCell ref="F90:G91"/>
    <mergeCell ref="H90:I91"/>
    <mergeCell ref="J90:K91"/>
    <mergeCell ref="L90:M91"/>
    <mergeCell ref="M131:V131"/>
    <mergeCell ref="C92:AO95"/>
    <mergeCell ref="BQ105:BT105"/>
    <mergeCell ref="BQ116:BT116"/>
    <mergeCell ref="BG125:BJ125"/>
    <mergeCell ref="BL125:BO125"/>
    <mergeCell ref="BQ125:BT125"/>
    <mergeCell ref="AW126:AZ126"/>
    <mergeCell ref="BB126:BE126"/>
    <mergeCell ref="BG126:BJ126"/>
    <mergeCell ref="AW116:AZ116"/>
    <mergeCell ref="BB116:BE116"/>
    <mergeCell ref="BG116:BJ116"/>
    <mergeCell ref="BL116:BO116"/>
    <mergeCell ref="AW115:AZ115"/>
    <mergeCell ref="BB115:BE115"/>
    <mergeCell ref="BG115:BJ115"/>
    <mergeCell ref="BL115:BO115"/>
    <mergeCell ref="BQ115:BT115"/>
    <mergeCell ref="BG109:BJ109"/>
    <mergeCell ref="BL109:BO109"/>
    <mergeCell ref="BQ109:BT109"/>
    <mergeCell ref="AS110:AZ110"/>
    <mergeCell ref="BB110:BE110"/>
    <mergeCell ref="BG110:BJ110"/>
    <mergeCell ref="BL110:BO110"/>
    <mergeCell ref="BQ110:BT110"/>
    <mergeCell ref="C175:AO175"/>
    <mergeCell ref="D176:Q176"/>
    <mergeCell ref="R176:U176"/>
    <mergeCell ref="AW111:AZ111"/>
    <mergeCell ref="BB111:BE111"/>
    <mergeCell ref="BG111:BJ111"/>
    <mergeCell ref="BL111:BO111"/>
    <mergeCell ref="BQ111:BT111"/>
    <mergeCell ref="BQ112:BT112"/>
    <mergeCell ref="BL112:BO112"/>
    <mergeCell ref="BG112:BJ112"/>
    <mergeCell ref="BB112:BE112"/>
    <mergeCell ref="AW112:AZ112"/>
    <mergeCell ref="BQ118:BT118"/>
    <mergeCell ref="AW121:AZ121"/>
    <mergeCell ref="BB121:BE121"/>
    <mergeCell ref="BG121:BJ121"/>
    <mergeCell ref="BL121:BO121"/>
    <mergeCell ref="BQ121:BT121"/>
    <mergeCell ref="BV135:BY135"/>
    <mergeCell ref="BQ124:BT124"/>
    <mergeCell ref="AW125:AZ125"/>
    <mergeCell ref="BB125:BE125"/>
    <mergeCell ref="R178:U178"/>
    <mergeCell ref="BV127:BY127"/>
    <mergeCell ref="M136:V136"/>
    <mergeCell ref="M137:V137"/>
    <mergeCell ref="M138:V138"/>
    <mergeCell ref="BV116:BY116"/>
    <mergeCell ref="R180:U180"/>
    <mergeCell ref="D177:Q177"/>
    <mergeCell ref="R177:U177"/>
    <mergeCell ref="D184:Q184"/>
    <mergeCell ref="R184:U184"/>
    <mergeCell ref="BV117:BY117"/>
    <mergeCell ref="BV118:BY118"/>
    <mergeCell ref="AW117:AZ117"/>
    <mergeCell ref="BB117:BE117"/>
    <mergeCell ref="BG117:BJ117"/>
    <mergeCell ref="BL117:BO117"/>
    <mergeCell ref="BQ117:BT117"/>
    <mergeCell ref="D183:Q183"/>
    <mergeCell ref="T124:X124"/>
    <mergeCell ref="Y124:AA124"/>
    <mergeCell ref="AF124:AG124"/>
    <mergeCell ref="C154:AO154"/>
    <mergeCell ref="C155:AO158"/>
    <mergeCell ref="C128:AO128"/>
    <mergeCell ref="X129:AO129"/>
    <mergeCell ref="C182:AO182"/>
    <mergeCell ref="BB136:BE136"/>
    <mergeCell ref="R185:U185"/>
    <mergeCell ref="AW120:AZ120"/>
    <mergeCell ref="BB120:BE120"/>
    <mergeCell ref="BG120:BJ120"/>
    <mergeCell ref="BL120:BO120"/>
    <mergeCell ref="BQ120:BT120"/>
    <mergeCell ref="BV119:BY119"/>
    <mergeCell ref="BV120:BY120"/>
    <mergeCell ref="AW119:AZ119"/>
    <mergeCell ref="BB119:BE119"/>
    <mergeCell ref="BG119:BJ119"/>
    <mergeCell ref="BL119:BO119"/>
    <mergeCell ref="BQ119:BT119"/>
    <mergeCell ref="D185:Q185"/>
    <mergeCell ref="BL126:BO126"/>
    <mergeCell ref="BQ126:BT126"/>
    <mergeCell ref="D179:Q179"/>
    <mergeCell ref="BG122:BJ122"/>
    <mergeCell ref="BL122:BO122"/>
    <mergeCell ref="BQ122:BT122"/>
    <mergeCell ref="BV121:BY121"/>
    <mergeCell ref="BV122:BY122"/>
    <mergeCell ref="R183:U183"/>
    <mergeCell ref="R179:U179"/>
    <mergeCell ref="D178:Q178"/>
    <mergeCell ref="AW127:AZ127"/>
    <mergeCell ref="BB127:BE127"/>
    <mergeCell ref="BG127:BJ127"/>
    <mergeCell ref="BL127:BO127"/>
    <mergeCell ref="BQ127:BT127"/>
    <mergeCell ref="AS134:AZ134"/>
    <mergeCell ref="D142:AO143"/>
    <mergeCell ref="C225:AO225"/>
    <mergeCell ref="E226:K226"/>
    <mergeCell ref="E227:K227"/>
    <mergeCell ref="E228:K228"/>
    <mergeCell ref="E229:K229"/>
    <mergeCell ref="AW128:AZ128"/>
    <mergeCell ref="BB128:BE128"/>
    <mergeCell ref="BG128:BJ128"/>
    <mergeCell ref="BL128:BO128"/>
    <mergeCell ref="BQ128:BT128"/>
    <mergeCell ref="C206:AN207"/>
    <mergeCell ref="E236:K236"/>
    <mergeCell ref="D237:K237"/>
    <mergeCell ref="E238:K238"/>
    <mergeCell ref="E239:K239"/>
    <mergeCell ref="E240:K240"/>
    <mergeCell ref="AU204:BA204"/>
    <mergeCell ref="E230:K230"/>
    <mergeCell ref="E231:K231"/>
    <mergeCell ref="E232:K232"/>
    <mergeCell ref="E233:K233"/>
    <mergeCell ref="E234:K234"/>
    <mergeCell ref="E235:K235"/>
    <mergeCell ref="AS218:CE218"/>
    <mergeCell ref="BB134:BE134"/>
    <mergeCell ref="BG134:BJ134"/>
    <mergeCell ref="BL134:BO134"/>
    <mergeCell ref="BQ134:BT134"/>
    <mergeCell ref="BV134:BY134"/>
    <mergeCell ref="AS136:AZ136"/>
    <mergeCell ref="R187:U187"/>
    <mergeCell ref="BG135:BJ135"/>
    <mergeCell ref="AU205:BA205"/>
    <mergeCell ref="AU206:BA206"/>
    <mergeCell ref="AU207:BA207"/>
    <mergeCell ref="AS211:CE211"/>
    <mergeCell ref="AS212:CE216"/>
    <mergeCell ref="AK82:AO82"/>
    <mergeCell ref="B44:F44"/>
    <mergeCell ref="L44:O44"/>
    <mergeCell ref="Q44:U44"/>
    <mergeCell ref="AG44:AJ44"/>
    <mergeCell ref="G44:J44"/>
    <mergeCell ref="W44:Z44"/>
    <mergeCell ref="AB44:AE44"/>
    <mergeCell ref="AF82:AG82"/>
    <mergeCell ref="AH82:AI82"/>
    <mergeCell ref="P82:Q82"/>
    <mergeCell ref="R82:S82"/>
    <mergeCell ref="T82:U82"/>
    <mergeCell ref="V82:W82"/>
    <mergeCell ref="X82:Y82"/>
    <mergeCell ref="Z82:AA82"/>
    <mergeCell ref="AB79:AC79"/>
    <mergeCell ref="AD79:AE79"/>
    <mergeCell ref="AF79:AG79"/>
    <mergeCell ref="C80:E80"/>
    <mergeCell ref="F80:G80"/>
    <mergeCell ref="H80:I80"/>
    <mergeCell ref="J80:K80"/>
    <mergeCell ref="BL135:BO135"/>
    <mergeCell ref="BQ135:BT135"/>
    <mergeCell ref="D187:Q187"/>
    <mergeCell ref="BL124:BO124"/>
    <mergeCell ref="L80:M80"/>
    <mergeCell ref="N80:O80"/>
    <mergeCell ref="P80:Q80"/>
    <mergeCell ref="N79:O79"/>
    <mergeCell ref="P79:Q79"/>
    <mergeCell ref="F79:G79"/>
    <mergeCell ref="H79:I79"/>
    <mergeCell ref="J79:K79"/>
    <mergeCell ref="L79:M79"/>
    <mergeCell ref="C79:E79"/>
    <mergeCell ref="V58:Y58"/>
    <mergeCell ref="AA58:AJ58"/>
    <mergeCell ref="AK58:AM58"/>
    <mergeCell ref="J59:N59"/>
    <mergeCell ref="P59:T59"/>
    <mergeCell ref="V59:Y59"/>
    <mergeCell ref="AK59:AM59"/>
    <mergeCell ref="AK60:AM60"/>
    <mergeCell ref="J61:N61"/>
    <mergeCell ref="P61:T61"/>
    <mergeCell ref="V61:Y61"/>
    <mergeCell ref="AK61:AM61"/>
    <mergeCell ref="X72:Y72"/>
    <mergeCell ref="AD72:AE72"/>
    <mergeCell ref="V72:W72"/>
    <mergeCell ref="AH79:AI79"/>
    <mergeCell ref="R79:S79"/>
    <mergeCell ref="T79:U79"/>
    <mergeCell ref="R78:S78"/>
    <mergeCell ref="T78:U78"/>
    <mergeCell ref="V78:W78"/>
    <mergeCell ref="X78:Y78"/>
    <mergeCell ref="AK80:AO80"/>
    <mergeCell ref="AK81:AO81"/>
    <mergeCell ref="BV124:BY124"/>
    <mergeCell ref="BV125:BY125"/>
    <mergeCell ref="BV126:BY126"/>
    <mergeCell ref="BV128:BY128"/>
    <mergeCell ref="EB3:EH3"/>
    <mergeCell ref="BV107:BY107"/>
    <mergeCell ref="BV108:BY108"/>
    <mergeCell ref="BV109:BY109"/>
    <mergeCell ref="BV110:BY110"/>
    <mergeCell ref="BV111:BY111"/>
    <mergeCell ref="BV112:BY112"/>
    <mergeCell ref="C56:AO56"/>
    <mergeCell ref="C58:I58"/>
    <mergeCell ref="C88:E88"/>
    <mergeCell ref="F88:G88"/>
    <mergeCell ref="H88:I88"/>
    <mergeCell ref="J57:N58"/>
    <mergeCell ref="P57:T58"/>
    <mergeCell ref="J62:N62"/>
    <mergeCell ref="P62:T62"/>
    <mergeCell ref="V62:Y62"/>
    <mergeCell ref="J60:N60"/>
    <mergeCell ref="P60:T60"/>
    <mergeCell ref="V60:Y60"/>
    <mergeCell ref="AK84:AO84"/>
    <mergeCell ref="AK85:AO85"/>
    <mergeCell ref="AK86:AO86"/>
    <mergeCell ref="AK87:AO87"/>
    <mergeCell ref="AK88:AO88"/>
    <mergeCell ref="AK89:AO89"/>
    <mergeCell ref="AK83:AO83"/>
    <mergeCell ref="P88:Q88"/>
    <mergeCell ref="R88:S88"/>
    <mergeCell ref="T88:U88"/>
    <mergeCell ref="V88:W88"/>
    <mergeCell ref="X88:Y88"/>
    <mergeCell ref="Z88:AA88"/>
    <mergeCell ref="AB88:AC88"/>
    <mergeCell ref="AD88:AE88"/>
    <mergeCell ref="AF88:AG88"/>
    <mergeCell ref="AH86:AI86"/>
    <mergeCell ref="P86:Q86"/>
    <mergeCell ref="R86:S86"/>
    <mergeCell ref="T86:U86"/>
    <mergeCell ref="V86:W86"/>
    <mergeCell ref="X86:Y86"/>
    <mergeCell ref="Z86:AA86"/>
    <mergeCell ref="AH87:AI87"/>
    <mergeCell ref="BV113:BY113"/>
    <mergeCell ref="AS130:CE130"/>
    <mergeCell ref="AS132:AZ132"/>
    <mergeCell ref="BB132:BE132"/>
    <mergeCell ref="BG132:BJ132"/>
    <mergeCell ref="BL132:BO132"/>
    <mergeCell ref="BQ132:BT132"/>
    <mergeCell ref="BV132:BY132"/>
    <mergeCell ref="AS133:AZ133"/>
    <mergeCell ref="BB133:BE133"/>
    <mergeCell ref="BG133:BJ133"/>
    <mergeCell ref="BL133:BO133"/>
    <mergeCell ref="BQ133:BT133"/>
    <mergeCell ref="BV133:BY133"/>
    <mergeCell ref="AW122:AZ122"/>
    <mergeCell ref="BB122:BE122"/>
    <mergeCell ref="CA132:CD132"/>
    <mergeCell ref="CA133:CD133"/>
    <mergeCell ref="AW123:AZ123"/>
    <mergeCell ref="BB123:BE123"/>
    <mergeCell ref="BG123:BJ123"/>
    <mergeCell ref="BL123:BO123"/>
    <mergeCell ref="BQ123:BT123"/>
    <mergeCell ref="AW124:AZ124"/>
    <mergeCell ref="BB124:BE124"/>
    <mergeCell ref="BG124:BJ124"/>
    <mergeCell ref="BV114:BY114"/>
    <mergeCell ref="BV123:BY123"/>
    <mergeCell ref="AW118:AZ118"/>
    <mergeCell ref="BB118:BE118"/>
    <mergeCell ref="BG118:BJ118"/>
    <mergeCell ref="BL118:BO118"/>
    <mergeCell ref="CA134:CD134"/>
    <mergeCell ref="CA135:CD135"/>
    <mergeCell ref="C222:L224"/>
    <mergeCell ref="AU203:BA203"/>
    <mergeCell ref="C304:AO317"/>
    <mergeCell ref="C301:AO301"/>
    <mergeCell ref="AS301:CE301"/>
    <mergeCell ref="AS304:CE307"/>
    <mergeCell ref="AS309:CE309"/>
    <mergeCell ref="AS310:AY310"/>
    <mergeCell ref="AZ310:BA310"/>
    <mergeCell ref="BB310:BC310"/>
    <mergeCell ref="BD310:BE310"/>
    <mergeCell ref="BF310:BG310"/>
    <mergeCell ref="BH310:BI310"/>
    <mergeCell ref="BJ310:BK310"/>
    <mergeCell ref="BL310:BM310"/>
    <mergeCell ref="BN310:BO310"/>
    <mergeCell ref="BP310:BQ310"/>
    <mergeCell ref="BR310:BS310"/>
    <mergeCell ref="BT310:BU310"/>
    <mergeCell ref="BV310:BW310"/>
    <mergeCell ref="BX310:BY310"/>
    <mergeCell ref="BZ310:CA310"/>
    <mergeCell ref="CB310:CC310"/>
    <mergeCell ref="BV136:BY136"/>
    <mergeCell ref="AS135:AZ135"/>
    <mergeCell ref="BB135:BE135"/>
    <mergeCell ref="CD310:CE310"/>
    <mergeCell ref="AS311:AY311"/>
    <mergeCell ref="AZ311:BA311"/>
    <mergeCell ref="C273:AO291"/>
    <mergeCell ref="BB311:BC311"/>
    <mergeCell ref="BD311:BE311"/>
    <mergeCell ref="BF311:BG311"/>
    <mergeCell ref="BH311:BI311"/>
    <mergeCell ref="BJ311:BK311"/>
    <mergeCell ref="BL311:BM311"/>
    <mergeCell ref="BN311:BO311"/>
    <mergeCell ref="BP311:BQ311"/>
    <mergeCell ref="BR311:BS311"/>
    <mergeCell ref="BT311:BU311"/>
    <mergeCell ref="BV311:BW311"/>
    <mergeCell ref="BX311:BY311"/>
    <mergeCell ref="BZ311:CA311"/>
    <mergeCell ref="CB311:CC311"/>
    <mergeCell ref="CD311:CE311"/>
    <mergeCell ref="AS252:CE267"/>
    <mergeCell ref="AS313:CE313"/>
    <mergeCell ref="AS315:CE315"/>
    <mergeCell ref="AS316:AY316"/>
    <mergeCell ref="AZ316:BA316"/>
    <mergeCell ref="BB316:BC316"/>
    <mergeCell ref="BD316:BE316"/>
    <mergeCell ref="BF316:BG316"/>
    <mergeCell ref="BH316:BI316"/>
    <mergeCell ref="BJ316:BK316"/>
    <mergeCell ref="BL316:BM316"/>
    <mergeCell ref="BN316:BO316"/>
    <mergeCell ref="BP316:BQ316"/>
    <mergeCell ref="BR316:BS316"/>
    <mergeCell ref="BT316:BU316"/>
    <mergeCell ref="BV316:BW316"/>
    <mergeCell ref="BX316:BY316"/>
    <mergeCell ref="BZ316:CA316"/>
    <mergeCell ref="CB316:CC316"/>
    <mergeCell ref="CD316:CE316"/>
    <mergeCell ref="AS317:AY317"/>
    <mergeCell ref="AZ317:BA317"/>
    <mergeCell ref="BB317:BC317"/>
    <mergeCell ref="BD317:BE317"/>
    <mergeCell ref="BF317:BG317"/>
    <mergeCell ref="BH317:BI317"/>
    <mergeCell ref="BJ317:BK317"/>
    <mergeCell ref="BL317:BM317"/>
    <mergeCell ref="BN317:BO317"/>
    <mergeCell ref="BP317:BQ317"/>
    <mergeCell ref="BR317:BS317"/>
    <mergeCell ref="BT317:BU317"/>
    <mergeCell ref="BV317:BW317"/>
    <mergeCell ref="BX317:BY317"/>
    <mergeCell ref="BZ317:CA317"/>
    <mergeCell ref="CB317:CC317"/>
    <mergeCell ref="CD317:CE317"/>
    <mergeCell ref="AS319:CE319"/>
    <mergeCell ref="AS320:AY320"/>
    <mergeCell ref="AZ320:BA320"/>
    <mergeCell ref="BB320:BC320"/>
    <mergeCell ref="BD320:BE320"/>
    <mergeCell ref="BF320:BG320"/>
    <mergeCell ref="BH320:BI320"/>
    <mergeCell ref="BJ320:BK320"/>
    <mergeCell ref="BL320:BM320"/>
    <mergeCell ref="BN320:BO320"/>
    <mergeCell ref="BP320:BQ320"/>
    <mergeCell ref="BR320:BS320"/>
    <mergeCell ref="BT320:BU320"/>
    <mergeCell ref="BV320:BW320"/>
    <mergeCell ref="BX320:BY320"/>
    <mergeCell ref="BZ320:CA320"/>
    <mergeCell ref="CB320:CC320"/>
    <mergeCell ref="CD320:CE320"/>
    <mergeCell ref="AS321:AY321"/>
    <mergeCell ref="AZ321:BA321"/>
    <mergeCell ref="BB321:BC321"/>
    <mergeCell ref="BD321:BE321"/>
    <mergeCell ref="BF321:BG321"/>
    <mergeCell ref="BH321:BI321"/>
    <mergeCell ref="BJ321:BK321"/>
    <mergeCell ref="BL321:BM321"/>
    <mergeCell ref="BN321:BO321"/>
    <mergeCell ref="BP321:BQ321"/>
    <mergeCell ref="BR321:BS321"/>
    <mergeCell ref="BT321:BU321"/>
    <mergeCell ref="BV321:BW321"/>
    <mergeCell ref="BX321:BY321"/>
    <mergeCell ref="BZ321:CA321"/>
    <mergeCell ref="CB321:CC321"/>
    <mergeCell ref="CD321:CE321"/>
    <mergeCell ref="AS323:CE323"/>
    <mergeCell ref="AS324:AY324"/>
    <mergeCell ref="AZ324:BA324"/>
    <mergeCell ref="BB324:BC324"/>
    <mergeCell ref="BD324:BE324"/>
    <mergeCell ref="BF324:BG324"/>
    <mergeCell ref="BH324:BI324"/>
    <mergeCell ref="BJ324:BK324"/>
    <mergeCell ref="BL324:BM324"/>
    <mergeCell ref="BN324:BO324"/>
    <mergeCell ref="BP324:BQ324"/>
    <mergeCell ref="BR324:BS324"/>
    <mergeCell ref="BT324:BU324"/>
    <mergeCell ref="BV324:BW324"/>
    <mergeCell ref="BX324:BY324"/>
    <mergeCell ref="BZ324:CA324"/>
    <mergeCell ref="CB324:CC324"/>
    <mergeCell ref="CD324:CE324"/>
    <mergeCell ref="AS325:AY325"/>
    <mergeCell ref="AZ325:BA325"/>
    <mergeCell ref="BB325:BC325"/>
    <mergeCell ref="BD325:BE325"/>
    <mergeCell ref="BF325:BG325"/>
    <mergeCell ref="BH325:BI325"/>
    <mergeCell ref="BJ325:BK325"/>
    <mergeCell ref="BL325:BM325"/>
    <mergeCell ref="BN325:BO325"/>
    <mergeCell ref="BP325:BQ325"/>
    <mergeCell ref="BR325:BS325"/>
    <mergeCell ref="BT325:BU325"/>
    <mergeCell ref="BV325:BW325"/>
    <mergeCell ref="BX325:BY325"/>
    <mergeCell ref="BZ325:CA325"/>
    <mergeCell ref="CB325:CC325"/>
    <mergeCell ref="CD325:CE325"/>
    <mergeCell ref="AS327:CE327"/>
    <mergeCell ref="AS328:AY328"/>
    <mergeCell ref="AZ328:BA328"/>
    <mergeCell ref="BB328:BC328"/>
    <mergeCell ref="BD328:BE328"/>
    <mergeCell ref="BF328:BG328"/>
    <mergeCell ref="BH328:BI328"/>
    <mergeCell ref="BJ328:BK328"/>
    <mergeCell ref="BL328:BM328"/>
    <mergeCell ref="BN328:BO328"/>
    <mergeCell ref="BP328:BQ328"/>
    <mergeCell ref="BR328:BS328"/>
    <mergeCell ref="BT328:BU328"/>
    <mergeCell ref="BV328:BW328"/>
    <mergeCell ref="BX328:BY328"/>
    <mergeCell ref="BZ328:CA328"/>
    <mergeCell ref="CB328:CC328"/>
    <mergeCell ref="CD328:CE328"/>
    <mergeCell ref="BB332:BC332"/>
    <mergeCell ref="BD332:BE332"/>
    <mergeCell ref="BF332:BG332"/>
    <mergeCell ref="BH332:BI332"/>
    <mergeCell ref="BJ332:BK332"/>
    <mergeCell ref="BL332:BM332"/>
    <mergeCell ref="BN332:BO332"/>
    <mergeCell ref="BP332:BQ332"/>
    <mergeCell ref="BR332:BS332"/>
    <mergeCell ref="BT332:BU332"/>
    <mergeCell ref="BV332:BW332"/>
    <mergeCell ref="BX332:BY332"/>
    <mergeCell ref="BZ332:CA332"/>
    <mergeCell ref="CB332:CC332"/>
    <mergeCell ref="CD332:CE332"/>
    <mergeCell ref="AS329:AY329"/>
    <mergeCell ref="AZ329:BA329"/>
    <mergeCell ref="BB329:BC329"/>
    <mergeCell ref="BD329:BE329"/>
    <mergeCell ref="BF329:BG329"/>
    <mergeCell ref="BH329:BI329"/>
    <mergeCell ref="BJ329:BK329"/>
    <mergeCell ref="BL329:BM329"/>
    <mergeCell ref="BN329:BO329"/>
    <mergeCell ref="BP329:BQ329"/>
    <mergeCell ref="BR329:BS329"/>
    <mergeCell ref="BT329:BU329"/>
    <mergeCell ref="BV329:BW329"/>
    <mergeCell ref="BX329:BY329"/>
    <mergeCell ref="BZ329:CA329"/>
    <mergeCell ref="CB329:CC329"/>
    <mergeCell ref="CD329:CE329"/>
    <mergeCell ref="AS221:CE242"/>
    <mergeCell ref="AS338:CD341"/>
    <mergeCell ref="BL336:BM336"/>
    <mergeCell ref="BN336:BO336"/>
    <mergeCell ref="BP336:BQ336"/>
    <mergeCell ref="BR336:BS336"/>
    <mergeCell ref="BT336:BU336"/>
    <mergeCell ref="BV336:BW336"/>
    <mergeCell ref="BX336:BY336"/>
    <mergeCell ref="BZ336:CA336"/>
    <mergeCell ref="CB336:CC336"/>
    <mergeCell ref="CD336:CE336"/>
    <mergeCell ref="AS333:AY333"/>
    <mergeCell ref="AZ333:BA333"/>
    <mergeCell ref="BB333:BC333"/>
    <mergeCell ref="BD333:BE333"/>
    <mergeCell ref="BF333:BG333"/>
    <mergeCell ref="BH333:BI333"/>
    <mergeCell ref="BJ333:BK333"/>
    <mergeCell ref="BL333:BM333"/>
    <mergeCell ref="BN333:BO333"/>
    <mergeCell ref="BP333:BQ333"/>
    <mergeCell ref="BR333:BS333"/>
    <mergeCell ref="BT333:BU333"/>
    <mergeCell ref="BV333:BW333"/>
    <mergeCell ref="BX333:BY333"/>
    <mergeCell ref="BZ333:CA333"/>
    <mergeCell ref="CB333:CC333"/>
    <mergeCell ref="CD333:CE333"/>
    <mergeCell ref="AS331:CE331"/>
    <mergeCell ref="AS332:AY332"/>
    <mergeCell ref="AZ332:BA332"/>
    <mergeCell ref="D373:AO379"/>
    <mergeCell ref="C381:AO381"/>
    <mergeCell ref="C383:AO385"/>
    <mergeCell ref="AS374:CE374"/>
    <mergeCell ref="GX23:GX24"/>
    <mergeCell ref="V388:Y388"/>
    <mergeCell ref="Z388:AB388"/>
    <mergeCell ref="AS337:AY337"/>
    <mergeCell ref="AZ337:BA337"/>
    <mergeCell ref="BB337:BC337"/>
    <mergeCell ref="BD337:BE337"/>
    <mergeCell ref="BF337:BG337"/>
    <mergeCell ref="BH337:BI337"/>
    <mergeCell ref="BJ337:BK337"/>
    <mergeCell ref="BL337:BM337"/>
    <mergeCell ref="BN337:BO337"/>
    <mergeCell ref="BP337:BQ337"/>
    <mergeCell ref="BR337:BS337"/>
    <mergeCell ref="BT337:BU337"/>
    <mergeCell ref="BV337:BW337"/>
    <mergeCell ref="BX337:BY337"/>
    <mergeCell ref="BZ337:CA337"/>
    <mergeCell ref="CB337:CC337"/>
    <mergeCell ref="CD337:CE337"/>
    <mergeCell ref="AS335:CE335"/>
    <mergeCell ref="AS336:AY336"/>
    <mergeCell ref="AZ336:BA336"/>
    <mergeCell ref="BB336:BC336"/>
    <mergeCell ref="BD336:BE336"/>
    <mergeCell ref="BF336:BG336"/>
    <mergeCell ref="BH336:BI336"/>
    <mergeCell ref="BJ336:BK336"/>
  </mergeCells>
  <phoneticPr fontId="36" type="noConversion"/>
  <conditionalFormatting sqref="J59">
    <cfRule type="cellIs" dxfId="260" priority="37" operator="greaterThan">
      <formula>$BL$14</formula>
    </cfRule>
    <cfRule type="cellIs" dxfId="259" priority="36" operator="greaterThan">
      <formula>"e44"</formula>
    </cfRule>
    <cfRule type="cellIs" dxfId="258" priority="38" operator="lessThan">
      <formula>"89.0%$F$45"</formula>
    </cfRule>
    <cfRule type="cellIs" dxfId="257" priority="39" operator="greaterThan">
      <formula>$BL$14</formula>
    </cfRule>
  </conditionalFormatting>
  <conditionalFormatting sqref="J60">
    <cfRule type="cellIs" dxfId="256" priority="35" operator="greaterThan">
      <formula>$BL$15</formula>
    </cfRule>
    <cfRule type="cellIs" dxfId="255" priority="34" operator="lessThan">
      <formula>"92.9%$F$46"</formula>
    </cfRule>
    <cfRule type="cellIs" dxfId="254" priority="33" operator="greaterThan">
      <formula>$BL$15</formula>
    </cfRule>
    <cfRule type="cellIs" dxfId="253" priority="32" operator="greaterThan">
      <formula>#REF!</formula>
    </cfRule>
    <cfRule type="cellIs" dxfId="252" priority="31" operator="greaterThan">
      <formula>"e45"</formula>
    </cfRule>
  </conditionalFormatting>
  <conditionalFormatting sqref="J61 P61">
    <cfRule type="cellIs" dxfId="251" priority="50" operator="greaterThan">
      <formula>$BL$16</formula>
    </cfRule>
  </conditionalFormatting>
  <conditionalFormatting sqref="J61:J62">
    <cfRule type="cellIs" dxfId="250" priority="44" operator="lessThan">
      <formula>#REF!</formula>
    </cfRule>
    <cfRule type="cellIs" dxfId="249" priority="135" operator="greaterThan">
      <formula>#REF!</formula>
    </cfRule>
  </conditionalFormatting>
  <conditionalFormatting sqref="J62 P62">
    <cfRule type="cellIs" dxfId="248" priority="47" operator="greaterThan">
      <formula>$BL$17</formula>
    </cfRule>
  </conditionalFormatting>
  <conditionalFormatting sqref="P59">
    <cfRule type="cellIs" dxfId="247" priority="43" operator="greaterThan">
      <formula>"e44"</formula>
    </cfRule>
    <cfRule type="cellIs" dxfId="246" priority="48" operator="greaterThan">
      <formula>$BL$14</formula>
    </cfRule>
    <cfRule type="cellIs" dxfId="245" priority="136" operator="lessThan">
      <formula>"89.0%$F$45"</formula>
    </cfRule>
  </conditionalFormatting>
  <conditionalFormatting sqref="P60">
    <cfRule type="cellIs" dxfId="244" priority="4" operator="greaterThan">
      <formula>#REF!</formula>
    </cfRule>
    <cfRule type="cellIs" dxfId="243" priority="5" operator="greaterThan">
      <formula>"e45"</formula>
    </cfRule>
    <cfRule type="cellIs" dxfId="242" priority="6" operator="greaterThan">
      <formula>$BL$15</formula>
    </cfRule>
    <cfRule type="cellIs" dxfId="241" priority="7" operator="lessThan">
      <formula>"92.9%$F$46"</formula>
    </cfRule>
    <cfRule type="cellIs" dxfId="240" priority="8" operator="greaterThan">
      <formula>$BL$15</formula>
    </cfRule>
  </conditionalFormatting>
  <conditionalFormatting sqref="P61 J61">
    <cfRule type="cellIs" dxfId="239" priority="45" operator="lessThan">
      <formula>"90.3%$L$45"</formula>
    </cfRule>
  </conditionalFormatting>
  <conditionalFormatting sqref="P61:P62">
    <cfRule type="cellIs" dxfId="238" priority="41" operator="greaterThan">
      <formula>#REF!</formula>
    </cfRule>
    <cfRule type="cellIs" dxfId="237" priority="40" operator="lessThan">
      <formula>#REF!</formula>
    </cfRule>
  </conditionalFormatting>
  <conditionalFormatting sqref="P62 J62">
    <cfRule type="cellIs" dxfId="236" priority="46" operator="lessThan">
      <formula>$BL$17</formula>
    </cfRule>
  </conditionalFormatting>
  <conditionalFormatting sqref="AZ14 BF14">
    <cfRule type="cellIs" dxfId="235" priority="115" operator="greaterThan">
      <formula>$BL$14</formula>
    </cfRule>
    <cfRule type="cellIs" dxfId="234" priority="117" operator="greaterThan">
      <formula>$BL$14</formula>
    </cfRule>
    <cfRule type="cellIs" dxfId="233" priority="116" operator="lessThan">
      <formula>"89.0%$F$45"</formula>
    </cfRule>
  </conditionalFormatting>
  <conditionalFormatting sqref="AZ14">
    <cfRule type="cellIs" dxfId="232" priority="112" operator="greaterThan">
      <formula>"e44"</formula>
    </cfRule>
  </conditionalFormatting>
  <conditionalFormatting sqref="AZ15 BF15">
    <cfRule type="cellIs" dxfId="231" priority="120" operator="greaterThan">
      <formula>$BL$15</formula>
    </cfRule>
    <cfRule type="cellIs" dxfId="230" priority="118" operator="greaterThan">
      <formula>$BL$15</formula>
    </cfRule>
    <cfRule type="cellIs" dxfId="229" priority="119" operator="lessThan">
      <formula>"92.9%$F$46"</formula>
    </cfRule>
  </conditionalFormatting>
  <conditionalFormatting sqref="AZ15">
    <cfRule type="cellIs" dxfId="228" priority="111" operator="greaterThan">
      <formula>"e45"</formula>
    </cfRule>
  </conditionalFormatting>
  <conditionalFormatting sqref="AZ15:AZ17">
    <cfRule type="cellIs" dxfId="227" priority="113" operator="greaterThan">
      <formula>#REF!</formula>
    </cfRule>
  </conditionalFormatting>
  <conditionalFormatting sqref="AZ16 BF16">
    <cfRule type="cellIs" dxfId="226" priority="123" operator="greaterThan">
      <formula>$BL$16</formula>
    </cfRule>
    <cfRule type="cellIs" dxfId="225" priority="122" operator="lessThan">
      <formula>"90.3%$L$45"</formula>
    </cfRule>
    <cfRule type="cellIs" dxfId="224" priority="121" operator="greaterThan">
      <formula>$BL$16</formula>
    </cfRule>
  </conditionalFormatting>
  <conditionalFormatting sqref="AZ16:AZ17">
    <cfRule type="cellIs" dxfId="223" priority="114" operator="lessThan">
      <formula>#REF!</formula>
    </cfRule>
  </conditionalFormatting>
  <conditionalFormatting sqref="AZ17 BF17">
    <cfRule type="cellIs" dxfId="222" priority="124" operator="lessThan">
      <formula>$BL$17</formula>
    </cfRule>
    <cfRule type="cellIs" dxfId="221" priority="125" operator="greaterThan">
      <formula>$BL$17</formula>
    </cfRule>
  </conditionalFormatting>
  <conditionalFormatting sqref="AZ23">
    <cfRule type="cellIs" dxfId="220" priority="80" operator="greaterThan">
      <formula>$BL$14</formula>
    </cfRule>
    <cfRule type="cellIs" dxfId="219" priority="79" operator="greaterThan">
      <formula>"e44"</formula>
    </cfRule>
    <cfRule type="cellIs" dxfId="218" priority="81" operator="lessThan">
      <formula>"89.0%$F$45"</formula>
    </cfRule>
    <cfRule type="cellIs" dxfId="217" priority="82" operator="greaterThan">
      <formula>$BL$14</formula>
    </cfRule>
  </conditionalFormatting>
  <conditionalFormatting sqref="AZ24">
    <cfRule type="cellIs" dxfId="216" priority="70" operator="greaterThan">
      <formula>$BL$15</formula>
    </cfRule>
    <cfRule type="cellIs" dxfId="215" priority="66" operator="greaterThan">
      <formula>"e45"</formula>
    </cfRule>
    <cfRule type="cellIs" dxfId="214" priority="67" operator="greaterThan">
      <formula>#REF!</formula>
    </cfRule>
    <cfRule type="cellIs" dxfId="213" priority="69" operator="lessThan">
      <formula>"92.9%$F$46"</formula>
    </cfRule>
    <cfRule type="cellIs" dxfId="212" priority="68" operator="greaterThan">
      <formula>$BL$15</formula>
    </cfRule>
  </conditionalFormatting>
  <conditionalFormatting sqref="AZ25 BF25">
    <cfRule type="cellIs" dxfId="211" priority="128" operator="lessThan">
      <formula>"90.3%$L$45"</formula>
    </cfRule>
  </conditionalFormatting>
  <conditionalFormatting sqref="AZ25:AZ26">
    <cfRule type="cellIs" dxfId="210" priority="104" operator="greaterThan">
      <formula>#REF!</formula>
    </cfRule>
    <cfRule type="cellIs" dxfId="209" priority="103" operator="lessThan">
      <formula>#REF!</formula>
    </cfRule>
  </conditionalFormatting>
  <conditionalFormatting sqref="AZ26 BF26">
    <cfRule type="cellIs" dxfId="208" priority="105" operator="lessThan">
      <formula>$BL$17</formula>
    </cfRule>
    <cfRule type="cellIs" dxfId="207" priority="106" operator="greaterThan">
      <formula>$BL$17</formula>
    </cfRule>
  </conditionalFormatting>
  <conditionalFormatting sqref="AZ32">
    <cfRule type="cellIs" dxfId="206" priority="75" operator="greaterThan">
      <formula>"e44"</formula>
    </cfRule>
    <cfRule type="cellIs" dxfId="205" priority="76" operator="greaterThan">
      <formula>$BL$14</formula>
    </cfRule>
    <cfRule type="cellIs" dxfId="204" priority="77" operator="lessThan">
      <formula>"89.0%$F$45"</formula>
    </cfRule>
    <cfRule type="cellIs" dxfId="203" priority="78" operator="greaterThan">
      <formula>$BL$14</formula>
    </cfRule>
  </conditionalFormatting>
  <conditionalFormatting sqref="AZ33">
    <cfRule type="cellIs" dxfId="202" priority="61" operator="greaterThan">
      <formula>"e45"</formula>
    </cfRule>
    <cfRule type="cellIs" dxfId="201" priority="62" operator="greaterThan">
      <formula>#REF!</formula>
    </cfRule>
    <cfRule type="cellIs" dxfId="200" priority="64" operator="lessThan">
      <formula>"92.9%$F$46"</formula>
    </cfRule>
    <cfRule type="cellIs" dxfId="199" priority="63" operator="greaterThan">
      <formula>$BL$15</formula>
    </cfRule>
    <cfRule type="cellIs" dxfId="198" priority="65" operator="greaterThan">
      <formula>$BL$15</formula>
    </cfRule>
  </conditionalFormatting>
  <conditionalFormatting sqref="AZ34 BF34">
    <cfRule type="cellIs" dxfId="197" priority="131" operator="lessThan">
      <formula>"90.3%$L$45"</formula>
    </cfRule>
  </conditionalFormatting>
  <conditionalFormatting sqref="AZ34:AZ35">
    <cfRule type="cellIs" dxfId="196" priority="96" operator="greaterThan">
      <formula>#REF!</formula>
    </cfRule>
    <cfRule type="cellIs" dxfId="195" priority="95" operator="lessThan">
      <formula>#REF!</formula>
    </cfRule>
  </conditionalFormatting>
  <conditionalFormatting sqref="AZ35 BF35">
    <cfRule type="cellIs" dxfId="194" priority="98" operator="greaterThan">
      <formula>$BL$17</formula>
    </cfRule>
    <cfRule type="cellIs" dxfId="193" priority="97" operator="lessThan">
      <formula>$BL$17</formula>
    </cfRule>
  </conditionalFormatting>
  <conditionalFormatting sqref="AZ41">
    <cfRule type="cellIs" dxfId="192" priority="72" operator="greaterThan">
      <formula>$BL$14</formula>
    </cfRule>
    <cfRule type="cellIs" dxfId="191" priority="73" operator="lessThan">
      <formula>"89.0%$F$45"</formula>
    </cfRule>
    <cfRule type="cellIs" dxfId="190" priority="74" operator="greaterThan">
      <formula>$BL$14</formula>
    </cfRule>
    <cfRule type="cellIs" dxfId="189" priority="71" operator="greaterThan">
      <formula>"e44"</formula>
    </cfRule>
  </conditionalFormatting>
  <conditionalFormatting sqref="AZ42">
    <cfRule type="cellIs" dxfId="188" priority="56" operator="greaterThan">
      <formula>"e45"</formula>
    </cfRule>
    <cfRule type="cellIs" dxfId="187" priority="58" operator="greaterThan">
      <formula>$BL$15</formula>
    </cfRule>
    <cfRule type="cellIs" dxfId="186" priority="59" operator="lessThan">
      <formula>"92.9%$F$46"</formula>
    </cfRule>
    <cfRule type="cellIs" dxfId="185" priority="60" operator="greaterThan">
      <formula>$BL$15</formula>
    </cfRule>
  </conditionalFormatting>
  <conditionalFormatting sqref="AZ42:AZ44">
    <cfRule type="cellIs" dxfId="184" priority="29" operator="greaterThan">
      <formula>#REF!</formula>
    </cfRule>
  </conditionalFormatting>
  <conditionalFormatting sqref="AZ43">
    <cfRule type="cellIs" dxfId="183" priority="30" operator="lessThan">
      <formula>"90.3%$L$45"</formula>
    </cfRule>
  </conditionalFormatting>
  <conditionalFormatting sqref="AZ43:AZ44">
    <cfRule type="cellIs" dxfId="182" priority="28" operator="lessThan">
      <formula>#REF!</formula>
    </cfRule>
  </conditionalFormatting>
  <conditionalFormatting sqref="AZ44 BF44">
    <cfRule type="cellIs" dxfId="181" priority="90" operator="greaterThan">
      <formula>$BL$17</formula>
    </cfRule>
    <cfRule type="cellIs" dxfId="180" priority="89" operator="lessThan">
      <formula>$BL$17</formula>
    </cfRule>
  </conditionalFormatting>
  <conditionalFormatting sqref="BF14">
    <cfRule type="cellIs" dxfId="179" priority="110" operator="greaterThan">
      <formula>"e44"</formula>
    </cfRule>
  </conditionalFormatting>
  <conditionalFormatting sqref="BF15">
    <cfRule type="cellIs" dxfId="178" priority="109" operator="greaterThan">
      <formula>"e45"</formula>
    </cfRule>
  </conditionalFormatting>
  <conditionalFormatting sqref="BF15:BF17">
    <cfRule type="cellIs" dxfId="177" priority="107" operator="greaterThan">
      <formula>#REF!</formula>
    </cfRule>
  </conditionalFormatting>
  <conditionalFormatting sqref="BF16:BF17">
    <cfRule type="cellIs" dxfId="176" priority="108" operator="lessThan">
      <formula>#REF!</formula>
    </cfRule>
  </conditionalFormatting>
  <conditionalFormatting sqref="BF23">
    <cfRule type="cellIs" dxfId="175" priority="27" operator="lessThan">
      <formula>"89.0%$F$45"</formula>
    </cfRule>
    <cfRule type="cellIs" dxfId="174" priority="26" operator="greaterThan">
      <formula>"e44"</formula>
    </cfRule>
  </conditionalFormatting>
  <conditionalFormatting sqref="BF24">
    <cfRule type="cellIs" dxfId="173" priority="19" operator="greaterThan">
      <formula>#REF!</formula>
    </cfRule>
    <cfRule type="cellIs" dxfId="172" priority="23" operator="greaterThan">
      <formula>$BL$15</formula>
    </cfRule>
    <cfRule type="cellIs" dxfId="171" priority="22" operator="lessThan">
      <formula>"92.9%$F$46"</formula>
    </cfRule>
    <cfRule type="cellIs" dxfId="170" priority="21" operator="greaterThan">
      <formula>$BL$15</formula>
    </cfRule>
    <cfRule type="cellIs" dxfId="169" priority="20" operator="greaterThan">
      <formula>"e45"</formula>
    </cfRule>
  </conditionalFormatting>
  <conditionalFormatting sqref="BF25:BF26">
    <cfRule type="cellIs" dxfId="168" priority="100" operator="greaterThan">
      <formula>#REF!</formula>
    </cfRule>
    <cfRule type="cellIs" dxfId="167" priority="99" operator="lessThan">
      <formula>#REF!</formula>
    </cfRule>
  </conditionalFormatting>
  <conditionalFormatting sqref="BF32">
    <cfRule type="cellIs" dxfId="166" priority="94" operator="greaterThan">
      <formula>"e44"</formula>
    </cfRule>
    <cfRule type="cellIs" dxfId="165" priority="129" operator="lessThan">
      <formula>"89.0%$F$45"</formula>
    </cfRule>
  </conditionalFormatting>
  <conditionalFormatting sqref="BF33">
    <cfRule type="cellIs" dxfId="164" priority="17" operator="lessThan">
      <formula>"92.9%$F$46"</formula>
    </cfRule>
    <cfRule type="cellIs" dxfId="163" priority="16" operator="greaterThan">
      <formula>$BL$15</formula>
    </cfRule>
    <cfRule type="cellIs" dxfId="162" priority="14" operator="greaterThan">
      <formula>#REF!</formula>
    </cfRule>
    <cfRule type="cellIs" dxfId="161" priority="15" operator="greaterThan">
      <formula>"e45"</formula>
    </cfRule>
    <cfRule type="cellIs" dxfId="160" priority="18" operator="greaterThan">
      <formula>$BL$15</formula>
    </cfRule>
  </conditionalFormatting>
  <conditionalFormatting sqref="BF34:BF35">
    <cfRule type="cellIs" dxfId="159" priority="91" operator="lessThan">
      <formula>#REF!</formula>
    </cfRule>
    <cfRule type="cellIs" dxfId="158" priority="92" operator="greaterThan">
      <formula>#REF!</formula>
    </cfRule>
  </conditionalFormatting>
  <conditionalFormatting sqref="BF41">
    <cfRule type="cellIs" dxfId="157" priority="25" operator="lessThan">
      <formula>"89.0%$F$45"</formula>
    </cfRule>
    <cfRule type="cellIs" dxfId="156" priority="24" operator="greaterThan">
      <formula>"e44"</formula>
    </cfRule>
  </conditionalFormatting>
  <conditionalFormatting sqref="BF42">
    <cfRule type="cellIs" dxfId="155" priority="11" operator="greaterThan">
      <formula>$BL$15</formula>
    </cfRule>
    <cfRule type="cellIs" dxfId="154" priority="13" operator="greaterThan">
      <formula>$BL$15</formula>
    </cfRule>
    <cfRule type="cellIs" dxfId="153" priority="10" operator="greaterThan">
      <formula>"e45"</formula>
    </cfRule>
    <cfRule type="cellIs" dxfId="152" priority="12" operator="lessThan">
      <formula>"92.9%$F$46"</formula>
    </cfRule>
  </conditionalFormatting>
  <conditionalFormatting sqref="BF42:BF44">
    <cfRule type="cellIs" dxfId="151" priority="2" operator="greaterThan">
      <formula>#REF!</formula>
    </cfRule>
  </conditionalFormatting>
  <conditionalFormatting sqref="BF43">
    <cfRule type="cellIs" dxfId="150" priority="3" operator="lessThan">
      <formula>"90.3%$L$45"</formula>
    </cfRule>
  </conditionalFormatting>
  <conditionalFormatting sqref="BF43:BF44">
    <cfRule type="cellIs" dxfId="149" priority="1" operator="lessThan">
      <formula>#REF!</formula>
    </cfRule>
  </conditionalFormatting>
  <dataValidations count="11">
    <dataValidation allowBlank="1" showInputMessage="1" showErrorMessage="1" prompt="Set to 0.01 if the branch does not exist._x000a_" sqref="F31:I33" xr:uid="{B82E2E05-BE8B-4B04-9A1C-7D12165E77B9}"/>
    <dataValidation allowBlank="1" showErrorMessage="1" sqref="S17:U17" xr:uid="{5035E4EF-FF5B-4C2D-B143-5BBAFAD5264E}"/>
    <dataValidation type="list" allowBlank="1" showInputMessage="1" showErrorMessage="1" sqref="C24:N24" xr:uid="{EBE4AFAF-EB2F-47A0-B3D4-2FCCEB417113}">
      <formula1>$CI$1:$CI$3</formula1>
    </dataValidation>
    <dataValidation allowBlank="1" showInputMessage="1" showErrorMessage="1" prompt="Set to 10,000 if you want this branch to be a capacitor branch with no tuning._x000a_" sqref="K29:N29" xr:uid="{702C3820-41C5-4796-9A42-F7D17998F655}"/>
    <dataValidation allowBlank="1" showInputMessage="1" showErrorMessage="1" prompt="Set to 10,000 if you want this branch to be a capacitor branch with no tuning." sqref="K30:N33" xr:uid="{9C6BF817-5B1C-4D5F-941D-1929B24C25E7}"/>
    <dataValidation allowBlank="1" showInputMessage="1" showErrorMessage="1" prompt="Set to 0.01 if the branch does not exist." sqref="F29:I30" xr:uid="{92B50EFB-6C7E-48D7-9DCF-FABD2F1C017E}"/>
    <dataValidation allowBlank="1" showInputMessage="1" showErrorMessage="1" prompt="Change to 10,000 if you want the high-pass filter modeled as a Notch Filter_x000a_" sqref="AJ29:AO31" xr:uid="{1C8A765A-51B1-48C9-974A-D464722BFC9D}"/>
    <dataValidation allowBlank="1" showInputMessage="1" showErrorMessage="1" prompt="Change to 10,000 if you want the high-pass filter modeled as a Notch Filter" sqref="AJ32:AO33" xr:uid="{437DB470-BA36-463E-AC28-ABB28BE3BCE7}"/>
    <dataValidation allowBlank="1" showInputMessage="1" showErrorMessage="1" prompt="VarStec recommends an engineering margin of 50% for high-pass filter resistors." sqref="AM46:AO46" xr:uid="{02513C0B-79B3-47EF-A9F4-A7F70C9D57A1}"/>
    <dataValidation allowBlank="1" showInputMessage="1" showErrorMessage="1" prompt="If Iron-Core Reactors are to be used, VarStec recommends a factor of 1.5 for the fundamental current." sqref="T45:V45" xr:uid="{819FFDBC-7120-4714-9361-BA38705514F3}"/>
    <dataValidation allowBlank="1" showInputMessage="1" showErrorMessage="1" prompt="If Iron-Core Reactors are to be used, VarStec recommends a factor of 1.5 for the fundamental current. " sqref="T46:V46" xr:uid="{8B4888D5-5C82-4593-A6B4-A40ECDA92260}"/>
  </dataValidations>
  <printOptions horizontalCentered="1" verticalCentered="1"/>
  <pageMargins left="0.2" right="0.2" top="0.205416666666667" bottom="0.3" header="0" footer="0"/>
  <pageSetup scale="90" orientation="portrait" r:id="rId1"/>
  <headerFooter>
    <oddHeader xml:space="preserve">&amp;L
&amp;R       </oddHeader>
  </headerFooter>
  <rowBreaks count="2" manualBreakCount="2">
    <brk id="63" max="16383" man="1"/>
    <brk id="13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5490E-A935-4FF5-AA90-758E1FDD394B}">
  <sheetPr>
    <pageSetUpPr fitToPage="1"/>
  </sheetPr>
  <dimension ref="B1:NK305"/>
  <sheetViews>
    <sheetView workbookViewId="0">
      <selection activeCell="NH8" sqref="NH8"/>
    </sheetView>
  </sheetViews>
  <sheetFormatPr defaultRowHeight="15" x14ac:dyDescent="0.25"/>
  <cols>
    <col min="1" max="84" width="2.7109375" style="1" customWidth="1"/>
    <col min="85" max="85" width="2.7109375" style="1" hidden="1" customWidth="1"/>
    <col min="86" max="108" width="10.7109375" style="1" hidden="1" customWidth="1"/>
    <col min="109" max="128" width="2.7109375" style="1" hidden="1" customWidth="1"/>
    <col min="129" max="131" width="9.140625" style="1" hidden="1" customWidth="1"/>
    <col min="132" max="132" width="43.28515625" style="1" hidden="1" customWidth="1"/>
    <col min="133" max="133" width="24.5703125" style="1" hidden="1" customWidth="1"/>
    <col min="134" max="134" width="49.7109375" style="1" hidden="1" customWidth="1"/>
    <col min="135" max="135" width="59.42578125" style="1" hidden="1" customWidth="1"/>
    <col min="136" max="136" width="26.42578125" style="1" hidden="1" customWidth="1"/>
    <col min="137" max="137" width="22.85546875" style="1" hidden="1" customWidth="1"/>
    <col min="138" max="138" width="20.140625" style="1" hidden="1" customWidth="1"/>
    <col min="139" max="139" width="24.140625" style="1" hidden="1" customWidth="1"/>
    <col min="140" max="140" width="13.5703125" style="1" hidden="1" customWidth="1"/>
    <col min="141" max="141" width="18.140625" style="1" hidden="1" customWidth="1"/>
    <col min="142" max="142" width="22.42578125" style="1" hidden="1" customWidth="1"/>
    <col min="143" max="143" width="14.140625" style="1" hidden="1" customWidth="1"/>
    <col min="144" max="144" width="9.140625" style="1" hidden="1" customWidth="1"/>
    <col min="145" max="145" width="12.42578125" style="1" hidden="1" customWidth="1"/>
    <col min="146" max="146" width="9.140625" style="1" hidden="1" customWidth="1"/>
    <col min="147" max="147" width="12.5703125" style="1" hidden="1" customWidth="1"/>
    <col min="148" max="177" width="9.140625" style="1" hidden="1" customWidth="1"/>
    <col min="178" max="186" width="9" style="1" hidden="1" customWidth="1"/>
    <col min="187" max="187" width="40.5703125" style="1" hidden="1" customWidth="1"/>
    <col min="188" max="188" width="11.28515625" style="1" hidden="1" customWidth="1"/>
    <col min="189" max="189" width="9" style="1" hidden="1" customWidth="1"/>
    <col min="190" max="191" width="9.140625" style="1" hidden="1" customWidth="1"/>
    <col min="192" max="194" width="9" style="1" hidden="1" customWidth="1"/>
    <col min="195" max="195" width="39.5703125" style="1" hidden="1" customWidth="1"/>
    <col min="196" max="199" width="9" style="1" hidden="1" customWidth="1"/>
    <col min="200" max="201" width="9.140625" style="1" hidden="1" customWidth="1"/>
    <col min="202" max="202" width="9" style="72" hidden="1" customWidth="1"/>
    <col min="203" max="214" width="9" style="1" hidden="1" customWidth="1"/>
    <col min="215" max="216" width="9.140625" style="1" hidden="1" customWidth="1"/>
    <col min="217" max="227" width="9" style="1" hidden="1" customWidth="1"/>
    <col min="228" max="241" width="2.7109375" style="1" hidden="1" customWidth="1"/>
    <col min="242" max="264" width="9.140625" style="1" hidden="1" customWidth="1"/>
    <col min="265" max="265" width="11.140625" style="1" hidden="1" customWidth="1"/>
    <col min="266" max="266" width="11.140625" style="74" hidden="1" customWidth="1"/>
    <col min="267" max="267" width="7.140625" style="2" hidden="1" customWidth="1"/>
    <col min="268" max="268" width="12.85546875" style="1" hidden="1" customWidth="1"/>
    <col min="269" max="269" width="40" style="1" hidden="1" customWidth="1"/>
    <col min="270" max="270" width="9.140625" style="1" hidden="1" customWidth="1"/>
    <col min="271" max="271" width="9.140625" style="2" hidden="1" customWidth="1"/>
    <col min="272" max="334" width="9.140625" style="1" hidden="1" customWidth="1"/>
    <col min="335" max="365" width="2.7109375" style="1" hidden="1" customWidth="1"/>
    <col min="366" max="370" width="9.140625" style="1" hidden="1" customWidth="1"/>
    <col min="371" max="381" width="9.140625" style="1" customWidth="1"/>
    <col min="382" max="16384" width="9.140625" style="1"/>
  </cols>
  <sheetData>
    <row r="1" spans="2:333" ht="18" customHeight="1" x14ac:dyDescent="0.25">
      <c r="EN1" s="29" t="s">
        <v>335</v>
      </c>
      <c r="EO1" s="1">
        <f>S17*1000/SQRT(3)</f>
        <v>7199.5578567946341</v>
      </c>
      <c r="GH1" s="261" t="s">
        <v>435</v>
      </c>
      <c r="GI1" s="261"/>
      <c r="GJ1" s="261"/>
      <c r="GK1" s="261"/>
      <c r="GL1" s="261"/>
      <c r="GM1" s="38">
        <f>(S17/SQRT(3))/BJ95</f>
        <v>0.47997052378630894</v>
      </c>
      <c r="JK1" s="1"/>
    </row>
    <row r="2" spans="2:333"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c r="EB2" s="38" t="s">
        <v>367</v>
      </c>
      <c r="GF2" s="89" t="s">
        <v>444</v>
      </c>
      <c r="GG2" s="89"/>
      <c r="GH2" s="89"/>
      <c r="GL2" s="87" t="s">
        <v>436</v>
      </c>
      <c r="GM2" s="38">
        <f>COS(ATAN(BV95))*GM1</f>
        <v>1.9183480301019129E-2</v>
      </c>
      <c r="GV2" s="38" t="s">
        <v>367</v>
      </c>
      <c r="JJ2" s="1" t="s">
        <v>3</v>
      </c>
      <c r="JK2" s="38" t="s">
        <v>367</v>
      </c>
    </row>
    <row r="3" spans="2:333" ht="18" customHeight="1" x14ac:dyDescent="0.25">
      <c r="B3" s="6"/>
      <c r="AO3" s="7" t="s">
        <v>280</v>
      </c>
      <c r="AP3" s="8"/>
      <c r="AR3" s="6"/>
      <c r="CD3" s="7"/>
      <c r="CF3" s="8"/>
      <c r="EM3" s="1" t="s">
        <v>320</v>
      </c>
      <c r="EW3" s="1" t="s">
        <v>366</v>
      </c>
      <c r="FQ3" s="1" t="s">
        <v>3</v>
      </c>
      <c r="GF3" s="89" t="str">
        <f t="shared" ref="GF3:GF4" si="0">GP3</f>
        <v>For Plotting Data</v>
      </c>
      <c r="GG3" s="89"/>
      <c r="GH3" s="89"/>
      <c r="GL3" s="87" t="s">
        <v>437</v>
      </c>
      <c r="GM3" s="38">
        <f>SIN(ATAN(BV95))*GM1</f>
        <v>0.47958700752547934</v>
      </c>
      <c r="GP3" s="1" t="s">
        <v>368</v>
      </c>
      <c r="HG3" s="1" t="s">
        <v>320</v>
      </c>
      <c r="HQ3" s="1" t="s">
        <v>366</v>
      </c>
      <c r="JK3" s="1"/>
      <c r="JV3" s="1" t="s">
        <v>320</v>
      </c>
      <c r="KF3" s="1" t="s">
        <v>366</v>
      </c>
    </row>
    <row r="4" spans="2:333" ht="18" customHeight="1" x14ac:dyDescent="0.25">
      <c r="B4" s="6"/>
      <c r="AO4" s="9" t="s">
        <v>1</v>
      </c>
      <c r="AP4" s="8"/>
      <c r="AR4" s="6"/>
      <c r="CD4" s="9"/>
      <c r="CF4" s="8"/>
      <c r="EA4" s="70" t="s">
        <v>2</v>
      </c>
      <c r="EB4" s="2" t="s">
        <v>309</v>
      </c>
      <c r="EC4" s="2" t="s">
        <v>310</v>
      </c>
      <c r="ED4" s="2" t="s">
        <v>311</v>
      </c>
      <c r="EE4" s="2" t="s">
        <v>312</v>
      </c>
      <c r="EF4" s="1" t="s">
        <v>313</v>
      </c>
      <c r="EG4" s="2" t="s">
        <v>314</v>
      </c>
      <c r="EH4" s="2" t="s">
        <v>315</v>
      </c>
      <c r="EI4" s="2" t="s">
        <v>316</v>
      </c>
      <c r="EJ4" s="2" t="s">
        <v>317</v>
      </c>
      <c r="EK4" s="2" t="s">
        <v>318</v>
      </c>
      <c r="EL4" s="2" t="s">
        <v>319</v>
      </c>
      <c r="EM4" s="2" t="s">
        <v>321</v>
      </c>
      <c r="EN4" s="2" t="s">
        <v>322</v>
      </c>
      <c r="EO4" s="1" t="s">
        <v>323</v>
      </c>
      <c r="EP4" s="1" t="s">
        <v>324</v>
      </c>
      <c r="EQ4" s="1" t="s">
        <v>325</v>
      </c>
      <c r="ER4" s="1" t="s">
        <v>326</v>
      </c>
      <c r="ES4" s="1" t="s">
        <v>327</v>
      </c>
      <c r="ET4" s="1" t="s">
        <v>328</v>
      </c>
      <c r="EU4" s="1" t="s">
        <v>329</v>
      </c>
      <c r="EV4" s="1" t="s">
        <v>330</v>
      </c>
      <c r="EW4" s="1" t="s">
        <v>331</v>
      </c>
      <c r="EX4" s="1" t="s">
        <v>332</v>
      </c>
      <c r="EY4" s="1" t="s">
        <v>333</v>
      </c>
      <c r="EZ4" s="1" t="s">
        <v>334</v>
      </c>
      <c r="FB4" s="1" t="s">
        <v>336</v>
      </c>
      <c r="FC4" s="1" t="s">
        <v>337</v>
      </c>
      <c r="FD4" s="1" t="s">
        <v>338</v>
      </c>
      <c r="FE4" s="1" t="s">
        <v>339</v>
      </c>
      <c r="FF4" s="1" t="s">
        <v>340</v>
      </c>
      <c r="FG4" s="1" t="s">
        <v>341</v>
      </c>
      <c r="FH4" s="1" t="s">
        <v>342</v>
      </c>
      <c r="FI4" s="1" t="s">
        <v>343</v>
      </c>
      <c r="FJ4" s="1" t="s">
        <v>344</v>
      </c>
      <c r="FK4" s="1" t="s">
        <v>345</v>
      </c>
      <c r="FL4" s="1" t="s">
        <v>346</v>
      </c>
      <c r="FM4" s="1" t="s">
        <v>347</v>
      </c>
      <c r="FN4" s="1" t="s">
        <v>348</v>
      </c>
      <c r="FO4" s="1" t="s">
        <v>349</v>
      </c>
      <c r="FP4" s="1" t="s">
        <v>350</v>
      </c>
      <c r="FQ4" s="1" t="s">
        <v>351</v>
      </c>
      <c r="FR4" s="1" t="s">
        <v>352</v>
      </c>
      <c r="FS4" s="1" t="s">
        <v>353</v>
      </c>
      <c r="FT4" s="1" t="s">
        <v>354</v>
      </c>
      <c r="FU4" s="1" t="s">
        <v>355</v>
      </c>
      <c r="FV4" s="1" t="s">
        <v>356</v>
      </c>
      <c r="FW4" s="1" t="s">
        <v>352</v>
      </c>
      <c r="FX4" s="1" t="s">
        <v>357</v>
      </c>
      <c r="FY4" s="1" t="s">
        <v>358</v>
      </c>
      <c r="FZ4" s="1" t="s">
        <v>359</v>
      </c>
      <c r="GA4" s="1" t="s">
        <v>353</v>
      </c>
      <c r="GB4" s="1" t="s">
        <v>360</v>
      </c>
      <c r="GC4" s="1" t="s">
        <v>361</v>
      </c>
      <c r="GD4" s="1" t="s">
        <v>362</v>
      </c>
      <c r="GE4" s="1" t="s">
        <v>363</v>
      </c>
      <c r="GF4" s="89" t="str">
        <f t="shared" si="0"/>
        <v>H</v>
      </c>
      <c r="GG4" s="89"/>
      <c r="GH4" s="89"/>
      <c r="GJ4" s="1" t="s">
        <v>364</v>
      </c>
      <c r="GK4" s="1" t="s">
        <v>365</v>
      </c>
      <c r="GM4" s="1" t="s">
        <v>438</v>
      </c>
      <c r="GP4" s="2" t="s">
        <v>369</v>
      </c>
      <c r="GQ4" s="2" t="s">
        <v>439</v>
      </c>
      <c r="GR4" s="1" t="s">
        <v>440</v>
      </c>
      <c r="GS4" s="1" t="s">
        <v>441</v>
      </c>
      <c r="GU4" s="70" t="s">
        <v>2</v>
      </c>
      <c r="GV4" s="2" t="s">
        <v>309</v>
      </c>
      <c r="GW4" s="2" t="s">
        <v>310</v>
      </c>
      <c r="GX4" s="2" t="s">
        <v>311</v>
      </c>
      <c r="GY4" s="2" t="s">
        <v>312</v>
      </c>
      <c r="GZ4" s="1" t="s">
        <v>313</v>
      </c>
      <c r="HA4" s="2" t="s">
        <v>314</v>
      </c>
      <c r="HB4" s="2" t="s">
        <v>315</v>
      </c>
      <c r="HC4" s="2" t="s">
        <v>316</v>
      </c>
      <c r="HD4" s="2" t="s">
        <v>317</v>
      </c>
      <c r="HE4" s="2" t="s">
        <v>318</v>
      </c>
      <c r="HF4" s="2" t="s">
        <v>319</v>
      </c>
      <c r="HG4" s="2" t="s">
        <v>321</v>
      </c>
      <c r="HH4" s="2" t="s">
        <v>322</v>
      </c>
      <c r="HI4" s="1" t="s">
        <v>323</v>
      </c>
      <c r="HJ4" s="1" t="s">
        <v>324</v>
      </c>
      <c r="HK4" s="1" t="s">
        <v>325</v>
      </c>
      <c r="HL4" s="1" t="s">
        <v>326</v>
      </c>
      <c r="HM4" s="1" t="s">
        <v>327</v>
      </c>
      <c r="HN4" s="1" t="s">
        <v>328</v>
      </c>
      <c r="HO4" s="1" t="s">
        <v>329</v>
      </c>
      <c r="HP4" s="1" t="s">
        <v>330</v>
      </c>
      <c r="HQ4" s="1" t="s">
        <v>331</v>
      </c>
      <c r="HR4" s="1" t="s">
        <v>332</v>
      </c>
      <c r="HS4" s="1" t="s">
        <v>333</v>
      </c>
      <c r="HT4" s="1" t="s">
        <v>334</v>
      </c>
      <c r="HV4" s="1" t="s">
        <v>336</v>
      </c>
      <c r="HW4" s="1" t="s">
        <v>337</v>
      </c>
      <c r="HX4" s="1" t="s">
        <v>338</v>
      </c>
      <c r="HY4" s="1" t="s">
        <v>339</v>
      </c>
      <c r="HZ4" s="1" t="s">
        <v>340</v>
      </c>
      <c r="IA4" s="1" t="s">
        <v>341</v>
      </c>
      <c r="IB4" s="1" t="s">
        <v>342</v>
      </c>
      <c r="IC4" s="1" t="s">
        <v>343</v>
      </c>
      <c r="ID4" s="1" t="s">
        <v>344</v>
      </c>
      <c r="IE4" s="1" t="s">
        <v>345</v>
      </c>
      <c r="IF4" s="1" t="s">
        <v>346</v>
      </c>
      <c r="IG4" s="1" t="s">
        <v>347</v>
      </c>
      <c r="IH4" s="1" t="s">
        <v>348</v>
      </c>
      <c r="II4" s="1" t="s">
        <v>349</v>
      </c>
      <c r="IJ4" s="1" t="s">
        <v>350</v>
      </c>
      <c r="IK4" s="1" t="s">
        <v>351</v>
      </c>
      <c r="IL4" s="1" t="s">
        <v>352</v>
      </c>
      <c r="IM4" s="1" t="s">
        <v>353</v>
      </c>
      <c r="IN4" s="1" t="s">
        <v>354</v>
      </c>
      <c r="IO4" s="1" t="s">
        <v>355</v>
      </c>
      <c r="IP4" s="1" t="s">
        <v>356</v>
      </c>
      <c r="IQ4" s="1" t="s">
        <v>352</v>
      </c>
      <c r="IR4" s="1" t="s">
        <v>357</v>
      </c>
      <c r="IS4" s="1" t="s">
        <v>358</v>
      </c>
      <c r="IT4" s="1" t="s">
        <v>359</v>
      </c>
      <c r="IU4" s="1" t="s">
        <v>353</v>
      </c>
      <c r="IV4" s="1" t="s">
        <v>360</v>
      </c>
      <c r="IW4" s="1" t="s">
        <v>361</v>
      </c>
      <c r="IX4" s="1" t="s">
        <v>362</v>
      </c>
      <c r="IY4" s="1" t="s">
        <v>363</v>
      </c>
      <c r="JD4" s="1" t="s">
        <v>371</v>
      </c>
      <c r="JE4" s="1" t="s">
        <v>365</v>
      </c>
      <c r="JJ4" s="1" t="s">
        <v>371</v>
      </c>
      <c r="JK4" s="2" t="s">
        <v>309</v>
      </c>
      <c r="JL4" s="2" t="s">
        <v>310</v>
      </c>
      <c r="JM4" s="2" t="s">
        <v>311</v>
      </c>
      <c r="JN4" s="2" t="s">
        <v>312</v>
      </c>
      <c r="JO4" s="1" t="s">
        <v>313</v>
      </c>
      <c r="JP4" s="2" t="s">
        <v>314</v>
      </c>
      <c r="JQ4" s="2" t="s">
        <v>315</v>
      </c>
      <c r="JR4" s="2" t="s">
        <v>316</v>
      </c>
      <c r="JS4" s="2" t="s">
        <v>317</v>
      </c>
      <c r="JT4" s="2" t="s">
        <v>318</v>
      </c>
      <c r="JU4" s="2" t="s">
        <v>319</v>
      </c>
      <c r="JV4" s="2" t="s">
        <v>321</v>
      </c>
      <c r="JW4" s="2" t="s">
        <v>322</v>
      </c>
      <c r="JX4" s="75" t="s">
        <v>323</v>
      </c>
      <c r="JY4" s="1" t="s">
        <v>324</v>
      </c>
      <c r="JZ4" s="1" t="s">
        <v>325</v>
      </c>
      <c r="KA4" s="1" t="s">
        <v>326</v>
      </c>
      <c r="KB4" s="75" t="s">
        <v>327</v>
      </c>
      <c r="KC4" s="1" t="s">
        <v>328</v>
      </c>
      <c r="KD4" s="1" t="s">
        <v>329</v>
      </c>
      <c r="KE4" s="1" t="s">
        <v>330</v>
      </c>
      <c r="KF4" s="75" t="s">
        <v>331</v>
      </c>
      <c r="KG4" s="1" t="s">
        <v>332</v>
      </c>
      <c r="KH4" s="1" t="s">
        <v>333</v>
      </c>
      <c r="KI4" s="75" t="s">
        <v>334</v>
      </c>
      <c r="KK4" s="1" t="s">
        <v>336</v>
      </c>
      <c r="KL4" s="1" t="s">
        <v>337</v>
      </c>
      <c r="KM4" s="1" t="s">
        <v>338</v>
      </c>
      <c r="KN4" s="1" t="s">
        <v>339</v>
      </c>
      <c r="KO4" s="1" t="s">
        <v>340</v>
      </c>
      <c r="KP4" s="1" t="s">
        <v>341</v>
      </c>
      <c r="KQ4" s="1" t="s">
        <v>342</v>
      </c>
      <c r="KR4" s="1" t="s">
        <v>343</v>
      </c>
      <c r="KS4" s="1" t="s">
        <v>344</v>
      </c>
      <c r="KT4" s="1" t="s">
        <v>345</v>
      </c>
      <c r="KU4" s="1" t="s">
        <v>346</v>
      </c>
      <c r="KV4" s="1" t="s">
        <v>347</v>
      </c>
      <c r="KW4" s="1" t="s">
        <v>348</v>
      </c>
      <c r="KX4" s="1" t="s">
        <v>349</v>
      </c>
      <c r="KY4" s="1" t="s">
        <v>350</v>
      </c>
      <c r="KZ4" s="75" t="s">
        <v>351</v>
      </c>
      <c r="LA4" s="1" t="s">
        <v>352</v>
      </c>
      <c r="LB4" s="1" t="s">
        <v>353</v>
      </c>
      <c r="LC4" s="75" t="s">
        <v>354</v>
      </c>
      <c r="LD4" s="75" t="s">
        <v>355</v>
      </c>
      <c r="LE4" s="75" t="s">
        <v>356</v>
      </c>
      <c r="LF4" s="1" t="s">
        <v>352</v>
      </c>
      <c r="LG4" s="1" t="s">
        <v>357</v>
      </c>
      <c r="LH4" s="1" t="s">
        <v>358</v>
      </c>
      <c r="LI4" s="1" t="s">
        <v>359</v>
      </c>
      <c r="LJ4" s="1" t="s">
        <v>353</v>
      </c>
      <c r="LK4" s="1" t="s">
        <v>360</v>
      </c>
      <c r="LL4" s="1" t="s">
        <v>361</v>
      </c>
      <c r="LM4" s="1" t="s">
        <v>362</v>
      </c>
      <c r="LN4" s="75" t="s">
        <v>363</v>
      </c>
      <c r="LS4" s="1" t="s">
        <v>371</v>
      </c>
      <c r="LT4" s="1" t="s">
        <v>365</v>
      </c>
    </row>
    <row r="5" spans="2:333" ht="18" customHeight="1" thickBot="1" x14ac:dyDescent="0.3">
      <c r="B5" s="6"/>
      <c r="AO5" s="9" t="s">
        <v>4</v>
      </c>
      <c r="AP5" s="8"/>
      <c r="AR5" s="6"/>
      <c r="AS5" s="10" t="str">
        <f>"Harmonic Filter Design - H - Type | "&amp; H12 &amp; " | " &amp; AE13</f>
        <v xml:space="preserve">Harmonic Filter Design - H - Type | Enter Customer PO #  | </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1"/>
      <c r="CE5" s="10"/>
      <c r="CF5" s="8"/>
      <c r="EA5" s="1">
        <v>1</v>
      </c>
      <c r="EB5" s="1" t="str">
        <f>IMDIV(COMPLEX(1,0),COMPLEX($W$39/100,$W$39))</f>
        <v>0.00453714060211417-0.453714060211417i</v>
      </c>
      <c r="EC5" s="1" t="str">
        <f>IMDIV(COMPLEX(1,0),COMPLEX(0,W40))</f>
        <v>-0.888998070107633i</v>
      </c>
      <c r="ED5" s="1" t="str">
        <f>IMDIV(COMPLEX(1,0),COMPLEX(0,W41))</f>
        <v>-2.19702908471913i</v>
      </c>
      <c r="EE5" s="1" t="str">
        <f>IMDIV(COMPLEX(1,0),COMPLEX(0,W42))</f>
        <v>-3.06827806141315i</v>
      </c>
      <c r="EF5" s="1" t="str">
        <f>IMDIV(COMPLEX(1,0),COMPLEX(0,-L39))</f>
        <v>0.0181503772646975i</v>
      </c>
      <c r="EG5" s="1" t="str">
        <f>IMDIV(COMPLEX(1,0),COMPLEX(0,-L40))</f>
        <v>0.0181428177572986i</v>
      </c>
      <c r="EH5" s="1" t="str">
        <f>IMDIV(COMPLEX(1,0),COMPLEX(0,-L41))</f>
        <v>0.018157265162968i</v>
      </c>
      <c r="EI5" s="1" t="str">
        <f>IMDIV(COMPLEX(1,0),COMPLEX(0,-L42))</f>
        <v>0.0181554914876518i</v>
      </c>
      <c r="EJ5" s="1" t="str">
        <f t="shared" ref="EJ5:EJ68" si="1">IMDIV(COMPLEX(1,0),COMPLEX($AL$29,0))</f>
        <v>0.005</v>
      </c>
      <c r="EK5" s="1" t="str">
        <f t="shared" ref="EK5:EK68" si="2">IMDIV(COMPLEX(1,0),COMPLEX($AL$30,0))</f>
        <v>0.01</v>
      </c>
      <c r="EL5" s="1" t="str">
        <f t="shared" ref="EL5:EL68" si="3">IMDIV(COMPLEX(1,0),COMPLEX($AL$31,0))</f>
        <v>0.0125</v>
      </c>
      <c r="EM5" s="1" t="str">
        <f>IMSUM(EB5,EF5,EJ5)</f>
        <v>0.00953714060211417-0.43556368294672i</v>
      </c>
      <c r="EN5" s="1" t="str">
        <f>IMPRODUCT("-1+0i",EJ5)</f>
        <v>-0.005</v>
      </c>
      <c r="EO5" s="1" t="str">
        <f>IMPRODUCT($EO$1,EB5)</f>
        <v>32.665406269333-3266.5406269333i</v>
      </c>
      <c r="EP5" s="1" t="str">
        <f>IMPRODUCT("-1+0i",EJ5)</f>
        <v>-0.005</v>
      </c>
      <c r="EQ5" s="1" t="str">
        <f>IMSUM(EC5,EG5,EJ5,EK5)</f>
        <v>0.015-0.870855252350334i</v>
      </c>
      <c r="ER5" s="1" t="str">
        <f>IMPRODUCT("-1+0i",EK5)</f>
        <v>-0.01</v>
      </c>
      <c r="ES5" s="1" t="str">
        <f>IMPRODUCT($EO$1,EC5)</f>
        <v>-6400.39304031868i</v>
      </c>
      <c r="ET5" s="1" t="str">
        <f>IMPRODUCT("-1+0i",EK5)</f>
        <v>-0.01</v>
      </c>
      <c r="EU5" s="1" t="str">
        <f>IMSUM(ED5,EH5,EK5,EL5)</f>
        <v>0.0225-2.17887181955616i</v>
      </c>
      <c r="EV5" s="1" t="str">
        <f>IMPRODUCT("-1+0i",EL5)</f>
        <v>-0.0125</v>
      </c>
      <c r="EW5" s="1" t="str">
        <f>IMPRODUCT($EO$1,ED5)</f>
        <v>-15817.6380084959i</v>
      </c>
      <c r="EX5" s="1" t="str">
        <f>IMPRODUCT("-1+0i",EL5)</f>
        <v>-0.0125</v>
      </c>
      <c r="EY5" s="1" t="str">
        <f>IMSUM(EE5,EI5,EL5)</f>
        <v>0.0125-3.0501225699255i</v>
      </c>
      <c r="EZ5" s="1" t="str">
        <f>IMPRODUCT($EO$1,EE5)</f>
        <v>-22090.2454238777i</v>
      </c>
      <c r="FB5" s="1" t="str">
        <f>EM5</f>
        <v>0.00953714060211417-0.43556368294672i</v>
      </c>
      <c r="FC5" s="1" t="str">
        <f>EO5</f>
        <v>32.665406269333-3266.5406269333i</v>
      </c>
      <c r="FD5" s="1" t="str">
        <f>IMDIV(EP5,FB5)</f>
        <v>-0.000251233008625503-0.0114738766135472i</v>
      </c>
      <c r="FE5" s="1" t="str">
        <f>IMSUB(EQ5,IMPRODUCT(FD5,EN5))</f>
        <v>0.0149987438349569-0.870912621733402i</v>
      </c>
      <c r="FF5" s="1" t="str">
        <f>IMSUB(ES5,IMPRODUCT(FD5,FC5))</f>
        <v>37.4880907348668-6400.83890430712i</v>
      </c>
      <c r="FG5" s="1" t="str">
        <f>IMDIV(ET5,FE5)</f>
        <v>-0.000197686462072889-0.011478803615796i</v>
      </c>
      <c r="FH5" s="1" t="str">
        <f>IMSUB(EU5,IMPRODUCT(FG5,ER5))</f>
        <v>0.0224980231353793-2.17898660759232i</v>
      </c>
      <c r="FI5" s="1" t="str">
        <f>IMSUB(EW5,IMPRODUCT(FG5,FF5))</f>
        <v>73.4813836469155-15818.4730492617i</v>
      </c>
      <c r="FJ5" s="1" t="str">
        <f>IMDIV(EX5,FH5)</f>
        <v>-0.0000592241660890722-0.00573600017998808i</v>
      </c>
      <c r="FK5" s="1" t="str">
        <f>IMSUB(EY5,IMPRODUCT(FJ5,EV5))</f>
        <v>0.0124992596979239-3.05019426992775i</v>
      </c>
      <c r="FL5" s="1" t="str">
        <f>IMSUB(EZ5,IMPRODUCT(FJ5,EW5))</f>
        <v>90.7299744637188-22091.1822102983i</v>
      </c>
      <c r="FM5" s="1" t="str">
        <f>IMDIV(FL5,FK5)</f>
        <v>7242.54951951005+0.0667062902500036i</v>
      </c>
      <c r="FN5" s="1" t="str">
        <f>IMDIV(IMSUB(FI5,IMPRODUCT(EV5,FM5)),FH5)</f>
        <v>7259.55784183807+0.315537672465849i</v>
      </c>
      <c r="FO5" s="1" t="str">
        <f>IMDIV(IMSUB(FF5,IMPRODUCT(ER5,FN5)),FE5)</f>
        <v>7349.56985900253-0.172975399934455i</v>
      </c>
      <c r="FP5" s="1" t="str">
        <f>IMDIV(IMSUB(FC5,IMPRODUCT(EN5,FO5)),FB5)</f>
        <v>7499.46658621952-4.84478341952423i</v>
      </c>
      <c r="FQ5" s="92" t="str">
        <f>IMPRODUCT(IMSUB($EO$1,FP5),EB5)</f>
        <v>0.837418282915168+136.094788783773i</v>
      </c>
      <c r="FR5" s="1" t="str">
        <f>IMPRODUCT(FP5,EF5)</f>
        <v>0.087934646830116+136.118147823877i</v>
      </c>
      <c r="FS5" s="1" t="str">
        <f>IMPRODUCT(IMSUB(FP5,FO5),EJ5)</f>
        <v>0.749483636084945-0.0233590400979489i</v>
      </c>
      <c r="FT5" s="1" t="str">
        <f>IMPRODUCT(IMSUB($EO$1,FO5),EC5)</f>
        <v>0.153774796717826+133.360380455802i</v>
      </c>
      <c r="FU5" s="1" t="str">
        <f>IMPRODUCT(IMSUB($EO$1,FN5),ED5)</f>
        <v>-0.693245443732049+131.821712223142i</v>
      </c>
      <c r="FV5" s="1" t="str">
        <f>IMPRODUCT(IMSUB($EO$1,FM5),EE5)</f>
        <v>-0.204673446932344+131.910375533385i</v>
      </c>
      <c r="FW5" s="1" t="str">
        <f>IMPRODUCT(FP5,EF5)</f>
        <v>0.087934646830116+136.118147823877i</v>
      </c>
      <c r="FX5" s="1" t="str">
        <f>IMPRODUCT(FO5,EG5)</f>
        <v>0.00313826115750666+133.341906546418i</v>
      </c>
      <c r="FY5" s="1" t="str">
        <f>IMPRODUCT(FN5,EH5)</f>
        <v>-0.00572930118786817+131.813716700158i</v>
      </c>
      <c r="FZ5" s="1" t="str">
        <f>IMPRODUCT(FM5,EI5)</f>
        <v>-0.00121108548480677+131.492046150361i</v>
      </c>
      <c r="GA5" s="1" t="str">
        <f>IMPRODUCT(IMSUB(FP5,FO5),EJ5)</f>
        <v>0.749483636084945-0.0233590400979489i</v>
      </c>
      <c r="GB5" s="1" t="str">
        <f>IMPRODUCT(IMSUB(FO5,FN5),EK5)</f>
        <v>0.900120171644603-0.00488513072400304i</v>
      </c>
      <c r="GC5" s="1" t="str">
        <f>IMPRODUCT(IMSUB(FN5,FM5),EL5)</f>
        <v>0.212604029100249+0.00311039227769806i</v>
      </c>
      <c r="GD5" s="92" t="str">
        <f>IMSUM(FQ5,FT5,FU5,FV5)</f>
        <v>0.093274188968601+533.187256996102i</v>
      </c>
      <c r="GE5" s="1" t="str">
        <f>IMDIV($EO$1,GD5)</f>
        <v>0.00236215162672727-13.5028689114367i</v>
      </c>
      <c r="GF5" s="1">
        <f>GP5</f>
        <v>1</v>
      </c>
      <c r="GG5" s="56">
        <f>IMABS(IMDIV(GE5,IMSUM(GE5,GM5)))</f>
        <v>1.0368239541246618</v>
      </c>
      <c r="GH5" s="1">
        <f>IMABS(IMDIV(GM5,IMSUM(GE5,GM5)))</f>
        <v>3.6854755236437407E-2</v>
      </c>
      <c r="GJ5" s="1">
        <f>IMABS(GD5)</f>
        <v>533.18726515465619</v>
      </c>
      <c r="GK5" s="72">
        <f>IMABS(GE5)</f>
        <v>13.50286911805058</v>
      </c>
      <c r="GM5" s="1" t="str">
        <f>COMPLEX($GM$2,$GM$3*GP5)</f>
        <v>0.0191834803010191+0.479587007525479i</v>
      </c>
      <c r="GP5" s="1">
        <f t="shared" ref="GP5:GP68" si="4">EA5</f>
        <v>1</v>
      </c>
      <c r="GQ5" s="1">
        <f t="shared" ref="GQ5:GQ68" si="5">GK5</f>
        <v>13.50286911805058</v>
      </c>
      <c r="GR5" s="1">
        <f>IMABS(GM5)</f>
        <v>0.47997052378630867</v>
      </c>
      <c r="GS5" s="1">
        <f>IMABS(IMDIV(COMPLEX(1,0),IMSUM(IMDIV(COMPLEX(1,0),GM5),IMDIV(COMPLEX(1,0),GE5))))</f>
        <v>0.49764493633540202</v>
      </c>
      <c r="GU5" s="1">
        <v>1</v>
      </c>
      <c r="GV5" s="1" t="str">
        <f>IMDIV(COMPLEX(1,0),COMPLEX($W$39/100,$W$39))</f>
        <v>0.00453714060211417-0.453714060211417i</v>
      </c>
      <c r="GW5" s="1" t="str">
        <f>IMDIV(COMPLEX(1,0),COMPLEX(0,$W$40))</f>
        <v>-0.888998070107633i</v>
      </c>
      <c r="GX5" s="1" t="str">
        <f>IMDIV(COMPLEX(1,0),COMPLEX(0,$W$41))</f>
        <v>-2.19702908471913i</v>
      </c>
      <c r="GY5" s="1" t="str">
        <f>IMDIV(COMPLEX(1,0),COMPLEX(0,$W$42))</f>
        <v>-3.06827806141315i</v>
      </c>
      <c r="GZ5" s="1" t="str">
        <f>IMDIV(COMPLEX(1,0),COMPLEX(0,-$L$39))</f>
        <v>0.0181503772646975i</v>
      </c>
      <c r="HA5" s="1" t="str">
        <f>IMDIV(COMPLEX(1,0),COMPLEX(0,-$L$40))</f>
        <v>0.0181428177572986i</v>
      </c>
      <c r="HB5" s="1" t="str">
        <f>IMDIV(COMPLEX(1,0),COMPLEX(0,-$L$41))</f>
        <v>0.018157265162968i</v>
      </c>
      <c r="HC5" s="1" t="str">
        <f>IMDIV(COMPLEX(1,0),COMPLEX(0,-$L$42))</f>
        <v>0.0181554914876518i</v>
      </c>
      <c r="HD5" s="1" t="str">
        <f t="shared" ref="HD5:HD20" si="6">IMDIV(COMPLEX(1,0),COMPLEX($AL$29,0))</f>
        <v>0.005</v>
      </c>
      <c r="HE5" s="1" t="str">
        <f t="shared" ref="HE5:HE20" si="7">IMDIV(COMPLEX(1,0),COMPLEX($AL$30,0))</f>
        <v>0.01</v>
      </c>
      <c r="HF5" s="1" t="str">
        <f t="shared" ref="HF5:HF20" si="8">IMDIV(COMPLEX(1,0),COMPLEX($AL$31,0))</f>
        <v>0.0125</v>
      </c>
      <c r="HG5" s="1" t="str">
        <f>IMSUM(GV5,GZ5,HD5)</f>
        <v>0.00953714060211417-0.43556368294672i</v>
      </c>
      <c r="HH5" s="1" t="str">
        <f>IMPRODUCT("-1+0i",HD5)</f>
        <v>-0.005</v>
      </c>
      <c r="HI5" s="1" t="str">
        <f>IMPRODUCT($EO$1,GV5)</f>
        <v>32.665406269333-3266.5406269333i</v>
      </c>
      <c r="HJ5" s="1" t="str">
        <f>IMPRODUCT("-1+0i",HD5)</f>
        <v>-0.005</v>
      </c>
      <c r="HK5" s="1" t="str">
        <f>IMSUM(GW5,HA5,HD5,HE5)</f>
        <v>0.015-0.870855252350334i</v>
      </c>
      <c r="HL5" s="1" t="str">
        <f>IMPRODUCT("-1+0i",HE5)</f>
        <v>-0.01</v>
      </c>
      <c r="HM5" s="1" t="str">
        <f>IMPRODUCT($EO$1,GW5)</f>
        <v>-6400.39304031868i</v>
      </c>
      <c r="HN5" s="1" t="str">
        <f>IMPRODUCT("-1+0i",HE5)</f>
        <v>-0.01</v>
      </c>
      <c r="HO5" s="1" t="str">
        <f>IMSUM(GX5,HB5,HE5,HF5)</f>
        <v>0.0225-2.17887181955616i</v>
      </c>
      <c r="HP5" s="1" t="str">
        <f>IMPRODUCT("-1+0i",HF5)</f>
        <v>-0.0125</v>
      </c>
      <c r="HQ5" s="1" t="str">
        <f>IMPRODUCT($EO$1,GX5)</f>
        <v>-15817.6380084959i</v>
      </c>
      <c r="HR5" s="1" t="str">
        <f>IMPRODUCT("-1+0i",HF5)</f>
        <v>-0.0125</v>
      </c>
      <c r="HS5" s="1" t="str">
        <f>IMSUM(GY5,HC5,HF5)</f>
        <v>0.0125-3.0501225699255i</v>
      </c>
      <c r="HT5" s="1" t="str">
        <f>IMPRODUCT($EO$1,GY5)</f>
        <v>-22090.2454238777i</v>
      </c>
      <c r="HV5" s="1" t="str">
        <f>HG5</f>
        <v>0.00953714060211417-0.43556368294672i</v>
      </c>
      <c r="HW5" s="1" t="str">
        <f>HI5</f>
        <v>32.665406269333-3266.5406269333i</v>
      </c>
      <c r="HX5" s="1" t="str">
        <f>IMDIV(HJ5,HV5)</f>
        <v>-0.000251233008625503-0.0114738766135472i</v>
      </c>
      <c r="HY5" s="1" t="str">
        <f>IMSUB(HK5,IMPRODUCT(HX5,HH5))</f>
        <v>0.0149987438349569-0.870912621733402i</v>
      </c>
      <c r="HZ5" s="1" t="str">
        <f>IMSUB(HM5,IMPRODUCT(HX5,HW5))</f>
        <v>37.4880907348668-6400.83890430712i</v>
      </c>
      <c r="IA5" s="1" t="str">
        <f>IMDIV(HN5,HY5)</f>
        <v>-0.000197686462072889-0.011478803615796i</v>
      </c>
      <c r="IB5" s="1" t="str">
        <f>IMSUB(HO5,IMPRODUCT(IA5,HL5))</f>
        <v>0.0224980231353793-2.17898660759232i</v>
      </c>
      <c r="IC5" s="1" t="str">
        <f>IMSUB(HQ5,IMPRODUCT(IA5,HZ5))</f>
        <v>73.4813836469155-15818.4730492617i</v>
      </c>
      <c r="ID5" s="1" t="str">
        <f>IMDIV(HR5,IB5)</f>
        <v>-0.0000592241660890722-0.00573600017998808i</v>
      </c>
      <c r="IE5" s="1" t="str">
        <f>IMSUB(HS5,IMPRODUCT(ID5,HP5))</f>
        <v>0.0124992596979239-3.05019426992775i</v>
      </c>
      <c r="IF5" s="1" t="str">
        <f>IMSUB(HT5,IMPRODUCT(ID5,HQ5))</f>
        <v>90.7299744637188-22091.1822102983i</v>
      </c>
      <c r="IG5" s="1" t="str">
        <f>IMDIV(IF5,IE5)</f>
        <v>7242.54951951005+0.0667062902500036i</v>
      </c>
      <c r="IH5" s="1" t="str">
        <f>IMDIV(IMSUB(IC5,IMPRODUCT(HP5,IG5)),IB5)</f>
        <v>7259.55784183807+0.315537672465849i</v>
      </c>
      <c r="II5" s="1" t="str">
        <f>IMDIV(IMSUB(HZ5,IMPRODUCT(HL5,IH5)),HY5)</f>
        <v>7349.56985900253-0.172975399934455i</v>
      </c>
      <c r="IJ5" s="1" t="str">
        <f>IMDIV(IMSUB(HW5,IMPRODUCT(HH5,II5)),HV5)</f>
        <v>7499.46658621952-4.84478341952423i</v>
      </c>
      <c r="IK5" s="92" t="str">
        <f>IMPRODUCT(IMSUB($EO$1,IJ5),GV5)</f>
        <v>0.837418282915168+136.094788783773i</v>
      </c>
      <c r="IL5" s="1" t="str">
        <f>IMPRODUCT(IJ5,GZ5)</f>
        <v>0.087934646830116+136.118147823877i</v>
      </c>
      <c r="IM5" s="1" t="str">
        <f>IMPRODUCT(IMSUB(IJ5,II5),HD5)</f>
        <v>0.749483636084945-0.0233590400979489i</v>
      </c>
      <c r="IN5" s="1" t="str">
        <f>IMPRODUCT(IMSUB($EO$1,II5),GW5)</f>
        <v>0.153774796717826+133.360380455802i</v>
      </c>
      <c r="IO5" s="1" t="str">
        <f>IMPRODUCT(IMSUB($EO$1,IH5),GX5)</f>
        <v>-0.693245443732049+131.821712223142i</v>
      </c>
      <c r="IP5" s="1" t="str">
        <f>IMPRODUCT(IMSUB($EO$1,IG5),GY5)</f>
        <v>-0.204673446932344+131.910375533385i</v>
      </c>
      <c r="IQ5" s="1" t="str">
        <f>IMPRODUCT(IJ5,GZ5)</f>
        <v>0.087934646830116+136.118147823877i</v>
      </c>
      <c r="IR5" s="1" t="str">
        <f>IMPRODUCT(II5,HA5)</f>
        <v>0.00313826115750666+133.341906546418i</v>
      </c>
      <c r="IS5" s="1" t="str">
        <f>IMPRODUCT(IH5,HB5)</f>
        <v>-0.00572930118786817+131.813716700158i</v>
      </c>
      <c r="IT5" s="1" t="str">
        <f>IMPRODUCT(IG5,HC5)</f>
        <v>-0.00121108548480677+131.492046150361i</v>
      </c>
      <c r="IU5" s="1" t="str">
        <f>IMPRODUCT(IMSUB(IJ5,II5),HD5)</f>
        <v>0.749483636084945-0.0233590400979489i</v>
      </c>
      <c r="IV5" s="1" t="str">
        <f>IMPRODUCT(IMSUB(II5,IH5),HE5)</f>
        <v>0.900120171644603-0.00488513072400304i</v>
      </c>
      <c r="IW5" s="1" t="str">
        <f>IMPRODUCT(IMSUB(IH5,IG5),HF5)</f>
        <v>0.212604029100249+0.00311039227769806i</v>
      </c>
      <c r="IX5" s="92" t="str">
        <f>IMSUM(IK5,IN5,IO5,IP5)</f>
        <v>0.093274188968601+533.187256996102i</v>
      </c>
      <c r="IY5" s="1" t="str">
        <f>IMDIV($EO$1,IX5)</f>
        <v>0.00236215162672727-13.5028689114367i</v>
      </c>
      <c r="JD5" s="1">
        <f>GU5</f>
        <v>1</v>
      </c>
      <c r="JE5" s="1">
        <f>IMABS(IY5)</f>
        <v>13.50286911805058</v>
      </c>
      <c r="JJ5" s="76">
        <f>JD5</f>
        <v>1</v>
      </c>
      <c r="JK5" s="76" t="str">
        <f>IMDIV(COMPLEX(1,0),COMPLEX($W$39/100,$W$39))</f>
        <v>0.00453714060211417-0.453714060211417i</v>
      </c>
      <c r="JL5" s="76" t="str">
        <f>IMDIV(COMPLEX(1,0),COMPLEX(0,$W$40))</f>
        <v>-0.888998070107633i</v>
      </c>
      <c r="JM5" s="76" t="str">
        <f>IMDIV(COMPLEX(1,0),COMPLEX(0,$W$41))</f>
        <v>-2.19702908471913i</v>
      </c>
      <c r="JN5" s="76" t="str">
        <f>IMDIV(COMPLEX(1,0),COMPLEX(0,$W$42))</f>
        <v>-3.06827806141315i</v>
      </c>
      <c r="JO5" s="76" t="str">
        <f>IMDIV(COMPLEX(1,0),COMPLEX(0,-$L$39))</f>
        <v>0.0181503772646975i</v>
      </c>
      <c r="JP5" s="76" t="str">
        <f>IMDIV(COMPLEX(1,0),COMPLEX(0,-$L$40))</f>
        <v>0.0181428177572986i</v>
      </c>
      <c r="JQ5" s="76" t="str">
        <f>IMDIV(COMPLEX(1,0),COMPLEX(0,-$L$41))</f>
        <v>0.018157265162968i</v>
      </c>
      <c r="JR5" s="76" t="str">
        <f>IMDIV(COMPLEX(1,0),COMPLEX(0,-$L$42))</f>
        <v>0.0181554914876518i</v>
      </c>
      <c r="JS5" s="76" t="str">
        <f t="shared" ref="JS5:JS20" si="9">IMDIV(COMPLEX(1,0),COMPLEX($AL$29,0))</f>
        <v>0.005</v>
      </c>
      <c r="JT5" s="76" t="str">
        <f t="shared" ref="JT5:JT20" si="10">IMDIV(COMPLEX(1,0),COMPLEX($AL$30,0))</f>
        <v>0.01</v>
      </c>
      <c r="JU5" s="76" t="str">
        <f t="shared" ref="JU5:JU20" si="11">IMDIV(COMPLEX(1,0),COMPLEX($AL$31,0))</f>
        <v>0.0125</v>
      </c>
      <c r="JV5" s="76" t="str">
        <f>IMSUM(JK5,JO5,JS5)</f>
        <v>0.00953714060211417-0.43556368294672i</v>
      </c>
      <c r="JW5" s="76" t="str">
        <f>IMPRODUCT("-1+0i",JS5)</f>
        <v>-0.005</v>
      </c>
      <c r="JX5" s="76" t="str">
        <f>IMPRODUCT($EO$1,JK5)</f>
        <v>32.665406269333-3266.5406269333i</v>
      </c>
      <c r="JY5" s="76" t="str">
        <f>IMPRODUCT("-1+0i",JS5)</f>
        <v>-0.005</v>
      </c>
      <c r="JZ5" s="76" t="str">
        <f>IMSUM(JL5,JP5,JS5,JT5)</f>
        <v>0.015-0.870855252350334i</v>
      </c>
      <c r="KA5" s="76" t="str">
        <f>IMPRODUCT("-1+0i",JT5)</f>
        <v>-0.01</v>
      </c>
      <c r="KB5" s="76" t="str">
        <f>IMPRODUCT($EO$1,JL5)</f>
        <v>-6400.39304031868i</v>
      </c>
      <c r="KC5" s="76" t="str">
        <f>IMPRODUCT("-1+0i",JT5)</f>
        <v>-0.01</v>
      </c>
      <c r="KD5" s="76" t="str">
        <f>IMSUM(JM5,JQ5,JT5,JU5)</f>
        <v>0.0225-2.17887181955616i</v>
      </c>
      <c r="KE5" s="76" t="str">
        <f>IMPRODUCT("-1+0i",JU5)</f>
        <v>-0.0125</v>
      </c>
      <c r="KF5" s="76" t="str">
        <f>IMPRODUCT($EO$1,JM5)</f>
        <v>-15817.6380084959i</v>
      </c>
      <c r="KG5" s="76" t="str">
        <f>IMPRODUCT("-1+0i",JU5)</f>
        <v>-0.0125</v>
      </c>
      <c r="KH5" s="76" t="str">
        <f>IMSUM(JN5,JR5,JU5)</f>
        <v>0.0125-3.0501225699255i</v>
      </c>
      <c r="KI5" s="76" t="str">
        <f>IMPRODUCT($EO$1,JN5)</f>
        <v>-22090.2454238777i</v>
      </c>
      <c r="KJ5" s="76"/>
      <c r="KK5" s="76" t="str">
        <f>JV5</f>
        <v>0.00953714060211417-0.43556368294672i</v>
      </c>
      <c r="KL5" s="76" t="str">
        <f>JX5</f>
        <v>32.665406269333-3266.5406269333i</v>
      </c>
      <c r="KM5" s="76" t="str">
        <f>IMDIV(JY5,KK5)</f>
        <v>-0.000251233008625503-0.0114738766135472i</v>
      </c>
      <c r="KN5" s="76" t="str">
        <f>IMSUB(JZ5,IMPRODUCT(KM5,JW5))</f>
        <v>0.0149987438349569-0.870912621733402i</v>
      </c>
      <c r="KO5" s="76" t="str">
        <f>IMSUB(KB5,IMPRODUCT(KM5,KL5))</f>
        <v>37.4880907348668-6400.83890430712i</v>
      </c>
      <c r="KP5" s="76" t="str">
        <f>IMDIV(KC5,KN5)</f>
        <v>-0.000197686462072889-0.011478803615796i</v>
      </c>
      <c r="KQ5" s="76" t="str">
        <f>IMSUB(KD5,IMPRODUCT(KP5,KA5))</f>
        <v>0.0224980231353793-2.17898660759232i</v>
      </c>
      <c r="KR5" s="76" t="str">
        <f>IMSUB(KF5,IMPRODUCT(KP5,KO5))</f>
        <v>73.4813836469155-15818.4730492617i</v>
      </c>
      <c r="KS5" s="76" t="str">
        <f>IMDIV(KG5,KQ5)</f>
        <v>-0.0000592241660890722-0.00573600017998808i</v>
      </c>
      <c r="KT5" s="76" t="str">
        <f>IMSUB(KH5,IMPRODUCT(KS5,KE5))</f>
        <v>0.0124992596979239-3.05019426992775i</v>
      </c>
      <c r="KU5" s="76" t="str">
        <f>IMSUB(KI5,IMPRODUCT(KS5,KF5))</f>
        <v>90.7299744637188-22091.1822102983i</v>
      </c>
      <c r="KV5" s="76" t="str">
        <f>IMDIV(KU5,KT5)</f>
        <v>7242.54951951005+0.0667062902500036i</v>
      </c>
      <c r="KW5" s="76" t="str">
        <f>IMDIV(IMSUB(KR5,IMPRODUCT(KE5,KV5)),KQ5)</f>
        <v>7259.55784183807+0.315537672465849i</v>
      </c>
      <c r="KX5" s="76" t="str">
        <f>IMDIV(IMSUB(KO5,IMPRODUCT(KA5,KW5)),KN5)</f>
        <v>7349.56985900253-0.172975399934455i</v>
      </c>
      <c r="KY5" s="76" t="str">
        <f>IMDIV(IMSUB(KL5,IMPRODUCT(JW5,KX5)),KK5)</f>
        <v>7499.46658621952-4.84478341952423i</v>
      </c>
      <c r="KZ5" s="93" t="str">
        <f>IMPRODUCT(IMSUB($EO$1,KY5),JK5)</f>
        <v>0.837418282915168+136.094788783773i</v>
      </c>
      <c r="LA5" s="76" t="str">
        <f>IMPRODUCT(KY5,JO5)</f>
        <v>0.087934646830116+136.118147823877i</v>
      </c>
      <c r="LB5" s="76" t="str">
        <f>IMPRODUCT(IMSUB(KY5,KX5),JS5)</f>
        <v>0.749483636084945-0.0233590400979489i</v>
      </c>
      <c r="LC5" s="76" t="str">
        <f>IMPRODUCT(IMSUB($EO$1,KX5),JL5)</f>
        <v>0.153774796717826+133.360380455802i</v>
      </c>
      <c r="LD5" s="76" t="str">
        <f>IMPRODUCT(IMSUB($EO$1,KW5),JM5)</f>
        <v>-0.693245443732049+131.821712223142i</v>
      </c>
      <c r="LE5" s="76" t="str">
        <f>IMPRODUCT(IMSUB($EO$1,KV5),JN5)</f>
        <v>-0.204673446932344+131.910375533385i</v>
      </c>
      <c r="LF5" s="76" t="str">
        <f>IMPRODUCT(KY5,JO5)</f>
        <v>0.087934646830116+136.118147823877i</v>
      </c>
      <c r="LG5" s="76" t="str">
        <f>IMPRODUCT(KX5,JP5)</f>
        <v>0.00313826115750666+133.341906546418i</v>
      </c>
      <c r="LH5" s="76" t="str">
        <f>IMPRODUCT(KW5,JQ5)</f>
        <v>-0.00572930118786817+131.813716700158i</v>
      </c>
      <c r="LI5" s="76" t="str">
        <f>IMPRODUCT(KV5,JR5)</f>
        <v>-0.00121108548480677+131.492046150361i</v>
      </c>
      <c r="LJ5" s="76" t="str">
        <f>IMPRODUCT(IMSUB(KY5,KX5),JS5)</f>
        <v>0.749483636084945-0.0233590400979489i</v>
      </c>
      <c r="LK5" s="76" t="str">
        <f>IMPRODUCT(IMSUB(KX5,KW5),JT5)</f>
        <v>0.900120171644603-0.00488513072400304i</v>
      </c>
      <c r="LL5" s="76" t="str">
        <f>IMPRODUCT(IMSUB(KW5,KV5),JU5)</f>
        <v>0.212604029100249+0.00311039227769806i</v>
      </c>
      <c r="LM5" s="93" t="str">
        <f>IMSUM(KZ5,LC5,LD5,LE5)</f>
        <v>0.093274188968601+533.187256996102i</v>
      </c>
      <c r="LN5" s="76" t="str">
        <f>IMDIV($EO$1,LM5)</f>
        <v>0.00236215162672727-13.5028689114367i</v>
      </c>
      <c r="LO5" s="76"/>
      <c r="LP5" s="76"/>
      <c r="LQ5" s="76"/>
      <c r="LS5" s="1">
        <f>JJ5</f>
        <v>1</v>
      </c>
      <c r="LT5" s="1">
        <f>IMABS(LN5)</f>
        <v>13.50286911805058</v>
      </c>
      <c r="LU5" s="1">
        <f>IMABS(LM5)</f>
        <v>533.18726515465619</v>
      </c>
    </row>
    <row r="6" spans="2:333"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D6" s="9"/>
      <c r="CF6" s="8"/>
      <c r="EA6" s="1">
        <f>ROUND(EA5+0.2,1)</f>
        <v>1.2</v>
      </c>
      <c r="EB6" s="1" t="str">
        <f t="shared" ref="EB6:EB69" si="12">IMDIV(COMPLEX(1,0),COMPLEX($W$39/100,$W$39*EA6))</f>
        <v>0.00315088835231885-0.378106602278262i</v>
      </c>
      <c r="EC6" s="1" t="str">
        <f t="shared" ref="EC6:EC69" si="13">IMDIV(COMPLEX(1,0),COMPLEX($W$40/100,$W$40*EA6))</f>
        <v>0.00617316901678794-0.740780282014553i</v>
      </c>
      <c r="ED6" s="1" t="str">
        <f t="shared" ref="ED6:ED69" si="14">IMDIV(COMPLEX(1,0),COMPLEX($W$41/100,$W$41*EA6))</f>
        <v>0.0152560869711765-1.83073043654118i</v>
      </c>
      <c r="EE6" s="1" t="str">
        <f t="shared" ref="EE6:EE69" si="15">IMDIV(COMPLEX(1,0),COMPLEX($W$42/100,$W$42*EA6))</f>
        <v>0.0213060069537751-2.55672083445301i</v>
      </c>
      <c r="EF6" s="1" t="str">
        <f t="shared" ref="EF6:EF69" si="16">IMDIV(COMPLEX(1,0),COMPLEX(0,-$L$39/EA6))</f>
        <v>0.021780452717637i</v>
      </c>
      <c r="EG6" s="1" t="str">
        <f t="shared" ref="EG6:EG69" si="17">IMDIV(COMPLEX(1,0),COMPLEX(0,-$L$40/EA6))</f>
        <v>0.0217713813087584i</v>
      </c>
      <c r="EH6" s="1" t="str">
        <f t="shared" ref="EH6:EH69" si="18">IMDIV(COMPLEX(1,0),COMPLEX(0,-$L$41/EA6))</f>
        <v>0.0217887181955616i</v>
      </c>
      <c r="EI6" s="1" t="str">
        <f t="shared" ref="EI6:EI69" si="19">IMDIV(COMPLEX(1,0),COMPLEX(0,-$L$42/EA6))</f>
        <v>0.0217865897851821i</v>
      </c>
      <c r="EJ6" s="1" t="str">
        <f t="shared" si="1"/>
        <v>0.005</v>
      </c>
      <c r="EK6" s="1" t="str">
        <f t="shared" si="2"/>
        <v>0.01</v>
      </c>
      <c r="EL6" s="1" t="str">
        <f t="shared" si="3"/>
        <v>0.0125</v>
      </c>
      <c r="EM6" s="1" t="str">
        <f t="shared" ref="EM6:EM25" si="20">IMSUM(EB6,EF6,EJ6)</f>
        <v>0.00815088835231885-0.356326149560625i</v>
      </c>
      <c r="EN6" s="1" t="str">
        <f t="shared" ref="EN6:EN25" si="21">IMPRODUCT("-1+0i",EJ6)</f>
        <v>-0.005</v>
      </c>
      <c r="EO6" s="72" t="str">
        <f t="shared" ref="EO6:EO25" si="22">IMPRODUCT($EO$1,EB6)</f>
        <v>22.6850029928199-2722.20035913839i</v>
      </c>
      <c r="EP6" s="1" t="str">
        <f t="shared" ref="EP6:EP25" si="23">IMPRODUCT("-1+0i",EJ6)</f>
        <v>-0.005</v>
      </c>
      <c r="EQ6" s="1" t="str">
        <f t="shared" ref="EQ6:EQ25" si="24">IMSUM(EC6,EG6,EJ6,EK6)</f>
        <v>0.0211731690167879-0.719008900705795i</v>
      </c>
      <c r="ER6" s="1" t="str">
        <f t="shared" ref="ER6:ER25" si="25">IMPRODUCT("-1+0i",EK6)</f>
        <v>-0.01</v>
      </c>
      <c r="ES6" s="72" t="str">
        <f t="shared" ref="ES6:ES25" si="26">IMPRODUCT($EO$1,EC6)</f>
        <v>44.4440874961368-5333.29049953642i</v>
      </c>
      <c r="ET6" s="1" t="str">
        <f t="shared" ref="ET6:ET25" si="27">IMPRODUCT("-1+0i",EK6)</f>
        <v>-0.01</v>
      </c>
      <c r="EU6" s="1" t="str">
        <f t="shared" ref="EU6:EU25" si="28">IMSUM(ED6,EH6,EK6,EL6)</f>
        <v>0.0377560869711765-1.80894171834562i</v>
      </c>
      <c r="EV6" s="1" t="str">
        <f t="shared" ref="EV6:EV25" si="29">IMPRODUCT("-1+0i",EL6)</f>
        <v>-0.0125</v>
      </c>
      <c r="EW6" s="72" t="str">
        <f t="shared" ref="EW6:EW25" si="30">IMPRODUCT($EO$1,ED6)</f>
        <v>109.837080817276-13180.4496980731i</v>
      </c>
      <c r="EX6" s="1" t="str">
        <f t="shared" ref="EX6:EX25" si="31">IMPRODUCT("-1+0i",EL6)</f>
        <v>-0.0125</v>
      </c>
      <c r="EY6" s="1" t="str">
        <f t="shared" ref="EY6:EY25" si="32">IMSUM(EE6,EI6,EL6)</f>
        <v>0.0338060069537751-2.53493424466783i</v>
      </c>
      <c r="EZ6" s="72" t="str">
        <f t="shared" ref="EZ6:EZ25" si="33">IMPRODUCT($EO$1,EE6)</f>
        <v>153.393829760973-18407.2595713167i</v>
      </c>
      <c r="FB6" s="1" t="str">
        <f t="shared" ref="FB6:FB25" si="34">EM6</f>
        <v>0.00815088835231885-0.356326149560625i</v>
      </c>
      <c r="FC6" s="1" t="str">
        <f t="shared" ref="FC6:FC25" si="35">EO6</f>
        <v>22.6850029928199-2722.20035913839i</v>
      </c>
      <c r="FD6" s="1" t="str">
        <f t="shared" ref="FD6:FD25" si="36">IMDIV(EP6,FB6)</f>
        <v>-0.000320813304726784-0.0140247497769483i</v>
      </c>
      <c r="FE6" s="1" t="str">
        <f t="shared" ref="FE6:FE25" si="37">IMSUB(EQ6,IMPRODUCT(FD6,EN6))</f>
        <v>0.0211715649502643-0.71907902445468i</v>
      </c>
      <c r="FF6" s="1" t="str">
        <f t="shared" ref="FF6:FF25" si="38">IMSUB(ES6,IMPRODUCT(FD6,FC6))</f>
        <v>82.6295440265494-5333.8456661391i</v>
      </c>
      <c r="FG6" s="1" t="str">
        <f t="shared" ref="FG6:FG25" si="39">IMDIV(ET6,FE6)</f>
        <v>-0.000409094280211078-0.0138946325703948i</v>
      </c>
      <c r="FH6" s="1" t="str">
        <f t="shared" ref="FH6:FH25" si="40">IMSUB(EU6,IMPRODUCT(FG6,ER6))</f>
        <v>0.0377519960283744-1.80908066467132i</v>
      </c>
      <c r="FI6" s="1" t="str">
        <f t="shared" ref="FI6:FI25" si="41">IMSUB(EW6,IMPRODUCT(FG6,FF6))</f>
        <v>183.982709809309-13181.4836366729i</v>
      </c>
      <c r="FJ6" s="1" t="str">
        <f t="shared" ref="FJ6:FJ25" si="42">IMDIV(EX6,FH6)</f>
        <v>-0.000144126879638826-0.0069065792181701i</v>
      </c>
      <c r="FK6" s="1" t="str">
        <f t="shared" ref="FK6:FK25" si="43">IMSUB(EY6,IMPRODUCT(FJ6,EV6))</f>
        <v>0.0338042053677796-2.53502057690806i</v>
      </c>
      <c r="FL6" s="1" t="str">
        <f t="shared" ref="FL6:FL25" si="44">IMSUB(EZ6,IMPRODUCT(FJ6,EW6))</f>
        <v>244.441480207548-18408.4006299042i</v>
      </c>
      <c r="FM6" s="1" t="str">
        <f t="shared" ref="FM6:FM25" si="45">IMDIV(FL6,FK6)</f>
        <v>7261.6321275686-0.407185467230457i</v>
      </c>
      <c r="FN6" s="1" t="str">
        <f t="shared" ref="FN6:FN25" si="46">IMDIV(IMSUB(FI6,IMPRODUCT(EV6,FM6)),FH6)</f>
        <v>7286.28763292362-0.176216783494334i</v>
      </c>
      <c r="FO6" s="1" t="str">
        <f t="shared" ref="FO6:FO25" si="47">IMDIV(IMSUB(FF6,IMPRODUCT(ER6,FN6)),FE6)</f>
        <v>7417.5461262654-2.15364261139126i</v>
      </c>
      <c r="FP6" s="1" t="str">
        <f t="shared" ref="FP6:FP25" si="48">IMDIV(IMSUB(FC6,IMPRODUCT(EN6,FO6)),FB6)</f>
        <v>7639.50115786701-7.00478307335955i</v>
      </c>
      <c r="FQ6" s="94" t="str">
        <f t="shared" ref="FQ6:FQ25" si="49">IMPRODUCT(IMSUB($EO$1,FP6),EB6)</f>
        <v>1.26234250453461+166.367538052955i</v>
      </c>
      <c r="FR6" s="1" t="str">
        <f t="shared" ref="FR6:FR25" si="50">IMPRODUCT(FP6,EF6)</f>
        <v>0.152567346526612+166.391793755256i</v>
      </c>
      <c r="FS6" s="1" t="str">
        <f t="shared" ref="FS6:FS25" si="51">IMPRODUCT(IMSUB(FP6,FO6),EJ6)</f>
        <v>1.10977515800805-0.0242557023098415i</v>
      </c>
      <c r="FT6" s="72" t="str">
        <f t="shared" ref="FT6:FT25" si="52">IMPRODUCT(IMSUB($EO$1,FO6),EC6)</f>
        <v>0.249697549904823+161.49470653426i</v>
      </c>
      <c r="FU6" s="72" t="str">
        <f t="shared" ref="FU6:FU25" si="53">IMPRODUCT(IMSUB($EO$1,FN6),ED6)</f>
        <v>-1.00055157864201+158.781529292311i</v>
      </c>
      <c r="FV6" s="72" t="str">
        <f t="shared" ref="FV6:FV25" si="54">IMPRODUCT(IMSUB($EO$1,FM6),EE6)</f>
        <v>-0.281495277206035+158.715256867671i</v>
      </c>
      <c r="FW6" s="1" t="str">
        <f t="shared" ref="FW6:FW25" si="55">IMPRODUCT(FP6,EF6)</f>
        <v>0.152567346526612+166.391793755256i</v>
      </c>
      <c r="FX6" s="1" t="str">
        <f t="shared" ref="FX6:FX25" si="56">IMPRODUCT(FO6,EG6)</f>
        <v>0.0468877744953893+161.490225090228i</v>
      </c>
      <c r="FY6" s="1" t="str">
        <f t="shared" ref="FY6:FY25" si="57">IMPRODUCT(FN6,EH6)</f>
        <v>0.00383953783688633+158.758867925578i</v>
      </c>
      <c r="FZ6" s="1" t="str">
        <f t="shared" ref="FZ6:FZ25" si="58">IMPRODUCT(FM6,EI6)</f>
        <v>0.00887118274103767+158.206200334236i</v>
      </c>
      <c r="GA6" s="1" t="str">
        <f t="shared" ref="GA6:GA25" si="59">IMPRODUCT(IMSUB(FP6,FO6),EJ6)</f>
        <v>1.10977515800805-0.0242557023098415i</v>
      </c>
      <c r="GB6" s="1" t="str">
        <f t="shared" ref="GB6:GB25" si="60">IMPRODUCT(IMSUB(FO6,FN6),EK6)</f>
        <v>1.3125849334178-0.0197742582789693i</v>
      </c>
      <c r="GC6" s="1" t="str">
        <f t="shared" ref="GC6:GC25" si="61">IMPRODUCT(IMSUB(FN6,FM6),EL6)</f>
        <v>0.308193816937751+0.00288710854670154i</v>
      </c>
      <c r="GD6" s="92" t="str">
        <f t="shared" ref="GD6:GD25" si="62">IMSUM(FQ6,FT6,FU6,FV6)</f>
        <v>0.229993198591388+645.359030747197i</v>
      </c>
      <c r="GE6" s="72" t="str">
        <f t="shared" ref="GE6:GE69" si="63">IMDIV($EO$1,GD6)</f>
        <v>0.00397574005040702-11.155894005335i</v>
      </c>
      <c r="GF6" s="1">
        <f t="shared" ref="GF6:GF69" si="64">GP6</f>
        <v>1.2</v>
      </c>
      <c r="GG6" s="56">
        <f t="shared" ref="GG6:GG69" si="65">IMABS(IMDIV(GE6,IMSUM(GE6,GM6)))</f>
        <v>1.0543910398808352</v>
      </c>
      <c r="GH6" s="1">
        <f t="shared" ref="GH6:GH69" si="66">IMABS(IMDIV(GM6,IMSUM(GE6,GM6)))</f>
        <v>5.4423578664850258E-2</v>
      </c>
      <c r="GJ6" s="1">
        <f t="shared" ref="GJ6:GJ25" si="67">IMABS(GD6)</f>
        <v>645.35907172970997</v>
      </c>
      <c r="GK6" s="1">
        <f t="shared" ref="GK6:GK25" si="68">IMABS(GE6)</f>
        <v>11.15589471377255</v>
      </c>
      <c r="GM6" s="1" t="str">
        <f t="shared" ref="GM6:GM69" si="69">COMPLEX($GM$2,$GM$3*GP6)</f>
        <v>0.0191834803010191+0.575504409030575i</v>
      </c>
      <c r="GP6" s="1">
        <f t="shared" si="4"/>
        <v>1.2</v>
      </c>
      <c r="GQ6" s="1">
        <f t="shared" si="5"/>
        <v>11.15589471377255</v>
      </c>
      <c r="GR6" s="1">
        <f t="shared" ref="GR6:GR69" si="70">IMABS(GM6)</f>
        <v>0.57582404493915584</v>
      </c>
      <c r="GS6" s="1">
        <f t="shared" ref="GS6:GS69" si="71">IMABS(IMDIV(COMPLEX(1,0),IMSUM(IMDIV(COMPLEX(1,0),GM6),IMDIV(COMPLEX(1,0),GE6))))</f>
        <v>0.60714371353178709</v>
      </c>
      <c r="GU6" s="15">
        <f>L20</f>
        <v>2</v>
      </c>
      <c r="GV6" s="1" t="str">
        <f t="shared" ref="GV6:GV17" si="72">IMDIV(COMPLEX(1,0),COMPLEX($W$39/100,$W$39*GU6))</f>
        <v>0.0011343702197881-0.22687404395762i</v>
      </c>
      <c r="GW6" s="1" t="str">
        <f t="shared" ref="GW6:GW17" si="73">IMDIV(COMPLEX(1,0),COMPLEX($W$40/100,$W$40*GU6))</f>
        <v>0.00222243961427873-0.444487922855745i</v>
      </c>
      <c r="GX6" s="1" t="str">
        <f t="shared" ref="GX6:GX17" si="74">IMDIV(COMPLEX(1,0),COMPLEX($W$41/100,$W$41*GU6))</f>
        <v>0.00549243540091278-1.09848708018256i</v>
      </c>
      <c r="GY6" s="1" t="str">
        <f t="shared" ref="GY6:GY17" si="75">IMDIV(COMPLEX(1,0),COMPLEX($W$42/100,$W$42*GU6))</f>
        <v>0.0076705033909481-1.53410067818962i</v>
      </c>
      <c r="GZ6" s="1" t="str">
        <f t="shared" ref="GZ6:GZ17" si="76">IMDIV(COMPLEX(1,0),COMPLEX(0,-$L$39/GU6))</f>
        <v>0.0363007545293949i</v>
      </c>
      <c r="HA6" s="1" t="str">
        <f t="shared" ref="HA6:HA17" si="77">IMDIV(COMPLEX(1,0),COMPLEX(0,-$L$40/GU6))</f>
        <v>0.0362856355145972i</v>
      </c>
      <c r="HB6" s="1" t="str">
        <f t="shared" ref="HB6:HB17" si="78">IMDIV(COMPLEX(1,0),COMPLEX(0,-$L$41/GU6))</f>
        <v>0.0363145303259359i</v>
      </c>
      <c r="HC6" s="1" t="str">
        <f t="shared" ref="HC6:HC17" si="79">IMDIV(COMPLEX(1,0),COMPLEX(0,-$L$42/GU6))</f>
        <v>0.0363109829753036i</v>
      </c>
      <c r="HD6" s="1" t="str">
        <f t="shared" si="6"/>
        <v>0.005</v>
      </c>
      <c r="HE6" s="1" t="str">
        <f t="shared" si="7"/>
        <v>0.01</v>
      </c>
      <c r="HF6" s="1" t="str">
        <f t="shared" si="8"/>
        <v>0.0125</v>
      </c>
      <c r="HG6" s="1" t="str">
        <f t="shared" ref="HG6" si="80">IMSUM(GV6,GZ6,HD6)</f>
        <v>0.0061343702197881-0.190573289428225i</v>
      </c>
      <c r="HH6" s="1" t="str">
        <f t="shared" ref="HH6" si="81">IMPRODUCT("-1+0i",HD6)</f>
        <v>-0.005</v>
      </c>
      <c r="HI6" s="1" t="str">
        <f t="shared" ref="HI6" si="82">IMPRODUCT($EO$1,GV6)</f>
        <v>8.16696402838927-1633.39280567785i</v>
      </c>
      <c r="HJ6" s="1" t="str">
        <f t="shared" ref="HJ6" si="83">IMPRODUCT("-1+0i",HD6)</f>
        <v>-0.005</v>
      </c>
      <c r="HK6" s="1" t="str">
        <f t="shared" ref="HK6" si="84">IMSUM(GW6,HA6,HD6,HE6)</f>
        <v>0.0172224396142787-0.408202287341148i</v>
      </c>
      <c r="HL6" s="1" t="str">
        <f t="shared" ref="HL6" si="85">IMPRODUCT("-1+0i",HE6)</f>
        <v>-0.01</v>
      </c>
      <c r="HM6" s="1" t="str">
        <f t="shared" ref="HM6" si="86">IMPRODUCT($EO$1,GW6)</f>
        <v>16.0005825862321-3200.11651724641i</v>
      </c>
      <c r="HN6" s="1" t="str">
        <f t="shared" ref="HN6" si="87">IMPRODUCT("-1+0i",HE6)</f>
        <v>-0.01</v>
      </c>
      <c r="HO6" s="1" t="str">
        <f t="shared" ref="HO6" si="88">IMSUM(GX6,HB6,HE6,HF6)</f>
        <v>0.0279924354009128-1.06217254985662i</v>
      </c>
      <c r="HP6" s="1" t="str">
        <f t="shared" ref="HP6" si="89">IMPRODUCT("-1+0i",HF6)</f>
        <v>-0.0125</v>
      </c>
      <c r="HQ6" s="1" t="str">
        <f t="shared" ref="HQ6" si="90">IMPRODUCT($EO$1,GX6)</f>
        <v>39.5431064435786-7908.62128871575i</v>
      </c>
      <c r="HR6" s="1" t="str">
        <f t="shared" ref="HR6" si="91">IMPRODUCT("-1+0i",HF6)</f>
        <v>-0.0125</v>
      </c>
      <c r="HS6" s="1" t="str">
        <f t="shared" ref="HS6" si="92">IMSUM(GY6,HC6,HF6)</f>
        <v>0.0201705033909481-1.49778969521432i</v>
      </c>
      <c r="HT6" s="1" t="str">
        <f t="shared" ref="HT6" si="93">IMPRODUCT($EO$1,GY6)</f>
        <v>55.2242329538703-11044.8465907741i</v>
      </c>
      <c r="HV6" s="1" t="str">
        <f t="shared" ref="HV6" si="94">HG6</f>
        <v>0.0061343702197881-0.190573289428225i</v>
      </c>
      <c r="HW6" s="1" t="str">
        <f t="shared" ref="HW6" si="95">HI6</f>
        <v>8.16696402838927-1633.39280567785i</v>
      </c>
      <c r="HX6" s="1" t="str">
        <f t="shared" ref="HX6" si="96">IMDIV(HJ6,HV6)</f>
        <v>-0.000843657501324577-0.0262094688480956i</v>
      </c>
      <c r="HY6" s="1" t="str">
        <f t="shared" ref="HY6" si="97">IMSUB(HK6,IMPRODUCT(HX6,HH6))</f>
        <v>0.0172182213267721-0.408333334685388i</v>
      </c>
      <c r="HZ6" s="1" t="str">
        <f t="shared" ref="HZ6" si="98">IMSUB(HM6,IMPRODUCT(HX6,HW6))</f>
        <v>58.8178305638148-3201.28048955024i</v>
      </c>
      <c r="IA6" s="1" t="str">
        <f t="shared" ref="IA6" si="99">IMDIV(HN6,HY6)</f>
        <v>-0.00103083011665435-0.0244463287490164i</v>
      </c>
      <c r="IB6" s="1" t="str">
        <f t="shared" ref="IB6" si="100">IMSUB(HO6,IMPRODUCT(IA6,HL6))</f>
        <v>0.0279821270997463-1.06241701314411i</v>
      </c>
      <c r="IC6" s="1" t="str">
        <f t="shared" ref="IC6" si="101">IMSUB(HQ6,IMPRODUCT(IA6,HZ6))</f>
        <v>117.863292900077-7910.48338503397i</v>
      </c>
      <c r="ID6" s="1" t="str">
        <f t="shared" ref="ID6" si="102">IMDIV(HR6,IB6)</f>
        <v>-0.000309670288741993-0.0117574686889234i</v>
      </c>
      <c r="IE6" s="1" t="str">
        <f t="shared" ref="IE6" si="103">IMSUB(HS6,IMPRODUCT(ID6,HP6))</f>
        <v>0.0201666325123388-1.49793666357293i</v>
      </c>
      <c r="IF6" s="1" t="str">
        <f t="shared" ref="IF6" si="104">IMSUB(HT6,IMPRODUCT(ID6,HQ6))</f>
        <v>148.221845453689-11046.8307289763i</v>
      </c>
      <c r="IG6" s="1" t="str">
        <f t="shared" ref="IG6" si="105">IMDIV(IF6,IE6)</f>
        <v>7374.69363968985-0.334387348410184i</v>
      </c>
      <c r="IH6" s="1" t="str">
        <f t="shared" ref="IH6" si="106">IMDIV(IMSUB(IC6,IMPRODUCT(HP6,IG6)),IB6)</f>
        <v>7445.78841295599+1.59821016233755i</v>
      </c>
      <c r="II6" s="1" t="str">
        <f t="shared" ref="II6" si="107">IMDIV(IMSUB(HZ6,IMPRODUCT(HL6,IH6)),HY6)</f>
        <v>7839.65491821716-4.18579300003136i</v>
      </c>
      <c r="IJ6" s="1" t="str">
        <f t="shared" ref="IJ6" si="108">IMDIV(IMSUB(HW6,IMPRODUCT(HH6,II6)),HV6)</f>
        <v>8570.17328660733-27.3248007836568i</v>
      </c>
      <c r="IK6" s="92" t="str">
        <f t="shared" ref="IK6" si="109">IMPRODUCT(IMSUB($EO$1,IJ6),GV6)</f>
        <v>4.64450272776297+310.988061712589i</v>
      </c>
      <c r="IL6" s="1" t="str">
        <f t="shared" ref="IL6" si="110">IMPRODUCT(IJ6,GZ6)</f>
        <v>0.991910885812143+311.10375675151i</v>
      </c>
      <c r="IM6" s="1" t="str">
        <f t="shared" ref="IM6" si="111">IMPRODUCT(IMSUB(IJ6,II6),HD6)</f>
        <v>3.65259184195085-0.115695038918127i</v>
      </c>
      <c r="IN6" s="1" t="str">
        <f t="shared" ref="IN6" si="112">IMPRODUCT(IMSUB($EO$1,II6),GW6)</f>
        <v>0.437957369799229+284.524715929945i</v>
      </c>
      <c r="IO6" s="1" t="str">
        <f t="shared" ref="IO6" si="113">IMPRODUCT(IMSUB($EO$1,IH6),GX6)</f>
        <v>-3.10801863819134+270.472306623342i</v>
      </c>
      <c r="IP6" s="1" t="str">
        <f t="shared" ref="IP6" si="114">IMPRODUCT(IMSUB($EO$1,IG6),GY6)</f>
        <v>-0.830395758600012+268.678488234111i</v>
      </c>
      <c r="IQ6" s="1" t="str">
        <f t="shared" ref="IQ6" si="115">IMPRODUCT(IJ6,GZ6)</f>
        <v>0.991910885812143+311.10375675151i</v>
      </c>
      <c r="IR6" s="1" t="str">
        <f t="shared" ref="IR6" si="116">IMPRODUCT(II6,HA6)</f>
        <v>0.15188415913869+284.466860922647i</v>
      </c>
      <c r="IS6" s="1" t="str">
        <f t="shared" ref="IS6" si="117">IMPRODUCT(IH6,HB6)</f>
        <v>-0.0580382514074259+270.390309122792i</v>
      </c>
      <c r="IT6" s="1" t="str">
        <f t="shared" ref="IT6" si="118">IMPRODUCT(IG6,HC6)</f>
        <v>0.0121419333152791+267.782375198858i</v>
      </c>
      <c r="IU6" s="1" t="str">
        <f t="shared" ref="IU6" si="119">IMPRODUCT(IMSUB(IJ6,II6),HD6)</f>
        <v>3.65259184195085-0.115695038918127i</v>
      </c>
      <c r="IV6" s="1" t="str">
        <f t="shared" ref="IV6" si="120">IMPRODUCT(IMSUB(II6,IH6),HE6)</f>
        <v>3.9386650526117-0.0578400316236891i</v>
      </c>
      <c r="IW6" s="1" t="str">
        <f t="shared" ref="IW6" si="121">IMPRODUCT(IMSUB(IH6,IG6),HF6)</f>
        <v>0.888684665826748+0.0241574688843466i</v>
      </c>
      <c r="IX6" s="92" t="str">
        <f t="shared" ref="IX6" si="122">IMSUM(IK6,IN6,IO6,IP6)</f>
        <v>1.14404570077085+1134.66357249999i</v>
      </c>
      <c r="IY6" s="1" t="str">
        <f t="shared" ref="IY6" si="123">IMDIV($EO$1,IX6)</f>
        <v>0.00639756243917613-6.34509709501659i</v>
      </c>
      <c r="JD6" s="1">
        <f t="shared" ref="JD6:JD17" si="124">GU6</f>
        <v>2</v>
      </c>
      <c r="JE6" s="1">
        <f t="shared" ref="JE6:JE7" si="125">IMABS(IY6)</f>
        <v>6.345100320246571</v>
      </c>
      <c r="JJ6" s="1">
        <f t="shared" ref="JJ6:JJ17" si="126">JD6</f>
        <v>2</v>
      </c>
      <c r="JK6" s="1" t="str">
        <f t="shared" ref="JK6:JK17" si="127">IMDIV(COMPLEX(1,0),COMPLEX($W$39/100,$W$39*JJ6))</f>
        <v>0.0011343702197881-0.22687404395762i</v>
      </c>
      <c r="JL6" s="1" t="str">
        <f t="shared" ref="JL6:JL17" si="128">IMDIV(COMPLEX(1,0),COMPLEX($W$40/100,$W$40*JJ6))</f>
        <v>0.00222243961427873-0.444487922855745i</v>
      </c>
      <c r="JM6" s="1" t="str">
        <f t="shared" ref="JM6:JM17" si="129">IMDIV(COMPLEX(1,0),COMPLEX($W$41/100,$W$41*JJ6))</f>
        <v>0.00549243540091278-1.09848708018256i</v>
      </c>
      <c r="JN6" s="1" t="str">
        <f t="shared" ref="JN6:JN17" si="130">IMDIV(COMPLEX(1,0),COMPLEX($W$42/100,$W$42*JJ6))</f>
        <v>0.0076705033909481-1.53410067818962i</v>
      </c>
      <c r="JO6" s="1" t="str">
        <f t="shared" ref="JO6:JO17" si="131">IMDIV(COMPLEX(1,0),COMPLEX(0,-$L$39/JJ6))</f>
        <v>0.0363007545293949i</v>
      </c>
      <c r="JP6" s="1" t="str">
        <f t="shared" ref="JP6:JP17" si="132">IMDIV(COMPLEX(1,0),COMPLEX(0,-$L$40/JJ6))</f>
        <v>0.0362856355145972i</v>
      </c>
      <c r="JQ6" s="1" t="str">
        <f t="shared" ref="JQ6:JQ17" si="133">IMDIV(COMPLEX(1,0),COMPLEX(0,-$L$41/JJ6))</f>
        <v>0.0363145303259359i</v>
      </c>
      <c r="JR6" s="1" t="str">
        <f t="shared" ref="JR6:JR17" si="134">IMDIV(COMPLEX(1,0),COMPLEX(0,-$L$42/JJ6))</f>
        <v>0.0363109829753036i</v>
      </c>
      <c r="JS6" s="1" t="str">
        <f t="shared" si="9"/>
        <v>0.005</v>
      </c>
      <c r="JT6" s="1" t="str">
        <f t="shared" si="10"/>
        <v>0.01</v>
      </c>
      <c r="JU6" s="1" t="str">
        <f t="shared" si="11"/>
        <v>0.0125</v>
      </c>
      <c r="JV6" s="1" t="str">
        <f t="shared" ref="JV6:JV17" si="135">IMSUM(JK6,JO6,JS6)</f>
        <v>0.0061343702197881-0.190573289428225i</v>
      </c>
      <c r="JW6" s="1" t="str">
        <f t="shared" ref="JW6:JW17" si="136">IMPRODUCT("-1+0i",JS6)</f>
        <v>-0.005</v>
      </c>
      <c r="JX6" s="1" t="str">
        <f t="shared" ref="JX6:JX17" si="137">IMPRODUCT(CI29,JK6)</f>
        <v>0.0359884642242783-7.19769284485566i</v>
      </c>
      <c r="JY6" s="1" t="str">
        <f t="shared" ref="JY6:JY17" si="138">IMPRODUCT("-1+0i",JS6)</f>
        <v>-0.005</v>
      </c>
      <c r="JZ6" s="1" t="str">
        <f t="shared" ref="JZ6:JZ17" si="139">IMSUM(JL6,JP6,JS6,JT6)</f>
        <v>0.0172224396142787-0.408202287341148i</v>
      </c>
      <c r="KA6" s="1" t="str">
        <f t="shared" ref="KA6:KA17" si="140">IMPRODUCT("-1+0i",JT6)</f>
        <v>-0.01</v>
      </c>
      <c r="KB6" s="1" t="str">
        <f t="shared" ref="KB6:KB20" si="141">IMPRODUCT(CI29,JL6)</f>
        <v>0.0705080115414433-14.1016023082886i</v>
      </c>
      <c r="KC6" s="1" t="str">
        <f t="shared" ref="KC6:KC17" si="142">IMPRODUCT("-1+0i",JT6)</f>
        <v>-0.01</v>
      </c>
      <c r="KD6" s="1" t="str">
        <f t="shared" ref="KD6:KD17" si="143">IMSUM(JM6,JQ6,JT6,JU6)</f>
        <v>0.0279924354009128-1.06217254985662i</v>
      </c>
      <c r="KE6" s="1" t="str">
        <f t="shared" ref="KE6:KE17" si="144">IMPRODUCT("-1+0i",JU6)</f>
        <v>-0.0125</v>
      </c>
      <c r="KF6" s="1" t="str">
        <f t="shared" ref="KF6:KF17" si="145">IMPRODUCT(CI29,JM6)</f>
        <v>0.174250268106327-34.8500536212655i</v>
      </c>
      <c r="KG6" s="1" t="str">
        <f t="shared" ref="KG6:KG17" si="146">IMPRODUCT("-1+0i",JU6)</f>
        <v>-0.0125</v>
      </c>
      <c r="KH6" s="1" t="str">
        <f t="shared" ref="KH6:KH17" si="147">IMSUM(JN6,JR6,JU6)</f>
        <v>0.0201705033909481-1.49778969521432i</v>
      </c>
      <c r="KI6" s="1" t="str">
        <f t="shared" ref="KI6:KI17" si="148">IMPRODUCT(CI29,JN6)</f>
        <v>0.243350567611786-48.6701135223573i</v>
      </c>
      <c r="KK6" s="1" t="str">
        <f t="shared" ref="KK6:KK17" si="149">JV6</f>
        <v>0.0061343702197881-0.190573289428225i</v>
      </c>
      <c r="KL6" s="1" t="str">
        <f t="shared" ref="KL6:KL17" si="150">JX6</f>
        <v>0.0359884642242783-7.19769284485566i</v>
      </c>
      <c r="KM6" s="1" t="str">
        <f t="shared" ref="KM6:KM17" si="151">IMDIV(JY6,KK6)</f>
        <v>-0.000843657501324577-0.0262094688480956i</v>
      </c>
      <c r="KN6" s="1" t="str">
        <f t="shared" ref="KN6:KN17" si="152">IMSUB(JZ6,IMPRODUCT(KM6,JW6))</f>
        <v>0.0172182213267721-0.408333334685388i</v>
      </c>
      <c r="KO6" s="1" t="str">
        <f t="shared" ref="KO6:KO17" si="153">IMSUB(KB6,IMPRODUCT(KM6,KL6))</f>
        <v>0.259186079874652-14.1067314573174i</v>
      </c>
      <c r="KP6" s="1" t="str">
        <f t="shared" ref="KP6:KP17" si="154">IMDIV(KC6,KN6)</f>
        <v>-0.00103083011665435-0.0244463287490164i</v>
      </c>
      <c r="KQ6" s="1" t="str">
        <f t="shared" ref="KQ6:KQ17" si="155">IMSUB(KD6,IMPRODUCT(KP6,KA6))</f>
        <v>0.0279821270997463-1.06241701314411i</v>
      </c>
      <c r="KR6" s="1" t="str">
        <f t="shared" ref="KR6:KR17" si="156">IMSUB(KF6,IMPRODUCT(KP6,KO6))</f>
        <v>0.519375239702952-34.8582591167835i</v>
      </c>
      <c r="KS6" s="1" t="str">
        <f t="shared" ref="KS6:KS17" si="157">IMDIV(KG6,KQ6)</f>
        <v>-0.000309670288741993-0.0117574686889234i</v>
      </c>
      <c r="KT6" s="1" t="str">
        <f t="shared" ref="KT6:KT17" si="158">IMSUB(KH6,IMPRODUCT(KS6,KE6))</f>
        <v>0.0201666325123388-1.49793666357293i</v>
      </c>
      <c r="KU6" s="1" t="str">
        <f t="shared" ref="KU6:KU17" si="159">IMSUB(KI6,IMPRODUCT(KS6,KF6))</f>
        <v>0.653152942001955-48.6788568064536i</v>
      </c>
      <c r="KV6" s="1" t="str">
        <f t="shared" ref="KV6:KV17" si="160">IMDIV(KU6,KT6)</f>
        <v>32.4972532380963-0.00147350803596736i</v>
      </c>
      <c r="KW6" s="1" t="str">
        <f t="shared" ref="KW6:KW17" si="161">IMDIV(IMSUB(KR6,IMPRODUCT(KE6,KV6)),KQ6)</f>
        <v>32.8105387742306+0.00704265735103133i</v>
      </c>
      <c r="KX6" s="1" t="str">
        <f t="shared" ref="KX6:KX17" si="162">IMDIV(IMSUB(KO6,IMPRODUCT(KA6,KW6)),KN6)</f>
        <v>34.5461470840578-0.0184450747068558i</v>
      </c>
      <c r="KY6" s="1" t="str">
        <f t="shared" ref="KY6:KY17" si="163">IMDIV(IMSUB(KL6,IMPRODUCT(JW6,KX6)),KK6)</f>
        <v>37.7652422183821-0.120409201267435i</v>
      </c>
      <c r="KZ6" s="92" t="str">
        <f t="shared" ref="KZ6:KZ17" si="164">IMPRODUCT(IMSUB(CI29,KY6),JK6)</f>
        <v>0.0204664205299113+1.37039696687984i</v>
      </c>
      <c r="LA6" s="1" t="str">
        <f t="shared" ref="LA6:LA17" si="165">IMPRODUCT(KY6,JO6)</f>
        <v>0.00437094485828966+1.37090678751263i</v>
      </c>
      <c r="LB6" s="1" t="str">
        <f t="shared" ref="LB6:LB17" si="166">IMPRODUCT(IMSUB(KY6,KX6),JS6)</f>
        <v>0.0160954756716215-0.000509820632802895i</v>
      </c>
      <c r="LC6" s="1" t="str">
        <f t="shared" ref="LC6:LC17" si="167">IMPRODUCT(IMSUB(CI29,KX6),JL6)</f>
        <v>0.00192989868450296+1.253783844838i</v>
      </c>
      <c r="LD6" s="1" t="str">
        <f t="shared" ref="LD6:LD17" si="168">IMPRODUCT(IMSUB(CI29,KW6),JM6)</f>
        <v>-0.0136957646905395+1.19186063471523i</v>
      </c>
      <c r="LE6" s="1" t="str">
        <f t="shared" ref="LE6:LE17" si="169">IMPRODUCT(IMSUB(CI29,KV6),JN6)</f>
        <v>-0.00365921387023504+1.18395601205447i</v>
      </c>
      <c r="LF6" s="1" t="str">
        <f t="shared" ref="LF6:LF17" si="170">IMPRODUCT(KY6,JO6)</f>
        <v>0.00437094485828966+1.37090678751263i</v>
      </c>
      <c r="LG6" s="1" t="str">
        <f t="shared" ref="LG6:LG17" si="171">IMPRODUCT(KX6,JP6)</f>
        <v>0.000669291257852485+1.25352890152579i</v>
      </c>
      <c r="LH6" s="1" t="str">
        <f t="shared" ref="LH6:LH17" si="172">IMPRODUCT(KW6,JQ6)</f>
        <v>-0.000255750793949203+1.19149930532709i</v>
      </c>
      <c r="LI6" s="1" t="str">
        <f t="shared" ref="LI6:LI17" si="173">IMPRODUCT(KV6,JR6)</f>
        <v>0.0000535045252079839+1.18000720907264i</v>
      </c>
      <c r="LJ6" s="1" t="str">
        <f t="shared" ref="LJ6:LJ17" si="174">IMPRODUCT(IMSUB(KY6,KX6),JS6)</f>
        <v>0.0160954756716215-0.000509820632802895i</v>
      </c>
      <c r="LK6" s="1" t="str">
        <f t="shared" ref="LK6:LK17" si="175">IMPRODUCT(IMSUB(KX6,KW6),JT6)</f>
        <v>0.017356083098272-0.000254877320578871i</v>
      </c>
      <c r="LL6" s="1" t="str">
        <f t="shared" ref="LL6:LL17" si="176">IMPRODUCT(IMSUB(KW6,KV6),JU6)</f>
        <v>0.00391606920167877+0.000106452067337484i</v>
      </c>
      <c r="LM6" s="92" t="str">
        <f t="shared" ref="LM6:LM17" si="177">IMSUM(KZ6,LC6,LD6,LE6)</f>
        <v>0.00504134065363972+4.99999745848754i</v>
      </c>
      <c r="LN6" s="1" t="str">
        <f t="shared" ref="LN6:LN17" si="178">IMDIV(CI29,LM6)</f>
        <v>0.00639756243917695-6.34509709501692i</v>
      </c>
      <c r="LS6" s="1">
        <f t="shared" ref="LS6:LS17" si="179">JJ6</f>
        <v>2</v>
      </c>
      <c r="LT6" s="1">
        <f t="shared" ref="LT6:LT17" si="180">IMABS(LN6)</f>
        <v>6.3451003202469005</v>
      </c>
      <c r="LU6" s="1">
        <f t="shared" ref="LU6:LU17" si="181">IMABS(LM6)</f>
        <v>4.9999999999997442</v>
      </c>
    </row>
    <row r="7" spans="2:333" ht="18" customHeight="1" x14ac:dyDescent="0.25">
      <c r="B7" s="6"/>
      <c r="C7" s="262" t="s">
        <v>298</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c r="AR7" s="6"/>
      <c r="AS7" s="16" t="s">
        <v>7</v>
      </c>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8"/>
      <c r="CI7" s="1" t="s">
        <v>269</v>
      </c>
      <c r="EA7" s="1">
        <f t="shared" ref="EA7:EA41" si="182">ROUND(EA6+0.2,1)</f>
        <v>1.4</v>
      </c>
      <c r="EB7" s="1" t="str">
        <f t="shared" si="12"/>
        <v>0.00231498102962826-0.324097344147958i</v>
      </c>
      <c r="EC7" s="1" t="str">
        <f t="shared" si="13"/>
        <v>0.00453547303763904-0.634966225269468i</v>
      </c>
      <c r="ED7" s="1" t="str">
        <f t="shared" si="14"/>
        <v>0.0112087601893736-1.56922642651231i</v>
      </c>
      <c r="EE7" s="1" t="str">
        <f t="shared" si="15"/>
        <v>0.0156536812479626-2.19151537471476i</v>
      </c>
      <c r="EF7" s="1" t="str">
        <f t="shared" si="16"/>
        <v>0.0254105281705765i</v>
      </c>
      <c r="EG7" s="1" t="str">
        <f t="shared" si="17"/>
        <v>0.0253999448602181i</v>
      </c>
      <c r="EH7" s="1" t="str">
        <f t="shared" si="18"/>
        <v>0.0254201712281551i</v>
      </c>
      <c r="EI7" s="1" t="str">
        <f t="shared" si="19"/>
        <v>0.0254176880827125i</v>
      </c>
      <c r="EJ7" s="1" t="str">
        <f t="shared" si="1"/>
        <v>0.005</v>
      </c>
      <c r="EK7" s="1" t="str">
        <f t="shared" si="2"/>
        <v>0.01</v>
      </c>
      <c r="EL7" s="1" t="str">
        <f t="shared" si="3"/>
        <v>0.0125</v>
      </c>
      <c r="EM7" s="1" t="str">
        <f t="shared" si="20"/>
        <v>0.00731498102962826-0.298686815977382i</v>
      </c>
      <c r="EN7" s="1" t="str">
        <f t="shared" si="21"/>
        <v>-0.005</v>
      </c>
      <c r="EO7" s="1" t="str">
        <f t="shared" si="22"/>
        <v>16.6668398601907-2333.35758042671i</v>
      </c>
      <c r="EP7" s="1" t="str">
        <f t="shared" si="23"/>
        <v>-0.005</v>
      </c>
      <c r="EQ7" s="1" t="str">
        <f t="shared" si="24"/>
        <v>0.019535473037639-0.60956628040925i</v>
      </c>
      <c r="ER7" s="1" t="str">
        <f t="shared" si="25"/>
        <v>-0.01</v>
      </c>
      <c r="ES7" s="1" t="str">
        <f t="shared" si="26"/>
        <v>32.6534005424144-4571.47607593803i</v>
      </c>
      <c r="ET7" s="1" t="str">
        <f t="shared" si="27"/>
        <v>-0.01</v>
      </c>
      <c r="EU7" s="1" t="str">
        <f t="shared" si="28"/>
        <v>0.0337087601893736-1.54380625528415i</v>
      </c>
      <c r="EV7" s="1" t="str">
        <f t="shared" si="29"/>
        <v>-0.0125</v>
      </c>
      <c r="EW7" s="1" t="str">
        <f t="shared" si="30"/>
        <v>80.6981174863316-11297.7364480865i</v>
      </c>
      <c r="EX7" s="1" t="str">
        <f t="shared" si="31"/>
        <v>-0.0125</v>
      </c>
      <c r="EY7" s="1" t="str">
        <f t="shared" si="32"/>
        <v>0.0281536812479626-2.16609768663205i</v>
      </c>
      <c r="EZ7" s="1" t="str">
        <f t="shared" si="33"/>
        <v>112.699583816528-15777.9417343139i</v>
      </c>
      <c r="FB7" s="1" t="str">
        <f t="shared" si="34"/>
        <v>0.00731498102962826-0.298686815977382i</v>
      </c>
      <c r="FC7" s="1" t="str">
        <f t="shared" si="35"/>
        <v>16.6668398601907-2333.35758042671i</v>
      </c>
      <c r="FD7" s="1" t="str">
        <f t="shared" si="36"/>
        <v>-0.00040972333351822-0.0167299077638777i</v>
      </c>
      <c r="FE7" s="1" t="str">
        <f t="shared" si="37"/>
        <v>0.0195334244209714-0.609649929948069i</v>
      </c>
      <c r="FF7" s="1" t="str">
        <f t="shared" si="38"/>
        <v>71.6970864362848-4572.1532722906i</v>
      </c>
      <c r="FG7" s="1" t="str">
        <f t="shared" si="39"/>
        <v>-0.000525015007308894-0.0163860342932965i</v>
      </c>
      <c r="FH7" s="1" t="str">
        <f t="shared" si="40"/>
        <v>0.0337035100393005-1.54397011562708i</v>
      </c>
      <c r="FI7" s="1" t="str">
        <f t="shared" si="41"/>
        <v>155.655219846652-11298.9620662531i</v>
      </c>
      <c r="FJ7" s="1" t="str">
        <f t="shared" si="42"/>
        <v>-0.000176644642001875-0.00809215562469645i</v>
      </c>
      <c r="FK7" s="1" t="str">
        <f t="shared" si="43"/>
        <v>0.0281514731899376-2.16619883857736i</v>
      </c>
      <c r="FL7" s="1" t="str">
        <f t="shared" si="44"/>
        <v>204.136880251323-15779.2843971989i</v>
      </c>
      <c r="FM7" s="1" t="str">
        <f t="shared" si="45"/>
        <v>7284.31391677895-0.428071360511899i</v>
      </c>
      <c r="FN7" s="1" t="str">
        <f t="shared" si="46"/>
        <v>7318.12660690391+0.0405385059577314i</v>
      </c>
      <c r="FO7" s="1" t="str">
        <f t="shared" si="47"/>
        <v>7499.55169806075-2.64672183272585i</v>
      </c>
      <c r="FP7" s="1" t="str">
        <f t="shared" si="48"/>
        <v>7811.85419950784-9.97354675792856i</v>
      </c>
      <c r="FQ7" s="92" t="str">
        <f t="shared" si="49"/>
        <v>1.81494559808829+198.466707076401i</v>
      </c>
      <c r="FR7" s="1" t="str">
        <f t="shared" si="50"/>
        <v>0.253433090852906+198.50334120103i</v>
      </c>
      <c r="FS7" s="1" t="str">
        <f t="shared" si="51"/>
        <v>1.56151250723545-0.0366341246260136i</v>
      </c>
      <c r="FT7" s="1" t="str">
        <f t="shared" si="52"/>
        <v>0.319964992943986+190.497961128344i</v>
      </c>
      <c r="FU7" s="1" t="str">
        <f t="shared" si="53"/>
        <v>-1.39262278076884+186.060761643619i</v>
      </c>
      <c r="FV7" s="1" t="str">
        <f t="shared" si="54"/>
        <v>-0.388619378790796+185.750909448505i</v>
      </c>
      <c r="FW7" s="1" t="str">
        <f t="shared" si="55"/>
        <v>0.253433090852906+198.50334120103i</v>
      </c>
      <c r="FX7" s="1" t="str">
        <f t="shared" si="56"/>
        <v>0.067226588611572+190.488199607098i</v>
      </c>
      <c r="FY7" s="1" t="str">
        <f t="shared" si="57"/>
        <v>-0.00103049576277912+186.028031416815i</v>
      </c>
      <c r="FZ7" s="1" t="str">
        <f t="shared" si="58"/>
        <v>0.0108805843186338+185.150419033249i</v>
      </c>
      <c r="GA7" s="1" t="str">
        <f t="shared" si="59"/>
        <v>1.56151250723545-0.0366341246260136i</v>
      </c>
      <c r="GB7" s="1" t="str">
        <f t="shared" si="60"/>
        <v>1.8142509115684-0.0268726033868358i</v>
      </c>
      <c r="GC7" s="1" t="str">
        <f t="shared" si="61"/>
        <v>0.422658626561998+0.00585762333087038i</v>
      </c>
      <c r="GD7" s="92" t="str">
        <f t="shared" si="62"/>
        <v>0.35366843147264+760.776339296869i</v>
      </c>
      <c r="GE7" s="1" t="str">
        <f t="shared" si="63"/>
        <v>0.00439934513207392-9.46343350732907i</v>
      </c>
      <c r="GF7" s="1">
        <f t="shared" si="64"/>
        <v>1.4</v>
      </c>
      <c r="GG7" s="56">
        <f t="shared" si="65"/>
        <v>1.0763635005245293</v>
      </c>
      <c r="GH7" s="1">
        <f t="shared" si="66"/>
        <v>7.639814540600999E-2</v>
      </c>
      <c r="GJ7" s="1">
        <f t="shared" si="67"/>
        <v>760.7764215032588</v>
      </c>
      <c r="GK7" s="1">
        <f t="shared" si="68"/>
        <v>9.4634345299091152</v>
      </c>
      <c r="GM7" s="1" t="str">
        <f t="shared" si="69"/>
        <v>0.0191834803010191+0.671421810535671i</v>
      </c>
      <c r="GP7" s="1">
        <f t="shared" si="4"/>
        <v>1.4</v>
      </c>
      <c r="GQ7" s="1">
        <f t="shared" si="5"/>
        <v>9.4634345299091152</v>
      </c>
      <c r="GR7" s="1">
        <f t="shared" si="70"/>
        <v>0.67169580434855936</v>
      </c>
      <c r="GS7" s="1">
        <f t="shared" si="71"/>
        <v>0.7229888472562489</v>
      </c>
      <c r="GU7" s="15">
        <f>N20</f>
        <v>3</v>
      </c>
      <c r="GV7" s="1" t="str">
        <f t="shared" si="72"/>
        <v>0.000504171544335549-0.151251463300665i</v>
      </c>
      <c r="GW7" s="1" t="str">
        <f t="shared" si="73"/>
        <v>0.000987764658290056-0.296329397487017i</v>
      </c>
      <c r="GX7" s="1" t="str">
        <f t="shared" si="74"/>
        <v>0.00244111630395121-0.732334891185362i</v>
      </c>
      <c r="GY7" s="1" t="str">
        <f t="shared" si="75"/>
        <v>0.00340915996645943-1.02274798993783i</v>
      </c>
      <c r="GZ7" s="1" t="str">
        <f t="shared" si="76"/>
        <v>0.0544511317940926i</v>
      </c>
      <c r="HA7" s="1" t="str">
        <f t="shared" si="77"/>
        <v>0.0544284532718959i</v>
      </c>
      <c r="HB7" s="1" t="str">
        <f t="shared" si="78"/>
        <v>0.0544717954889039i</v>
      </c>
      <c r="HC7" s="1" t="str">
        <f t="shared" si="79"/>
        <v>0.0544664744629553i</v>
      </c>
      <c r="HD7" s="1" t="str">
        <f t="shared" si="6"/>
        <v>0.005</v>
      </c>
      <c r="HE7" s="1" t="str">
        <f t="shared" si="7"/>
        <v>0.01</v>
      </c>
      <c r="HF7" s="1" t="str">
        <f t="shared" si="8"/>
        <v>0.0125</v>
      </c>
      <c r="HG7" s="1" t="str">
        <f t="shared" ref="HG7:HG17" si="183">IMSUM(GV7,GZ7,HD7)</f>
        <v>0.00550417154433555-0.0968003315065724i</v>
      </c>
      <c r="HH7" s="1" t="str">
        <f t="shared" ref="HH7:HH17" si="184">IMPRODUCT("-1+0i",HD7)</f>
        <v>-0.005</v>
      </c>
      <c r="HI7" s="1" t="str">
        <f t="shared" ref="HI7:HI17" si="185">IMPRODUCT($EO$1,GV7)</f>
        <v>3.62981220319329-1088.94366095799i</v>
      </c>
      <c r="HJ7" s="1" t="str">
        <f t="shared" ref="HJ7:HJ17" si="186">IMPRODUCT("-1+0i",HD7)</f>
        <v>-0.005</v>
      </c>
      <c r="HK7" s="1" t="str">
        <f t="shared" ref="HK7:HK17" si="187">IMSUM(GW7,HA7,HD7,HE7)</f>
        <v>0.0159877646582901-0.241900944215121i</v>
      </c>
      <c r="HL7" s="1" t="str">
        <f t="shared" ref="HL7:HL17" si="188">IMPRODUCT("-1+0i",HE7)</f>
        <v>-0.01</v>
      </c>
      <c r="HM7" s="1" t="str">
        <f t="shared" ref="HM7:HM17" si="189">IMPRODUCT($EO$1,GW7)</f>
        <v>7.11146880625624-2133.44064187687i</v>
      </c>
      <c r="HN7" s="1" t="str">
        <f t="shared" ref="HN7:HN17" si="190">IMPRODUCT("-1+0i",HE7)</f>
        <v>-0.01</v>
      </c>
      <c r="HO7" s="1" t="str">
        <f t="shared" ref="HO7:HO17" si="191">IMSUM(GX7,HB7,HE7,HF7)</f>
        <v>0.0249411163039512-0.677863095696458i</v>
      </c>
      <c r="HP7" s="1" t="str">
        <f t="shared" ref="HP7:HP17" si="192">IMPRODUCT("-1+0i",HF7)</f>
        <v>-0.0125</v>
      </c>
      <c r="HQ7" s="1" t="str">
        <f t="shared" ref="HQ7:HQ17" si="193">IMPRODUCT($EO$1,GX7)</f>
        <v>17.5749580654614-5272.48741963842i</v>
      </c>
      <c r="HR7" s="1" t="str">
        <f t="shared" ref="HR7:HR17" si="194">IMPRODUCT("-1+0i",HF7)</f>
        <v>-0.0125</v>
      </c>
      <c r="HS7" s="1" t="str">
        <f t="shared" ref="HS7:HS17" si="195">IMSUM(GY7,HC7,HF7)</f>
        <v>0.0159091599664594-0.968281515474875i</v>
      </c>
      <c r="HT7" s="1" t="str">
        <f t="shared" ref="HT7:HT17" si="196">IMPRODUCT($EO$1,GY7)</f>
        <v>24.5444444215927-7363.33332647782i</v>
      </c>
      <c r="HV7" s="1" t="str">
        <f t="shared" ref="HV7:HV17" si="197">HG7</f>
        <v>0.00550417154433555-0.0968003315065724i</v>
      </c>
      <c r="HW7" s="1" t="str">
        <f t="shared" ref="HW7:HW17" si="198">HI7</f>
        <v>3.62981220319329-1088.94366095799i</v>
      </c>
      <c r="HX7" s="1" t="str">
        <f t="shared" ref="HX7:HX17" si="199">IMDIV(HJ7,HV7)</f>
        <v>-0.00292756392945764-0.0514862512179193i</v>
      </c>
      <c r="HY7" s="1" t="str">
        <f t="shared" ref="HY7:HY17" si="200">IMSUB(HK7,IMPRODUCT(HX7,HH7))</f>
        <v>0.0159731268386428-0.242158375471211i</v>
      </c>
      <c r="HZ7" s="1" t="str">
        <f t="shared" ref="HZ7:HZ17" si="201">IMSUB(HM7,IMPRODUCT(HX7,HW7))</f>
        <v>63.1877222037768-2136.44170863693i</v>
      </c>
      <c r="IA7" s="1" t="str">
        <f t="shared" ref="IA7:IA17" si="202">IMDIV(HN7,HY7)</f>
        <v>-0.00271209857496416-0.0411163945334895i</v>
      </c>
      <c r="IB7" s="1" t="str">
        <f t="shared" ref="IB7:IB17" si="203">IMSUB(HO7,IMPRODUCT(IA7,HL7))</f>
        <v>0.0249139953182016-0.678274259641793i</v>
      </c>
      <c r="IC7" s="1" t="str">
        <f t="shared" ref="IC7:IC17" si="204">IMSUB(HQ7,IMPRODUCT(IA7,HZ7))</f>
        <v>105.589109586924-5275.68360883611i</v>
      </c>
      <c r="ID7" s="1" t="str">
        <f t="shared" ref="ID7:ID17" si="205">IMDIV(HR7,IB7)</f>
        <v>-0.000676016295250145-0.0184042922987785i</v>
      </c>
      <c r="IE7" s="1" t="str">
        <f t="shared" ref="IE7:IE17" si="206">IMSUB(HS7,IMPRODUCT(ID7,HP7))</f>
        <v>0.0159007097627688-0.96851156912861i</v>
      </c>
      <c r="IF7" s="1" t="str">
        <f t="shared" ref="IF7:IF17" si="207">IMSUB(HT7,IMPRODUCT(ID7,HQ7))</f>
        <v>121.592724992291-7366.57415922462i</v>
      </c>
      <c r="IG7" s="1" t="str">
        <f t="shared" ref="IG7:IG17" si="208">IMDIV(IF7,IE7)</f>
        <v>7606.08863540272+0.671666907854688i</v>
      </c>
      <c r="IH7" s="1" t="str">
        <f t="shared" ref="IH7:IH17" si="209">IMDIV(IMSUB(IC7,IMPRODUCT(HP7,IG7)),IB7)</f>
        <v>7778.45773203262+10.132712413999i</v>
      </c>
      <c r="II7" s="1" t="str">
        <f t="shared" ref="II7:II17" si="210">IMDIV(IMSUB(HZ7,IMPRODUCT(HL7,IH7)),HY7)</f>
        <v>8822.09447567541+0.230698118704538i</v>
      </c>
      <c r="IJ7" s="1" t="str">
        <f t="shared" ref="IJ7:IJ17" si="211">IMDIV(IMSUB(HW7,IMPRODUCT(HH7,II7)),HV7)</f>
        <v>11241.0660472921-145.996104186604i</v>
      </c>
      <c r="IK7" s="92" t="str">
        <f t="shared" ref="IK7:IK17" si="212">IMPRODUCT(IMSUB($EO$1,IJ7),GV7)</f>
        <v>20.0445109685723+611.35763483568i</v>
      </c>
      <c r="IL7" s="1" t="str">
        <f t="shared" ref="IL7:IL17" si="213">IMPRODUCT(IJ7,GZ7)</f>
        <v>7.94965311048885+612.088768847202i</v>
      </c>
      <c r="IM7" s="1" t="str">
        <f t="shared" ref="IM7:IM17" si="214">IMPRODUCT(IMSUB(IJ7,II7),HD7)</f>
        <v>12.0948578580835-0.731134011526545i</v>
      </c>
      <c r="IN7" s="1" t="str">
        <f t="shared" ref="IN7:IN17" si="215">IMPRODUCT(IMSUB($EO$1,II7),GW7)</f>
        <v>-1.67104696342898+480.805070798115i</v>
      </c>
      <c r="IO7" s="1" t="str">
        <f t="shared" ref="IO7:IO17" si="216">IMPRODUCT(IMSUB($EO$1,IH7),GX7)</f>
        <v>-8.83370076691729+423.923842010153i</v>
      </c>
      <c r="IP7" s="1" t="str">
        <f t="shared" ref="IP7:IP17" si="217">IMPRODUCT(IMSUB($EO$1,IG7),GY7)</f>
        <v>-2.07287443548041+415.776246849348i</v>
      </c>
      <c r="IQ7" s="1" t="str">
        <f t="shared" ref="IQ7:IQ17" si="218">IMPRODUCT(IJ7,GZ7)</f>
        <v>7.94965311048885+612.088768847202i</v>
      </c>
      <c r="IR7" s="1" t="str">
        <f t="shared" ref="IR7:IR17" si="219">IMPRODUCT(II7,HA7)</f>
        <v>-0.0125565417738242+480.17295692955i</v>
      </c>
      <c r="IS7" s="1" t="str">
        <f t="shared" ref="IS7:IS17" si="220">IMPRODUCT(IH7,HB7)</f>
        <v>-0.551947038363231+423.706558798364i</v>
      </c>
      <c r="IT7" s="1" t="str">
        <f t="shared" ref="IT7:IT17" si="221">IMPRODUCT(IG7,HC7)</f>
        <v>-0.0365833284842795+414.276832423137i</v>
      </c>
      <c r="IU7" s="1" t="str">
        <f t="shared" ref="IU7:IU17" si="222">IMPRODUCT(IMSUB(IJ7,II7),HD7)</f>
        <v>12.0948578580835-0.731134011526545i</v>
      </c>
      <c r="IV7" s="1" t="str">
        <f t="shared" ref="IV7:IV17" si="223">IMPRODUCT(IMSUB(II7,IH7),HE7)</f>
        <v>10.4363674364279-0.0990201429529446i</v>
      </c>
      <c r="IW7" s="1" t="str">
        <f t="shared" ref="IW7:IW17" si="224">IMPRODUCT(IMSUB(IH7,IG7),HF7)</f>
        <v>2.15461370787375+0.118263068826804i</v>
      </c>
      <c r="IX7" s="92" t="str">
        <f t="shared" ref="IX7:IX17" si="225">IMSUM(IK7,IN7,IO7,IP7)</f>
        <v>7.46688880274562+1931.8627944933i</v>
      </c>
      <c r="IY7" s="1" t="str">
        <f t="shared" ref="IY7:IY17" si="226">IMDIV($EO$1,IX7)</f>
        <v>0.014404111181567-3.72668821171974i</v>
      </c>
      <c r="JD7" s="1">
        <f t="shared" si="124"/>
        <v>3</v>
      </c>
      <c r="JE7" s="1">
        <f t="shared" si="125"/>
        <v>3.7267160484520159</v>
      </c>
      <c r="JJ7" s="1">
        <f t="shared" si="126"/>
        <v>3</v>
      </c>
      <c r="JK7" s="1" t="str">
        <f t="shared" si="127"/>
        <v>0.000504171544335549-0.151251463300665i</v>
      </c>
      <c r="JL7" s="1" t="str">
        <f t="shared" si="128"/>
        <v>0.000987764658290056-0.296329397487017i</v>
      </c>
      <c r="JM7" s="1" t="str">
        <f t="shared" si="129"/>
        <v>0.00244111630395121-0.732334891185362i</v>
      </c>
      <c r="JN7" s="1" t="str">
        <f t="shared" si="130"/>
        <v>0.00340915996645943-1.02274798993783i</v>
      </c>
      <c r="JO7" s="1" t="str">
        <f t="shared" si="131"/>
        <v>0.0544511317940926i</v>
      </c>
      <c r="JP7" s="1" t="str">
        <f t="shared" si="132"/>
        <v>0.0544284532718959i</v>
      </c>
      <c r="JQ7" s="1" t="str">
        <f t="shared" si="133"/>
        <v>0.0544717954889039i</v>
      </c>
      <c r="JR7" s="1" t="str">
        <f t="shared" si="134"/>
        <v>0.0544664744629553i</v>
      </c>
      <c r="JS7" s="1" t="str">
        <f t="shared" si="9"/>
        <v>0.005</v>
      </c>
      <c r="JT7" s="1" t="str">
        <f t="shared" si="10"/>
        <v>0.01</v>
      </c>
      <c r="JU7" s="1" t="str">
        <f t="shared" si="11"/>
        <v>0.0125</v>
      </c>
      <c r="JV7" s="1" t="str">
        <f t="shared" si="135"/>
        <v>0.00550417154433555-0.0968003315065724i</v>
      </c>
      <c r="JW7" s="1" t="str">
        <f t="shared" si="136"/>
        <v>-0.005</v>
      </c>
      <c r="JX7" s="1" t="str">
        <f t="shared" si="137"/>
        <v>0.00563671255634437-1.69101376690331i</v>
      </c>
      <c r="JY7" s="1" t="str">
        <f t="shared" si="138"/>
        <v>-0.005</v>
      </c>
      <c r="JZ7" s="1" t="str">
        <f t="shared" si="139"/>
        <v>0.0159877646582901-0.241900944215121i</v>
      </c>
      <c r="KA7" s="1" t="str">
        <f t="shared" si="140"/>
        <v>-0.01</v>
      </c>
      <c r="KB7" s="1" t="str">
        <f t="shared" si="141"/>
        <v>0.0110433552124298-3.31300656372894i</v>
      </c>
      <c r="KC7" s="1" t="str">
        <f t="shared" si="142"/>
        <v>-0.01</v>
      </c>
      <c r="KD7" s="1" t="str">
        <f t="shared" si="143"/>
        <v>0.0249411163039512-0.677863095696458i</v>
      </c>
      <c r="KE7" s="1" t="str">
        <f t="shared" si="144"/>
        <v>-0.0125</v>
      </c>
      <c r="KF7" s="1" t="str">
        <f t="shared" si="145"/>
        <v>0.0272920419182185-8.18761257546553i</v>
      </c>
      <c r="KG7" s="1" t="str">
        <f t="shared" si="146"/>
        <v>-0.0125</v>
      </c>
      <c r="KH7" s="1" t="str">
        <f t="shared" si="147"/>
        <v>0.0159091599664594-0.968281515474875i</v>
      </c>
      <c r="KI7" s="1" t="str">
        <f t="shared" si="148"/>
        <v>0.0381149134762334-11.43447404287i</v>
      </c>
      <c r="KK7" s="1" t="str">
        <f t="shared" si="149"/>
        <v>0.00550417154433555-0.0968003315065724i</v>
      </c>
      <c r="KL7" s="1" t="str">
        <f t="shared" si="150"/>
        <v>0.00563671255634437-1.69101376690331i</v>
      </c>
      <c r="KM7" s="1" t="str">
        <f t="shared" si="151"/>
        <v>-0.00292756392945764-0.0514862512179193i</v>
      </c>
      <c r="KN7" s="1" t="str">
        <f t="shared" si="152"/>
        <v>0.0159731268386428-0.242158375471211i</v>
      </c>
      <c r="KO7" s="1" t="str">
        <f t="shared" si="153"/>
        <v>0.0981238166645343-3.31766690143842i</v>
      </c>
      <c r="KP7" s="1" t="str">
        <f t="shared" si="154"/>
        <v>-0.00271209857496416-0.0411163945334895i</v>
      </c>
      <c r="KQ7" s="1" t="str">
        <f t="shared" si="155"/>
        <v>0.0249139953182016-0.678274259641793i</v>
      </c>
      <c r="KR7" s="1" t="str">
        <f t="shared" si="156"/>
        <v>0.163968664631806-8.19257591758202i</v>
      </c>
      <c r="KS7" s="1" t="str">
        <f t="shared" si="157"/>
        <v>-0.000676016295250145-0.0184042922987785i</v>
      </c>
      <c r="KT7" s="1" t="str">
        <f t="shared" si="158"/>
        <v>0.0159007097627688-0.96851156912861i</v>
      </c>
      <c r="KU7" s="1" t="str">
        <f t="shared" si="159"/>
        <v>0.188820578409323-11.4395067116733i</v>
      </c>
      <c r="KV7" s="1" t="str">
        <f t="shared" si="160"/>
        <v>11.8114472363406+0.00104302731966635i</v>
      </c>
      <c r="KW7" s="1" t="str">
        <f t="shared" si="161"/>
        <v>12.0791181231277+0.0157350254218575i</v>
      </c>
      <c r="KX7" s="1" t="str">
        <f t="shared" si="162"/>
        <v>13.6997750628941+0.00035824965855308i</v>
      </c>
      <c r="KY7" s="1" t="str">
        <f t="shared" si="163"/>
        <v>17.4561808128048-0.226716432580725i</v>
      </c>
      <c r="KZ7" s="92" t="str">
        <f t="shared" si="164"/>
        <v>0.0311269950998932+0.949373428648343i</v>
      </c>
      <c r="LA7" s="1" t="str">
        <f t="shared" si="165"/>
        <v>0.0123449663503396+0.950508802059545i</v>
      </c>
      <c r="LB7" s="1" t="str">
        <f t="shared" si="166"/>
        <v>0.0187820287495535-0.00113537341119639i</v>
      </c>
      <c r="LC7" s="1" t="str">
        <f t="shared" si="167"/>
        <v>-0.00259495832668938+0.746639172499775i</v>
      </c>
      <c r="LD7" s="1" t="str">
        <f t="shared" si="168"/>
        <v>-0.013717798399616+0.658308669823225i</v>
      </c>
      <c r="LE7" s="1" t="str">
        <f t="shared" si="169"/>
        <v>-0.00321895368248584+0.645656320507069i</v>
      </c>
      <c r="LF7" s="1" t="str">
        <f t="shared" si="170"/>
        <v>0.0123449663503396+0.950508802059545i</v>
      </c>
      <c r="LG7" s="1" t="str">
        <f t="shared" si="171"/>
        <v>-0.000019498974800229+0.745657566846216i</v>
      </c>
      <c r="LH7" s="1" t="str">
        <f t="shared" si="172"/>
        <v>-0.000857115086792126+0.657971252089325i</v>
      </c>
      <c r="LI7" s="1" t="str">
        <f t="shared" si="173"/>
        <v>-0.000056810020870772+0.643327889268689i</v>
      </c>
      <c r="LJ7" s="1" t="str">
        <f t="shared" si="174"/>
        <v>0.0187820287495535-0.00113537341119639i</v>
      </c>
      <c r="LK7" s="1" t="str">
        <f t="shared" si="175"/>
        <v>0.016206569397664-0.000153767757633044i</v>
      </c>
      <c r="LL7" s="1" t="str">
        <f t="shared" si="176"/>
        <v>0.00334588608483875+0.000183649976277389i</v>
      </c>
      <c r="LM7" s="92" t="str">
        <f t="shared" si="177"/>
        <v>0.011595284691102+2.99997759147841i</v>
      </c>
      <c r="LN7" s="1" t="str">
        <f t="shared" si="178"/>
        <v>0.0144041111815671-3.7266882117198i</v>
      </c>
      <c r="LS7" s="1">
        <f t="shared" si="179"/>
        <v>3</v>
      </c>
      <c r="LT7" s="1">
        <f t="shared" si="180"/>
        <v>3.7267160484520758</v>
      </c>
      <c r="LU7" s="1">
        <f t="shared" si="181"/>
        <v>2.9999999999999454</v>
      </c>
    </row>
    <row r="8" spans="2:333" ht="18" customHeight="1" x14ac:dyDescent="0.3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c r="AR8" s="6"/>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8"/>
      <c r="CI8" s="1" t="s">
        <v>270</v>
      </c>
      <c r="DC8" s="19"/>
      <c r="EA8" s="1">
        <f t="shared" si="182"/>
        <v>1.6</v>
      </c>
      <c r="EB8" s="1" t="str">
        <f t="shared" si="12"/>
        <v>0.00177242854426561-0.283588567082497i</v>
      </c>
      <c r="EC8" s="1" t="str">
        <f t="shared" si="13"/>
        <v>0.00347251306631627-0.555602090610605i</v>
      </c>
      <c r="ED8" s="1" t="str">
        <f t="shared" si="14"/>
        <v>0.00858180963524518-1.37308954163923i</v>
      </c>
      <c r="EE8" s="1" t="str">
        <f t="shared" si="15"/>
        <v>0.0119849930136055-1.91759888217688i</v>
      </c>
      <c r="EF8" s="1" t="str">
        <f t="shared" si="16"/>
        <v>0.029040603623516i</v>
      </c>
      <c r="EG8" s="1" t="str">
        <f t="shared" si="17"/>
        <v>0.0290285084116778i</v>
      </c>
      <c r="EH8" s="1" t="str">
        <f t="shared" si="18"/>
        <v>0.0290516242607488i</v>
      </c>
      <c r="EI8" s="1" t="str">
        <f t="shared" si="19"/>
        <v>0.0290487863802429i</v>
      </c>
      <c r="EJ8" s="1" t="str">
        <f t="shared" si="1"/>
        <v>0.005</v>
      </c>
      <c r="EK8" s="1" t="str">
        <f t="shared" si="2"/>
        <v>0.01</v>
      </c>
      <c r="EL8" s="1" t="str">
        <f t="shared" si="3"/>
        <v>0.0125</v>
      </c>
      <c r="EM8" s="1" t="str">
        <f t="shared" si="20"/>
        <v>0.00677242854426561-0.254547963458981i</v>
      </c>
      <c r="EN8" s="1" t="str">
        <f t="shared" si="21"/>
        <v>-0.005</v>
      </c>
      <c r="EO8" s="1" t="str">
        <f t="shared" si="22"/>
        <v>12.7607018514745-2041.71229623592i</v>
      </c>
      <c r="EP8" s="1" t="str">
        <f t="shared" si="23"/>
        <v>-0.005</v>
      </c>
      <c r="EQ8" s="1" t="str">
        <f t="shared" si="24"/>
        <v>0.0184725130663163-0.526573582198927i</v>
      </c>
      <c r="ER8" s="1" t="str">
        <f t="shared" si="25"/>
        <v>-0.01</v>
      </c>
      <c r="ES8" s="1" t="str">
        <f t="shared" si="26"/>
        <v>25.0005587294193-4000.08939670711i</v>
      </c>
      <c r="ET8" s="1" t="str">
        <f t="shared" si="27"/>
        <v>-0.01</v>
      </c>
      <c r="EU8" s="1" t="str">
        <f t="shared" si="28"/>
        <v>0.0310818096352452-1.34403791737848i</v>
      </c>
      <c r="EV8" s="1" t="str">
        <f t="shared" si="29"/>
        <v>-0.0125</v>
      </c>
      <c r="EW8" s="1" t="str">
        <f t="shared" si="30"/>
        <v>61.7852349849453-9885.63759759126i</v>
      </c>
      <c r="EX8" s="1" t="str">
        <f t="shared" si="31"/>
        <v>-0.0125</v>
      </c>
      <c r="EY8" s="1" t="str">
        <f t="shared" si="32"/>
        <v>0.0244849930136055-1.88855009579664i</v>
      </c>
      <c r="EZ8" s="1" t="str">
        <f t="shared" si="33"/>
        <v>86.2866506147323-13805.8640983572i</v>
      </c>
      <c r="FB8" s="1" t="str">
        <f t="shared" si="34"/>
        <v>0.00677242854426561-0.254547963458981i</v>
      </c>
      <c r="FC8" s="1" t="str">
        <f t="shared" si="35"/>
        <v>12.7607018514745-2041.71229623592i</v>
      </c>
      <c r="FD8" s="1" t="str">
        <f t="shared" si="36"/>
        <v>-0.000522237278804702-0.0196287690439578i</v>
      </c>
      <c r="FE8" s="1" t="str">
        <f t="shared" si="37"/>
        <v>0.0184699018799223-0.526671726044147i</v>
      </c>
      <c r="FF8" s="1" t="str">
        <f t="shared" si="38"/>
        <v>65.0835219606535-4000.90517811132i</v>
      </c>
      <c r="FG8" s="1" t="str">
        <f t="shared" si="39"/>
        <v>-0.00066504463544965-0.018963836858788i</v>
      </c>
      <c r="FH8" s="1" t="str">
        <f t="shared" si="40"/>
        <v>0.0310751591888907-1.34422755574707i</v>
      </c>
      <c r="FI8" s="1" t="str">
        <f t="shared" si="41"/>
        <v>137.701031517265-9887.06414482425i</v>
      </c>
      <c r="FJ8" s="1" t="str">
        <f t="shared" si="42"/>
        <v>-0.000214855143295235-0.00929405388902048i</v>
      </c>
      <c r="FK8" s="1" t="str">
        <f t="shared" si="43"/>
        <v>0.0244823073243143-1.88866627147025i</v>
      </c>
      <c r="FL8" s="1" t="str">
        <f t="shared" si="44"/>
        <v>178.177574049589-13807.4138431363i</v>
      </c>
      <c r="FM8" s="1" t="str">
        <f t="shared" si="45"/>
        <v>7310.66341646579-0.425874316229487i</v>
      </c>
      <c r="FN8" s="1" t="str">
        <f t="shared" si="46"/>
        <v>7355.21411101935+0.386746167018176i</v>
      </c>
      <c r="FO8" s="1" t="str">
        <f t="shared" si="47"/>
        <v>7596.46386472782-3.1713856325585i</v>
      </c>
      <c r="FP8" s="1" t="str">
        <f t="shared" si="48"/>
        <v>8020.6220532602-14.0487023056788i</v>
      </c>
      <c r="FQ8" s="92" t="str">
        <f t="shared" si="49"/>
        <v>2.52877373774595+232.869319279388i</v>
      </c>
      <c r="FR8" s="1" t="str">
        <f t="shared" si="50"/>
        <v>0.407982795083993+232.923705862761i</v>
      </c>
      <c r="FS8" s="1" t="str">
        <f t="shared" si="51"/>
        <v>2.1207909426619-0.0543865833656015i</v>
      </c>
      <c r="FT8" s="1" t="str">
        <f t="shared" si="52"/>
        <v>0.383767188934521+220.532820461635i</v>
      </c>
      <c r="FU8" s="1" t="str">
        <f t="shared" si="53"/>
        <v>-1.86684945949356+213.726655784712i</v>
      </c>
      <c r="FV8" s="1" t="str">
        <f t="shared" si="54"/>
        <v>-0.514943243682026+213.06100112975i</v>
      </c>
      <c r="FW8" s="1" t="str">
        <f t="shared" si="55"/>
        <v>0.407982795083993+232.923705862761i</v>
      </c>
      <c r="FX8" s="1" t="str">
        <f t="shared" si="56"/>
        <v>0.0920605945113985+220.514015196258i</v>
      </c>
      <c r="FY8" s="1" t="str">
        <f t="shared" si="57"/>
        <v>-0.0112356043284968+213.680916710692i</v>
      </c>
      <c r="FZ8" s="1" t="str">
        <f t="shared" si="58"/>
        <v>0.0123711320369824+212.365899882771i</v>
      </c>
      <c r="GA8" s="1" t="str">
        <f t="shared" si="59"/>
        <v>2.1207909426619-0.0543865833656015i</v>
      </c>
      <c r="GB8" s="1" t="str">
        <f t="shared" si="60"/>
        <v>2.4124975370847-0.0355813179957668i</v>
      </c>
      <c r="GC8" s="1" t="str">
        <f t="shared" si="61"/>
        <v>0.556883681919499+0.0101577560405958i</v>
      </c>
      <c r="GD8" s="92" t="str">
        <f t="shared" si="62"/>
        <v>0.530748223504885+880.189796655485i</v>
      </c>
      <c r="GE8" s="1" t="str">
        <f t="shared" si="63"/>
        <v>0.00493220998143463-8.17954862279655i</v>
      </c>
      <c r="GF8" s="1">
        <f t="shared" si="64"/>
        <v>1.6</v>
      </c>
      <c r="GG8" s="56">
        <f t="shared" si="65"/>
        <v>1.1035180423711297</v>
      </c>
      <c r="GH8" s="1">
        <f t="shared" si="66"/>
        <v>0.10355548029606804</v>
      </c>
      <c r="GJ8" s="1">
        <f t="shared" si="67"/>
        <v>880.18995667418346</v>
      </c>
      <c r="GK8" s="1">
        <f t="shared" si="68"/>
        <v>8.1795501098402887</v>
      </c>
      <c r="GM8" s="1" t="str">
        <f t="shared" si="69"/>
        <v>0.0191834803010191+0.767339212040767i</v>
      </c>
      <c r="GP8" s="1">
        <f t="shared" si="4"/>
        <v>1.6</v>
      </c>
      <c r="GQ8" s="1">
        <f t="shared" si="5"/>
        <v>8.1795501098402887</v>
      </c>
      <c r="GR8" s="1">
        <f t="shared" si="70"/>
        <v>0.76757896808849901</v>
      </c>
      <c r="GS8" s="1">
        <f t="shared" si="71"/>
        <v>0.84703724023026905</v>
      </c>
      <c r="GU8" s="15">
        <f>P20</f>
        <v>4</v>
      </c>
      <c r="GV8" s="1" t="str">
        <f t="shared" si="72"/>
        <v>0.000283597872274196-0.113439148909679i</v>
      </c>
      <c r="GW8" s="1" t="str">
        <f t="shared" si="73"/>
        <v>0.000555620321190263-0.222248128476105i</v>
      </c>
      <c r="GX8" s="1" t="str">
        <f t="shared" si="74"/>
        <v>0.00137313459585823-0.549253838343292i</v>
      </c>
      <c r="GY8" s="1" t="str">
        <f t="shared" si="75"/>
        <v>0.00191766180299695-0.76706472119878i</v>
      </c>
      <c r="GZ8" s="1" t="str">
        <f t="shared" si="76"/>
        <v>0.0726015090587899i</v>
      </c>
      <c r="HA8" s="1" t="str">
        <f t="shared" si="77"/>
        <v>0.0725712710291944i</v>
      </c>
      <c r="HB8" s="1" t="str">
        <f t="shared" si="78"/>
        <v>0.0726290606518716i</v>
      </c>
      <c r="HC8" s="1" t="str">
        <f t="shared" si="79"/>
        <v>0.0726219659506071i</v>
      </c>
      <c r="HD8" s="1" t="str">
        <f t="shared" si="6"/>
        <v>0.005</v>
      </c>
      <c r="HE8" s="1" t="str">
        <f t="shared" si="7"/>
        <v>0.01</v>
      </c>
      <c r="HF8" s="1" t="str">
        <f t="shared" si="8"/>
        <v>0.0125</v>
      </c>
      <c r="HG8" s="1" t="str">
        <f t="shared" si="183"/>
        <v>0.0052835978722742-0.0408376398508891i</v>
      </c>
      <c r="HH8" s="1" t="str">
        <f t="shared" si="184"/>
        <v>-0.005</v>
      </c>
      <c r="HI8" s="1" t="str">
        <f t="shared" si="185"/>
        <v>2.04177928950193-816.711715800776i</v>
      </c>
      <c r="HJ8" s="1" t="str">
        <f t="shared" si="186"/>
        <v>-0.005</v>
      </c>
      <c r="HK8" s="1" t="str">
        <f t="shared" si="187"/>
        <v>0.0155556203211903-0.149676857446911i</v>
      </c>
      <c r="HL8" s="1" t="str">
        <f t="shared" si="188"/>
        <v>-0.01</v>
      </c>
      <c r="HM8" s="1" t="str">
        <f t="shared" si="189"/>
        <v>4.00022064882012-1600.08825952805i</v>
      </c>
      <c r="HN8" s="1" t="str">
        <f t="shared" si="190"/>
        <v>-0.01</v>
      </c>
      <c r="HO8" s="1" t="str">
        <f t="shared" si="191"/>
        <v>0.0238731345958582-0.47662477769142i</v>
      </c>
      <c r="HP8" s="1" t="str">
        <f t="shared" si="192"/>
        <v>-0.0125</v>
      </c>
      <c r="HQ8" s="1" t="str">
        <f t="shared" si="193"/>
        <v>9.88596196804764-3954.38478721906i</v>
      </c>
      <c r="HR8" s="1" t="str">
        <f t="shared" si="194"/>
        <v>-0.0125</v>
      </c>
      <c r="HS8" s="1" t="str">
        <f t="shared" si="195"/>
        <v>0.014417661802997-0.694442755248173i</v>
      </c>
      <c r="HT8" s="1" t="str">
        <f t="shared" si="196"/>
        <v>13.8063171004417-5522.52684017666i</v>
      </c>
      <c r="HV8" s="1" t="str">
        <f t="shared" si="197"/>
        <v>0.0052835978722742-0.0408376398508891i</v>
      </c>
      <c r="HW8" s="1" t="str">
        <f t="shared" si="198"/>
        <v>2.04177928950193-816.711715800776i</v>
      </c>
      <c r="HX8" s="1" t="str">
        <f t="shared" si="199"/>
        <v>-0.0155800506472925-0.120420310662076i</v>
      </c>
      <c r="HY8" s="1" t="str">
        <f t="shared" si="200"/>
        <v>0.0154777200679538-0.150278959000221i</v>
      </c>
      <c r="HZ8" s="1" t="str">
        <f t="shared" si="201"/>
        <v>102.380710211648-1612.56679772812i</v>
      </c>
      <c r="IA8" s="1" t="str">
        <f t="shared" si="202"/>
        <v>-0.00678153592415867-0.065844462532646i</v>
      </c>
      <c r="IB8" s="1" t="str">
        <f t="shared" si="203"/>
        <v>0.0238053192366166-0.477283222316746i</v>
      </c>
      <c r="IC8" s="1" t="str">
        <f t="shared" si="204"/>
        <v>116.758854526687-3958.57926405036i</v>
      </c>
      <c r="ID8" s="1" t="str">
        <f t="shared" si="205"/>
        <v>-0.00130302467428691-0.0261249096943543i</v>
      </c>
      <c r="IE8" s="1" t="str">
        <f t="shared" si="206"/>
        <v>0.0144013739945684-0.694769316619352i</v>
      </c>
      <c r="IF8" s="1" t="str">
        <f t="shared" si="207"/>
        <v>117.127144215642-5527.42123126237i</v>
      </c>
      <c r="IG8" s="1" t="str">
        <f t="shared" si="208"/>
        <v>7955.8408809612+3.67331168287836i</v>
      </c>
      <c r="IH8" s="1" t="str">
        <f t="shared" si="209"/>
        <v>8295.8439288085+39.2254569213486i</v>
      </c>
      <c r="II8" s="1" t="str">
        <f t="shared" si="210"/>
        <v>10740.9650403598+127.05371046214i</v>
      </c>
      <c r="IJ8" s="1" t="str">
        <f t="shared" si="211"/>
        <v>19828.1428446105-1200.29778979906i</v>
      </c>
      <c r="IK8" s="92" t="str">
        <f t="shared" si="212"/>
        <v>132.579319880596+1432.91633485067i</v>
      </c>
      <c r="IL8" s="1" t="str">
        <f t="shared" si="213"/>
        <v>87.1434308593419+1439.55309235197i</v>
      </c>
      <c r="IM8" s="1" t="str">
        <f t="shared" si="214"/>
        <v>45.4358890212535-6.636757501306i</v>
      </c>
      <c r="IN8" s="1" t="str">
        <f t="shared" si="215"/>
        <v>-30.2051271629535+787.000525095778i</v>
      </c>
      <c r="IO8" s="1" t="str">
        <f t="shared" si="216"/>
        <v>-23.0500811072599+602.085471143972i</v>
      </c>
      <c r="IP8" s="1" t="str">
        <f t="shared" si="217"/>
        <v>-4.26796286960255+580.110982910192i</v>
      </c>
      <c r="IQ8" s="1" t="str">
        <f t="shared" si="218"/>
        <v>87.1434308593419+1439.55309235197i</v>
      </c>
      <c r="IR8" s="1" t="str">
        <f t="shared" si="219"/>
        <v>-9.22044925721275+779.485485059053i</v>
      </c>
      <c r="IS8" s="1" t="str">
        <f t="shared" si="220"/>
        <v>-2.848908089838+602.519351863893i</v>
      </c>
      <c r="IT8" s="1" t="str">
        <f t="shared" si="221"/>
        <v>-0.26676311595996+577.768805565612i</v>
      </c>
      <c r="IU8" s="1" t="str">
        <f t="shared" si="222"/>
        <v>45.4358890212535-6.636757501306i</v>
      </c>
      <c r="IV8" s="1" t="str">
        <f t="shared" si="223"/>
        <v>24.451211115513+0.878282535407914i</v>
      </c>
      <c r="IW8" s="1" t="str">
        <f t="shared" si="224"/>
        <v>4.25003809809124+0.444401815480878i</v>
      </c>
      <c r="IX8" s="92" t="str">
        <f t="shared" si="225"/>
        <v>75.05614874078+3402.11331400061i</v>
      </c>
      <c r="IY8" s="1" t="str">
        <f t="shared" si="226"/>
        <v>0.0466641357633652-2.11517217750103i</v>
      </c>
      <c r="JD8" s="1">
        <f t="shared" si="124"/>
        <v>4</v>
      </c>
      <c r="JE8" s="1">
        <f t="shared" ref="JE8:JE17" si="227">IMABS(IY8)</f>
        <v>2.1156868582190964</v>
      </c>
      <c r="JJ8" s="1">
        <f t="shared" si="126"/>
        <v>4</v>
      </c>
      <c r="JK8" s="1" t="str">
        <f t="shared" si="127"/>
        <v>0.000283597872274196-0.113439148909679i</v>
      </c>
      <c r="JL8" s="1" t="str">
        <f t="shared" si="128"/>
        <v>0.000555620321190263-0.222248128476105i</v>
      </c>
      <c r="JM8" s="1" t="str">
        <f t="shared" si="129"/>
        <v>0.00137313459585823-0.549253838343292i</v>
      </c>
      <c r="JN8" s="1" t="str">
        <f t="shared" si="130"/>
        <v>0.00191766180299695-0.76706472119878i</v>
      </c>
      <c r="JO8" s="1" t="str">
        <f t="shared" si="131"/>
        <v>0.0726015090587899i</v>
      </c>
      <c r="JP8" s="1" t="str">
        <f t="shared" si="132"/>
        <v>0.0725712710291944i</v>
      </c>
      <c r="JQ8" s="1" t="str">
        <f t="shared" si="133"/>
        <v>0.0726290606518716i</v>
      </c>
      <c r="JR8" s="1" t="str">
        <f t="shared" si="134"/>
        <v>0.0726219659506071i</v>
      </c>
      <c r="JS8" s="1" t="str">
        <f t="shared" si="9"/>
        <v>0.005</v>
      </c>
      <c r="JT8" s="1" t="str">
        <f t="shared" si="10"/>
        <v>0.01</v>
      </c>
      <c r="JU8" s="1" t="str">
        <f t="shared" si="11"/>
        <v>0.0125</v>
      </c>
      <c r="JV8" s="1" t="str">
        <f t="shared" si="135"/>
        <v>0.0052835978722742-0.0408376398508891i</v>
      </c>
      <c r="JW8" s="1" t="str">
        <f t="shared" si="136"/>
        <v>-0.005</v>
      </c>
      <c r="JX8" s="1" t="str">
        <f t="shared" si="137"/>
        <v>0.00180001287416824-0.720005149667301i</v>
      </c>
      <c r="JY8" s="1" t="str">
        <f t="shared" si="138"/>
        <v>-0.005</v>
      </c>
      <c r="JZ8" s="1" t="str">
        <f t="shared" si="139"/>
        <v>0.0155556203211903-0.149676857446911i</v>
      </c>
      <c r="KA8" s="1" t="str">
        <f t="shared" si="140"/>
        <v>-0.01</v>
      </c>
      <c r="KB8" s="1" t="str">
        <f t="shared" si="141"/>
        <v>0.00352655583510514-1.41062233404205i</v>
      </c>
      <c r="KC8" s="1" t="str">
        <f t="shared" si="142"/>
        <v>-0.01</v>
      </c>
      <c r="KD8" s="1" t="str">
        <f t="shared" si="143"/>
        <v>0.0238731345958582-0.47662477769142i</v>
      </c>
      <c r="KE8" s="1" t="str">
        <f t="shared" si="144"/>
        <v>-0.0125</v>
      </c>
      <c r="KF8" s="1" t="str">
        <f t="shared" si="145"/>
        <v>0.00871536845706974-3.4861473828279i</v>
      </c>
      <c r="KG8" s="1" t="str">
        <f t="shared" si="146"/>
        <v>-0.0125</v>
      </c>
      <c r="KH8" s="1" t="str">
        <f t="shared" si="147"/>
        <v>0.014417661802997-0.694442755248173i</v>
      </c>
      <c r="KI8" s="1" t="str">
        <f t="shared" si="148"/>
        <v>0.0121715156253282-4.86860625013126i</v>
      </c>
      <c r="KK8" s="1" t="str">
        <f t="shared" si="149"/>
        <v>0.0052835978722742-0.0408376398508891i</v>
      </c>
      <c r="KL8" s="1" t="str">
        <f t="shared" si="150"/>
        <v>0.00180001287416824-0.720005149667301i</v>
      </c>
      <c r="KM8" s="1" t="str">
        <f t="shared" si="151"/>
        <v>-0.0155800506472925-0.120420310662076i</v>
      </c>
      <c r="KN8" s="1" t="str">
        <f t="shared" si="152"/>
        <v>0.0154777200679538-0.150278959000221i</v>
      </c>
      <c r="KO8" s="1" t="str">
        <f t="shared" si="153"/>
        <v>0.0902578439280813-1.42162329263067i</v>
      </c>
      <c r="KP8" s="1" t="str">
        <f t="shared" si="154"/>
        <v>-0.00678153592415867-0.065844462532646i</v>
      </c>
      <c r="KQ8" s="1" t="str">
        <f t="shared" si="155"/>
        <v>0.0238053192366166-0.477283222316746i</v>
      </c>
      <c r="KR8" s="1" t="str">
        <f t="shared" si="156"/>
        <v>0.102933476895262-3.4898451930347i</v>
      </c>
      <c r="KS8" s="1" t="str">
        <f t="shared" si="157"/>
        <v>-0.00130302467428691-0.0261249096943543i</v>
      </c>
      <c r="KT8" s="1" t="str">
        <f t="shared" si="158"/>
        <v>0.0144013739945684-0.694769316619352i</v>
      </c>
      <c r="KU8" s="1" t="str">
        <f t="shared" si="159"/>
        <v>0.103258157523062-4.87292109797539i</v>
      </c>
      <c r="KV8" s="1" t="str">
        <f t="shared" si="160"/>
        <v>7.01379237422745+0.00323835605249286i</v>
      </c>
      <c r="KW8" s="1" t="str">
        <f t="shared" si="161"/>
        <v>7.31353577280552+0.0345807834453918i</v>
      </c>
      <c r="KX8" s="1" t="str">
        <f t="shared" si="162"/>
        <v>9.46913089629525+0.112009322319307i</v>
      </c>
      <c r="KY8" s="1" t="str">
        <f t="shared" si="163"/>
        <v>17.4802989601546-1.05817092257854i</v>
      </c>
      <c r="KZ8" s="92" t="str">
        <f t="shared" si="164"/>
        <v>0.116880646140631+1.26324518208153i</v>
      </c>
      <c r="LA8" s="1" t="str">
        <f t="shared" si="165"/>
        <v>0.0768248058213339+1.26909608330602i</v>
      </c>
      <c r="LB8" s="1" t="str">
        <f t="shared" si="166"/>
        <v>0.0400558403192968-0.00585090122448925i</v>
      </c>
      <c r="LC8" s="1" t="str">
        <f t="shared" si="167"/>
        <v>-0.0266285479722299+0.693812051299184i</v>
      </c>
      <c r="LD8" s="1" t="str">
        <f t="shared" si="168"/>
        <v>-0.0203207285709159+0.530792728176409i</v>
      </c>
      <c r="LE8" s="1" t="str">
        <f t="shared" si="169"/>
        <v>-0.00376259478742694+0.511420231879941i</v>
      </c>
      <c r="LF8" s="1" t="str">
        <f t="shared" si="170"/>
        <v>0.0768248058213339+1.26909608330602i</v>
      </c>
      <c r="LG8" s="1" t="str">
        <f t="shared" si="171"/>
        <v>-0.00812865888783082+0.687186864685961i</v>
      </c>
      <c r="LH8" s="1" t="str">
        <f t="shared" si="172"/>
        <v>-0.0025115698182446+0.531175233222725i</v>
      </c>
      <c r="LI8" s="1" t="str">
        <f t="shared" si="173"/>
        <v>-0.000235175782980079+0.509355390985774i</v>
      </c>
      <c r="LJ8" s="1" t="str">
        <f t="shared" si="174"/>
        <v>0.0400558403192968-0.00585090122448925i</v>
      </c>
      <c r="LK8" s="1" t="str">
        <f t="shared" si="175"/>
        <v>0.0215559512348973+0.000774285388739152i</v>
      </c>
      <c r="LL8" s="1" t="str">
        <f t="shared" si="176"/>
        <v>0.00374679248222587+0.000391780342411236i</v>
      </c>
      <c r="LM8" s="92" t="str">
        <f t="shared" si="177"/>
        <v>0.0661687748100583+2.99927019343706i</v>
      </c>
      <c r="LN8" s="1" t="str">
        <f t="shared" si="178"/>
        <v>0.0466641357633672-2.11517217750105i</v>
      </c>
      <c r="LS8" s="1">
        <f t="shared" si="179"/>
        <v>4</v>
      </c>
      <c r="LT8" s="1">
        <f t="shared" si="180"/>
        <v>2.1156868582191164</v>
      </c>
      <c r="LU8" s="1">
        <f t="shared" si="181"/>
        <v>2.9999999999999738</v>
      </c>
    </row>
    <row r="9" spans="2:333" ht="18" customHeight="1" x14ac:dyDescent="0.25">
      <c r="B9" s="20"/>
      <c r="C9" s="16" t="s">
        <v>8</v>
      </c>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c r="AR9" s="6"/>
      <c r="AS9" s="178" t="s">
        <v>9</v>
      </c>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27"/>
      <c r="CI9" s="1" t="s">
        <v>271</v>
      </c>
      <c r="EA9" s="1">
        <f t="shared" si="182"/>
        <v>1.8</v>
      </c>
      <c r="EB9" s="1" t="str">
        <f t="shared" si="12"/>
        <v>0.00140044884916341-0.252080792849414i</v>
      </c>
      <c r="EC9" s="1" t="str">
        <f t="shared" si="13"/>
        <v>0.00274373652080996-0.493872573745792i</v>
      </c>
      <c r="ED9" s="1" t="str">
        <f t="shared" si="14"/>
        <v>0.00678074468293917-1.22053404292905i</v>
      </c>
      <c r="EE9" s="1" t="str">
        <f t="shared" si="15"/>
        <v>0.00946970174196213-1.70454631355318i</v>
      </c>
      <c r="EF9" s="1" t="str">
        <f t="shared" si="16"/>
        <v>0.0326706790764555i</v>
      </c>
      <c r="EG9" s="1" t="str">
        <f t="shared" si="17"/>
        <v>0.0326570719631375i</v>
      </c>
      <c r="EH9" s="1" t="str">
        <f t="shared" si="18"/>
        <v>0.0326830772933423i</v>
      </c>
      <c r="EI9" s="1" t="str">
        <f t="shared" si="19"/>
        <v>0.0326798846777732i</v>
      </c>
      <c r="EJ9" s="1" t="str">
        <f t="shared" si="1"/>
        <v>0.005</v>
      </c>
      <c r="EK9" s="1" t="str">
        <f t="shared" si="2"/>
        <v>0.01</v>
      </c>
      <c r="EL9" s="1" t="str">
        <f t="shared" si="3"/>
        <v>0.0125</v>
      </c>
      <c r="EM9" s="1" t="str">
        <f t="shared" si="20"/>
        <v>0.00640044884916341-0.219410113772958i</v>
      </c>
      <c r="EN9" s="1" t="str">
        <f t="shared" si="21"/>
        <v>-0.005</v>
      </c>
      <c r="EO9" s="1" t="str">
        <f t="shared" si="22"/>
        <v>10.0826125150334-1814.87025270602i</v>
      </c>
      <c r="EP9" s="1" t="str">
        <f t="shared" si="23"/>
        <v>-0.005</v>
      </c>
      <c r="EQ9" s="1" t="str">
        <f t="shared" si="24"/>
        <v>0.01774373652081-0.461215501782655i</v>
      </c>
      <c r="ER9" s="1" t="str">
        <f t="shared" si="25"/>
        <v>-0.01</v>
      </c>
      <c r="ES9" s="1" t="str">
        <f t="shared" si="26"/>
        <v>19.7536898253717-3555.6641685669i</v>
      </c>
      <c r="ET9" s="1" t="str">
        <f t="shared" si="27"/>
        <v>-0.01</v>
      </c>
      <c r="EU9" s="1" t="str">
        <f t="shared" si="28"/>
        <v>0.0292807446829392-1.18785096563571i</v>
      </c>
      <c r="EV9" s="1" t="str">
        <f t="shared" si="29"/>
        <v>-0.0125</v>
      </c>
      <c r="EW9" s="1" t="str">
        <f t="shared" si="30"/>
        <v>48.8183636569731-8787.30545825516i</v>
      </c>
      <c r="EX9" s="1" t="str">
        <f t="shared" si="31"/>
        <v>-0.0125</v>
      </c>
      <c r="EY9" s="1" t="str">
        <f t="shared" si="32"/>
        <v>0.0219697017419621-1.67186642887541i</v>
      </c>
      <c r="EZ9" s="1" t="str">
        <f t="shared" si="33"/>
        <v>68.1776655778453-12271.9798040121i</v>
      </c>
      <c r="FB9" s="1" t="str">
        <f t="shared" si="34"/>
        <v>0.00640044884916341-0.219410113772958i</v>
      </c>
      <c r="FC9" s="1" t="str">
        <f t="shared" si="35"/>
        <v>10.0826125150334-1814.87025270602i</v>
      </c>
      <c r="FD9" s="1" t="str">
        <f t="shared" si="36"/>
        <v>-0.00066419827214498-0.0227689997832231i</v>
      </c>
      <c r="FE9" s="1" t="str">
        <f t="shared" si="37"/>
        <v>0.0177404155294493-0.461329346781571i</v>
      </c>
      <c r="FF9" s="1" t="str">
        <f t="shared" si="38"/>
        <v>61.0831670696243-3556.64003125075i</v>
      </c>
      <c r="FG9" s="1" t="str">
        <f t="shared" si="39"/>
        <v>-0.000832338279994421-0.0216444803321381i</v>
      </c>
      <c r="FH9" s="1" t="str">
        <f t="shared" si="40"/>
        <v>0.0292724213001393-1.18806741043903i</v>
      </c>
      <c r="FI9" s="1" t="str">
        <f t="shared" si="41"/>
        <v>125.85083072009-8788.94367249307i</v>
      </c>
      <c r="FJ9" s="1" t="str">
        <f t="shared" si="42"/>
        <v>-0.000259073462260533-0.010514905284582i</v>
      </c>
      <c r="FK9" s="1" t="str">
        <f t="shared" si="43"/>
        <v>0.0219664633236838-1.67199786519147i</v>
      </c>
      <c r="FL9" s="1" t="str">
        <f t="shared" si="44"/>
        <v>160.587997720583-12273.7430411911i</v>
      </c>
      <c r="FM9" s="1" t="str">
        <f t="shared" si="45"/>
        <v>7340.75957422742-0.39624945010826i</v>
      </c>
      <c r="FN9" s="1" t="str">
        <f t="shared" si="46"/>
        <v>7397.70715278268+0.893488835142915i</v>
      </c>
      <c r="FO9" s="1" t="str">
        <f t="shared" si="47"/>
        <v>7709.38476205766-3.70115313445453i</v>
      </c>
      <c r="FP9" s="1" t="str">
        <f t="shared" si="48"/>
        <v>8271.10028044368-19.640015092551i</v>
      </c>
      <c r="FQ9" s="92" t="str">
        <f t="shared" si="49"/>
        <v>3.45023022207563+270.142768561769i</v>
      </c>
      <c r="FR9" s="1" t="str">
        <f t="shared" si="50"/>
        <v>0.641652630145476+270.222462871557i</v>
      </c>
      <c r="FS9" s="1" t="str">
        <f t="shared" si="51"/>
        <v>2.8085775919301-0.0796943097904825i</v>
      </c>
      <c r="FT9" s="1" t="str">
        <f t="shared" si="52"/>
        <v>0.42906732507868+251.799680856127i</v>
      </c>
      <c r="FU9" s="1" t="str">
        <f t="shared" si="53"/>
        <v>-2.43413332546803+241.841902816167i</v>
      </c>
      <c r="FV9" s="1" t="str">
        <f t="shared" si="54"/>
        <v>-0.661712610111789+240.688619281541i</v>
      </c>
      <c r="FW9" s="1" t="str">
        <f t="shared" si="55"/>
        <v>0.641652630145476+270.222462871557i</v>
      </c>
      <c r="FX9" s="1" t="str">
        <f t="shared" si="56"/>
        <v>0.120868824258474+251.765932966033i</v>
      </c>
      <c r="FY9" s="1" t="str">
        <f t="shared" si="57"/>
        <v>-0.0292019646597143+241.779834667908i</v>
      </c>
      <c r="FZ9" s="1" t="str">
        <f t="shared" si="58"/>
        <v>0.012949386333169+239.895176333012i</v>
      </c>
      <c r="GA9" s="1" t="str">
        <f t="shared" si="59"/>
        <v>2.8085775919301-0.0796943097904825i</v>
      </c>
      <c r="GB9" s="1" t="str">
        <f t="shared" si="60"/>
        <v>3.1167760927498-0.0459464196959745i</v>
      </c>
      <c r="GC9" s="1" t="str">
        <f t="shared" si="61"/>
        <v>0.711844731940755+0.0161217285656396i</v>
      </c>
      <c r="GD9" s="92" t="str">
        <f t="shared" si="62"/>
        <v>0.783451611574491+1004.4729715156i</v>
      </c>
      <c r="GE9" s="1" t="str">
        <f t="shared" si="63"/>
        <v>0.00559037871530729-7.16749348281653i</v>
      </c>
      <c r="GF9" s="1">
        <f t="shared" si="64"/>
        <v>1.8</v>
      </c>
      <c r="GG9" s="56">
        <f t="shared" si="65"/>
        <v>1.1369243366976252</v>
      </c>
      <c r="GH9" s="1">
        <f t="shared" si="66"/>
        <v>0.13696551824811604</v>
      </c>
      <c r="GJ9" s="1">
        <f t="shared" si="67"/>
        <v>1004.4732770471334</v>
      </c>
      <c r="GK9" s="1">
        <f t="shared" si="68"/>
        <v>7.1674956629600848</v>
      </c>
      <c r="GM9" s="1" t="str">
        <f t="shared" si="69"/>
        <v>0.0191834803010191+0.863256613545863i</v>
      </c>
      <c r="GP9" s="1">
        <f t="shared" si="4"/>
        <v>1.8</v>
      </c>
      <c r="GQ9" s="1">
        <f t="shared" si="5"/>
        <v>7.1674956629600848</v>
      </c>
      <c r="GR9" s="1">
        <f t="shared" si="70"/>
        <v>0.86346973701869312</v>
      </c>
      <c r="GS9" s="1">
        <f t="shared" si="71"/>
        <v>0.98169975801845188</v>
      </c>
      <c r="GU9" s="15">
        <f>R20</f>
        <v>5</v>
      </c>
      <c r="GV9" s="1" t="str">
        <f t="shared" si="72"/>
        <v>0.000181503046634789-0.0907515233173944i</v>
      </c>
      <c r="GW9" s="1" t="str">
        <f t="shared" si="73"/>
        <v>0.000355597805651831-0.177798902825915i</v>
      </c>
      <c r="GX9" s="1" t="str">
        <f t="shared" si="74"/>
        <v>0.000878808118655176-0.439404059327588i</v>
      </c>
      <c r="GY9" s="1" t="str">
        <f t="shared" si="75"/>
        <v>0.00122730631533999-0.613653157669998i</v>
      </c>
      <c r="GZ9" s="1" t="str">
        <f t="shared" si="76"/>
        <v>0.0907518863234877i</v>
      </c>
      <c r="HA9" s="1" t="str">
        <f t="shared" si="77"/>
        <v>0.0907140887864928i</v>
      </c>
      <c r="HB9" s="1" t="str">
        <f t="shared" si="78"/>
        <v>0.0907863258148395i</v>
      </c>
      <c r="HC9" s="1" t="str">
        <f t="shared" si="79"/>
        <v>0.0907774574382591i</v>
      </c>
      <c r="HD9" s="1" t="str">
        <f t="shared" si="6"/>
        <v>0.005</v>
      </c>
      <c r="HE9" s="1" t="str">
        <f t="shared" si="7"/>
        <v>0.01</v>
      </c>
      <c r="HF9" s="1" t="str">
        <f t="shared" si="8"/>
        <v>0.0125</v>
      </c>
      <c r="HG9" s="1" t="str">
        <f t="shared" si="183"/>
        <v>0.00518150304663479+3.63006093295759E-07i</v>
      </c>
      <c r="HH9" s="1" t="str">
        <f t="shared" si="184"/>
        <v>-0.005</v>
      </c>
      <c r="HI9" s="1" t="str">
        <f t="shared" si="185"/>
        <v>1.30674168543166-653.370842715828i</v>
      </c>
      <c r="HJ9" s="1" t="str">
        <f t="shared" si="186"/>
        <v>-0.005</v>
      </c>
      <c r="HK9" s="1" t="str">
        <f t="shared" si="187"/>
        <v>0.0153555978056518-0.0870848140394222i</v>
      </c>
      <c r="HL9" s="1" t="str">
        <f t="shared" si="188"/>
        <v>-0.01</v>
      </c>
      <c r="HM9" s="1" t="str">
        <f t="shared" si="189"/>
        <v>2.56014697553957-1280.07348776978i</v>
      </c>
      <c r="HN9" s="1" t="str">
        <f t="shared" si="190"/>
        <v>-0.01</v>
      </c>
      <c r="HO9" s="1" t="str">
        <f t="shared" si="191"/>
        <v>0.0233788081186552-0.348617733512748i</v>
      </c>
      <c r="HP9" s="1" t="str">
        <f t="shared" si="192"/>
        <v>-0.0125</v>
      </c>
      <c r="HQ9" s="1" t="str">
        <f t="shared" si="193"/>
        <v>6.32702989527878-3163.51494763939i</v>
      </c>
      <c r="HR9" s="1" t="str">
        <f t="shared" si="194"/>
        <v>-0.0125</v>
      </c>
      <c r="HS9" s="1" t="str">
        <f t="shared" si="195"/>
        <v>0.01372730631534-0.522875700231739i</v>
      </c>
      <c r="HT9" s="1" t="str">
        <f t="shared" si="196"/>
        <v>8.8360628252997-4418.03141264987i</v>
      </c>
      <c r="HV9" s="1" t="str">
        <f t="shared" si="197"/>
        <v>0.00518150304663479+3.63006093295759E-07i</v>
      </c>
      <c r="HW9" s="1" t="str">
        <f t="shared" si="198"/>
        <v>1.30674168543166-653.370842715828i</v>
      </c>
      <c r="HX9" s="1" t="str">
        <f t="shared" si="199"/>
        <v>-0.964970961216874+0.0000676040013143855i</v>
      </c>
      <c r="HY9" s="1" t="str">
        <f t="shared" si="200"/>
        <v>0.0105307429995674-0.0870844760194156i</v>
      </c>
      <c r="HZ9" s="1" t="str">
        <f t="shared" si="201"/>
        <v>3.77694427248297-1910.55746623732i</v>
      </c>
      <c r="IA9" s="1" t="str">
        <f t="shared" si="202"/>
        <v>-0.0136858830375658-0.113176055406384i</v>
      </c>
      <c r="IB9" s="1" t="str">
        <f t="shared" si="203"/>
        <v>0.0232419492882795-0.349749494066812i</v>
      </c>
      <c r="IC9" s="1" t="str">
        <f t="shared" si="204"/>
        <v>222.608078368787-3189.23515400461i</v>
      </c>
      <c r="ID9" s="1" t="str">
        <f t="shared" si="205"/>
        <v>-0.00236458397519793-0.0355827318417313i</v>
      </c>
      <c r="IE9" s="1" t="str">
        <f t="shared" si="206"/>
        <v>0.01369774901565-0.523320484379761i</v>
      </c>
      <c r="IF9" s="1" t="str">
        <f t="shared" si="207"/>
        <v>121.417527677962-4425.28667639224i</v>
      </c>
      <c r="IG9" s="1" t="str">
        <f t="shared" si="208"/>
        <v>8456.44867229794+10.6688279319229i</v>
      </c>
      <c r="IH9" s="1" t="str">
        <f t="shared" si="209"/>
        <v>9140.26233777656+331.3119103875i</v>
      </c>
      <c r="II9" s="1" t="str">
        <f t="shared" si="210"/>
        <v>21715.7008335114-1533.02750369868i</v>
      </c>
      <c r="IJ9" s="1" t="str">
        <f t="shared" si="211"/>
        <v>21198.2765274069-127577.590785591i</v>
      </c>
      <c r="IK9" s="92" t="str">
        <f t="shared" si="212"/>
        <v>11575.3198948679+1293.56076525963i</v>
      </c>
      <c r="IL9" s="1" t="str">
        <f t="shared" si="213"/>
        <v>11577.9070163984+1923.78358166909i</v>
      </c>
      <c r="IM9" s="1" t="str">
        <f t="shared" si="214"/>
        <v>-2.58712153052251-630.22281640946i</v>
      </c>
      <c r="IN9" s="1" t="str">
        <f t="shared" si="215"/>
        <v>267.408699570528+2581.49943574068i</v>
      </c>
      <c r="IO9" s="1" t="str">
        <f t="shared" si="216"/>
        <v>-147.285305181643+852.462267302044i</v>
      </c>
      <c r="IP9" s="1" t="str">
        <f t="shared" si="217"/>
        <v>-8.0895499846224+771.281923860127i</v>
      </c>
      <c r="IQ9" s="1" t="str">
        <f t="shared" si="218"/>
        <v>11577.9070163984+1923.78358166909i</v>
      </c>
      <c r="IR9" s="1" t="str">
        <f t="shared" si="219"/>
        <v>139.067193082657+1969.92001347207i</v>
      </c>
      <c r="IS9" s="1" t="str">
        <f t="shared" si="220"/>
        <v>-30.0785910427765+829.810834630489i</v>
      </c>
      <c r="IT9" s="1" t="str">
        <f t="shared" si="221"/>
        <v>-0.968489073506241+767.654909428349i</v>
      </c>
      <c r="IU9" s="1" t="str">
        <f t="shared" si="222"/>
        <v>-2.58712153052251-630.22281640946i</v>
      </c>
      <c r="IV9" s="1" t="str">
        <f t="shared" si="223"/>
        <v>125.754384957348-18.6433941408618i</v>
      </c>
      <c r="IW9" s="1" t="str">
        <f t="shared" si="224"/>
        <v>8.54767081848274+4.00803853069471i</v>
      </c>
      <c r="IX9" s="92" t="str">
        <f t="shared" si="225"/>
        <v>11687.3537392722+5498.80439216248i</v>
      </c>
      <c r="IY9" s="1" t="str">
        <f t="shared" si="226"/>
        <v>0.504365108841495-0.237299660609385i</v>
      </c>
      <c r="JD9" s="1">
        <f t="shared" si="124"/>
        <v>5</v>
      </c>
      <c r="JE9" s="1">
        <f t="shared" si="227"/>
        <v>0.55740047716343266</v>
      </c>
      <c r="JJ9" s="1">
        <f t="shared" si="126"/>
        <v>5</v>
      </c>
      <c r="JK9" s="1" t="str">
        <f t="shared" si="127"/>
        <v>0.000181503046634789-0.0907515233173944i</v>
      </c>
      <c r="JL9" s="1" t="str">
        <f t="shared" si="128"/>
        <v>0.000355597805651831-0.177798902825915i</v>
      </c>
      <c r="JM9" s="1" t="str">
        <f t="shared" si="129"/>
        <v>0.000878808118655176-0.439404059327588i</v>
      </c>
      <c r="JN9" s="1" t="str">
        <f t="shared" si="130"/>
        <v>0.00122730631533999-0.613653157669998i</v>
      </c>
      <c r="JO9" s="1" t="str">
        <f t="shared" si="131"/>
        <v>0.0907518863234877i</v>
      </c>
      <c r="JP9" s="1" t="str">
        <f t="shared" si="132"/>
        <v>0.0907140887864928i</v>
      </c>
      <c r="JQ9" s="1" t="str">
        <f t="shared" si="133"/>
        <v>0.0907863258148395i</v>
      </c>
      <c r="JR9" s="1" t="str">
        <f t="shared" si="134"/>
        <v>0.0907774574382591i</v>
      </c>
      <c r="JS9" s="1" t="str">
        <f t="shared" si="9"/>
        <v>0.005</v>
      </c>
      <c r="JT9" s="1" t="str">
        <f t="shared" si="10"/>
        <v>0.01</v>
      </c>
      <c r="JU9" s="1" t="str">
        <f t="shared" si="11"/>
        <v>0.0125</v>
      </c>
      <c r="JV9" s="1" t="str">
        <f t="shared" si="135"/>
        <v>0.00518150304663479+3.63006093295759E-07i</v>
      </c>
      <c r="JW9" s="1" t="str">
        <f t="shared" si="136"/>
        <v>-0.005</v>
      </c>
      <c r="JX9" s="1" t="str">
        <f t="shared" si="137"/>
        <v>0.0121403861761018-6.07019308805088i</v>
      </c>
      <c r="JY9" s="1" t="str">
        <f t="shared" si="138"/>
        <v>-0.005</v>
      </c>
      <c r="JZ9" s="1" t="str">
        <f t="shared" si="139"/>
        <v>0.0153555978056518-0.0870848140394222i</v>
      </c>
      <c r="KA9" s="1" t="str">
        <f t="shared" si="140"/>
        <v>-0.01</v>
      </c>
      <c r="KB9" s="1" t="str">
        <f t="shared" si="141"/>
        <v>0.023785246385832-11.892623192916i</v>
      </c>
      <c r="KC9" s="1" t="str">
        <f t="shared" si="142"/>
        <v>-0.01</v>
      </c>
      <c r="KD9" s="1" t="str">
        <f t="shared" si="143"/>
        <v>0.0233788081186552-0.348617733512748i</v>
      </c>
      <c r="KE9" s="1" t="str">
        <f t="shared" si="144"/>
        <v>-0.0125</v>
      </c>
      <c r="KF9" s="1" t="str">
        <f t="shared" si="145"/>
        <v>0.0587817677608192-29.3908838804096i</v>
      </c>
      <c r="KG9" s="1" t="str">
        <f t="shared" si="146"/>
        <v>-0.0125</v>
      </c>
      <c r="KH9" s="1" t="str">
        <f t="shared" si="147"/>
        <v>0.01372730631534-0.522875700231739i</v>
      </c>
      <c r="KI9" s="1" t="str">
        <f t="shared" si="148"/>
        <v>0.0820921350955446-41.0460675477725i</v>
      </c>
      <c r="KK9" s="1" t="str">
        <f t="shared" si="149"/>
        <v>0.00518150304663479+3.63006093295759E-07i</v>
      </c>
      <c r="KL9" s="1" t="str">
        <f t="shared" si="150"/>
        <v>0.0121403861761018-6.07019308805088i</v>
      </c>
      <c r="KM9" s="1" t="str">
        <f t="shared" si="151"/>
        <v>-0.964970961216874+0.0000676040013143855i</v>
      </c>
      <c r="KN9" s="1" t="str">
        <f t="shared" si="152"/>
        <v>0.0105307429995674-0.0870844760194156i</v>
      </c>
      <c r="KO9" s="1" t="str">
        <f t="shared" si="153"/>
        <v>0.0350899971622258-17.7501840726032i</v>
      </c>
      <c r="KP9" s="1" t="str">
        <f t="shared" si="154"/>
        <v>-0.0136858830375658-0.113176055406384i</v>
      </c>
      <c r="KQ9" s="1" t="str">
        <f t="shared" si="155"/>
        <v>0.0232419492882795-0.349749494066812i</v>
      </c>
      <c r="KR9" s="1" t="str">
        <f t="shared" si="156"/>
        <v>2.06815782143223-29.6298394760595i</v>
      </c>
      <c r="KS9" s="1" t="str">
        <f t="shared" si="157"/>
        <v>-0.00236458397519793-0.0355827318417313i</v>
      </c>
      <c r="KT9" s="1" t="str">
        <f t="shared" si="158"/>
        <v>0.01369774901565-0.523320484379761i</v>
      </c>
      <c r="KU9" s="1" t="str">
        <f t="shared" si="159"/>
        <v>1.1280390692297-41.1134731449336i</v>
      </c>
      <c r="KV9" s="1" t="str">
        <f t="shared" si="160"/>
        <v>78.5653000165574+0.0991195831463225i</v>
      </c>
      <c r="KW9" s="1" t="str">
        <f t="shared" si="161"/>
        <v>84.9183245385112+3.07807930342226i</v>
      </c>
      <c r="KX9" s="1" t="str">
        <f t="shared" si="162"/>
        <v>201.751422750731-14.2427123286721i</v>
      </c>
      <c r="KY9" s="1" t="str">
        <f t="shared" si="163"/>
        <v>196.944251629581-1185.26961894702i</v>
      </c>
      <c r="KZ9" s="92" t="str">
        <f t="shared" si="164"/>
        <v>107.541417865758+12.0179278028604i</v>
      </c>
      <c r="LA9" s="1" t="str">
        <f t="shared" si="165"/>
        <v>107.565453721364+17.8730623359521i</v>
      </c>
      <c r="LB9" s="1" t="str">
        <f t="shared" si="166"/>
        <v>-0.0240358556057499-5.85513453309175i</v>
      </c>
      <c r="LC9" s="1" t="str">
        <f t="shared" si="167"/>
        <v>2.48438150847157+23.9836230929819i</v>
      </c>
      <c r="LD9" s="1" t="str">
        <f t="shared" si="168"/>
        <v>-1.36836568612219+7.91986759202802i</v>
      </c>
      <c r="LE9" s="1" t="str">
        <f t="shared" si="169"/>
        <v>-0.0751565989660321+7.16565524058835i</v>
      </c>
      <c r="LF9" s="1" t="str">
        <f t="shared" si="170"/>
        <v>107.565453721364+17.8730623359521i</v>
      </c>
      <c r="LG9" s="1" t="str">
        <f t="shared" si="171"/>
        <v>1.29201467074364+18.3016964762111i</v>
      </c>
      <c r="LH9" s="1" t="str">
        <f t="shared" si="172"/>
        <v>-0.279447510524408+7.70942267920356i</v>
      </c>
      <c r="LI9" s="1" t="str">
        <f t="shared" si="173"/>
        <v>-0.00899782374036328+7.1319581783771i</v>
      </c>
      <c r="LJ9" s="1" t="str">
        <f t="shared" si="174"/>
        <v>-0.0240358556057499-5.85513453309175i</v>
      </c>
      <c r="LK9" s="1" t="str">
        <f t="shared" si="175"/>
        <v>1.1683309821222-0.173207916320944i</v>
      </c>
      <c r="LL9" s="1" t="str">
        <f t="shared" si="176"/>
        <v>0.0794128065244225+0.0372369965034492i</v>
      </c>
      <c r="LM9" s="92" t="str">
        <f t="shared" si="177"/>
        <v>108.582277089141+51.0870737284587i</v>
      </c>
      <c r="LN9" s="1" t="str">
        <f t="shared" si="178"/>
        <v>0.504365108841495-0.237299660609387i</v>
      </c>
      <c r="LS9" s="1">
        <f t="shared" si="179"/>
        <v>5</v>
      </c>
      <c r="LT9" s="1">
        <f t="shared" si="180"/>
        <v>0.55740047716343344</v>
      </c>
      <c r="LU9" s="1">
        <f t="shared" si="181"/>
        <v>119.99999999999986</v>
      </c>
    </row>
    <row r="10" spans="2:333" ht="18" customHeight="1" x14ac:dyDescent="0.25">
      <c r="B10" s="6"/>
      <c r="AP10" s="8"/>
      <c r="AR10" s="6"/>
      <c r="CE10" s="24"/>
      <c r="CF10" s="8"/>
      <c r="EA10" s="1">
        <f t="shared" si="182"/>
        <v>2</v>
      </c>
      <c r="EB10" s="1" t="str">
        <f t="shared" si="12"/>
        <v>0.0011343702197881-0.22687404395762i</v>
      </c>
      <c r="EC10" s="1" t="str">
        <f t="shared" si="13"/>
        <v>0.00222243961427873-0.444487922855745i</v>
      </c>
      <c r="ED10" s="1" t="str">
        <f t="shared" si="14"/>
        <v>0.00549243540091278-1.09848708018256i</v>
      </c>
      <c r="EE10" s="1" t="str">
        <f t="shared" si="15"/>
        <v>0.0076705033909481-1.53410067818962i</v>
      </c>
      <c r="EF10" s="1" t="str">
        <f t="shared" si="16"/>
        <v>0.0363007545293949i</v>
      </c>
      <c r="EG10" s="1" t="str">
        <f t="shared" si="17"/>
        <v>0.0362856355145972i</v>
      </c>
      <c r="EH10" s="1" t="str">
        <f t="shared" si="18"/>
        <v>0.0363145303259359i</v>
      </c>
      <c r="EI10" s="1" t="str">
        <f t="shared" si="19"/>
        <v>0.0363109829753036i</v>
      </c>
      <c r="EJ10" s="1" t="str">
        <f t="shared" si="1"/>
        <v>0.005</v>
      </c>
      <c r="EK10" s="1" t="str">
        <f t="shared" si="2"/>
        <v>0.01</v>
      </c>
      <c r="EL10" s="1" t="str">
        <f t="shared" si="3"/>
        <v>0.0125</v>
      </c>
      <c r="EM10" s="1" t="str">
        <f t="shared" si="20"/>
        <v>0.0061343702197881-0.190573289428225i</v>
      </c>
      <c r="EN10" s="1" t="str">
        <f t="shared" si="21"/>
        <v>-0.005</v>
      </c>
      <c r="EO10" s="1" t="str">
        <f t="shared" si="22"/>
        <v>8.16696402838927-1633.39280567785i</v>
      </c>
      <c r="EP10" s="1" t="str">
        <f t="shared" si="23"/>
        <v>-0.005</v>
      </c>
      <c r="EQ10" s="1" t="str">
        <f t="shared" si="24"/>
        <v>0.0172224396142787-0.408202287341148i</v>
      </c>
      <c r="ER10" s="1" t="str">
        <f t="shared" si="25"/>
        <v>-0.01</v>
      </c>
      <c r="ES10" s="1" t="str">
        <f t="shared" si="26"/>
        <v>16.0005825862321-3200.11651724641i</v>
      </c>
      <c r="ET10" s="1" t="str">
        <f t="shared" si="27"/>
        <v>-0.01</v>
      </c>
      <c r="EU10" s="1" t="str">
        <f t="shared" si="28"/>
        <v>0.0279924354009128-1.06217254985662i</v>
      </c>
      <c r="EV10" s="1" t="str">
        <f t="shared" si="29"/>
        <v>-0.0125</v>
      </c>
      <c r="EW10" s="1" t="str">
        <f t="shared" si="30"/>
        <v>39.5431064435786-7908.62128871575i</v>
      </c>
      <c r="EX10" s="1" t="str">
        <f t="shared" si="31"/>
        <v>-0.0125</v>
      </c>
      <c r="EY10" s="1" t="str">
        <f t="shared" si="32"/>
        <v>0.0201705033909481-1.49778969521432i</v>
      </c>
      <c r="EZ10" s="1" t="str">
        <f t="shared" si="33"/>
        <v>55.2242329538703-11044.8465907741i</v>
      </c>
      <c r="FB10" s="1" t="str">
        <f t="shared" si="34"/>
        <v>0.0061343702197881-0.190573289428225i</v>
      </c>
      <c r="FC10" s="1" t="str">
        <f t="shared" si="35"/>
        <v>8.16696402838927-1633.39280567785i</v>
      </c>
      <c r="FD10" s="1" t="str">
        <f t="shared" si="36"/>
        <v>-0.000843657501324577-0.0262094688480956i</v>
      </c>
      <c r="FE10" s="1" t="str">
        <f t="shared" si="37"/>
        <v>0.0172182213267721-0.408333334685388i</v>
      </c>
      <c r="FF10" s="1" t="str">
        <f t="shared" si="38"/>
        <v>58.8178305638148-3201.28048955024i</v>
      </c>
      <c r="FG10" s="1" t="str">
        <f t="shared" si="39"/>
        <v>-0.00103083011665435-0.0244463287490164i</v>
      </c>
      <c r="FH10" s="1" t="str">
        <f t="shared" si="40"/>
        <v>0.0279821270997463-1.06241701314411i</v>
      </c>
      <c r="FI10" s="1" t="str">
        <f t="shared" si="41"/>
        <v>117.863292900077-7910.48338503397i</v>
      </c>
      <c r="FJ10" s="1" t="str">
        <f t="shared" si="42"/>
        <v>-0.000309670288741993-0.0117574686889234i</v>
      </c>
      <c r="FK10" s="1" t="str">
        <f t="shared" si="43"/>
        <v>0.0201666325123388-1.49793666357293i</v>
      </c>
      <c r="FL10" s="1" t="str">
        <f t="shared" si="44"/>
        <v>148.221845453689-11046.8307289763i</v>
      </c>
      <c r="FM10" s="1" t="str">
        <f t="shared" si="45"/>
        <v>7374.69363968985-0.334387348410184i</v>
      </c>
      <c r="FN10" s="1" t="str">
        <f t="shared" si="46"/>
        <v>7445.78841295599+1.59821016233755i</v>
      </c>
      <c r="FO10" s="1" t="str">
        <f t="shared" si="47"/>
        <v>7839.65491821716-4.18579300003136i</v>
      </c>
      <c r="FP10" s="1" t="str">
        <f>IMDIV(IMSUB(FC10,IMPRODUCT(EN10,FO10)),FB10)</f>
        <v>8570.17328660733-27.3248007836568i</v>
      </c>
      <c r="FQ10" s="92" t="str">
        <f t="shared" si="49"/>
        <v>4.64450272776297+310.988061712589i</v>
      </c>
      <c r="FR10" s="1" t="str">
        <f t="shared" si="50"/>
        <v>0.991910885812143+311.10375675151i</v>
      </c>
      <c r="FS10" s="1" t="str">
        <f t="shared" si="51"/>
        <v>3.65259184195085-0.115695038918127i</v>
      </c>
      <c r="FT10" s="1" t="str">
        <f t="shared" si="52"/>
        <v>0.437957369799229+284.524715929945i</v>
      </c>
      <c r="FU10" s="1" t="str">
        <f t="shared" si="53"/>
        <v>-3.10801863819134+270.472306623342i</v>
      </c>
      <c r="FV10" s="1" t="str">
        <f t="shared" si="54"/>
        <v>-0.830395758600012+268.678488234111i</v>
      </c>
      <c r="FW10" s="1" t="str">
        <f t="shared" si="55"/>
        <v>0.991910885812143+311.10375675151i</v>
      </c>
      <c r="FX10" s="1" t="str">
        <f t="shared" si="56"/>
        <v>0.15188415913869+284.466860922647i</v>
      </c>
      <c r="FY10" s="1" t="str">
        <f t="shared" si="57"/>
        <v>-0.0580382514074259+270.390309122792i</v>
      </c>
      <c r="FZ10" s="1" t="str">
        <f t="shared" si="58"/>
        <v>0.0121419333152791+267.782375198858i</v>
      </c>
      <c r="GA10" s="1" t="str">
        <f t="shared" si="59"/>
        <v>3.65259184195085-0.115695038918127i</v>
      </c>
      <c r="GB10" s="1" t="str">
        <f t="shared" si="60"/>
        <v>3.9386650526117-0.0578400316236891i</v>
      </c>
      <c r="GC10" s="1" t="str">
        <f t="shared" si="61"/>
        <v>0.888684665826748+0.0241574688843466i</v>
      </c>
      <c r="GD10" s="92" t="str">
        <f t="shared" si="62"/>
        <v>1.14404570077085+1134.66357249999i</v>
      </c>
      <c r="GE10" s="1" t="str">
        <f t="shared" si="63"/>
        <v>0.00639756243917613-6.34509709501659i</v>
      </c>
      <c r="GF10" s="1">
        <f t="shared" si="64"/>
        <v>2</v>
      </c>
      <c r="GG10" s="56">
        <f t="shared" si="65"/>
        <v>1.1780763776783338</v>
      </c>
      <c r="GH10" s="1">
        <f t="shared" si="66"/>
        <v>0.17812267192416106</v>
      </c>
      <c r="GJ10" s="1">
        <f t="shared" si="67"/>
        <v>1134.6641492525468</v>
      </c>
      <c r="GK10" s="72">
        <f t="shared" si="68"/>
        <v>6.345100320246571</v>
      </c>
      <c r="GM10" s="1" t="str">
        <f t="shared" si="69"/>
        <v>0.0191834803010191+0.959174015050959i</v>
      </c>
      <c r="GP10" s="1">
        <f t="shared" si="4"/>
        <v>2</v>
      </c>
      <c r="GQ10" s="1">
        <f t="shared" si="5"/>
        <v>6.345100320246571</v>
      </c>
      <c r="GR10" s="1">
        <f t="shared" si="70"/>
        <v>0.95936583067432457</v>
      </c>
      <c r="GS10" s="1">
        <f t="shared" si="71"/>
        <v>1.1302062226691687</v>
      </c>
      <c r="GU10" s="15">
        <f>T20</f>
        <v>7</v>
      </c>
      <c r="GV10" s="1" t="str">
        <f t="shared" si="72"/>
        <v>0.0000926037766489122-0.0648226436542387i</v>
      </c>
      <c r="GW10" s="1" t="str">
        <f t="shared" si="73"/>
        <v>0.000181427807312155-0.126999465118508i</v>
      </c>
      <c r="GX10" s="1" t="str">
        <f t="shared" si="74"/>
        <v>0.000448372367550092-0.313860657285064i</v>
      </c>
      <c r="GY10" s="1" t="str">
        <f t="shared" si="75"/>
        <v>0.000626177918292644-0.438324542804851i</v>
      </c>
      <c r="GZ10" s="1" t="str">
        <f t="shared" si="76"/>
        <v>0.127052640852882i</v>
      </c>
      <c r="HA10" s="1" t="str">
        <f t="shared" si="77"/>
        <v>0.12699972430109i</v>
      </c>
      <c r="HB10" s="1" t="str">
        <f t="shared" si="78"/>
        <v>0.127100856140776i</v>
      </c>
      <c r="HC10" s="1" t="str">
        <f t="shared" si="79"/>
        <v>0.127088440413562i</v>
      </c>
      <c r="HD10" s="1" t="str">
        <f t="shared" si="6"/>
        <v>0.005</v>
      </c>
      <c r="HE10" s="1" t="str">
        <f t="shared" si="7"/>
        <v>0.01</v>
      </c>
      <c r="HF10" s="1" t="str">
        <f t="shared" si="8"/>
        <v>0.0125</v>
      </c>
      <c r="HG10" s="1" t="str">
        <f t="shared" si="183"/>
        <v>0.00509260377664891+0.0622299971986433i</v>
      </c>
      <c r="HH10" s="1" t="str">
        <f t="shared" si="184"/>
        <v>-0.005</v>
      </c>
      <c r="HI10" s="1" t="str">
        <f t="shared" si="185"/>
        <v>0.666706247741531-466.694373419073i</v>
      </c>
      <c r="HJ10" s="1" t="str">
        <f t="shared" si="186"/>
        <v>-0.005</v>
      </c>
      <c r="HK10" s="1" t="str">
        <f t="shared" si="187"/>
        <v>0.0151814278073122+2.59182582007522E-07i</v>
      </c>
      <c r="HL10" s="1" t="str">
        <f t="shared" si="188"/>
        <v>-0.01</v>
      </c>
      <c r="HM10" s="1" t="str">
        <f t="shared" si="189"/>
        <v>1.30619999557525-914.33999690267i</v>
      </c>
      <c r="HN10" s="1" t="str">
        <f t="shared" si="190"/>
        <v>-0.01</v>
      </c>
      <c r="HO10" s="1" t="str">
        <f t="shared" si="191"/>
        <v>0.0229483723675501-0.186759801144288i</v>
      </c>
      <c r="HP10" s="1" t="str">
        <f t="shared" si="192"/>
        <v>-0.0125</v>
      </c>
      <c r="HQ10" s="1" t="str">
        <f t="shared" si="193"/>
        <v>3.22808280156488-2259.65796109541i</v>
      </c>
      <c r="HR10" s="1" t="str">
        <f t="shared" si="194"/>
        <v>-0.0125</v>
      </c>
      <c r="HS10" s="1" t="str">
        <f t="shared" si="195"/>
        <v>0.0131261779182926-0.311236102391289i</v>
      </c>
      <c r="HT10" s="1" t="str">
        <f t="shared" si="196"/>
        <v>4.50820415139511-3155.74290597658i</v>
      </c>
      <c r="HV10" s="1" t="str">
        <f t="shared" si="197"/>
        <v>0.00509260377664891+0.0622299971986433i</v>
      </c>
      <c r="HW10" s="1" t="str">
        <f t="shared" si="198"/>
        <v>0.666706247741531-466.694373419073i</v>
      </c>
      <c r="HX10" s="1" t="str">
        <f t="shared" si="199"/>
        <v>-0.00653147930948051+0.079812598222481i</v>
      </c>
      <c r="HY10" s="1" t="str">
        <f t="shared" si="200"/>
        <v>0.0151487704107648+0.000399322173694413i</v>
      </c>
      <c r="HZ10" s="1" t="str">
        <f t="shared" si="201"/>
        <v>-35.9375359447512-917.441413104391i</v>
      </c>
      <c r="IA10" s="1" t="str">
        <f t="shared" si="202"/>
        <v>-0.659661215893287+0.017388695154111i</v>
      </c>
      <c r="IB10" s="1" t="str">
        <f t="shared" si="203"/>
        <v>0.0163517602086172-0.186585914192747i</v>
      </c>
      <c r="IC10" s="1" t="str">
        <f t="shared" si="204"/>
        <v>-36.4316249101875-2864.23357231757i</v>
      </c>
      <c r="ID10" s="1" t="str">
        <f t="shared" si="205"/>
        <v>-0.00582631682924807-0.0664826684156574i</v>
      </c>
      <c r="IE10" s="1" t="str">
        <f t="shared" si="206"/>
        <v>0.013053348957927-0.312067135746485i</v>
      </c>
      <c r="IF10" s="1" t="str">
        <f t="shared" si="207"/>
        <v>154.755102944855-3168.69377762514i</v>
      </c>
      <c r="IG10" s="1" t="str">
        <f t="shared" si="208"/>
        <v>10156.8570589603+71.055554713955i</v>
      </c>
      <c r="IH10" s="1" t="str">
        <f t="shared" si="209"/>
        <v>15271.2233974559-853.131360152775i</v>
      </c>
      <c r="II10" s="1" t="str">
        <f t="shared" si="210"/>
        <v>6093.02818222043-61285.8854408602i</v>
      </c>
      <c r="IJ10" s="1" t="str">
        <f t="shared" si="211"/>
        <v>-12300.3364519614-1506.8711433302i</v>
      </c>
      <c r="IK10" s="92" t="str">
        <f t="shared" si="212"/>
        <v>99.4851350141943-1263.89515811301i</v>
      </c>
      <c r="IL10" s="1" t="str">
        <f t="shared" si="213"/>
        <v>191.451958185104-1562.79022960066i</v>
      </c>
      <c r="IM10" s="1" t="str">
        <f t="shared" si="214"/>
        <v>-91.966823170909+298.89507148765i</v>
      </c>
      <c r="IN10" s="1" t="str">
        <f t="shared" si="215"/>
        <v>7783.47542555598-129.409712993961i</v>
      </c>
      <c r="IO10" s="1" t="str">
        <f t="shared" si="216"/>
        <v>264.145257659512+2533.76077250493i</v>
      </c>
      <c r="IP10" s="1" t="str">
        <f t="shared" si="217"/>
        <v>-32.99718899192+1296.21232730708i</v>
      </c>
      <c r="IQ10" s="1" t="str">
        <f t="shared" si="218"/>
        <v>191.451958185104-1562.79022960066i</v>
      </c>
      <c r="IR10" s="1" t="str">
        <f t="shared" si="219"/>
        <v>7783.29055453743+773.812899300766i</v>
      </c>
      <c r="IS10" s="1" t="str">
        <f t="shared" si="220"/>
        <v>108.433726275962+1940.98556813369i</v>
      </c>
      <c r="IT10" s="1" t="str">
        <f t="shared" si="221"/>
        <v>-9.03033963131706+1290.81912312674i</v>
      </c>
      <c r="IU10" s="1" t="str">
        <f t="shared" si="222"/>
        <v>-91.966823170909+298.89507148765i</v>
      </c>
      <c r="IV10" s="1" t="str">
        <f t="shared" si="223"/>
        <v>-91.7819521523547-604.327540807074i</v>
      </c>
      <c r="IW10" s="1" t="str">
        <f t="shared" si="224"/>
        <v>63.929579231195-11.5523364358341i</v>
      </c>
      <c r="IX10" s="92" t="str">
        <f t="shared" si="225"/>
        <v>8114.10862923777+2436.66822870504i</v>
      </c>
      <c r="IY10" s="1" t="str">
        <f t="shared" si="226"/>
        <v>0.813891889611691-0.244411875615204i</v>
      </c>
      <c r="JD10" s="1">
        <f t="shared" si="124"/>
        <v>7</v>
      </c>
      <c r="JE10" s="1">
        <f t="shared" si="227"/>
        <v>0.84979831308224607</v>
      </c>
      <c r="JJ10" s="1">
        <f t="shared" si="126"/>
        <v>7</v>
      </c>
      <c r="JK10" s="1" t="str">
        <f t="shared" si="127"/>
        <v>0.0000926037766489122-0.0648226436542387i</v>
      </c>
      <c r="JL10" s="1" t="str">
        <f t="shared" si="128"/>
        <v>0.000181427807312155-0.126999465118508i</v>
      </c>
      <c r="JM10" s="1" t="str">
        <f t="shared" si="129"/>
        <v>0.000448372367550092-0.313860657285064i</v>
      </c>
      <c r="JN10" s="1" t="str">
        <f t="shared" si="130"/>
        <v>0.000626177918292644-0.438324542804851i</v>
      </c>
      <c r="JO10" s="1" t="str">
        <f t="shared" si="131"/>
        <v>0.127052640852882i</v>
      </c>
      <c r="JP10" s="1" t="str">
        <f t="shared" si="132"/>
        <v>0.12699972430109i</v>
      </c>
      <c r="JQ10" s="1" t="str">
        <f t="shared" si="133"/>
        <v>0.127100856140776i</v>
      </c>
      <c r="JR10" s="1" t="str">
        <f t="shared" si="134"/>
        <v>0.127088440413562i</v>
      </c>
      <c r="JS10" s="1" t="str">
        <f t="shared" si="9"/>
        <v>0.005</v>
      </c>
      <c r="JT10" s="1" t="str">
        <f t="shared" si="10"/>
        <v>0.01</v>
      </c>
      <c r="JU10" s="1" t="str">
        <f t="shared" si="11"/>
        <v>0.0125</v>
      </c>
      <c r="JV10" s="1" t="str">
        <f t="shared" si="135"/>
        <v>0.00509260377664891+0.0622299971986433i</v>
      </c>
      <c r="JW10" s="1" t="str">
        <f t="shared" si="136"/>
        <v>-0.005</v>
      </c>
      <c r="JX10" s="1" t="str">
        <f t="shared" si="137"/>
        <v>0.00786945331812907-5.50861732269036i</v>
      </c>
      <c r="JY10" s="1" t="str">
        <f t="shared" si="138"/>
        <v>-0.005</v>
      </c>
      <c r="JZ10" s="1" t="str">
        <f t="shared" si="139"/>
        <v>0.0151814278073122+2.59182582007522E-07i</v>
      </c>
      <c r="KA10" s="1" t="str">
        <f t="shared" si="140"/>
        <v>-0.01</v>
      </c>
      <c r="KB10" s="1" t="str">
        <f t="shared" si="141"/>
        <v>0.015417704460008-10.7923931220056i</v>
      </c>
      <c r="KC10" s="1" t="str">
        <f t="shared" si="142"/>
        <v>-0.01</v>
      </c>
      <c r="KD10" s="1" t="str">
        <f t="shared" si="143"/>
        <v>0.0229483723675501-0.186759801144288i</v>
      </c>
      <c r="KE10" s="1" t="str">
        <f t="shared" si="144"/>
        <v>-0.0125</v>
      </c>
      <c r="KF10" s="1" t="str">
        <f t="shared" si="145"/>
        <v>0.0381026081576761-26.6718257103732i</v>
      </c>
      <c r="KG10" s="1" t="str">
        <f t="shared" si="146"/>
        <v>-0.0125</v>
      </c>
      <c r="KH10" s="1" t="str">
        <f t="shared" si="147"/>
        <v>0.0131261779182926-0.311236102391289i</v>
      </c>
      <c r="KI10" s="1" t="str">
        <f t="shared" si="148"/>
        <v>0.0532124938654441-37.2487457058109i</v>
      </c>
      <c r="KK10" s="1" t="str">
        <f t="shared" si="149"/>
        <v>0.00509260377664891+0.0622299971986433i</v>
      </c>
      <c r="KL10" s="1" t="str">
        <f t="shared" si="150"/>
        <v>0.00786945331812907-5.50861732269036i</v>
      </c>
      <c r="KM10" s="1" t="str">
        <f t="shared" si="151"/>
        <v>-0.00653147930948051+0.079812598222481i</v>
      </c>
      <c r="KN10" s="1" t="str">
        <f t="shared" si="152"/>
        <v>0.0151487704107648+0.000399322173694413i</v>
      </c>
      <c r="KO10" s="1" t="str">
        <f t="shared" si="153"/>
        <v>-0.424187957505752-10.8290006235885i</v>
      </c>
      <c r="KP10" s="1" t="str">
        <f t="shared" si="154"/>
        <v>-0.659661215893287+0.017388695154111i</v>
      </c>
      <c r="KQ10" s="1" t="str">
        <f t="shared" si="155"/>
        <v>0.0163517602086172-0.186585914192747i</v>
      </c>
      <c r="KR10" s="1" t="str">
        <f t="shared" si="156"/>
        <v>-0.430019926325117-33.8079213535576i</v>
      </c>
      <c r="KS10" s="1" t="str">
        <f t="shared" si="157"/>
        <v>-0.00582631682924807-0.0664826684156574i</v>
      </c>
      <c r="KT10" s="1" t="str">
        <f t="shared" si="158"/>
        <v>0.013053348957927-0.312067135746485i</v>
      </c>
      <c r="KU10" s="1" t="str">
        <f t="shared" si="159"/>
        <v>1.82664863647553-37.4016110497501i</v>
      </c>
      <c r="KV10" s="1" t="str">
        <f t="shared" si="160"/>
        <v>119.88625088659+0.838702761087643i</v>
      </c>
      <c r="KW10" s="1" t="str">
        <f t="shared" si="161"/>
        <v>180.253567510574-10.0699182521489i</v>
      </c>
      <c r="KX10" s="1" t="str">
        <f t="shared" si="162"/>
        <v>71.9189313261353-723.386673172485i</v>
      </c>
      <c r="KY10" s="1" t="str">
        <f t="shared" si="163"/>
        <v>-145.186765286648-17.7863221756847i</v>
      </c>
      <c r="KZ10" s="92" t="str">
        <f t="shared" si="164"/>
        <v>1.174270720417-14.9183601915722i</v>
      </c>
      <c r="LA10" s="1" t="str">
        <f t="shared" si="165"/>
        <v>2.25979920348092-18.4463619465562i</v>
      </c>
      <c r="LB10" s="1" t="str">
        <f t="shared" si="166"/>
        <v>-1.08552848306391+3.528001754984i</v>
      </c>
      <c r="LC10" s="1" t="str">
        <f t="shared" si="167"/>
        <v>91.8720901772078-1.52748485373915i</v>
      </c>
      <c r="LD10" s="1" t="str">
        <f t="shared" si="168"/>
        <v>3.11783305075993+29.9071925395609i</v>
      </c>
      <c r="LE10" s="1" t="str">
        <f t="shared" si="169"/>
        <v>-0.389481633449538+15.2998152254923i</v>
      </c>
      <c r="LF10" s="1" t="str">
        <f t="shared" si="170"/>
        <v>2.25979920348092-18.4463619465562i</v>
      </c>
      <c r="LG10" s="1" t="str">
        <f t="shared" si="171"/>
        <v>91.8699080559883+9.13368445044821i</v>
      </c>
      <c r="LH10" s="1" t="str">
        <f t="shared" si="172"/>
        <v>1.27989523111575+22.9103827530231i</v>
      </c>
      <c r="LI10" s="1" t="str">
        <f t="shared" si="173"/>
        <v>-0.106589425877177+15.2361566522057i</v>
      </c>
      <c r="LJ10" s="1" t="str">
        <f t="shared" si="174"/>
        <v>-1.08552848306391+3.528001754984i</v>
      </c>
      <c r="LK10" s="1" t="str">
        <f t="shared" si="175"/>
        <v>-1.08334636184439-7.13316754920336i</v>
      </c>
      <c r="LL10" s="1" t="str">
        <f t="shared" si="176"/>
        <v>0.7545914577998-0.136357762665456i</v>
      </c>
      <c r="LM10" s="92" t="str">
        <f t="shared" si="177"/>
        <v>95.7747123149352+28.7611627197418i</v>
      </c>
      <c r="LN10" s="1" t="str">
        <f t="shared" si="178"/>
        <v>0.813891889611688-0.244411875615204i</v>
      </c>
      <c r="LS10" s="1">
        <f t="shared" si="179"/>
        <v>7</v>
      </c>
      <c r="LT10" s="1">
        <f t="shared" si="180"/>
        <v>0.84979831308224318</v>
      </c>
      <c r="LU10" s="1">
        <f t="shared" si="181"/>
        <v>100.00000000000033</v>
      </c>
    </row>
    <row r="11" spans="2:333" ht="18" customHeight="1" x14ac:dyDescent="0.25">
      <c r="B11" s="28"/>
      <c r="C11" s="24"/>
      <c r="D11" s="24"/>
      <c r="E11" s="24"/>
      <c r="F11" s="24"/>
      <c r="G11" s="9" t="s">
        <v>11</v>
      </c>
      <c r="H11" s="234" t="s">
        <v>12</v>
      </c>
      <c r="I11" s="234"/>
      <c r="J11" s="234"/>
      <c r="K11" s="234"/>
      <c r="L11" s="234"/>
      <c r="M11" s="234"/>
      <c r="N11" s="234"/>
      <c r="O11" s="234"/>
      <c r="P11" s="234"/>
      <c r="Q11" s="234"/>
      <c r="R11" s="234"/>
      <c r="S11" s="234"/>
      <c r="T11" s="234"/>
      <c r="U11" s="234"/>
      <c r="V11" s="234"/>
      <c r="W11" s="234"/>
      <c r="X11" s="24"/>
      <c r="Y11" s="24"/>
      <c r="Z11" s="24"/>
      <c r="AA11" s="24"/>
      <c r="AC11" s="9" t="s">
        <v>13</v>
      </c>
      <c r="AD11" s="24"/>
      <c r="AE11" s="263" t="s">
        <v>14</v>
      </c>
      <c r="AF11" s="263"/>
      <c r="AG11" s="263"/>
      <c r="AH11" s="263"/>
      <c r="AI11" s="263"/>
      <c r="AJ11" s="263"/>
      <c r="AK11" s="263"/>
      <c r="AL11" s="263"/>
      <c r="AM11" s="263"/>
      <c r="AN11" s="263"/>
      <c r="AO11" s="24"/>
      <c r="AP11" s="8"/>
      <c r="AR11" s="6"/>
      <c r="AS11" s="172" t="s">
        <v>383</v>
      </c>
      <c r="AT11" s="172"/>
      <c r="AU11" s="172"/>
      <c r="AV11" s="172"/>
      <c r="AW11" s="172"/>
      <c r="AX11" s="172"/>
      <c r="AY11" s="172"/>
      <c r="AZ11" s="172"/>
      <c r="BA11" s="172"/>
      <c r="BB11" s="172"/>
      <c r="BC11" s="172"/>
      <c r="BD11" s="172"/>
      <c r="BE11" s="172"/>
      <c r="BF11" s="172"/>
      <c r="BG11" s="172"/>
      <c r="BH11" s="172"/>
      <c r="BI11" s="172"/>
      <c r="BJ11" s="172"/>
      <c r="BK11" s="172"/>
      <c r="BL11" s="172"/>
      <c r="BM11" s="172"/>
      <c r="BN11" s="172"/>
      <c r="BO11" s="172"/>
      <c r="BP11" s="172"/>
      <c r="BQ11" s="172"/>
      <c r="BR11" s="172"/>
      <c r="BS11" s="172"/>
      <c r="BT11" s="172"/>
      <c r="BU11" s="172"/>
      <c r="BV11" s="172"/>
      <c r="BW11" s="172"/>
      <c r="BX11" s="172"/>
      <c r="BY11" s="172"/>
      <c r="BZ11" s="172"/>
      <c r="CA11" s="172"/>
      <c r="CB11" s="172"/>
      <c r="CC11" s="172"/>
      <c r="CD11" s="172"/>
      <c r="CE11" s="172"/>
      <c r="CF11" s="8"/>
      <c r="EA11" s="1">
        <f t="shared" si="182"/>
        <v>2.2000000000000002</v>
      </c>
      <c r="EB11" s="1" t="str">
        <f t="shared" si="12"/>
        <v>0.000937500116975756-0.206250025734667i</v>
      </c>
      <c r="EC11" s="1" t="str">
        <f t="shared" si="13"/>
        <v>0.00183673492305455-0.404081683072001i</v>
      </c>
      <c r="ED11" s="1" t="str">
        <f t="shared" si="14"/>
        <v>0.00453922250515308-0.998628951133674i</v>
      </c>
      <c r="EE11" s="1" t="str">
        <f t="shared" si="15"/>
        <v>0.00633928650526467-1.39464303115823i</v>
      </c>
      <c r="EF11" s="1" t="str">
        <f t="shared" si="16"/>
        <v>0.0399308299823345i</v>
      </c>
      <c r="EG11" s="1" t="str">
        <f t="shared" si="17"/>
        <v>0.0399141990660569i</v>
      </c>
      <c r="EH11" s="1" t="str">
        <f t="shared" si="18"/>
        <v>0.0399459833585295i</v>
      </c>
      <c r="EI11" s="1" t="str">
        <f t="shared" si="19"/>
        <v>0.039942081272834i</v>
      </c>
      <c r="EJ11" s="1" t="str">
        <f t="shared" si="1"/>
        <v>0.005</v>
      </c>
      <c r="EK11" s="1" t="str">
        <f t="shared" si="2"/>
        <v>0.01</v>
      </c>
      <c r="EL11" s="1" t="str">
        <f t="shared" si="3"/>
        <v>0.0125</v>
      </c>
      <c r="EM11" s="1" t="str">
        <f t="shared" si="20"/>
        <v>0.00593750011697576-0.166319195752333i</v>
      </c>
      <c r="EN11" s="1" t="str">
        <f t="shared" si="21"/>
        <v>-0.005</v>
      </c>
      <c r="EO11" s="1" t="str">
        <f t="shared" si="22"/>
        <v>6.74958633291869-1484.90899324212i</v>
      </c>
      <c r="EP11" s="1" t="str">
        <f t="shared" si="23"/>
        <v>-0.005</v>
      </c>
      <c r="EQ11" s="1" t="str">
        <f t="shared" si="24"/>
        <v>0.0168367349230545-0.364167484005944i</v>
      </c>
      <c r="ER11" s="1" t="str">
        <f t="shared" si="25"/>
        <v>-0.01</v>
      </c>
      <c r="ES11" s="1" t="str">
        <f t="shared" si="26"/>
        <v>13.2236793461265-2909.20945614782i</v>
      </c>
      <c r="ET11" s="1" t="str">
        <f t="shared" si="27"/>
        <v>-0.01</v>
      </c>
      <c r="EU11" s="1" t="str">
        <f t="shared" si="28"/>
        <v>0.0270392225051531-0.958682967775145i</v>
      </c>
      <c r="EV11" s="1" t="str">
        <f t="shared" si="29"/>
        <v>-0.0125</v>
      </c>
      <c r="EW11" s="1" t="str">
        <f t="shared" si="30"/>
        <v>32.6803950507139-7189.68691115703i</v>
      </c>
      <c r="EX11" s="1" t="str">
        <f t="shared" si="31"/>
        <v>-0.0125</v>
      </c>
      <c r="EY11" s="1" t="str">
        <f t="shared" si="32"/>
        <v>0.0188392865052647-1.3547009498854i</v>
      </c>
      <c r="EZ11" s="1" t="str">
        <f t="shared" si="33"/>
        <v>45.6400599654505-10040.8131923991i</v>
      </c>
      <c r="FB11" s="1" t="str">
        <f t="shared" si="34"/>
        <v>0.00593750011697576-0.166319195752333i</v>
      </c>
      <c r="FC11" s="1" t="str">
        <f t="shared" si="35"/>
        <v>6.74958633291869-1484.90899324212i</v>
      </c>
      <c r="FD11" s="1" t="str">
        <f t="shared" si="36"/>
        <v>-0.00107185428663914-0.0300244108472227i</v>
      </c>
      <c r="FE11" s="1" t="str">
        <f t="shared" si="37"/>
        <v>0.0168313756516213-0.36431760606018i</v>
      </c>
      <c r="FF11" s="1" t="str">
        <f t="shared" si="38"/>
        <v>57.8144316030077-2910.59840986439i</v>
      </c>
      <c r="FG11" s="1" t="str">
        <f t="shared" si="39"/>
        <v>-0.00126541598712151-0.0273901154986093i</v>
      </c>
      <c r="FH11" s="1" t="str">
        <f t="shared" si="40"/>
        <v>0.0270265683452819-0.958956868930131i</v>
      </c>
      <c r="FI11" s="1" t="str">
        <f t="shared" si="41"/>
        <v>112.475180973005-7191.78648495787i</v>
      </c>
      <c r="FJ11" s="1" t="str">
        <f t="shared" si="42"/>
        <v>-0.000367077653843371-0.0130246516348906i</v>
      </c>
      <c r="FK11" s="1" t="str">
        <f t="shared" si="43"/>
        <v>0.0188346980345917-1.35486375803084i</v>
      </c>
      <c r="FL11" s="1" t="str">
        <f t="shared" si="44"/>
        <v>139.295223589945-10043.0267150415i</v>
      </c>
      <c r="FM11" s="1" t="str">
        <f t="shared" si="45"/>
        <v>7412.5698844362-0.234925350857173i</v>
      </c>
      <c r="FN11" s="1" t="str">
        <f t="shared" si="46"/>
        <v>7499.668106554+2.54652942052429i</v>
      </c>
      <c r="FO11" s="1" t="str">
        <f t="shared" si="47"/>
        <v>7988.89904241429-4.53738202520904i</v>
      </c>
      <c r="FP11" s="1" t="str">
        <f t="shared" si="48"/>
        <v>8926.8496192825-37.9336196593901i</v>
      </c>
      <c r="FQ11" s="92" t="str">
        <f t="shared" si="49"/>
        <v>6.20447380157464+356.289533237269i</v>
      </c>
      <c r="FR11" s="1" t="str">
        <f t="shared" si="50"/>
        <v>1.51472091723365+356.456514425437i</v>
      </c>
      <c r="FS11" s="1" t="str">
        <f t="shared" si="51"/>
        <v>4.68975288434105-0.166981188170905i</v>
      </c>
      <c r="FT11" s="1" t="str">
        <f t="shared" si="52"/>
        <v>0.383662443654207+318.966648771264i</v>
      </c>
      <c r="FU11" s="1" t="str">
        <f t="shared" si="53"/>
        <v>-3.90530520398404+299.687224678005i</v>
      </c>
      <c r="FV11" s="1" t="str">
        <f t="shared" si="54"/>
        <v>-1.02270726887189+297.077229162301i</v>
      </c>
      <c r="FW11" s="1" t="str">
        <f t="shared" si="55"/>
        <v>1.51472091723365+356.456514425437i</v>
      </c>
      <c r="FX11" s="1" t="str">
        <f t="shared" si="56"/>
        <v>0.181105969392942+318.870506697555i</v>
      </c>
      <c r="FY11" s="1" t="str">
        <f t="shared" si="57"/>
        <v>-0.101723621854269+299.581617378901i</v>
      </c>
      <c r="FZ11" s="1" t="str">
        <f t="shared" si="58"/>
        <v>0.00938340745698625+296.073468764712i</v>
      </c>
      <c r="GA11" s="1" t="str">
        <f t="shared" si="59"/>
        <v>4.68975288434105-0.166981188170905i</v>
      </c>
      <c r="GB11" s="1" t="str">
        <f t="shared" si="60"/>
        <v>4.89230935860291-0.0708391144573333i</v>
      </c>
      <c r="GC11" s="1" t="str">
        <f t="shared" si="61"/>
        <v>1.0887277764725+0.0347681846422683i</v>
      </c>
      <c r="GD11" s="92" t="str">
        <f t="shared" si="62"/>
        <v>1.66012377237292+1272.02063584884i</v>
      </c>
      <c r="GE11" s="1" t="str">
        <f t="shared" si="63"/>
        <v>0.00738681531911179-5.65992829901108i</v>
      </c>
      <c r="GF11" s="1">
        <f t="shared" si="64"/>
        <v>2.2000000000000002</v>
      </c>
      <c r="GG11" s="56">
        <f t="shared" si="65"/>
        <v>1.2291073594123827</v>
      </c>
      <c r="GH11" s="1">
        <f t="shared" si="66"/>
        <v>0.22916082759402776</v>
      </c>
      <c r="GJ11" s="1">
        <f t="shared" si="67"/>
        <v>1272.0217191684371</v>
      </c>
      <c r="GK11" s="1">
        <f t="shared" si="68"/>
        <v>5.6599331193033553</v>
      </c>
      <c r="GM11" s="1" t="str">
        <f t="shared" si="69"/>
        <v>0.0191834803010191+1.05509141655605i</v>
      </c>
      <c r="GP11" s="1">
        <f t="shared" si="4"/>
        <v>2.2000000000000002</v>
      </c>
      <c r="GQ11" s="1">
        <f t="shared" si="5"/>
        <v>5.6599331193033553</v>
      </c>
      <c r="GR11" s="1">
        <f t="shared" si="70"/>
        <v>1.0552657974210631</v>
      </c>
      <c r="GS11" s="1">
        <f t="shared" si="71"/>
        <v>1.29703495774641</v>
      </c>
      <c r="GU11" s="15">
        <f>V20</f>
        <v>11</v>
      </c>
      <c r="GV11" s="1" t="str">
        <f t="shared" si="72"/>
        <v>0.0000375007484801614-0.0412508233281776i</v>
      </c>
      <c r="GW11" s="1" t="str">
        <f t="shared" si="73"/>
        <v>0.0000734708541652147-0.0808179395817359i</v>
      </c>
      <c r="GX11" s="1" t="str">
        <f t="shared" si="74"/>
        <v>0.000181572501569761-0.199729751726737i</v>
      </c>
      <c r="GY11" s="1" t="str">
        <f t="shared" si="75"/>
        <v>0.000253576489722995-0.278934138695295i</v>
      </c>
      <c r="GZ11" s="1" t="str">
        <f t="shared" si="76"/>
        <v>0.199654149911673i</v>
      </c>
      <c r="HA11" s="1" t="str">
        <f t="shared" si="77"/>
        <v>0.199570995330285i</v>
      </c>
      <c r="HB11" s="1" t="str">
        <f t="shared" si="78"/>
        <v>0.199729916792648i</v>
      </c>
      <c r="HC11" s="1" t="str">
        <f t="shared" si="79"/>
        <v>0.199710406364169i</v>
      </c>
      <c r="HD11" s="1" t="str">
        <f t="shared" si="6"/>
        <v>0.005</v>
      </c>
      <c r="HE11" s="1" t="str">
        <f t="shared" si="7"/>
        <v>0.01</v>
      </c>
      <c r="HF11" s="1" t="str">
        <f t="shared" si="8"/>
        <v>0.0125</v>
      </c>
      <c r="HG11" s="1" t="str">
        <f t="shared" si="183"/>
        <v>0.00503750074848016+0.158403326583495i</v>
      </c>
      <c r="HH11" s="1" t="str">
        <f t="shared" si="184"/>
        <v>-0.005</v>
      </c>
      <c r="HI11" s="1" t="str">
        <f t="shared" si="185"/>
        <v>0.269988808356025-296.987689191628i</v>
      </c>
      <c r="HJ11" s="1" t="str">
        <f t="shared" si="186"/>
        <v>-0.005</v>
      </c>
      <c r="HK11" s="1" t="str">
        <f t="shared" si="187"/>
        <v>0.0150734708541652+0.118753055748549i</v>
      </c>
      <c r="HL11" s="1" t="str">
        <f t="shared" si="188"/>
        <v>-0.01</v>
      </c>
      <c r="HM11" s="1" t="str">
        <f t="shared" si="189"/>
        <v>0.528957665350584-581.853431885641i</v>
      </c>
      <c r="HN11" s="1" t="str">
        <f t="shared" si="190"/>
        <v>-0.01</v>
      </c>
      <c r="HO11" s="1" t="str">
        <f t="shared" si="191"/>
        <v>0.0226815725015698+1.65065911023055E-07i</v>
      </c>
      <c r="HP11" s="1" t="str">
        <f t="shared" si="192"/>
        <v>-0.0125</v>
      </c>
      <c r="HQ11" s="1" t="str">
        <f t="shared" si="193"/>
        <v>1.30724173025443-1437.96590327987i</v>
      </c>
      <c r="HR11" s="1" t="str">
        <f t="shared" si="194"/>
        <v>-0.0125</v>
      </c>
      <c r="HS11" s="1" t="str">
        <f t="shared" si="195"/>
        <v>0.012753576489723-0.079223732331126i</v>
      </c>
      <c r="HT11" s="1" t="str">
        <f t="shared" si="196"/>
        <v>1.82563860888359-2008.20246977196i</v>
      </c>
      <c r="HV11" s="1" t="str">
        <f t="shared" si="197"/>
        <v>0.00503750074848016+0.158403326583495i</v>
      </c>
      <c r="HW11" s="1" t="str">
        <f t="shared" si="198"/>
        <v>0.269988808356025-296.987689191628i</v>
      </c>
      <c r="HX11" s="1" t="str">
        <f t="shared" si="199"/>
        <v>-0.00100280740069125+0.0315331026481668i</v>
      </c>
      <c r="HY11" s="1" t="str">
        <f t="shared" si="200"/>
        <v>0.0150684568171617+0.11891072126179i</v>
      </c>
      <c r="HZ11" s="1" t="str">
        <f t="shared" si="201"/>
        <v>-8.83571487639576-582.159766923084i</v>
      </c>
      <c r="IA11" s="1" t="str">
        <f t="shared" si="202"/>
        <v>-0.0104883745268053+0.0827676115065595i</v>
      </c>
      <c r="IB11" s="1" t="str">
        <f t="shared" si="203"/>
        <v>0.0225766887563017+0.000827841180976618i</v>
      </c>
      <c r="IC11" s="1" t="str">
        <f t="shared" si="204"/>
        <v>-46.9694039800203-1443.34050193352i</v>
      </c>
      <c r="ID11" s="1" t="str">
        <f t="shared" si="205"/>
        <v>-0.552925008540327+0.0202746335834464i</v>
      </c>
      <c r="IE11" s="1" t="str">
        <f t="shared" si="206"/>
        <v>0.00584201388296891-0.0789702994113329i</v>
      </c>
      <c r="IF11" s="1" t="str">
        <f t="shared" si="207"/>
        <v>-26.6057865407401-2803.31628297077i</v>
      </c>
      <c r="IG11" s="1" t="str">
        <f t="shared" si="208"/>
        <v>35280.3614344216-2946.85659762607i</v>
      </c>
      <c r="IH11" s="1" t="str">
        <f t="shared" si="209"/>
        <v>15028.9470769226-66113.2288624132i</v>
      </c>
      <c r="II11" s="1" t="str">
        <f t="shared" si="210"/>
        <v>-10142.0693872697-2474.79022386623i</v>
      </c>
      <c r="IJ11" s="1" t="str">
        <f t="shared" si="211"/>
        <v>-1961.142864751+256.062169613294i</v>
      </c>
      <c r="IK11" s="92" t="str">
        <f t="shared" si="212"/>
        <v>-10.2192421860871-377.896049549806i</v>
      </c>
      <c r="IL11" s="1" t="str">
        <f t="shared" si="213"/>
        <v>-51.1238747986808-391.550311517204i</v>
      </c>
      <c r="IM11" s="1" t="str">
        <f t="shared" si="214"/>
        <v>40.9046326125935+13.6542619673976i</v>
      </c>
      <c r="IN11" s="1" t="str">
        <f t="shared" si="215"/>
        <v>201.281550956128-1401.33275790815i</v>
      </c>
      <c r="IO11" s="1" t="str">
        <f t="shared" si="216"/>
        <v>13203.3571847563+1575.76630945955i</v>
      </c>
      <c r="IP11" s="1" t="str">
        <f t="shared" si="217"/>
        <v>814.85827531756+7833.44201334889i</v>
      </c>
      <c r="IQ11" s="1" t="str">
        <f t="shared" si="218"/>
        <v>-51.1238747986808-391.550311517204i</v>
      </c>
      <c r="IR11" s="1" t="str">
        <f t="shared" si="219"/>
        <v>493.896348210642-2024.06288232623i</v>
      </c>
      <c r="IS11" s="1" t="str">
        <f t="shared" si="220"/>
        <v>13204.7896995831+3001.73034915486i</v>
      </c>
      <c r="IT11" s="1" t="str">
        <f t="shared" si="221"/>
        <v>588.517928608835+7045.85531874309i</v>
      </c>
      <c r="IU11" s="1" t="str">
        <f t="shared" si="222"/>
        <v>40.9046326125935+13.6542619673976i</v>
      </c>
      <c r="IV11" s="1" t="str">
        <f t="shared" si="223"/>
        <v>-251.710164641923+636.38438638547i</v>
      </c>
      <c r="IW11" s="1" t="str">
        <f t="shared" si="224"/>
        <v>-253.142679468738-789.579653309839i</v>
      </c>
      <c r="IX11" s="92" t="str">
        <f t="shared" si="225"/>
        <v>14209.2777688439+7629.97951535048i</v>
      </c>
      <c r="IY11" s="1" t="str">
        <f t="shared" si="226"/>
        <v>0.393281768577826-0.211181165350233i</v>
      </c>
      <c r="JD11" s="1">
        <f t="shared" si="124"/>
        <v>11</v>
      </c>
      <c r="JE11" s="1">
        <f t="shared" si="227"/>
        <v>0.44639448259850295</v>
      </c>
      <c r="JJ11" s="1">
        <f t="shared" si="126"/>
        <v>11</v>
      </c>
      <c r="JK11" s="1" t="str">
        <f t="shared" si="127"/>
        <v>0.0000375007484801614-0.0412508233281776i</v>
      </c>
      <c r="JL11" s="1" t="str">
        <f t="shared" si="128"/>
        <v>0.0000734708541652147-0.0808179395817359i</v>
      </c>
      <c r="JM11" s="1" t="str">
        <f t="shared" si="129"/>
        <v>0.000181572501569761-0.199729751726737i</v>
      </c>
      <c r="JN11" s="1" t="str">
        <f t="shared" si="130"/>
        <v>0.000253576489722995-0.278934138695295i</v>
      </c>
      <c r="JO11" s="1" t="str">
        <f t="shared" si="131"/>
        <v>0.199654149911673i</v>
      </c>
      <c r="JP11" s="1" t="str">
        <f t="shared" si="132"/>
        <v>0.199570995330285i</v>
      </c>
      <c r="JQ11" s="1" t="str">
        <f t="shared" si="133"/>
        <v>0.199729916792648i</v>
      </c>
      <c r="JR11" s="1" t="str">
        <f t="shared" si="134"/>
        <v>0.199710406364169i</v>
      </c>
      <c r="JS11" s="1" t="str">
        <f t="shared" si="9"/>
        <v>0.005</v>
      </c>
      <c r="JT11" s="1" t="str">
        <f t="shared" si="10"/>
        <v>0.01</v>
      </c>
      <c r="JU11" s="1" t="str">
        <f t="shared" si="11"/>
        <v>0.0125</v>
      </c>
      <c r="JV11" s="1" t="str">
        <f t="shared" si="135"/>
        <v>0.00503750074848016+0.158403326583495i</v>
      </c>
      <c r="JW11" s="1" t="str">
        <f t="shared" si="136"/>
        <v>-0.005</v>
      </c>
      <c r="JX11" s="1" t="str">
        <f t="shared" si="137"/>
        <v>0.00150661144933724-1.65727259427097i</v>
      </c>
      <c r="JY11" s="1" t="str">
        <f t="shared" si="138"/>
        <v>-0.005</v>
      </c>
      <c r="JZ11" s="1" t="str">
        <f t="shared" si="139"/>
        <v>0.0150734708541652+0.118753055748549i</v>
      </c>
      <c r="KA11" s="1" t="str">
        <f t="shared" si="140"/>
        <v>-0.01</v>
      </c>
      <c r="KB11" s="1" t="str">
        <f t="shared" si="141"/>
        <v>0.0029517285538036-3.24690140918394i</v>
      </c>
      <c r="KC11" s="1" t="str">
        <f t="shared" si="142"/>
        <v>-0.01</v>
      </c>
      <c r="KD11" s="1" t="str">
        <f t="shared" si="143"/>
        <v>0.0226815725015698+1.65065911023055E-07i</v>
      </c>
      <c r="KE11" s="1" t="str">
        <f t="shared" si="144"/>
        <v>-0.0125</v>
      </c>
      <c r="KF11" s="1" t="str">
        <f t="shared" si="145"/>
        <v>0.00729476666031144-8.02424332634257i</v>
      </c>
      <c r="KG11" s="1" t="str">
        <f t="shared" si="146"/>
        <v>-0.0125</v>
      </c>
      <c r="KH11" s="1" t="str">
        <f t="shared" si="147"/>
        <v>0.012753576489723-0.079223732331126i</v>
      </c>
      <c r="KI11" s="1" t="str">
        <f t="shared" si="148"/>
        <v>0.0101875631336137-11.2063194469751i</v>
      </c>
      <c r="KK11" s="1" t="str">
        <f t="shared" si="149"/>
        <v>0.00503750074848016+0.158403326583495i</v>
      </c>
      <c r="KL11" s="1" t="str">
        <f t="shared" si="150"/>
        <v>0.00150661144933724-1.65727259427097i</v>
      </c>
      <c r="KM11" s="1" t="str">
        <f t="shared" si="151"/>
        <v>-0.00100280740069125+0.0315331026481668i</v>
      </c>
      <c r="KN11" s="1" t="str">
        <f t="shared" si="152"/>
        <v>0.0150684568171617+0.11891072126179i</v>
      </c>
      <c r="KO11" s="1" t="str">
        <f t="shared" si="153"/>
        <v>-0.0493057074362252-3.24861084253992i</v>
      </c>
      <c r="KP11" s="1" t="str">
        <f t="shared" si="154"/>
        <v>-0.0104883745268053+0.0827676115065595i</v>
      </c>
      <c r="KQ11" s="1" t="str">
        <f t="shared" si="155"/>
        <v>0.0225766887563017+0.000827841180976618i</v>
      </c>
      <c r="KR11" s="1" t="str">
        <f t="shared" si="156"/>
        <v>-0.26210213021693-8.05423505791283i</v>
      </c>
      <c r="KS11" s="1" t="str">
        <f t="shared" si="157"/>
        <v>-0.552925008540327+0.0202746335834464i</v>
      </c>
      <c r="KT11" s="1" t="str">
        <f t="shared" si="158"/>
        <v>0.00584201388296891-0.0789702994113329i</v>
      </c>
      <c r="KU11" s="1" t="str">
        <f t="shared" si="159"/>
        <v>-0.148467571174444-15.6432721554438i</v>
      </c>
      <c r="KV11" s="1" t="str">
        <f t="shared" si="160"/>
        <v>196.874073401455-16.4442663996792i</v>
      </c>
      <c r="KW11" s="1" t="str">
        <f t="shared" si="161"/>
        <v>83.8656382664453-368.92991292223i</v>
      </c>
      <c r="KX11" s="1" t="str">
        <f t="shared" si="162"/>
        <v>-56.595523169552-13.810006824683i</v>
      </c>
      <c r="KY11" s="1" t="str">
        <f t="shared" si="163"/>
        <v>-10.9437139702608+1.42889699328868i</v>
      </c>
      <c r="KZ11" s="92" t="str">
        <f t="shared" si="164"/>
        <v>-0.0570261685099407-2.10876339051905i</v>
      </c>
      <c r="LA11" s="1" t="str">
        <f t="shared" si="165"/>
        <v>-0.285285214506397-2.18495790960892i</v>
      </c>
      <c r="LB11" s="1" t="str">
        <f t="shared" si="166"/>
        <v>0.228259045996456+0.0761945190898585i</v>
      </c>
      <c r="LC11" s="1" t="str">
        <f t="shared" si="167"/>
        <v>1.12320614716359-7.8198203483001i</v>
      </c>
      <c r="LD11" s="1" t="str">
        <f t="shared" si="168"/>
        <v>73.6783469854482+8.79320731021209i</v>
      </c>
      <c r="LE11" s="1" t="str">
        <f t="shared" si="169"/>
        <v>4.5471322113535+43.7127505280438i</v>
      </c>
      <c r="LF11" s="1" t="str">
        <f t="shared" si="170"/>
        <v>-0.285285214506397-2.18495790960892i</v>
      </c>
      <c r="LG11" s="1" t="str">
        <f t="shared" si="171"/>
        <v>2.75607680752002-11.2948248901857i</v>
      </c>
      <c r="LH11" s="1" t="str">
        <f t="shared" si="172"/>
        <v>73.6863408102759+16.7504769527194i</v>
      </c>
      <c r="LI11" s="1" t="str">
        <f t="shared" si="173"/>
        <v>3.28409112504058+39.3178012015738i</v>
      </c>
      <c r="LJ11" s="1" t="str">
        <f t="shared" si="174"/>
        <v>0.228259045996456+0.0761945190898585i</v>
      </c>
      <c r="LK11" s="1" t="str">
        <f t="shared" si="175"/>
        <v>-1.40461161435997+3.55119906097547i</v>
      </c>
      <c r="LL11" s="1" t="str">
        <f t="shared" si="176"/>
        <v>-1.41260543918763-4.40607058153189i</v>
      </c>
      <c r="LM11" s="92" t="str">
        <f t="shared" si="177"/>
        <v>79.2916591754554+42.5773740994367i</v>
      </c>
      <c r="LN11" s="1" t="str">
        <f t="shared" si="178"/>
        <v>0.393281768577827-0.211181165350234i</v>
      </c>
      <c r="LS11" s="1">
        <f t="shared" si="179"/>
        <v>11</v>
      </c>
      <c r="LT11" s="1">
        <f t="shared" si="180"/>
        <v>0.44639448259850428</v>
      </c>
      <c r="LU11" s="1">
        <f t="shared" si="181"/>
        <v>89.999999999999787</v>
      </c>
    </row>
    <row r="12" spans="2:333" ht="18" customHeight="1" x14ac:dyDescent="0.25">
      <c r="B12" s="28"/>
      <c r="C12" s="24"/>
      <c r="D12" s="24"/>
      <c r="E12" s="24"/>
      <c r="F12" s="24"/>
      <c r="G12" s="9" t="s">
        <v>16</v>
      </c>
      <c r="H12" s="234" t="s">
        <v>17</v>
      </c>
      <c r="I12" s="234"/>
      <c r="J12" s="234"/>
      <c r="K12" s="234"/>
      <c r="L12" s="234"/>
      <c r="M12" s="234"/>
      <c r="N12" s="234"/>
      <c r="O12" s="234"/>
      <c r="P12" s="234"/>
      <c r="Q12" s="234"/>
      <c r="R12" s="234"/>
      <c r="S12" s="234"/>
      <c r="T12" s="234"/>
      <c r="U12" s="234"/>
      <c r="V12" s="234"/>
      <c r="W12" s="234"/>
      <c r="X12" s="24"/>
      <c r="Y12" s="24"/>
      <c r="Z12" s="24"/>
      <c r="AA12" s="24"/>
      <c r="AB12" s="24"/>
      <c r="AC12" s="9" t="s">
        <v>18</v>
      </c>
      <c r="AD12" s="24"/>
      <c r="AE12" s="269" t="s">
        <v>267</v>
      </c>
      <c r="AF12" s="270"/>
      <c r="AG12" s="270"/>
      <c r="AH12" s="270"/>
      <c r="AI12" s="270"/>
      <c r="AJ12" s="270"/>
      <c r="AK12" s="270"/>
      <c r="AL12" s="270"/>
      <c r="AM12" s="270"/>
      <c r="AN12" s="271"/>
      <c r="AO12" s="24"/>
      <c r="AP12" s="8"/>
      <c r="AR12" s="6"/>
      <c r="AZ12" s="240" t="s">
        <v>15</v>
      </c>
      <c r="BA12" s="240"/>
      <c r="BB12" s="240"/>
      <c r="BC12" s="240"/>
      <c r="BD12" s="240"/>
      <c r="BE12" s="18"/>
      <c r="BF12" s="240" t="s">
        <v>387</v>
      </c>
      <c r="BG12" s="240"/>
      <c r="BH12" s="240"/>
      <c r="BI12" s="240"/>
      <c r="BJ12" s="240"/>
      <c r="BK12" s="48"/>
      <c r="BL12" s="48"/>
      <c r="BP12" s="208" t="s">
        <v>407</v>
      </c>
      <c r="BQ12" s="208"/>
      <c r="BR12" s="208"/>
      <c r="BS12" s="208"/>
      <c r="BT12" s="208"/>
      <c r="BU12" s="208"/>
      <c r="BV12" s="208"/>
      <c r="BW12" s="208"/>
      <c r="BX12" s="208"/>
      <c r="BY12" s="208"/>
      <c r="BZ12" s="208"/>
      <c r="CA12" s="211">
        <f>AG39/U29</f>
        <v>45.373156680499868</v>
      </c>
      <c r="CB12" s="211"/>
      <c r="CC12" s="211"/>
      <c r="CD12" s="33" t="s">
        <v>39</v>
      </c>
      <c r="CE12" s="38"/>
      <c r="CF12" s="8"/>
      <c r="EA12" s="1">
        <f t="shared" si="182"/>
        <v>2.4</v>
      </c>
      <c r="EB12" s="1" t="str">
        <f t="shared" si="12"/>
        <v>0.000787763114559534-0.189063147494288i</v>
      </c>
      <c r="EC12" s="1" t="str">
        <f t="shared" si="13"/>
        <v>0.00154337263260643-0.370409431825544i</v>
      </c>
      <c r="ED12" s="1" t="str">
        <f t="shared" si="14"/>
        <v>0.00381422038631121-0.915412892714691i</v>
      </c>
      <c r="EE12" s="1" t="str">
        <f t="shared" si="15"/>
        <v>0.00532677915559305-1.27842699734233i</v>
      </c>
      <c r="EF12" s="1" t="str">
        <f t="shared" si="16"/>
        <v>0.043560905435274i</v>
      </c>
      <c r="EG12" s="1" t="str">
        <f t="shared" si="17"/>
        <v>0.0435427626175168i</v>
      </c>
      <c r="EH12" s="1" t="str">
        <f t="shared" si="18"/>
        <v>0.043577436391123i</v>
      </c>
      <c r="EI12" s="1" t="str">
        <f t="shared" si="19"/>
        <v>0.0435731795703643i</v>
      </c>
      <c r="EJ12" s="1" t="str">
        <f t="shared" si="1"/>
        <v>0.005</v>
      </c>
      <c r="EK12" s="1" t="str">
        <f t="shared" si="2"/>
        <v>0.01</v>
      </c>
      <c r="EL12" s="1" t="str">
        <f t="shared" si="3"/>
        <v>0.0125</v>
      </c>
      <c r="EM12" s="1" t="str">
        <f t="shared" si="20"/>
        <v>0.00578776311455953-0.145502242059014i</v>
      </c>
      <c r="EN12" s="1" t="str">
        <f t="shared" si="21"/>
        <v>-0.005</v>
      </c>
      <c r="EO12" s="1" t="str">
        <f t="shared" si="22"/>
        <v>5.6715461207201-1361.17106897282i</v>
      </c>
      <c r="EP12" s="1" t="str">
        <f t="shared" si="23"/>
        <v>-0.005</v>
      </c>
      <c r="EQ12" s="1" t="str">
        <f t="shared" si="24"/>
        <v>0.0165433726326064-0.326866669208027i</v>
      </c>
      <c r="ER12" s="1" t="str">
        <f t="shared" si="25"/>
        <v>-0.01</v>
      </c>
      <c r="ES12" s="1" t="str">
        <f t="shared" si="26"/>
        <v>11.1116005630434-2666.78413513043i</v>
      </c>
      <c r="ET12" s="1" t="str">
        <f t="shared" si="27"/>
        <v>-0.01</v>
      </c>
      <c r="EU12" s="1" t="str">
        <f t="shared" si="28"/>
        <v>0.0263142203863112-0.871835456323568i</v>
      </c>
      <c r="EV12" s="1" t="str">
        <f t="shared" si="29"/>
        <v>-0.0125</v>
      </c>
      <c r="EW12" s="1" t="str">
        <f t="shared" si="30"/>
        <v>27.4607003498131-6590.56808395516i</v>
      </c>
      <c r="EX12" s="1" t="str">
        <f t="shared" si="31"/>
        <v>-0.0125</v>
      </c>
      <c r="EY12" s="1" t="str">
        <f t="shared" si="32"/>
        <v>0.017826779155593-1.23485381777197i</v>
      </c>
      <c r="EZ12" s="1" t="str">
        <f t="shared" si="33"/>
        <v>38.3504547210598-9204.10913305434i</v>
      </c>
      <c r="FB12" s="1" t="str">
        <f t="shared" si="34"/>
        <v>0.00578776311455953-0.145502242059014i</v>
      </c>
      <c r="FC12" s="1" t="str">
        <f t="shared" si="35"/>
        <v>5.6715461207201-1361.17106897282i</v>
      </c>
      <c r="FD12" s="1" t="str">
        <f t="shared" si="36"/>
        <v>-0.00136475517774943-0.0343094446496369i</v>
      </c>
      <c r="FE12" s="1" t="str">
        <f t="shared" si="37"/>
        <v>0.0165365488567176-0.327038216431275i</v>
      </c>
      <c r="FF12" s="1" t="str">
        <f t="shared" si="38"/>
        <v>57.8203642845876-2668.44721279691i</v>
      </c>
      <c r="FG12" s="1" t="str">
        <f t="shared" si="39"/>
        <v>-0.00154219357805903-0.030499485807482i</v>
      </c>
      <c r="FH12" s="1" t="str">
        <f t="shared" si="40"/>
        <v>0.0262987984505306-0.872140451181643i</v>
      </c>
      <c r="FI12" s="1" t="str">
        <f t="shared" si="41"/>
        <v>108.936138439008-6592.91985473024i</v>
      </c>
      <c r="FJ12" s="1" t="str">
        <f t="shared" si="42"/>
        <v>-0.000431795729009546-0.0143195333667076i</v>
      </c>
      <c r="FK12" s="1" t="str">
        <f t="shared" si="43"/>
        <v>0.0178213817089804-1.23503281193905i</v>
      </c>
      <c r="FL12" s="1" t="str">
        <f t="shared" si="44"/>
        <v>132.73617171794-9206.56168778981i</v>
      </c>
      <c r="FM12" s="1" t="str">
        <f t="shared" si="45"/>
        <v>7454.50644061011-0.0918461526925254i</v>
      </c>
      <c r="FN12" s="1" t="str">
        <f t="shared" si="46"/>
        <v>7559.58605948911+3.7946167893087i</v>
      </c>
      <c r="FO12" s="1" t="str">
        <f t="shared" si="47"/>
        <v>8159.08642013234-4.6077377428982i</v>
      </c>
      <c r="FP12" s="1" t="str">
        <f t="shared" si="48"/>
        <v>9353.04598866944-52.6880978061414i</v>
      </c>
      <c r="FQ12" s="92" t="str">
        <f t="shared" si="49"/>
        <v>8.26493908878329+407.186750043874i</v>
      </c>
      <c r="FR12" s="1" t="str">
        <f t="shared" si="50"/>
        <v>2.29514124609779+407.427151844198i</v>
      </c>
      <c r="FS12" s="1" t="str">
        <f t="shared" si="51"/>
        <v>5.9697978426855-0.240401800316216i</v>
      </c>
      <c r="FT12" s="1" t="str">
        <f t="shared" si="52"/>
        <v>0.225839394488456+355.425541422631i</v>
      </c>
      <c r="FU12" s="1" t="str">
        <f t="shared" si="53"/>
        <v>-4.84686804220907+329.559984982705i</v>
      </c>
      <c r="FV12" s="1" t="str">
        <f t="shared" si="54"/>
        <v>-1.24063620081209+325.93364172807i</v>
      </c>
      <c r="FW12" s="1" t="str">
        <f t="shared" si="55"/>
        <v>2.29514124609779+407.427151844198i</v>
      </c>
      <c r="FX12" s="1" t="str">
        <f t="shared" si="56"/>
        <v>0.200633630742789+355.269163167627i</v>
      </c>
      <c r="FY12" s="1" t="str">
        <f t="shared" si="57"/>
        <v>-0.165359671764787+329.427380650607i</v>
      </c>
      <c r="FZ12" s="1" t="str">
        <f t="shared" si="58"/>
        <v>0.00400202890411851+324.816547745142i</v>
      </c>
      <c r="GA12" s="1" t="str">
        <f t="shared" si="59"/>
        <v>5.9697978426855-0.240401800316216i</v>
      </c>
      <c r="GB12" s="1" t="str">
        <f t="shared" si="60"/>
        <v>5.9950036064323-0.084023545322069i</v>
      </c>
      <c r="GC12" s="1" t="str">
        <f t="shared" si="61"/>
        <v>1.3134952359875+0.0485807867750154i</v>
      </c>
      <c r="GD12" s="92" t="str">
        <f t="shared" si="62"/>
        <v>2.40327424025059+1418.10591817728i</v>
      </c>
      <c r="GE12" s="1" t="str">
        <f t="shared" si="63"/>
        <v>0.00860380524809082-5.07686843923818i</v>
      </c>
      <c r="GF12" s="1">
        <f t="shared" si="64"/>
        <v>2.4</v>
      </c>
      <c r="GG12" s="56">
        <f t="shared" si="65"/>
        <v>1.2931559080078692</v>
      </c>
      <c r="GH12" s="1">
        <f t="shared" si="66"/>
        <v>0.29321981570415084</v>
      </c>
      <c r="GJ12" s="1">
        <f t="shared" si="67"/>
        <v>1418.1079545988382</v>
      </c>
      <c r="GK12" s="1">
        <f t="shared" si="68"/>
        <v>5.0768757296980853</v>
      </c>
      <c r="GM12" s="1" t="str">
        <f t="shared" si="69"/>
        <v>0.0191834803010191+1.15100881806115i</v>
      </c>
      <c r="GP12" s="1">
        <f t="shared" si="4"/>
        <v>2.4</v>
      </c>
      <c r="GQ12" s="1">
        <f t="shared" si="5"/>
        <v>5.0768757296980853</v>
      </c>
      <c r="GR12" s="1">
        <f t="shared" si="70"/>
        <v>1.1511686692969825</v>
      </c>
      <c r="GS12" s="1">
        <f t="shared" si="71"/>
        <v>1.4886405658149489</v>
      </c>
      <c r="GU12" s="15">
        <f>X20</f>
        <v>13</v>
      </c>
      <c r="GV12" s="1" t="str">
        <f t="shared" si="72"/>
        <v>0.0000268496546225379-0.0349045510092993i</v>
      </c>
      <c r="GW12" s="1" t="str">
        <f t="shared" si="73"/>
        <v>0.0000526034049747684-0.0683844264671988i</v>
      </c>
      <c r="GX12" s="1" t="str">
        <f t="shared" si="74"/>
        <v>0.000130001644065247-0.169002137284822i</v>
      </c>
      <c r="GY12" s="1" t="str">
        <f t="shared" si="75"/>
        <v>0.000181554807447637-0.236021249681929i</v>
      </c>
      <c r="GZ12" s="1" t="str">
        <f t="shared" si="76"/>
        <v>0.235954904441068i</v>
      </c>
      <c r="HA12" s="1" t="str">
        <f t="shared" si="77"/>
        <v>0.235856630844882i</v>
      </c>
      <c r="HB12" s="1" t="str">
        <f t="shared" si="78"/>
        <v>0.236044447118584i</v>
      </c>
      <c r="HC12" s="1" t="str">
        <f t="shared" si="79"/>
        <v>0.236021389339473i</v>
      </c>
      <c r="HD12" s="1" t="str">
        <f t="shared" si="6"/>
        <v>0.005</v>
      </c>
      <c r="HE12" s="1" t="str">
        <f t="shared" si="7"/>
        <v>0.01</v>
      </c>
      <c r="HF12" s="1" t="str">
        <f t="shared" si="8"/>
        <v>0.0125</v>
      </c>
      <c r="HG12" s="1" t="str">
        <f t="shared" si="183"/>
        <v>0.00502684965462254+0.201050353431769i</v>
      </c>
      <c r="HH12" s="1" t="str">
        <f t="shared" si="184"/>
        <v>-0.005</v>
      </c>
      <c r="HI12" s="1" t="str">
        <f t="shared" si="185"/>
        <v>0.193305641889915-251.29733445689i</v>
      </c>
      <c r="HJ12" s="1" t="str">
        <f t="shared" si="186"/>
        <v>-0.005</v>
      </c>
      <c r="HK12" s="1" t="str">
        <f t="shared" si="187"/>
        <v>0.0150526034049748+0.167472204377683i</v>
      </c>
      <c r="HL12" s="1" t="str">
        <f t="shared" si="188"/>
        <v>-0.01</v>
      </c>
      <c r="HM12" s="1" t="str">
        <f t="shared" si="189"/>
        <v>0.378721257580244-492.337634854316i</v>
      </c>
      <c r="HN12" s="1" t="str">
        <f t="shared" si="190"/>
        <v>-0.01</v>
      </c>
      <c r="HO12" s="1" t="str">
        <f t="shared" si="191"/>
        <v>0.0226300016440652+0.067042309833762i</v>
      </c>
      <c r="HP12" s="1" t="str">
        <f t="shared" si="192"/>
        <v>-0.0125</v>
      </c>
      <c r="HQ12" s="1" t="str">
        <f t="shared" si="193"/>
        <v>0.935954357926169-1216.74066530403i</v>
      </c>
      <c r="HR12" s="1" t="str">
        <f t="shared" si="194"/>
        <v>-0.0125</v>
      </c>
      <c r="HS12" s="1" t="str">
        <f t="shared" si="195"/>
        <v>0.0126815548074476+1.39657544001581E-07i</v>
      </c>
      <c r="HT12" s="1" t="str">
        <f t="shared" si="196"/>
        <v>1.30711434039847-1699.24864251802i</v>
      </c>
      <c r="HV12" s="1" t="str">
        <f t="shared" si="197"/>
        <v>0.00502684965462254+0.201050353431769i</v>
      </c>
      <c r="HW12" s="1" t="str">
        <f t="shared" si="198"/>
        <v>0.193305641889915-251.29733445689i</v>
      </c>
      <c r="HX12" s="1" t="str">
        <f t="shared" si="199"/>
        <v>-0.00062141939790428+0.0248538544340837i</v>
      </c>
      <c r="HY12" s="1" t="str">
        <f t="shared" si="200"/>
        <v>0.0150494963079853+0.167596473649853i</v>
      </c>
      <c r="HZ12" s="1" t="str">
        <f t="shared" si="201"/>
        <v>-5.86686598880896-492.498600282874i</v>
      </c>
      <c r="IA12" s="1" t="str">
        <f t="shared" si="202"/>
        <v>-0.00531501380570439+0.0591898594482323i</v>
      </c>
      <c r="IB12" s="1" t="str">
        <f t="shared" si="203"/>
        <v>0.0225768515060082+0.0676342084282443i</v>
      </c>
      <c r="IC12" s="1" t="str">
        <f t="shared" si="204"/>
        <v>-28.246151044995-1219.01104319054i</v>
      </c>
      <c r="ID12" s="1" t="str">
        <f t="shared" si="205"/>
        <v>-0.0555084721159975+0.166288535477485i</v>
      </c>
      <c r="IE12" s="1" t="str">
        <f t="shared" si="206"/>
        <v>0.0119876989059976+0.00207874635101256i</v>
      </c>
      <c r="IF12" s="1" t="str">
        <f t="shared" si="207"/>
        <v>-200.970955552531-1766.9436962899i</v>
      </c>
      <c r="IG12" s="1" t="str">
        <f t="shared" si="208"/>
        <v>-41088.7444480697-140271.342472532i</v>
      </c>
      <c r="IH12" s="1" t="str">
        <f t="shared" si="209"/>
        <v>-41948.3264779513-5991.13511622288i</v>
      </c>
      <c r="II12" s="1" t="str">
        <f t="shared" si="210"/>
        <v>-3495.78092011323+2224.0347938125i</v>
      </c>
      <c r="IJ12" s="1" t="str">
        <f t="shared" si="211"/>
        <v>-1196.01395833067+56.0726027728363i</v>
      </c>
      <c r="IK12" s="92" t="str">
        <f t="shared" si="212"/>
        <v>-1.73177082011381-293.045170203295i</v>
      </c>
      <c r="IL12" s="1" t="str">
        <f t="shared" si="213"/>
        <v>-13.2306056290266-282.205359248097i</v>
      </c>
      <c r="IM12" s="1" t="str">
        <f t="shared" si="214"/>
        <v>11.4988348089128-10.8398109551983i</v>
      </c>
      <c r="IN12" s="1" t="str">
        <f t="shared" si="215"/>
        <v>-151.526732580939-731.511599934175i</v>
      </c>
      <c r="IO12" s="1" t="str">
        <f t="shared" si="216"/>
        <v>1018.90394516966-8305.31863818435i</v>
      </c>
      <c r="IP12" s="1" t="str">
        <f t="shared" si="217"/>
        <v>33115.7845183558-11371.5985184398i</v>
      </c>
      <c r="IQ12" s="1" t="str">
        <f t="shared" si="218"/>
        <v>-13.2306056290266-282.205359248097i</v>
      </c>
      <c r="IR12" s="1" t="str">
        <f t="shared" si="219"/>
        <v>-524.553353350408-824.503109989728i</v>
      </c>
      <c r="IS12" s="1" t="str">
        <f t="shared" si="220"/>
        <v>1414.17417612156-9901.66953103787i</v>
      </c>
      <c r="IT12" s="1" t="str">
        <f t="shared" si="221"/>
        <v>33107.03713488-9697.82255084797i</v>
      </c>
      <c r="IU12" s="1" t="str">
        <f t="shared" si="222"/>
        <v>11.4988348089128-10.8398109551983i</v>
      </c>
      <c r="IV12" s="1" t="str">
        <f t="shared" si="223"/>
        <v>384.525455578381+82.1516991003538i</v>
      </c>
      <c r="IW12" s="1" t="str">
        <f t="shared" si="224"/>
        <v>-10.7447753735199+1678.50259195386i</v>
      </c>
      <c r="IX12" s="92" t="str">
        <f t="shared" si="225"/>
        <v>33981.4299601244-20701.4739267616i</v>
      </c>
      <c r="IY12" s="1" t="str">
        <f t="shared" si="226"/>
        <v>0.154520957392862+0.0941341071979677i</v>
      </c>
      <c r="JD12" s="1">
        <f t="shared" si="124"/>
        <v>13</v>
      </c>
      <c r="JE12" s="1">
        <f t="shared" si="227"/>
        <v>0.18093633248069652</v>
      </c>
      <c r="JJ12" s="1">
        <f t="shared" si="126"/>
        <v>13</v>
      </c>
      <c r="JK12" s="1" t="str">
        <f t="shared" si="127"/>
        <v>0.0000268496546225379-0.0349045510092993i</v>
      </c>
      <c r="JL12" s="1" t="str">
        <f t="shared" si="128"/>
        <v>0.0000526034049747684-0.0683844264671988i</v>
      </c>
      <c r="JM12" s="1" t="str">
        <f t="shared" si="129"/>
        <v>0.000130001644065247-0.169002137284822i</v>
      </c>
      <c r="JN12" s="1" t="str">
        <f t="shared" si="130"/>
        <v>0.000181554807447637-0.236021249681929i</v>
      </c>
      <c r="JO12" s="1" t="str">
        <f t="shared" si="131"/>
        <v>0.235954904441068i</v>
      </c>
      <c r="JP12" s="1" t="str">
        <f t="shared" si="132"/>
        <v>0.235856630844882i</v>
      </c>
      <c r="JQ12" s="1" t="str">
        <f t="shared" si="133"/>
        <v>0.236044447118584i</v>
      </c>
      <c r="JR12" s="1" t="str">
        <f t="shared" si="134"/>
        <v>0.236021389339473i</v>
      </c>
      <c r="JS12" s="1" t="str">
        <f t="shared" si="9"/>
        <v>0.005</v>
      </c>
      <c r="JT12" s="1" t="str">
        <f t="shared" si="10"/>
        <v>0.01</v>
      </c>
      <c r="JU12" s="1" t="str">
        <f t="shared" si="11"/>
        <v>0.0125</v>
      </c>
      <c r="JV12" s="1" t="str">
        <f t="shared" si="135"/>
        <v>0.00502684965462254+0.201050353431769i</v>
      </c>
      <c r="JW12" s="1" t="str">
        <f t="shared" si="136"/>
        <v>-0.005</v>
      </c>
      <c r="JX12" s="1" t="str">
        <f t="shared" si="137"/>
        <v>0.000388646242862032-0.505240115720642i</v>
      </c>
      <c r="JY12" s="1" t="str">
        <f t="shared" si="138"/>
        <v>-0.005</v>
      </c>
      <c r="JZ12" s="1" t="str">
        <f t="shared" si="139"/>
        <v>0.0150526034049748+0.167472204377683i</v>
      </c>
      <c r="KA12" s="1" t="str">
        <f t="shared" si="140"/>
        <v>-0.01</v>
      </c>
      <c r="KB12" s="1" t="str">
        <f t="shared" si="141"/>
        <v>0.000761429373770516-0.989858185901669i</v>
      </c>
      <c r="KC12" s="1" t="str">
        <f t="shared" si="142"/>
        <v>-0.01</v>
      </c>
      <c r="KD12" s="1" t="str">
        <f t="shared" si="143"/>
        <v>0.0226300016440652+0.067042309833762i</v>
      </c>
      <c r="KE12" s="1" t="str">
        <f t="shared" si="144"/>
        <v>-0.0125</v>
      </c>
      <c r="KF12" s="1" t="str">
        <f t="shared" si="145"/>
        <v>0.00188176165549014-2.4462901521372i</v>
      </c>
      <c r="KG12" s="1" t="str">
        <f t="shared" si="146"/>
        <v>-0.0125</v>
      </c>
      <c r="KH12" s="1" t="str">
        <f t="shared" si="147"/>
        <v>0.0126815548074476+1.39657544001581E-07i</v>
      </c>
      <c r="KI12" s="1" t="str">
        <f t="shared" si="148"/>
        <v>0.00262798888030517-3.41638554439673i</v>
      </c>
      <c r="KK12" s="1" t="str">
        <f t="shared" si="149"/>
        <v>0.00502684965462254+0.201050353431769i</v>
      </c>
      <c r="KL12" s="1" t="str">
        <f t="shared" si="150"/>
        <v>0.000388646242862032-0.505240115720642i</v>
      </c>
      <c r="KM12" s="1" t="str">
        <f t="shared" si="151"/>
        <v>-0.00062141939790428+0.0248538544340837i</v>
      </c>
      <c r="KN12" s="1" t="str">
        <f t="shared" si="152"/>
        <v>0.0150494963079853+0.167596473649853i</v>
      </c>
      <c r="KO12" s="1" t="str">
        <f t="shared" si="153"/>
        <v>-0.0117954934042957-0.990181811267324i</v>
      </c>
      <c r="KP12" s="1" t="str">
        <f t="shared" si="154"/>
        <v>-0.00531501380570439+0.0591898594482323i</v>
      </c>
      <c r="KQ12" s="1" t="str">
        <f t="shared" si="155"/>
        <v>0.0225768515060082+0.0676342084282443i</v>
      </c>
      <c r="KR12" s="1" t="str">
        <f t="shared" si="156"/>
        <v>-0.0567896537919078-2.45085480853752i</v>
      </c>
      <c r="KS12" s="1" t="str">
        <f t="shared" si="157"/>
        <v>-0.0555084721159975+0.166288535477485i</v>
      </c>
      <c r="KT12" s="1" t="str">
        <f t="shared" si="158"/>
        <v>0.0119876989059976+0.00207874635101256i</v>
      </c>
      <c r="KU12" s="1" t="str">
        <f t="shared" si="159"/>
        <v>-0.404057564157201-3.55248828848409i</v>
      </c>
      <c r="KV12" s="1" t="str">
        <f t="shared" si="160"/>
        <v>-82.6100366111124-282.019343564784i</v>
      </c>
      <c r="KW12" s="1" t="str">
        <f t="shared" si="161"/>
        <v>-84.3382496269305-12.045339859893i</v>
      </c>
      <c r="KX12" s="1" t="str">
        <f t="shared" si="162"/>
        <v>-7.0283624791691+4.47148235384618i</v>
      </c>
      <c r="KY12" s="1" t="str">
        <f t="shared" si="163"/>
        <v>-2.40461854486623+0.11273549070838i</v>
      </c>
      <c r="KZ12" s="92" t="str">
        <f t="shared" si="164"/>
        <v>-0.0034817722656984-0.589175273286822i</v>
      </c>
      <c r="LA12" s="1" t="str">
        <f t="shared" si="165"/>
        <v>-0.0266004919372127-0.567381538971131i</v>
      </c>
      <c r="LB12" s="1" t="str">
        <f t="shared" si="166"/>
        <v>0.0231187196715144-0.021793734315689i</v>
      </c>
      <c r="LC12" s="1" t="str">
        <f t="shared" si="167"/>
        <v>-0.304648611054399-1.47072393824033i</v>
      </c>
      <c r="LD12" s="1" t="str">
        <f t="shared" si="168"/>
        <v>2.04853405340855-16.6980686799642i</v>
      </c>
      <c r="LE12" s="1" t="str">
        <f t="shared" si="169"/>
        <v>66.5801841408081-22.862907654004i</v>
      </c>
      <c r="LF12" s="1" t="str">
        <f t="shared" si="170"/>
        <v>-0.0266004919372127-0.567381538971131i</v>
      </c>
      <c r="LG12" s="1" t="str">
        <f t="shared" si="171"/>
        <v>-1.0546287628605-1.65768589469341i</v>
      </c>
      <c r="LH12" s="1" t="str">
        <f t="shared" si="172"/>
        <v>2.84323558758389-19.9075755041379i</v>
      </c>
      <c r="LI12" s="1" t="str">
        <f t="shared" si="173"/>
        <v>66.5625972887665-19.4977356143395i</v>
      </c>
      <c r="LJ12" s="1" t="str">
        <f t="shared" si="174"/>
        <v>0.0231187196715144-0.021793734315689i</v>
      </c>
      <c r="LK12" s="1" t="str">
        <f t="shared" si="175"/>
        <v>0.773098871477614+0.165168222137392i</v>
      </c>
      <c r="LL12" s="1" t="str">
        <f t="shared" si="176"/>
        <v>-0.0216026626977262+3.37467504631114i</v>
      </c>
      <c r="LM12" s="92" t="str">
        <f t="shared" si="177"/>
        <v>68.3205878108966-41.6208755454954i</v>
      </c>
      <c r="LN12" s="1" t="str">
        <f t="shared" si="178"/>
        <v>0.154520957392862+0.0941341071979676i</v>
      </c>
      <c r="LS12" s="1">
        <f t="shared" si="179"/>
        <v>13</v>
      </c>
      <c r="LT12" s="1">
        <f t="shared" si="180"/>
        <v>0.18093633248069646</v>
      </c>
      <c r="LU12" s="1">
        <f t="shared" si="181"/>
        <v>80.000000000000313</v>
      </c>
    </row>
    <row r="13" spans="2:333" ht="18" customHeight="1" x14ac:dyDescent="0.25">
      <c r="B13" s="28"/>
      <c r="C13" s="24"/>
      <c r="D13" s="24"/>
      <c r="E13" s="24"/>
      <c r="F13" s="24"/>
      <c r="G13" s="9" t="s">
        <v>22</v>
      </c>
      <c r="H13" s="234" t="s">
        <v>23</v>
      </c>
      <c r="I13" s="234"/>
      <c r="J13" s="234"/>
      <c r="K13" s="234"/>
      <c r="L13" s="234"/>
      <c r="M13" s="234"/>
      <c r="N13" s="234"/>
      <c r="O13" s="234"/>
      <c r="P13" s="234"/>
      <c r="Q13" s="234"/>
      <c r="R13" s="234"/>
      <c r="S13" s="234"/>
      <c r="T13" s="234"/>
      <c r="U13" s="234"/>
      <c r="V13" s="234"/>
      <c r="W13" s="234"/>
      <c r="X13" s="24"/>
      <c r="Y13" s="24"/>
      <c r="Z13" s="24"/>
      <c r="AA13" s="24"/>
      <c r="AB13" s="24"/>
      <c r="AC13" s="9" t="s">
        <v>443</v>
      </c>
      <c r="AD13" s="24"/>
      <c r="AE13" s="269"/>
      <c r="AF13" s="270"/>
      <c r="AG13" s="270"/>
      <c r="AH13" s="270"/>
      <c r="AI13" s="270"/>
      <c r="AJ13" s="270"/>
      <c r="AK13" s="270"/>
      <c r="AL13" s="270"/>
      <c r="AM13" s="270"/>
      <c r="AN13" s="271"/>
      <c r="AO13" s="24"/>
      <c r="AP13" s="8"/>
      <c r="AR13" s="6"/>
      <c r="AS13" s="172" t="s">
        <v>20</v>
      </c>
      <c r="AT13" s="172"/>
      <c r="AU13" s="172"/>
      <c r="AV13" s="172"/>
      <c r="AW13" s="172"/>
      <c r="AX13" s="172"/>
      <c r="AY13" s="172"/>
      <c r="AZ13" s="201"/>
      <c r="BA13" s="201"/>
      <c r="BB13" s="201"/>
      <c r="BC13" s="201"/>
      <c r="BD13" s="201"/>
      <c r="BF13" s="201"/>
      <c r="BG13" s="201"/>
      <c r="BH13" s="201"/>
      <c r="BI13" s="201"/>
      <c r="BJ13" s="201"/>
      <c r="BK13" s="82"/>
      <c r="BL13" s="172" t="s">
        <v>21</v>
      </c>
      <c r="BM13" s="172"/>
      <c r="BN13" s="172"/>
      <c r="BO13" s="172"/>
      <c r="BQ13" s="208" t="s">
        <v>389</v>
      </c>
      <c r="BR13" s="208"/>
      <c r="BS13" s="208"/>
      <c r="BT13" s="208"/>
      <c r="BU13" s="208"/>
      <c r="BV13" s="208"/>
      <c r="BW13" s="208"/>
      <c r="BX13" s="208"/>
      <c r="BY13" s="208"/>
      <c r="BZ13" s="208"/>
      <c r="CA13" s="185">
        <f>1.8*CA12</f>
        <v>81.671682024899766</v>
      </c>
      <c r="CB13" s="185"/>
      <c r="CC13" s="185"/>
      <c r="CD13" s="33" t="s">
        <v>39</v>
      </c>
      <c r="CE13" s="38"/>
      <c r="CF13" s="8"/>
      <c r="EA13" s="1">
        <f t="shared" si="182"/>
        <v>2.6</v>
      </c>
      <c r="EB13" s="1" t="str">
        <f t="shared" si="12"/>
        <v>0.000671231833282698-0.174520276653502i</v>
      </c>
      <c r="EC13" s="1" t="str">
        <f t="shared" si="13"/>
        <v>0.00131506644888039-0.341917276708901i</v>
      </c>
      <c r="ED13" s="1" t="str">
        <f t="shared" si="14"/>
        <v>0.0032499949478841-0.844998686449866i</v>
      </c>
      <c r="EE13" s="1" t="str">
        <f t="shared" si="15"/>
        <v>0.00453880572981635-1.18008948975225i</v>
      </c>
      <c r="EF13" s="1" t="str">
        <f t="shared" si="16"/>
        <v>0.0471909808882134i</v>
      </c>
      <c r="EG13" s="1" t="str">
        <f t="shared" si="17"/>
        <v>0.0471713261689765i</v>
      </c>
      <c r="EH13" s="1" t="str">
        <f t="shared" si="18"/>
        <v>0.0472088894237166i</v>
      </c>
      <c r="EI13" s="1" t="str">
        <f t="shared" si="19"/>
        <v>0.0472042778678947i</v>
      </c>
      <c r="EJ13" s="1" t="str">
        <f t="shared" si="1"/>
        <v>0.005</v>
      </c>
      <c r="EK13" s="1" t="str">
        <f t="shared" si="2"/>
        <v>0.01</v>
      </c>
      <c r="EL13" s="1" t="str">
        <f t="shared" si="3"/>
        <v>0.0125</v>
      </c>
      <c r="EM13" s="1" t="str">
        <f t="shared" si="20"/>
        <v>0.0056712318332827-0.127329295765289i</v>
      </c>
      <c r="EN13" s="1" t="str">
        <f t="shared" si="21"/>
        <v>-0.005</v>
      </c>
      <c r="EO13" s="1" t="str">
        <f t="shared" si="22"/>
        <v>4.83257241904111-1256.46882895069i</v>
      </c>
      <c r="EP13" s="1" t="str">
        <f t="shared" si="23"/>
        <v>-0.005</v>
      </c>
      <c r="EQ13" s="1" t="str">
        <f t="shared" si="24"/>
        <v>0.0163150664488804-0.294745950539924i</v>
      </c>
      <c r="ER13" s="1" t="str">
        <f t="shared" si="25"/>
        <v>-0.01</v>
      </c>
      <c r="ES13" s="1" t="str">
        <f t="shared" si="26"/>
        <v>9.46789698424383-2461.65321590339i</v>
      </c>
      <c r="ET13" s="1" t="str">
        <f t="shared" si="27"/>
        <v>-0.01</v>
      </c>
      <c r="EU13" s="1" t="str">
        <f t="shared" si="28"/>
        <v>0.0257499949478841-0.797789797026149i</v>
      </c>
      <c r="EV13" s="1" t="str">
        <f t="shared" si="29"/>
        <v>-0.0125</v>
      </c>
      <c r="EW13" s="1" t="str">
        <f t="shared" si="30"/>
        <v>23.3985266615818-6083.61693201128i</v>
      </c>
      <c r="EX13" s="1" t="str">
        <f t="shared" si="31"/>
        <v>-0.0125</v>
      </c>
      <c r="EY13" s="1" t="str">
        <f t="shared" si="32"/>
        <v>0.0170388057298164-1.13288521188436i</v>
      </c>
      <c r="EZ13" s="1" t="str">
        <f t="shared" si="33"/>
        <v>32.6773944525638-8496.12255766658i</v>
      </c>
      <c r="FB13" s="1" t="str">
        <f t="shared" si="34"/>
        <v>0.0056712318332827-0.127329295765289i</v>
      </c>
      <c r="FC13" s="1" t="str">
        <f t="shared" si="35"/>
        <v>4.83257241904111-1256.46882895069i</v>
      </c>
      <c r="FD13" s="1" t="str">
        <f t="shared" si="36"/>
        <v>-0.00174554090627261-0.0391905146639976i</v>
      </c>
      <c r="FE13" s="1" t="str">
        <f t="shared" si="37"/>
        <v>0.016306338744349-0.294941903113244i</v>
      </c>
      <c r="FF13" s="1" t="str">
        <f t="shared" si="38"/>
        <v>58.7179925029317-2463.65704264153i</v>
      </c>
      <c r="FG13" s="1" t="str">
        <f t="shared" si="39"/>
        <v>-0.00186877949240755-0.0338016637965833i</v>
      </c>
      <c r="FH13" s="1" t="str">
        <f t="shared" si="40"/>
        <v>0.02573130715296-0.798127813664115i</v>
      </c>
      <c r="FI13" s="1" t="str">
        <f t="shared" si="41"/>
        <v>106.78396470726-6086.2361979275i</v>
      </c>
      <c r="FJ13" s="1" t="str">
        <f t="shared" si="42"/>
        <v>-0.000504400842731486-0.0156453902410204i</v>
      </c>
      <c r="FK13" s="1" t="str">
        <f t="shared" si="43"/>
        <v>0.0170325007192823-1.13308077926237i</v>
      </c>
      <c r="FL13" s="1" t="str">
        <f t="shared" si="44"/>
        <v>127.869757667326-8498.82506009326i</v>
      </c>
      <c r="FM13" s="1" t="str">
        <f t="shared" si="45"/>
        <v>7500.63627130719+0.101638809270324i</v>
      </c>
      <c r="FN13" s="1" t="str">
        <f t="shared" si="46"/>
        <v>7625.8139240685+5.41236334972814i</v>
      </c>
      <c r="FO13" s="1" t="str">
        <f t="shared" si="47"/>
        <v>8352.61182235576-4.15127867165099i</v>
      </c>
      <c r="FP13" s="1" t="str">
        <f t="shared" si="48"/>
        <v>9864.76162009539-73.4294377473444i</v>
      </c>
      <c r="FQ13" s="92" t="str">
        <f t="shared" si="49"/>
        <v>11.0259561820653+465.181386285319i</v>
      </c>
      <c r="FR13" s="1" t="str">
        <f t="shared" si="50"/>
        <v>3.46520719336718+465.527777080703i</v>
      </c>
      <c r="FS13" s="1" t="str">
        <f t="shared" si="51"/>
        <v>7.56074898869815-0.346390795378467i</v>
      </c>
      <c r="FT13" s="1" t="str">
        <f t="shared" si="52"/>
        <v>-0.0969486855872763+394.254531010362i</v>
      </c>
      <c r="FU13" s="1" t="str">
        <f t="shared" si="53"/>
        <v>-5.95876998625468+360.168226784159i</v>
      </c>
      <c r="FV13" s="1" t="str">
        <f t="shared" si="54"/>
        <v>-1.48647932348445+355.299011238729i</v>
      </c>
      <c r="FW13" s="1" t="str">
        <f t="shared" si="55"/>
        <v>3.46520719336718+465.527777080703i</v>
      </c>
      <c r="FX13" s="1" t="str">
        <f t="shared" si="56"/>
        <v>0.195821320238764+394.003776635193i</v>
      </c>
      <c r="FY13" s="1" t="str">
        <f t="shared" si="57"/>
        <v>-0.255511662898292+360.006206307188i</v>
      </c>
      <c r="FZ13" s="1" t="str">
        <f t="shared" si="58"/>
        <v>-0.00479778659495833+354.062118736794i</v>
      </c>
      <c r="GA13" s="1" t="str">
        <f t="shared" si="59"/>
        <v>7.56074898869815-0.346390795378467i</v>
      </c>
      <c r="GB13" s="1" t="str">
        <f t="shared" si="60"/>
        <v>7.26797898287261-0.0956364202137913i</v>
      </c>
      <c r="GC13" s="1" t="str">
        <f t="shared" si="61"/>
        <v>1.56472065951636+0.0663840567557228i</v>
      </c>
      <c r="GD13" s="92" t="str">
        <f t="shared" si="62"/>
        <v>3.48375818673889+1574.90315531857i</v>
      </c>
      <c r="GE13" s="1" t="str">
        <f t="shared" si="63"/>
        <v>0.0101121615021365-4.57140656817905i</v>
      </c>
      <c r="GF13" s="1">
        <f t="shared" si="64"/>
        <v>2.6</v>
      </c>
      <c r="GG13" s="56">
        <f t="shared" si="65"/>
        <v>1.3750240011004429</v>
      </c>
      <c r="GH13" s="1">
        <f t="shared" si="66"/>
        <v>0.37510384438591249</v>
      </c>
      <c r="GJ13" s="1">
        <f t="shared" si="67"/>
        <v>1574.9070084304951</v>
      </c>
      <c r="GK13" s="1">
        <f t="shared" si="68"/>
        <v>4.5714177524484461</v>
      </c>
      <c r="GM13" s="1" t="str">
        <f t="shared" si="69"/>
        <v>0.0191834803010191+1.24692621956625i</v>
      </c>
      <c r="GP13" s="1">
        <f t="shared" si="4"/>
        <v>2.6</v>
      </c>
      <c r="GQ13" s="1">
        <f t="shared" si="5"/>
        <v>4.5714177524484461</v>
      </c>
      <c r="GR13" s="1">
        <f t="shared" si="70"/>
        <v>1.2470737760686974</v>
      </c>
      <c r="GS13" s="1">
        <f t="shared" si="71"/>
        <v>1.714756373237416</v>
      </c>
      <c r="GU13" s="15">
        <f>Z20</f>
        <v>17</v>
      </c>
      <c r="GV13" s="1" t="str">
        <f t="shared" si="72"/>
        <v>0.0000157010129621906-0.026691722035724i</v>
      </c>
      <c r="GW13" s="1" t="str">
        <f t="shared" si="73"/>
        <v>0.000030761168252455-0.0522939860291735i</v>
      </c>
      <c r="GX13" s="1" t="str">
        <f t="shared" si="74"/>
        <v>0.000076021741332239-0.129236960264806i</v>
      </c>
      <c r="GY13" s="1" t="str">
        <f t="shared" si="75"/>
        <v>0.000106168754315765-0.1804868823368i</v>
      </c>
      <c r="GZ13" s="1" t="str">
        <f t="shared" si="76"/>
        <v>0.308556413499857i</v>
      </c>
      <c r="HA13" s="1" t="str">
        <f t="shared" si="77"/>
        <v>0.308427901874076i</v>
      </c>
      <c r="HB13" s="1" t="str">
        <f t="shared" si="78"/>
        <v>0.308673507770455i</v>
      </c>
      <c r="HC13" s="1" t="str">
        <f t="shared" si="79"/>
        <v>0.30864335529008i</v>
      </c>
      <c r="HD13" s="1" t="str">
        <f t="shared" si="6"/>
        <v>0.005</v>
      </c>
      <c r="HE13" s="1" t="str">
        <f t="shared" si="7"/>
        <v>0.01</v>
      </c>
      <c r="HF13" s="1" t="str">
        <f t="shared" si="8"/>
        <v>0.0125</v>
      </c>
      <c r="HG13" s="1" t="str">
        <f t="shared" si="183"/>
        <v>0.00501570101296219+0.281864691464133i</v>
      </c>
      <c r="HH13" s="1" t="str">
        <f t="shared" si="184"/>
        <v>-0.005</v>
      </c>
      <c r="HI13" s="1" t="str">
        <f t="shared" si="185"/>
        <v>0.113040351231574-192.168597093675i</v>
      </c>
      <c r="HJ13" s="1" t="str">
        <f t="shared" si="186"/>
        <v>-0.005</v>
      </c>
      <c r="HK13" s="1" t="str">
        <f t="shared" si="187"/>
        <v>0.0150307611682525+0.256133915844902i</v>
      </c>
      <c r="HL13" s="1" t="str">
        <f t="shared" si="188"/>
        <v>-0.01</v>
      </c>
      <c r="HM13" s="1" t="str">
        <f t="shared" si="189"/>
        <v>0.221466810576144-376.493577979445i</v>
      </c>
      <c r="HN13" s="1" t="str">
        <f t="shared" si="190"/>
        <v>-0.01</v>
      </c>
      <c r="HO13" s="1" t="str">
        <f t="shared" si="191"/>
        <v>0.0225760217413322+0.179436547505649i</v>
      </c>
      <c r="HP13" s="1" t="str">
        <f t="shared" si="192"/>
        <v>-0.0125</v>
      </c>
      <c r="HQ13" s="1" t="str">
        <f t="shared" si="193"/>
        <v>0.547322925095731-930.44897266274i</v>
      </c>
      <c r="HR13" s="1" t="str">
        <f t="shared" si="194"/>
        <v>-0.0125</v>
      </c>
      <c r="HS13" s="1" t="str">
        <f t="shared" si="195"/>
        <v>0.0126061687543158+0.12815647295328i</v>
      </c>
      <c r="HT13" s="1" t="str">
        <f t="shared" si="196"/>
        <v>0.764368089280165-1299.42575177628i</v>
      </c>
      <c r="HV13" s="1" t="str">
        <f t="shared" si="197"/>
        <v>0.00501570101296219+0.281864691464133i</v>
      </c>
      <c r="HW13" s="1" t="str">
        <f t="shared" si="198"/>
        <v>0.113040351231574-192.168597093675i</v>
      </c>
      <c r="HX13" s="1" t="str">
        <f t="shared" si="199"/>
        <v>-0.000315560614975131+0.0177333926301296i</v>
      </c>
      <c r="HY13" s="1" t="str">
        <f t="shared" si="200"/>
        <v>0.0150291833651776+0.256222582808053i</v>
      </c>
      <c r="HZ13" s="1" t="str">
        <f t="shared" si="201"/>
        <v>-3.18629870178443-376.556223409054i</v>
      </c>
      <c r="IA13" s="1" t="str">
        <f t="shared" si="202"/>
        <v>-0.0022814391964216+0.0388947442600959i</v>
      </c>
      <c r="IB13" s="1" t="str">
        <f t="shared" si="203"/>
        <v>0.022553207349368+0.17982549494825i</v>
      </c>
      <c r="IC13" s="1" t="str">
        <f t="shared" si="204"/>
        <v>-14.1060044306968-931.18413251734i</v>
      </c>
      <c r="ID13" s="1" t="str">
        <f t="shared" si="205"/>
        <v>-0.0085829729517636+0.0684353819511877i</v>
      </c>
      <c r="IE13" s="1" t="str">
        <f t="shared" si="206"/>
        <v>0.0124988815924188+0.12901191522767i</v>
      </c>
      <c r="IF13" s="1" t="str">
        <f t="shared" si="207"/>
        <v>-62.9065650831226-1307.44922639507i</v>
      </c>
      <c r="IG13" s="1" t="str">
        <f t="shared" si="208"/>
        <v>-10086.8929525828-489.631639489565i</v>
      </c>
      <c r="IH13" s="1" t="str">
        <f t="shared" si="209"/>
        <v>-5227.84471605886+123.939603073649i</v>
      </c>
      <c r="II13" s="1" t="str">
        <f t="shared" si="210"/>
        <v>-1472.43914626202+130.102458471072i</v>
      </c>
      <c r="IJ13" s="1" t="str">
        <f t="shared" si="211"/>
        <v>-679.710588296412+13.6233107945971i</v>
      </c>
      <c r="IK13" s="92" t="str">
        <f t="shared" si="212"/>
        <v>-0.23991712894671-210.311457081001i</v>
      </c>
      <c r="IL13" s="1" t="str">
        <f t="shared" si="213"/>
        <v>-4.20355991877477-209.729061342619i</v>
      </c>
      <c r="IM13" s="1" t="str">
        <f t="shared" si="214"/>
        <v>3.96364278982804-0.582395738382375i</v>
      </c>
      <c r="IN13" s="1" t="str">
        <f t="shared" si="215"/>
        <v>-6.53681538675155-453.497292226494i</v>
      </c>
      <c r="IO13" s="1" t="str">
        <f t="shared" si="216"/>
        <v>-15.0728247738399-1606.08915460706i</v>
      </c>
      <c r="IP13" s="1" t="str">
        <f t="shared" si="217"/>
        <v>90.2073690538999-3119.92562967174i</v>
      </c>
      <c r="IQ13" s="1" t="str">
        <f t="shared" si="218"/>
        <v>-4.20355991877477-209.729061342619i</v>
      </c>
      <c r="IR13" s="1" t="str">
        <f t="shared" si="219"/>
        <v>-40.1272282948918-454.14131651885i</v>
      </c>
      <c r="IS13" s="1" t="str">
        <f t="shared" si="220"/>
        <v>-38.2568720324211-1613.69716658513i</v>
      </c>
      <c r="IT13" s="1" t="str">
        <f t="shared" si="221"/>
        <v>151.121552068242-3113.25248533702i</v>
      </c>
      <c r="IU13" s="1" t="str">
        <f t="shared" si="222"/>
        <v>3.96364278982804-0.582395738382375i</v>
      </c>
      <c r="IV13" s="1" t="str">
        <f t="shared" si="223"/>
        <v>37.5540556979684+0.06162855397423i</v>
      </c>
      <c r="IW13" s="1" t="str">
        <f t="shared" si="224"/>
        <v>60.7381029565493+7.66964053204018i</v>
      </c>
      <c r="IX13" s="92" t="str">
        <f t="shared" si="225"/>
        <v>68.3578117643617-5389.8235335863i</v>
      </c>
      <c r="IY13" s="1" t="str">
        <f t="shared" si="226"/>
        <v>0.0169385033235832+1.33555392545165i</v>
      </c>
      <c r="JD13" s="1">
        <f t="shared" si="124"/>
        <v>17</v>
      </c>
      <c r="JE13" s="1">
        <f t="shared" si="227"/>
        <v>1.3356613345770532</v>
      </c>
      <c r="JJ13" s="1">
        <f t="shared" si="126"/>
        <v>17</v>
      </c>
      <c r="JK13" s="1" t="str">
        <f t="shared" si="127"/>
        <v>0.0000157010129621906-0.026691722035724i</v>
      </c>
      <c r="JL13" s="1" t="str">
        <f t="shared" si="128"/>
        <v>0.000030761168252455-0.0522939860291735i</v>
      </c>
      <c r="JM13" s="1" t="str">
        <f t="shared" si="129"/>
        <v>0.000076021741332239-0.129236960264806i</v>
      </c>
      <c r="JN13" s="1" t="str">
        <f t="shared" si="130"/>
        <v>0.000106168754315765-0.1804868823368i</v>
      </c>
      <c r="JO13" s="1" t="str">
        <f t="shared" si="131"/>
        <v>0.308556413499857i</v>
      </c>
      <c r="JP13" s="1" t="str">
        <f t="shared" si="132"/>
        <v>0.308427901874076i</v>
      </c>
      <c r="JQ13" s="1" t="str">
        <f t="shared" si="133"/>
        <v>0.308673507770455i</v>
      </c>
      <c r="JR13" s="1" t="str">
        <f t="shared" si="134"/>
        <v>0.30864335529008i</v>
      </c>
      <c r="JS13" s="1" t="str">
        <f t="shared" si="9"/>
        <v>0.005</v>
      </c>
      <c r="JT13" s="1" t="str">
        <f t="shared" si="10"/>
        <v>0.01</v>
      </c>
      <c r="JU13" s="1" t="str">
        <f t="shared" si="11"/>
        <v>0.0125</v>
      </c>
      <c r="JV13" s="1" t="str">
        <f t="shared" si="135"/>
        <v>0.00501570101296219+0.281864691464133i</v>
      </c>
      <c r="JW13" s="1" t="str">
        <f t="shared" si="136"/>
        <v>-0.005</v>
      </c>
      <c r="JX13" s="1" t="str">
        <f t="shared" si="137"/>
        <v>0.00146798651491038-2.49557707534764i</v>
      </c>
      <c r="JY13" s="1" t="str">
        <f t="shared" si="138"/>
        <v>-0.005</v>
      </c>
      <c r="JZ13" s="1" t="str">
        <f t="shared" si="139"/>
        <v>0.0150307611682525+0.256133915844902i</v>
      </c>
      <c r="KA13" s="1" t="str">
        <f t="shared" si="140"/>
        <v>-0.01</v>
      </c>
      <c r="KB13" s="1" t="str">
        <f t="shared" si="141"/>
        <v>0.00287605521288563-4.88929386190558i</v>
      </c>
      <c r="KC13" s="1" t="str">
        <f t="shared" si="142"/>
        <v>-0.01</v>
      </c>
      <c r="KD13" s="1" t="str">
        <f t="shared" si="143"/>
        <v>0.0225760217413322+0.179436547505649i</v>
      </c>
      <c r="KE13" s="1" t="str">
        <f t="shared" si="144"/>
        <v>-0.0125</v>
      </c>
      <c r="KF13" s="1" t="str">
        <f t="shared" si="145"/>
        <v>0.00710775103392829-12.0831767576781i</v>
      </c>
      <c r="KG13" s="1" t="str">
        <f t="shared" si="146"/>
        <v>-0.0125</v>
      </c>
      <c r="KH13" s="1" t="str">
        <f t="shared" si="147"/>
        <v>0.0126061687543158+0.12815647295328i</v>
      </c>
      <c r="KI13" s="1" t="str">
        <f t="shared" si="148"/>
        <v>0.00992638500558446-16.8748545094935i</v>
      </c>
      <c r="KK13" s="1" t="str">
        <f t="shared" si="149"/>
        <v>0.00501570101296219+0.281864691464133i</v>
      </c>
      <c r="KL13" s="1" t="str">
        <f t="shared" si="150"/>
        <v>0.00146798651491038-2.49557707534764i</v>
      </c>
      <c r="KM13" s="1" t="str">
        <f t="shared" si="151"/>
        <v>-0.000315560614975131+0.0177333926301296i</v>
      </c>
      <c r="KN13" s="1" t="str">
        <f t="shared" si="152"/>
        <v>0.0150291833651776+0.256222582808053i</v>
      </c>
      <c r="KO13" s="1" t="str">
        <f t="shared" si="153"/>
        <v>-0.0413785296642772-4.89010740012344i</v>
      </c>
      <c r="KP13" s="1" t="str">
        <f t="shared" si="154"/>
        <v>-0.0022814391964216+0.0388947442600959i</v>
      </c>
      <c r="KQ13" s="1" t="str">
        <f t="shared" si="155"/>
        <v>0.022553207349368+0.17982549494825i</v>
      </c>
      <c r="KR13" s="1" t="str">
        <f t="shared" si="156"/>
        <v>-0.183186128297742-12.0927238330463i</v>
      </c>
      <c r="KS13" s="1" t="str">
        <f t="shared" si="157"/>
        <v>-0.0085829729517636+0.0684353819511877i</v>
      </c>
      <c r="KT13" s="1" t="str">
        <f t="shared" si="158"/>
        <v>0.0124988815924188+0.12901191522767i</v>
      </c>
      <c r="KU13" s="1" t="str">
        <f t="shared" si="159"/>
        <v>-0.816929425954958-16.9790505104328i</v>
      </c>
      <c r="KV13" s="1" t="str">
        <f t="shared" si="160"/>
        <v>-130.99236396923-6.35854928097008i</v>
      </c>
      <c r="KW13" s="1" t="str">
        <f t="shared" si="161"/>
        <v>-67.8908501398597+1.60952849131481i</v>
      </c>
      <c r="KX13" s="1" t="str">
        <f t="shared" si="162"/>
        <v>-19.1216745807054+1.68956175835798i</v>
      </c>
      <c r="KY13" s="1" t="str">
        <f t="shared" si="163"/>
        <v>-8.8269893607888+0.176917678660888i</v>
      </c>
      <c r="KZ13" s="92" t="str">
        <f t="shared" si="164"/>
        <v>-0.00311565831274071-2.73118739956489i</v>
      </c>
      <c r="LA13" s="1" t="str">
        <f t="shared" si="165"/>
        <v>-0.0545890844123238-2.72362417916639i</v>
      </c>
      <c r="LB13" s="1" t="str">
        <f t="shared" si="166"/>
        <v>0.051473426099583-0.00756322039848545i</v>
      </c>
      <c r="LC13" s="1" t="str">
        <f t="shared" si="167"/>
        <v>-0.0848896587250666-5.8892944181769i</v>
      </c>
      <c r="LD13" s="1" t="str">
        <f t="shared" si="168"/>
        <v>-0.195741637995039-20.8573062187056i</v>
      </c>
      <c r="LE13" s="1" t="str">
        <f t="shared" si="169"/>
        <v>1.17146841702027-40.5165828129709i</v>
      </c>
      <c r="LF13" s="1" t="str">
        <f t="shared" si="170"/>
        <v>-0.0545890844123238-2.72362417916639i</v>
      </c>
      <c r="LG13" s="1" t="str">
        <f t="shared" si="171"/>
        <v>-0.521107988217026-5.89765797124582i</v>
      </c>
      <c r="LH13" s="1" t="str">
        <f t="shared" si="172"/>
        <v>-0.496818805270631-20.9561068581888i</v>
      </c>
      <c r="LI13" s="1" t="str">
        <f t="shared" si="173"/>
        <v>1.96252398485593-40.4299227328425i</v>
      </c>
      <c r="LJ13" s="1" t="str">
        <f t="shared" si="174"/>
        <v>0.051473426099583-0.00756322039848545i</v>
      </c>
      <c r="LK13" s="1" t="str">
        <f t="shared" si="175"/>
        <v>0.487691755591543+0.0008003326704317i</v>
      </c>
      <c r="LL13" s="1" t="str">
        <f t="shared" si="176"/>
        <v>0.788768922867129+0.0996009721535611i</v>
      </c>
      <c r="LM13" s="92" t="str">
        <f t="shared" si="177"/>
        <v>0.887721461987424-69.9943708494183i</v>
      </c>
      <c r="LN13" s="1" t="str">
        <f t="shared" si="178"/>
        <v>0.0169385033235832+1.33555392545165i</v>
      </c>
      <c r="LS13" s="1">
        <f t="shared" si="179"/>
        <v>17</v>
      </c>
      <c r="LT13" s="1">
        <f t="shared" si="180"/>
        <v>1.3356613345770532</v>
      </c>
      <c r="LU13" s="1">
        <f t="shared" si="181"/>
        <v>69.999999999999801</v>
      </c>
    </row>
    <row r="14" spans="2:333" ht="18" customHeight="1" x14ac:dyDescent="0.25">
      <c r="B14" s="28"/>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8"/>
      <c r="AR14" s="6"/>
      <c r="AY14" s="29" t="s">
        <v>26</v>
      </c>
      <c r="AZ14" s="209">
        <f>CA15/$P$29</f>
        <v>0.76272495473697932</v>
      </c>
      <c r="BA14" s="209"/>
      <c r="BB14" s="209"/>
      <c r="BC14" s="209"/>
      <c r="BD14" s="209"/>
      <c r="BF14" s="209">
        <f>(DA50/1000)/P29</f>
        <v>0.83714421268552641</v>
      </c>
      <c r="BG14" s="209"/>
      <c r="BH14" s="209"/>
      <c r="BI14" s="209"/>
      <c r="BJ14" s="209"/>
      <c r="BK14" s="82"/>
      <c r="BL14" s="210">
        <f>IF(LEFT(C24,2)="SD",1.1,1.25)</f>
        <v>1.25</v>
      </c>
      <c r="BM14" s="210"/>
      <c r="BN14" s="210"/>
      <c r="BO14" s="210"/>
      <c r="BQ14" s="23"/>
      <c r="BR14" s="23"/>
      <c r="BS14" s="23"/>
      <c r="BT14" s="23"/>
      <c r="BU14" s="23"/>
      <c r="BV14" s="23"/>
      <c r="BW14" s="23"/>
      <c r="BX14" s="23"/>
      <c r="BY14" s="23"/>
      <c r="BZ14" s="32" t="s">
        <v>51</v>
      </c>
      <c r="CA14" s="211">
        <f>AG39*L39/1000</f>
        <v>7.499539434161079</v>
      </c>
      <c r="CB14" s="211"/>
      <c r="CC14" s="211"/>
      <c r="CD14" s="24" t="s">
        <v>32</v>
      </c>
      <c r="CE14" s="24"/>
      <c r="CF14" s="8"/>
      <c r="EA14" s="1">
        <f t="shared" si="182"/>
        <v>2.8</v>
      </c>
      <c r="EB14" s="1" t="str">
        <f t="shared" si="12"/>
        <v>0.000578767402989038-0.162054872836931i</v>
      </c>
      <c r="EC14" s="1" t="str">
        <f t="shared" si="13"/>
        <v>0.00113391164667241-0.317495261068274i</v>
      </c>
      <c r="ED14" s="1" t="str">
        <f t="shared" si="14"/>
        <v>0.0028022972726357-0.784643236337997i</v>
      </c>
      <c r="EE14" s="1" t="str">
        <f t="shared" si="15"/>
        <v>0.00391357005830685-1.09579961632592i</v>
      </c>
      <c r="EF14" s="1" t="str">
        <f t="shared" si="16"/>
        <v>0.050821056341153i</v>
      </c>
      <c r="EG14" s="1" t="str">
        <f t="shared" si="17"/>
        <v>0.0507998897204361i</v>
      </c>
      <c r="EH14" s="1" t="str">
        <f t="shared" si="18"/>
        <v>0.0508403424563104i</v>
      </c>
      <c r="EI14" s="1" t="str">
        <f t="shared" si="19"/>
        <v>0.0508353761654251i</v>
      </c>
      <c r="EJ14" s="1" t="str">
        <f t="shared" si="1"/>
        <v>0.005</v>
      </c>
      <c r="EK14" s="1" t="str">
        <f t="shared" si="2"/>
        <v>0.01</v>
      </c>
      <c r="EL14" s="1" t="str">
        <f t="shared" si="3"/>
        <v>0.0125</v>
      </c>
      <c r="EM14" s="1" t="str">
        <f t="shared" si="20"/>
        <v>0.00557876740298904-0.111233816495778i</v>
      </c>
      <c r="EN14" s="1" t="str">
        <f t="shared" si="21"/>
        <v>-0.005</v>
      </c>
      <c r="EO14" s="1" t="str">
        <f t="shared" si="22"/>
        <v>4.16686940344635-1166.72343296498i</v>
      </c>
      <c r="EP14" s="1" t="str">
        <f t="shared" si="23"/>
        <v>-0.005</v>
      </c>
      <c r="EQ14" s="1" t="str">
        <f t="shared" si="24"/>
        <v>0.0161339116466724-0.266695371347838i</v>
      </c>
      <c r="ER14" s="1" t="str">
        <f t="shared" si="25"/>
        <v>-0.01</v>
      </c>
      <c r="ES14" s="1" t="str">
        <f t="shared" si="26"/>
        <v>8.16366250471129-2285.82550131916i</v>
      </c>
      <c r="ET14" s="1" t="str">
        <f t="shared" si="27"/>
        <v>-0.01</v>
      </c>
      <c r="EU14" s="1" t="str">
        <f t="shared" si="28"/>
        <v>0.0253022972726357-0.733802893881687i</v>
      </c>
      <c r="EV14" s="1" t="str">
        <f t="shared" si="29"/>
        <v>-0.0125</v>
      </c>
      <c r="EW14" s="1" t="str">
        <f t="shared" si="30"/>
        <v>20.1753013462785-5649.084376958i</v>
      </c>
      <c r="EX14" s="1" t="str">
        <f t="shared" si="31"/>
        <v>-0.0125</v>
      </c>
      <c r="EY14" s="1" t="str">
        <f t="shared" si="32"/>
        <v>0.0164135700583069-1.0449642401605i</v>
      </c>
      <c r="EZ14" s="1" t="str">
        <f t="shared" si="33"/>
        <v>28.1759740613993-7889.27273719182i</v>
      </c>
      <c r="FB14" s="1" t="str">
        <f t="shared" si="34"/>
        <v>0.00557876740298904-0.111233816495778i</v>
      </c>
      <c r="FC14" s="1" t="str">
        <f t="shared" si="35"/>
        <v>4.16686940344635-1166.72343296498i</v>
      </c>
      <c r="FD14" s="1" t="str">
        <f t="shared" si="36"/>
        <v>-0.0022487622395387-0.0448375757988156i</v>
      </c>
      <c r="FE14" s="1" t="str">
        <f t="shared" si="37"/>
        <v>0.0161226678354747-0.266919559226832i</v>
      </c>
      <c r="FF14" s="1" t="str">
        <f t="shared" si="38"/>
        <v>60.4860831651045-2288.26235259648i</v>
      </c>
      <c r="FG14" s="1" t="str">
        <f t="shared" si="39"/>
        <v>-0.00225472963784745-0.0373282788711746i</v>
      </c>
      <c r="FH14" s="1" t="str">
        <f t="shared" si="40"/>
        <v>0.0252797499762572-0.734176176670399i</v>
      </c>
      <c r="FI14" s="1" t="str">
        <f t="shared" si="41"/>
        <v>105.7285763388-5651.98594852336i</v>
      </c>
      <c r="FJ14" s="1" t="str">
        <f t="shared" si="42"/>
        <v>-0.000585554885591477-0.0170057238516198i</v>
      </c>
      <c r="FK14" s="1" t="str">
        <f t="shared" si="43"/>
        <v>0.016406250622237-1.04517681170865i</v>
      </c>
      <c r="FL14" s="1" t="str">
        <f t="shared" si="44"/>
        <v>124.254556736718-7892.23749054455i</v>
      </c>
      <c r="FM14" s="1" t="str">
        <f t="shared" si="45"/>
        <v>7551.10828829637+0.353224142691414i</v>
      </c>
      <c r="FN14" s="1" t="str">
        <f t="shared" si="46"/>
        <v>7698.65735257728+7.48770811579353i</v>
      </c>
      <c r="FO14" s="1" t="str">
        <f t="shared" si="47"/>
        <v>8572.40638689994-2.76264518774298i</v>
      </c>
      <c r="FP14" s="1" t="str">
        <f t="shared" si="48"/>
        <v>10483.8853061765-103.010546844467i</v>
      </c>
      <c r="FQ14" s="92" t="str">
        <f t="shared" si="49"/>
        <v>14.7924994012985+532.300886311099i</v>
      </c>
      <c r="FR14" s="1" t="str">
        <f t="shared" si="50"/>
        <v>5.23510480491564+532.802125819382i</v>
      </c>
      <c r="FS14" s="1" t="str">
        <f t="shared" si="51"/>
        <v>9.5573945963828-0.50123950828362i</v>
      </c>
      <c r="FT14" s="1" t="str">
        <f t="shared" si="52"/>
        <v>-0.679562182282041+435.876035068536i</v>
      </c>
      <c r="FU14" s="1" t="str">
        <f t="shared" si="53"/>
        <v>-7.27380468453608+391.594060841527i</v>
      </c>
      <c r="FV14" s="1" t="str">
        <f t="shared" si="54"/>
        <v>-1.76288012274835+385.227445591385i</v>
      </c>
      <c r="FW14" s="1" t="str">
        <f t="shared" si="55"/>
        <v>5.23510480491564+532.802125819382i</v>
      </c>
      <c r="FX14" s="1" t="str">
        <f t="shared" si="56"/>
        <v>0.140342070874037+435.477299093279i</v>
      </c>
      <c r="FY14" s="1" t="str">
        <f t="shared" si="57"/>
        <v>-0.380677644819838+391.402376258821i</v>
      </c>
      <c r="FZ14" s="1" t="str">
        <f t="shared" si="58"/>
        <v>-0.0179562821644278+383.863430301405i</v>
      </c>
      <c r="GA14" s="1" t="str">
        <f t="shared" si="59"/>
        <v>9.5573945963828-0.50123950828362i</v>
      </c>
      <c r="GB14" s="1" t="str">
        <f t="shared" si="60"/>
        <v>8.7374903432266-0.102503533035365i</v>
      </c>
      <c r="GC14" s="1" t="str">
        <f t="shared" si="61"/>
        <v>1.84436330351137+0.0891810496637765i</v>
      </c>
      <c r="GD14" s="92" t="str">
        <f t="shared" si="62"/>
        <v>5.07625241173203+1744.99842781255i</v>
      </c>
      <c r="GE14" s="1" t="str">
        <f t="shared" si="63"/>
        <v>0.0120020458011295-4.1257899242956i</v>
      </c>
      <c r="GF14" s="1">
        <f t="shared" si="64"/>
        <v>2.8</v>
      </c>
      <c r="GG14" s="56">
        <f t="shared" si="65"/>
        <v>1.482439081159119</v>
      </c>
      <c r="GH14" s="1">
        <f t="shared" si="66"/>
        <v>0.48254482101470647</v>
      </c>
      <c r="GJ14" s="1">
        <f t="shared" si="67"/>
        <v>1745.0058112816757</v>
      </c>
      <c r="GK14" s="1">
        <f t="shared" si="68"/>
        <v>4.125807381413062</v>
      </c>
      <c r="GM14" s="1" t="str">
        <f t="shared" si="69"/>
        <v>0.0191834803010191+1.34284362107134i</v>
      </c>
      <c r="GP14" s="1">
        <f t="shared" si="4"/>
        <v>2.8</v>
      </c>
      <c r="GQ14" s="1">
        <f t="shared" si="5"/>
        <v>4.125807381413062</v>
      </c>
      <c r="GR14" s="1">
        <f t="shared" si="70"/>
        <v>1.3429806389402819</v>
      </c>
      <c r="GS14" s="1">
        <f t="shared" si="71"/>
        <v>1.9908869844051162</v>
      </c>
      <c r="GU14" s="15">
        <f>AB20</f>
        <v>19</v>
      </c>
      <c r="GV14" s="1" t="str">
        <f t="shared" si="72"/>
        <v>0.0000125695098593445-0.0238820687327547i</v>
      </c>
      <c r="GW14" s="1" t="str">
        <f t="shared" si="73"/>
        <v>0.0000246259784999403-0.0467893591498867i</v>
      </c>
      <c r="GX14" s="1" t="str">
        <f t="shared" si="74"/>
        <v>0.0000608595145740713-0.115633077690736i</v>
      </c>
      <c r="GY14" s="1" t="str">
        <f t="shared" si="75"/>
        <v>0.0000849938285727108-0.161488274288151i</v>
      </c>
      <c r="GZ14" s="1" t="str">
        <f t="shared" si="76"/>
        <v>0.344857168029253i</v>
      </c>
      <c r="HA14" s="1" t="str">
        <f t="shared" si="77"/>
        <v>0.344713537388674i</v>
      </c>
      <c r="HB14" s="1" t="str">
        <f t="shared" si="78"/>
        <v>0.344988038096392i</v>
      </c>
      <c r="HC14" s="1" t="str">
        <f t="shared" si="79"/>
        <v>0.344954338265383i</v>
      </c>
      <c r="HD14" s="1" t="str">
        <f t="shared" si="6"/>
        <v>0.005</v>
      </c>
      <c r="HE14" s="1" t="str">
        <f t="shared" si="7"/>
        <v>0.01</v>
      </c>
      <c r="HF14" s="1" t="str">
        <f t="shared" si="8"/>
        <v>0.0125</v>
      </c>
      <c r="HG14" s="1" t="str">
        <f t="shared" si="183"/>
        <v>0.00501256950985934+0.320975099296498i</v>
      </c>
      <c r="HH14" s="1" t="str">
        <f t="shared" si="184"/>
        <v>-0.005</v>
      </c>
      <c r="HI14" s="1" t="str">
        <f t="shared" si="185"/>
        <v>0.0904949134639013-171.940335581414i</v>
      </c>
      <c r="HJ14" s="1" t="str">
        <f t="shared" si="186"/>
        <v>-0.005</v>
      </c>
      <c r="HK14" s="1" t="str">
        <f t="shared" si="187"/>
        <v>0.0150246259784999+0.297924178238787i</v>
      </c>
      <c r="HL14" s="1" t="str">
        <f t="shared" si="188"/>
        <v>-0.01</v>
      </c>
      <c r="HM14" s="1" t="str">
        <f t="shared" si="189"/>
        <v>0.177296156990501-336.862698281953i</v>
      </c>
      <c r="HN14" s="1" t="str">
        <f t="shared" si="190"/>
        <v>-0.01</v>
      </c>
      <c r="HO14" s="1" t="str">
        <f t="shared" si="191"/>
        <v>0.0225608595145741+0.229354960405656i</v>
      </c>
      <c r="HP14" s="1" t="str">
        <f t="shared" si="192"/>
        <v>-0.0125</v>
      </c>
      <c r="HQ14" s="1" t="str">
        <f t="shared" si="193"/>
        <v>0.438161596312463-832.507032993683i</v>
      </c>
      <c r="HR14" s="1" t="str">
        <f t="shared" si="194"/>
        <v>-0.0125</v>
      </c>
      <c r="HS14" s="1" t="str">
        <f t="shared" si="195"/>
        <v>0.0125849938285727+0.183466063977232i</v>
      </c>
      <c r="HT14" s="1" t="str">
        <f t="shared" si="196"/>
        <v>0.611917986279716-1162.64417393146i</v>
      </c>
      <c r="HV14" s="1" t="str">
        <f t="shared" si="197"/>
        <v>0.00501256950985934+0.320975099296498i</v>
      </c>
      <c r="HW14" s="1" t="str">
        <f t="shared" si="198"/>
        <v>0.0904949134639013-171.940335581414i</v>
      </c>
      <c r="HX14" s="1" t="str">
        <f t="shared" si="199"/>
        <v>-0.000243210222668582+0.0155737342329966i</v>
      </c>
      <c r="HY14" s="1" t="str">
        <f t="shared" si="200"/>
        <v>0.0150234099273866+0.298002046909952i</v>
      </c>
      <c r="HZ14" s="1" t="str">
        <f t="shared" si="201"/>
        <v>-2.50043492399864-336.905925272987i</v>
      </c>
      <c r="IA14" s="1" t="str">
        <f t="shared" si="202"/>
        <v>-0.0016874372918411+0.0334717463898897i</v>
      </c>
      <c r="IB14" s="1" t="str">
        <f t="shared" si="203"/>
        <v>0.0225439851416557+0.229689677869555i</v>
      </c>
      <c r="IC14" s="1" t="str">
        <f t="shared" si="204"/>
        <v>-10.8428874188126-832.99184669219i</v>
      </c>
      <c r="ID14" s="1" t="str">
        <f t="shared" si="205"/>
        <v>-0.00529046745608778+0.0539019946177503i</v>
      </c>
      <c r="IE14" s="1" t="str">
        <f t="shared" si="206"/>
        <v>0.0125188629853716+0.184139838909954i</v>
      </c>
      <c r="IF14" s="1" t="str">
        <f t="shared" si="207"/>
        <v>-44.2595535457193-1167.07214308048i</v>
      </c>
      <c r="IG14" s="1" t="str">
        <f t="shared" si="208"/>
        <v>-6325.07270882187-189.655672967177i</v>
      </c>
      <c r="IH14" s="1" t="str">
        <f t="shared" si="209"/>
        <v>-3640.26828879104+34.1336281963573i</v>
      </c>
      <c r="II14" s="1" t="str">
        <f t="shared" si="210"/>
        <v>-1133.10511382897+73.4223654599591i</v>
      </c>
      <c r="IJ14" s="1" t="str">
        <f t="shared" si="211"/>
        <v>-534.678338538438+9.01913676383591i</v>
      </c>
      <c r="IK14" s="92" t="str">
        <f t="shared" si="212"/>
        <v>-0.118180085992306-184.709673778432i</v>
      </c>
      <c r="IL14" s="1" t="str">
        <f t="shared" si="213"/>
        <v>-3.11031396244497-184.387657634952i</v>
      </c>
      <c r="IM14" s="1" t="str">
        <f t="shared" si="214"/>
        <v>2.99213387645266-0.322016143480616i</v>
      </c>
      <c r="IN14" s="1" t="str">
        <f t="shared" si="215"/>
        <v>-3.23018544797844-389.881768505063i</v>
      </c>
      <c r="IO14" s="1" t="str">
        <f t="shared" si="216"/>
        <v>-3.28726992380841-1253.44453620263i</v>
      </c>
      <c r="IP14" s="1" t="str">
        <f t="shared" si="217"/>
        <v>31.7766774682306-2184.05313086443i</v>
      </c>
      <c r="IQ14" s="1" t="str">
        <f t="shared" si="218"/>
        <v>-3.11031396244497-184.387657634952i</v>
      </c>
      <c r="IR14" s="1" t="str">
        <f t="shared" si="219"/>
        <v>-25.3096833211465-390.59667202118i</v>
      </c>
      <c r="IS14" s="1" t="str">
        <f t="shared" si="220"/>
        <v>-11.775693424573-1255.84901509453i</v>
      </c>
      <c r="IT14" s="1" t="str">
        <f t="shared" si="221"/>
        <v>65.4225471666684-2181.86127075208i</v>
      </c>
      <c r="IU14" s="1" t="str">
        <f t="shared" si="222"/>
        <v>2.99213387645266-0.322016143480616i</v>
      </c>
      <c r="IV14" s="1" t="str">
        <f t="shared" si="223"/>
        <v>25.0716317496207+0.392887372636018i</v>
      </c>
      <c r="IW14" s="1" t="str">
        <f t="shared" si="224"/>
        <v>33.5600552503854+2.79736626454418i</v>
      </c>
      <c r="IX14" s="92" t="str">
        <f t="shared" si="225"/>
        <v>25.1410420104514-4012.08910935055i</v>
      </c>
      <c r="IY14" s="1" t="str">
        <f t="shared" si="226"/>
        <v>0.0112442607040162+1.79439562984414i</v>
      </c>
      <c r="JD14" s="1">
        <f t="shared" si="124"/>
        <v>19</v>
      </c>
      <c r="JE14" s="1">
        <f t="shared" si="227"/>
        <v>1.794430859577077</v>
      </c>
      <c r="JJ14" s="1">
        <f t="shared" si="126"/>
        <v>19</v>
      </c>
      <c r="JK14" s="1" t="str">
        <f t="shared" si="127"/>
        <v>0.0000125695098593445-0.0238820687327547i</v>
      </c>
      <c r="JL14" s="1" t="str">
        <f t="shared" si="128"/>
        <v>0.0000246259784999403-0.0467893591498867i</v>
      </c>
      <c r="JM14" s="1" t="str">
        <f t="shared" si="129"/>
        <v>0.0000608595145740713-0.115633077690736i</v>
      </c>
      <c r="JN14" s="1" t="str">
        <f t="shared" si="130"/>
        <v>0.0000849938285727108-0.161488274288151i</v>
      </c>
      <c r="JO14" s="1" t="str">
        <f t="shared" si="131"/>
        <v>0.344857168029253i</v>
      </c>
      <c r="JP14" s="1" t="str">
        <f t="shared" si="132"/>
        <v>0.344713537388674i</v>
      </c>
      <c r="JQ14" s="1" t="str">
        <f t="shared" si="133"/>
        <v>0.344988038096392i</v>
      </c>
      <c r="JR14" s="1" t="str">
        <f t="shared" si="134"/>
        <v>0.344954338265383i</v>
      </c>
      <c r="JS14" s="1" t="str">
        <f t="shared" si="9"/>
        <v>0.005</v>
      </c>
      <c r="JT14" s="1" t="str">
        <f t="shared" si="10"/>
        <v>0.01</v>
      </c>
      <c r="JU14" s="1" t="str">
        <f t="shared" si="11"/>
        <v>0.0125</v>
      </c>
      <c r="JV14" s="1" t="str">
        <f t="shared" si="135"/>
        <v>0.00501256950985934+0.320975099296498i</v>
      </c>
      <c r="JW14" s="1" t="str">
        <f t="shared" si="136"/>
        <v>-0.005</v>
      </c>
      <c r="JX14" s="1" t="str">
        <f t="shared" si="137"/>
        <v>0.00135330698288196-2.57128326747574i</v>
      </c>
      <c r="JY14" s="1" t="str">
        <f t="shared" si="138"/>
        <v>-0.005</v>
      </c>
      <c r="JZ14" s="1" t="str">
        <f t="shared" si="139"/>
        <v>0.0150246259784999+0.297924178238787i</v>
      </c>
      <c r="KA14" s="1" t="str">
        <f t="shared" si="140"/>
        <v>-0.01</v>
      </c>
      <c r="KB14" s="1" t="str">
        <f t="shared" si="141"/>
        <v>0.00265137694605446-5.03761619750349i</v>
      </c>
      <c r="KC14" s="1" t="str">
        <f t="shared" si="142"/>
        <v>-0.01</v>
      </c>
      <c r="KD14" s="1" t="str">
        <f t="shared" si="143"/>
        <v>0.0225608595145741+0.229354960405656i</v>
      </c>
      <c r="KE14" s="1" t="str">
        <f t="shared" si="144"/>
        <v>-0.0125</v>
      </c>
      <c r="KF14" s="1" t="str">
        <f t="shared" si="145"/>
        <v>0.00655249146303564-12.4497337797678i</v>
      </c>
      <c r="KG14" s="1" t="str">
        <f t="shared" si="146"/>
        <v>-0.0125</v>
      </c>
      <c r="KH14" s="1" t="str">
        <f t="shared" si="147"/>
        <v>0.0125849938285727+0.183466063977232i</v>
      </c>
      <c r="KI14" s="1" t="str">
        <f t="shared" si="148"/>
        <v>0.00915093293186854-17.3867725705503i</v>
      </c>
      <c r="KK14" s="1" t="str">
        <f t="shared" si="149"/>
        <v>0.00501256950985934+0.320975099296498i</v>
      </c>
      <c r="KL14" s="1" t="str">
        <f t="shared" si="150"/>
        <v>0.00135330698288196-2.57128326747574i</v>
      </c>
      <c r="KM14" s="1" t="str">
        <f t="shared" si="151"/>
        <v>-0.000243210222668582+0.0155737342329966i</v>
      </c>
      <c r="KN14" s="1" t="str">
        <f t="shared" si="152"/>
        <v>0.0150234099273866+0.298002046909952i</v>
      </c>
      <c r="KO14" s="1" t="str">
        <f t="shared" si="153"/>
        <v>-0.0373927761612711-5.0382626359228i</v>
      </c>
      <c r="KP14" s="1" t="str">
        <f t="shared" si="154"/>
        <v>-0.0016874372918411+0.0334717463898897i</v>
      </c>
      <c r="KQ14" s="1" t="str">
        <f t="shared" si="155"/>
        <v>0.0225439851416557+0.229689677869555i</v>
      </c>
      <c r="KR14" s="1" t="str">
        <f t="shared" si="156"/>
        <v>-0.162150055697169-12.4569839305053i</v>
      </c>
      <c r="KS14" s="1" t="str">
        <f t="shared" si="157"/>
        <v>-0.00529046745608778+0.0539019946177503i</v>
      </c>
      <c r="KT14" s="1" t="str">
        <f t="shared" si="158"/>
        <v>0.0125188629853716+0.184139838909954i</v>
      </c>
      <c r="KU14" s="1" t="str">
        <f t="shared" si="159"/>
        <v>-0.661879884514758-17.4529906743087i</v>
      </c>
      <c r="KV14" s="1" t="str">
        <f t="shared" si="160"/>
        <v>-94.5883557035429-2.83620743691905i</v>
      </c>
      <c r="KW14" s="1" t="str">
        <f t="shared" si="161"/>
        <v>-54.4384242850275+0.510451644419291i</v>
      </c>
      <c r="KX14" s="1" t="str">
        <f t="shared" si="162"/>
        <v>-16.9450304352818+1.09799541292794i</v>
      </c>
      <c r="KY14" s="1" t="str">
        <f t="shared" si="163"/>
        <v>-7.99585193734045+0.134876760415218i</v>
      </c>
      <c r="KZ14" s="92" t="str">
        <f t="shared" si="164"/>
        <v>-0.0017673251400453-2.76224244835501i</v>
      </c>
      <c r="LA14" s="1" t="str">
        <f t="shared" si="165"/>
        <v>-0.0465132176297521-2.75742685509244i</v>
      </c>
      <c r="LB14" s="1" t="str">
        <f t="shared" si="166"/>
        <v>0.0447458924897067-0.00481559326256361i</v>
      </c>
      <c r="LC14" s="1" t="str">
        <f t="shared" si="167"/>
        <v>-0.048305836819179-5.83049035155708i</v>
      </c>
      <c r="LD14" s="1" t="str">
        <f t="shared" si="168"/>
        <v>-0.0491595071173001-18.7446473903189i</v>
      </c>
      <c r="LE14" s="1" t="str">
        <f t="shared" si="169"/>
        <v>0.475204603932787-32.6614418407405i</v>
      </c>
      <c r="LF14" s="1" t="str">
        <f t="shared" si="170"/>
        <v>-0.0465132176297521-2.75742685509244i</v>
      </c>
      <c r="LG14" s="1" t="str">
        <f t="shared" si="171"/>
        <v>-0.378493882826928-5.84118138250473i</v>
      </c>
      <c r="LH14" s="1" t="str">
        <f t="shared" si="172"/>
        <v>-0.176099711351288-18.7806051911506i</v>
      </c>
      <c r="LI14" s="1" t="str">
        <f t="shared" si="173"/>
        <v>0.978362059585769-32.6286636493263i</v>
      </c>
      <c r="LJ14" s="1" t="str">
        <f t="shared" si="174"/>
        <v>0.0447458924897067-0.00481559326256361i</v>
      </c>
      <c r="LK14" s="1" t="str">
        <f t="shared" si="175"/>
        <v>0.374933938497457+0.00587543768508649i</v>
      </c>
      <c r="LL14" s="1" t="str">
        <f t="shared" si="176"/>
        <v>0.501874142731442+0.0418332385167293i</v>
      </c>
      <c r="LM14" s="92" t="str">
        <f t="shared" si="177"/>
        <v>0.375971934856263-59.9988220309715i</v>
      </c>
      <c r="LN14" s="1" t="str">
        <f t="shared" si="178"/>
        <v>0.0112442607040163+1.79439562984414i</v>
      </c>
      <c r="LS14" s="1">
        <f t="shared" si="179"/>
        <v>19</v>
      </c>
      <c r="LT14" s="1">
        <f t="shared" si="180"/>
        <v>1.794430859577077</v>
      </c>
      <c r="LU14" s="1">
        <f t="shared" si="181"/>
        <v>59.999999999999929</v>
      </c>
    </row>
    <row r="15" spans="2:333" ht="18" customHeight="1" x14ac:dyDescent="0.3">
      <c r="B15" s="6"/>
      <c r="C15" s="30" t="s">
        <v>28</v>
      </c>
      <c r="D15" s="31"/>
      <c r="E15" s="31"/>
      <c r="F15" s="31"/>
      <c r="G15" s="31"/>
      <c r="H15" s="31"/>
      <c r="I15" s="31"/>
      <c r="J15" s="31"/>
      <c r="K15" s="31"/>
      <c r="AP15" s="8"/>
      <c r="AR15" s="6"/>
      <c r="AY15" s="29" t="s">
        <v>27</v>
      </c>
      <c r="AZ15" s="204">
        <f>CA16/(1.414*$P$29)</f>
        <v>0.89934510496744402</v>
      </c>
      <c r="BA15" s="204"/>
      <c r="BB15" s="204"/>
      <c r="BC15" s="204"/>
      <c r="BD15" s="204"/>
      <c r="BE15" s="79"/>
      <c r="BF15" s="204">
        <f>(DA49/1000)/(P29*1.414)</f>
        <v>0.97464168563171194</v>
      </c>
      <c r="BG15" s="204"/>
      <c r="BH15" s="204"/>
      <c r="BI15" s="204"/>
      <c r="BJ15" s="204"/>
      <c r="BK15" s="82"/>
      <c r="BL15" s="203">
        <f>IF(LEFT(C24,2)="SD",1.2,1.35)</f>
        <v>1.35</v>
      </c>
      <c r="BM15" s="203"/>
      <c r="BN15" s="203"/>
      <c r="BO15" s="203"/>
      <c r="BQ15" s="23"/>
      <c r="BR15" s="23"/>
      <c r="BS15" s="23"/>
      <c r="BT15" s="32"/>
      <c r="BU15" s="23"/>
      <c r="BV15" s="23"/>
      <c r="BW15" s="23"/>
      <c r="BX15" s="23"/>
      <c r="BY15" s="23"/>
      <c r="BZ15" s="32" t="s">
        <v>53</v>
      </c>
      <c r="CA15" s="211">
        <f>DA46/1000</f>
        <v>7.596740549180315</v>
      </c>
      <c r="CB15" s="211"/>
      <c r="CC15" s="211"/>
      <c r="CD15" s="24" t="s">
        <v>32</v>
      </c>
      <c r="CE15" s="24"/>
      <c r="CF15" s="8"/>
      <c r="EA15" s="1">
        <f t="shared" si="182"/>
        <v>3</v>
      </c>
      <c r="EB15" s="1" t="str">
        <f t="shared" si="12"/>
        <v>0.000504171544335549-0.151251463300665i</v>
      </c>
      <c r="EC15" s="1" t="str">
        <f t="shared" si="13"/>
        <v>0.000987764658290056-0.296329397487017i</v>
      </c>
      <c r="ED15" s="1" t="str">
        <f t="shared" si="14"/>
        <v>0.00244111630395121-0.732334891185362i</v>
      </c>
      <c r="EE15" s="1" t="str">
        <f t="shared" si="15"/>
        <v>0.00340915996645943-1.02274798993783i</v>
      </c>
      <c r="EF15" s="1" t="str">
        <f t="shared" si="16"/>
        <v>0.0544511317940926i</v>
      </c>
      <c r="EG15" s="1" t="str">
        <f t="shared" si="17"/>
        <v>0.0544284532718959i</v>
      </c>
      <c r="EH15" s="1" t="str">
        <f t="shared" si="18"/>
        <v>0.0544717954889039i</v>
      </c>
      <c r="EI15" s="1" t="str">
        <f t="shared" si="19"/>
        <v>0.0544664744629553i</v>
      </c>
      <c r="EJ15" s="1" t="str">
        <f t="shared" si="1"/>
        <v>0.005</v>
      </c>
      <c r="EK15" s="1" t="str">
        <f t="shared" si="2"/>
        <v>0.01</v>
      </c>
      <c r="EL15" s="1" t="str">
        <f t="shared" si="3"/>
        <v>0.0125</v>
      </c>
      <c r="EM15" s="1" t="str">
        <f t="shared" si="20"/>
        <v>0.00550417154433555-0.0968003315065724i</v>
      </c>
      <c r="EN15" s="1" t="str">
        <f t="shared" si="21"/>
        <v>-0.005</v>
      </c>
      <c r="EO15" s="1" t="str">
        <f t="shared" si="22"/>
        <v>3.62981220319329-1088.94366095799i</v>
      </c>
      <c r="EP15" s="1" t="str">
        <f t="shared" si="23"/>
        <v>-0.005</v>
      </c>
      <c r="EQ15" s="1" t="str">
        <f t="shared" si="24"/>
        <v>0.0159877646582901-0.241900944215121i</v>
      </c>
      <c r="ER15" s="1" t="str">
        <f t="shared" si="25"/>
        <v>-0.01</v>
      </c>
      <c r="ES15" s="1" t="str">
        <f t="shared" si="26"/>
        <v>7.11146880625624-2133.44064187687i</v>
      </c>
      <c r="ET15" s="1" t="str">
        <f t="shared" si="27"/>
        <v>-0.01</v>
      </c>
      <c r="EU15" s="1" t="str">
        <f t="shared" si="28"/>
        <v>0.0249411163039512-0.677863095696458i</v>
      </c>
      <c r="EV15" s="1" t="str">
        <f t="shared" si="29"/>
        <v>-0.0125</v>
      </c>
      <c r="EW15" s="1" t="str">
        <f t="shared" si="30"/>
        <v>17.5749580654614-5272.48741963842i</v>
      </c>
      <c r="EX15" s="1" t="str">
        <f t="shared" si="31"/>
        <v>-0.0125</v>
      </c>
      <c r="EY15" s="1" t="str">
        <f t="shared" si="32"/>
        <v>0.0159091599664594-0.968281515474875i</v>
      </c>
      <c r="EZ15" s="1" t="str">
        <f t="shared" si="33"/>
        <v>24.5444444215927-7363.33332647782i</v>
      </c>
      <c r="FB15" s="1" t="str">
        <f t="shared" si="34"/>
        <v>0.00550417154433555-0.0968003315065724i</v>
      </c>
      <c r="FC15" s="1" t="str">
        <f t="shared" si="35"/>
        <v>3.62981220319329-1088.94366095799i</v>
      </c>
      <c r="FD15" s="1" t="str">
        <f t="shared" si="36"/>
        <v>-0.00292756392945764-0.0514862512179193i</v>
      </c>
      <c r="FE15" s="1" t="str">
        <f t="shared" si="37"/>
        <v>0.0159731268386428-0.242158375471211i</v>
      </c>
      <c r="FF15" s="1" t="str">
        <f t="shared" si="38"/>
        <v>63.1877222037768-2136.44170863693i</v>
      </c>
      <c r="FG15" s="1" t="str">
        <f t="shared" si="39"/>
        <v>-0.00271209857496416-0.0411163945334895i</v>
      </c>
      <c r="FH15" s="1" t="str">
        <f t="shared" si="40"/>
        <v>0.0249139953182016-0.678274259641793i</v>
      </c>
      <c r="FI15" s="1" t="str">
        <f t="shared" si="41"/>
        <v>105.589109586924-5275.68360883611i</v>
      </c>
      <c r="FJ15" s="1" t="str">
        <f t="shared" si="42"/>
        <v>-0.000676016295250145-0.0184042922987785i</v>
      </c>
      <c r="FK15" s="1" t="str">
        <f t="shared" si="43"/>
        <v>0.0159007097627688-0.96851156912861i</v>
      </c>
      <c r="FL15" s="1" t="str">
        <f t="shared" si="44"/>
        <v>121.592724992291-7366.57415922462i</v>
      </c>
      <c r="FM15" s="1" t="str">
        <f t="shared" si="45"/>
        <v>7606.08863540272+0.671666907854688i</v>
      </c>
      <c r="FN15" s="1" t="str">
        <f t="shared" si="46"/>
        <v>7778.45773203262+10.132712413999i</v>
      </c>
      <c r="FO15" s="1" t="str">
        <f t="shared" si="47"/>
        <v>8822.09447567541+0.230698118704538i</v>
      </c>
      <c r="FP15" s="1" t="str">
        <f t="shared" si="48"/>
        <v>11241.0660472921-145.996104186604i</v>
      </c>
      <c r="FQ15" s="92" t="str">
        <f t="shared" si="49"/>
        <v>20.0445109685723+611.35763483568i</v>
      </c>
      <c r="FR15" s="1" t="str">
        <f t="shared" si="50"/>
        <v>7.94965311048885+612.088768847202i</v>
      </c>
      <c r="FS15" s="1" t="str">
        <f t="shared" si="51"/>
        <v>12.0948578580835-0.731134011526545i</v>
      </c>
      <c r="FT15" s="1" t="str">
        <f t="shared" si="52"/>
        <v>-1.67104696342898+480.805070798115i</v>
      </c>
      <c r="FU15" s="1" t="str">
        <f t="shared" si="53"/>
        <v>-8.83370076691729+423.923842010153i</v>
      </c>
      <c r="FV15" s="1" t="str">
        <f t="shared" si="54"/>
        <v>-2.07287443548041+415.776246849348i</v>
      </c>
      <c r="FW15" s="1" t="str">
        <f t="shared" si="55"/>
        <v>7.94965311048885+612.088768847202i</v>
      </c>
      <c r="FX15" s="1" t="str">
        <f t="shared" si="56"/>
        <v>-0.0125565417738242+480.17295692955i</v>
      </c>
      <c r="FY15" s="1" t="str">
        <f t="shared" si="57"/>
        <v>-0.551947038363231+423.706558798364i</v>
      </c>
      <c r="FZ15" s="1" t="str">
        <f t="shared" si="58"/>
        <v>-0.0365833284842795+414.276832423137i</v>
      </c>
      <c r="GA15" s="1" t="str">
        <f t="shared" si="59"/>
        <v>12.0948578580835-0.731134011526545i</v>
      </c>
      <c r="GB15" s="1" t="str">
        <f t="shared" si="60"/>
        <v>10.4363674364279-0.0990201429529446i</v>
      </c>
      <c r="GC15" s="1" t="str">
        <f t="shared" si="61"/>
        <v>2.15461370787375+0.118263068826804i</v>
      </c>
      <c r="GD15" s="92" t="str">
        <f t="shared" si="62"/>
        <v>7.46688880274562+1931.8627944933i</v>
      </c>
      <c r="GE15" s="1" t="str">
        <f t="shared" si="63"/>
        <v>0.014404111181567-3.72668821171974i</v>
      </c>
      <c r="GF15" s="1">
        <f t="shared" si="64"/>
        <v>3</v>
      </c>
      <c r="GG15" s="56">
        <f t="shared" si="65"/>
        <v>1.6286858049019419</v>
      </c>
      <c r="GH15" s="1">
        <f t="shared" si="66"/>
        <v>0.62883726766544412</v>
      </c>
      <c r="GJ15" s="1">
        <f t="shared" si="67"/>
        <v>1931.8772246640974</v>
      </c>
      <c r="GK15" s="72">
        <f t="shared" si="68"/>
        <v>3.7267160484520159</v>
      </c>
      <c r="GM15" s="1" t="str">
        <f t="shared" si="69"/>
        <v>0.0191834803010191+1.43876102257644i</v>
      </c>
      <c r="GP15" s="1">
        <f t="shared" si="4"/>
        <v>3</v>
      </c>
      <c r="GQ15" s="1">
        <f t="shared" si="5"/>
        <v>3.7267160484520159</v>
      </c>
      <c r="GR15" s="1">
        <f t="shared" si="70"/>
        <v>1.4388889067616244</v>
      </c>
      <c r="GS15" s="1">
        <f t="shared" si="71"/>
        <v>2.3434979372735278</v>
      </c>
      <c r="GU15" s="15">
        <f>AD20</f>
        <v>23</v>
      </c>
      <c r="GV15" s="1" t="str">
        <f t="shared" si="72"/>
        <v>8.57768139585299E-06-0.0197286672104619i</v>
      </c>
      <c r="GW15" s="1" t="str">
        <f t="shared" si="73"/>
        <v>0.0000168052533469773-0.0386520826980479i</v>
      </c>
      <c r="GX15" s="1" t="str">
        <f t="shared" si="74"/>
        <v>0.0000415317328809414-0.0955229856261652i</v>
      </c>
      <c r="GY15" s="1" t="str">
        <f t="shared" si="75"/>
        <v>0.0000580014646767202-0.133403368756457i</v>
      </c>
      <c r="GZ15" s="1" t="str">
        <f t="shared" si="76"/>
        <v>0.417458677088043i</v>
      </c>
      <c r="HA15" s="1" t="str">
        <f t="shared" si="77"/>
        <v>0.417284808417868i</v>
      </c>
      <c r="HB15" s="1" t="str">
        <f t="shared" si="78"/>
        <v>0.417617098748263i</v>
      </c>
      <c r="HC15" s="1" t="str">
        <f t="shared" si="79"/>
        <v>0.417576304215991i</v>
      </c>
      <c r="HD15" s="1" t="str">
        <f t="shared" si="6"/>
        <v>0.005</v>
      </c>
      <c r="HE15" s="1" t="str">
        <f t="shared" si="7"/>
        <v>0.01</v>
      </c>
      <c r="HF15" s="1" t="str">
        <f t="shared" si="8"/>
        <v>0.0125</v>
      </c>
      <c r="HG15" s="1" t="str">
        <f t="shared" si="183"/>
        <v>0.00500857768139585+0.397730009877581i</v>
      </c>
      <c r="HH15" s="1" t="str">
        <f t="shared" si="184"/>
        <v>-0.005</v>
      </c>
      <c r="HI15" s="1" t="str">
        <f t="shared" si="185"/>
        <v>0.0617555134865946-142.037681019168i</v>
      </c>
      <c r="HJ15" s="1" t="str">
        <f t="shared" si="186"/>
        <v>-0.005</v>
      </c>
      <c r="HK15" s="1" t="str">
        <f t="shared" si="187"/>
        <v>0.015016805253347+0.37863272571982i</v>
      </c>
      <c r="HL15" s="1" t="str">
        <f t="shared" si="188"/>
        <v>-0.01</v>
      </c>
      <c r="HM15" s="1" t="str">
        <f t="shared" si="189"/>
        <v>0.120990393769655-278.277905670207i</v>
      </c>
      <c r="HN15" s="1" t="str">
        <f t="shared" si="190"/>
        <v>-0.01</v>
      </c>
      <c r="HO15" s="1" t="str">
        <f t="shared" si="191"/>
        <v>0.0225415317328809+0.322094113122098i</v>
      </c>
      <c r="HP15" s="1" t="str">
        <f t="shared" si="192"/>
        <v>-0.0125</v>
      </c>
      <c r="HQ15" s="1" t="str">
        <f t="shared" si="193"/>
        <v>0.299010113769278-687.723261669339i</v>
      </c>
      <c r="HR15" s="1" t="str">
        <f t="shared" si="194"/>
        <v>-0.0125</v>
      </c>
      <c r="HS15" s="1" t="str">
        <f t="shared" si="195"/>
        <v>0.0125580014646767+0.284172935459534i</v>
      </c>
      <c r="HT15" s="1" t="str">
        <f t="shared" si="196"/>
        <v>0.417584900718877-960.445271653422i</v>
      </c>
      <c r="HV15" s="1" t="str">
        <f t="shared" si="197"/>
        <v>0.00500857768139585+0.397730009877581i</v>
      </c>
      <c r="HW15" s="1" t="str">
        <f t="shared" si="198"/>
        <v>0.0617555134865946-142.037681019168i</v>
      </c>
      <c r="HX15" s="1" t="str">
        <f t="shared" si="199"/>
        <v>-0.000158284661109491+0.0125693487914522i</v>
      </c>
      <c r="HY15" s="1" t="str">
        <f t="shared" si="200"/>
        <v>0.0150160138300415+0.378695572463777i</v>
      </c>
      <c r="HZ15" s="1" t="str">
        <f t="shared" si="201"/>
        <v>-1.66432098553878-278.301164283001i</v>
      </c>
      <c r="IA15" s="1" t="str">
        <f t="shared" si="202"/>
        <v>-0.00104542266092942+0.0263649819138571i</v>
      </c>
      <c r="IB15" s="1" t="str">
        <f t="shared" si="203"/>
        <v>0.0225310775062716+0.322357762941237i</v>
      </c>
      <c r="IC15" s="1" t="str">
        <f t="shared" si="204"/>
        <v>-7.04013496803076-687.970324220361i</v>
      </c>
      <c r="ID15" s="1" t="str">
        <f t="shared" si="205"/>
        <v>-0.00269711355870478+0.0385882784762753i</v>
      </c>
      <c r="IE15" s="1" t="str">
        <f t="shared" si="206"/>
        <v>0.0125242875451929+0.284655288940487i</v>
      </c>
      <c r="IF15" s="1" t="str">
        <f t="shared" si="207"/>
        <v>-26.1196653709579-962.311677672644i</v>
      </c>
      <c r="IG15" s="1" t="str">
        <f t="shared" si="208"/>
        <v>-3378.11885431511-56.8718276150024i</v>
      </c>
      <c r="IH15" s="1" t="str">
        <f t="shared" si="209"/>
        <v>-2136.63203591884+3.49300923615302i</v>
      </c>
      <c r="II15" s="1" t="str">
        <f t="shared" si="210"/>
        <v>-736.056098603084+31.6296615523875i</v>
      </c>
      <c r="IJ15" s="1" t="str">
        <f t="shared" si="211"/>
        <v>-356.781218003604+4.60502976493651i</v>
      </c>
      <c r="IK15" s="92" t="str">
        <f t="shared" si="212"/>
        <v>-0.0260352306240501-149.076538436582i</v>
      </c>
      <c r="IL15" s="1" t="str">
        <f t="shared" si="213"/>
        <v>-1.92240963362146-148.941415277645i</v>
      </c>
      <c r="IM15" s="1" t="str">
        <f t="shared" si="214"/>
        <v>1.8963744029974-0.135123158937255i</v>
      </c>
      <c r="IN15" s="1" t="str">
        <f t="shared" si="215"/>
        <v>-1.08919229104988-306.728538408291i</v>
      </c>
      <c r="IO15" s="1" t="str">
        <f t="shared" si="216"/>
        <v>0.0540854736928136-891.820877995544i</v>
      </c>
      <c r="IP15" s="1" t="str">
        <f t="shared" si="217"/>
        <v>8.20041413329901-1411.09440822945i</v>
      </c>
      <c r="IQ15" s="1" t="str">
        <f t="shared" si="218"/>
        <v>-1.92240963362146-148.941415277645i</v>
      </c>
      <c r="IR15" s="1" t="str">
        <f t="shared" si="219"/>
        <v>-13.19857726121-307.145028090391i</v>
      </c>
      <c r="IS15" s="1" t="str">
        <f t="shared" si="220"/>
        <v>-1.45874038310311-892.29407193302i</v>
      </c>
      <c r="IT15" s="1" t="str">
        <f t="shared" si="221"/>
        <v>23.7483275894816-1410.62238638726i</v>
      </c>
      <c r="IU15" s="1" t="str">
        <f t="shared" si="222"/>
        <v>1.8963744029974-0.135123158937255i</v>
      </c>
      <c r="IV15" s="1" t="str">
        <f t="shared" si="223"/>
        <v>14.0057593731576+0.281366523162345i</v>
      </c>
      <c r="IW15" s="1" t="str">
        <f t="shared" si="224"/>
        <v>15.5185852299534+0.754560460639443i</v>
      </c>
      <c r="IX15" s="92" t="str">
        <f t="shared" si="225"/>
        <v>7.13927208531789-2758.72036306987i</v>
      </c>
      <c r="IY15" s="1" t="str">
        <f t="shared" si="226"/>
        <v>0.00675369572060122+2.60972795093729i</v>
      </c>
      <c r="JD15" s="1">
        <f t="shared" si="124"/>
        <v>23</v>
      </c>
      <c r="JE15" s="1">
        <f t="shared" si="227"/>
        <v>2.609736689842336</v>
      </c>
      <c r="JJ15" s="1">
        <f t="shared" si="126"/>
        <v>23</v>
      </c>
      <c r="JK15" s="1" t="str">
        <f t="shared" si="127"/>
        <v>8.57768139585299E-06-0.0197286672104619i</v>
      </c>
      <c r="JL15" s="1" t="str">
        <f t="shared" si="128"/>
        <v>0.0000168052533469773-0.0386520826980479i</v>
      </c>
      <c r="JM15" s="1" t="str">
        <f t="shared" si="129"/>
        <v>0.0000415317328809414-0.0955229856261652i</v>
      </c>
      <c r="JN15" s="1" t="str">
        <f t="shared" si="130"/>
        <v>0.0000580014646767202-0.133403368756457i</v>
      </c>
      <c r="JO15" s="1" t="str">
        <f t="shared" si="131"/>
        <v>0.417458677088043i</v>
      </c>
      <c r="JP15" s="1" t="str">
        <f t="shared" si="132"/>
        <v>0.417284808417868i</v>
      </c>
      <c r="JQ15" s="1" t="str">
        <f t="shared" si="133"/>
        <v>0.417617098748263i</v>
      </c>
      <c r="JR15" s="1" t="str">
        <f t="shared" si="134"/>
        <v>0.417576304215991i</v>
      </c>
      <c r="JS15" s="1" t="str">
        <f t="shared" si="9"/>
        <v>0.005</v>
      </c>
      <c r="JT15" s="1" t="str">
        <f t="shared" si="10"/>
        <v>0.01</v>
      </c>
      <c r="JU15" s="1" t="str">
        <f t="shared" si="11"/>
        <v>0.0125</v>
      </c>
      <c r="JV15" s="1" t="str">
        <f t="shared" si="135"/>
        <v>0.00500857768139585+0.397730009877581i</v>
      </c>
      <c r="JW15" s="1" t="str">
        <f t="shared" si="136"/>
        <v>-0.005</v>
      </c>
      <c r="JX15" s="1" t="str">
        <f t="shared" si="137"/>
        <v>0.000671564695576067-1.54459879982496i</v>
      </c>
      <c r="JY15" s="1" t="str">
        <f t="shared" si="138"/>
        <v>-0.005</v>
      </c>
      <c r="JZ15" s="1" t="str">
        <f t="shared" si="139"/>
        <v>0.015016805253347+0.37863272571982i</v>
      </c>
      <c r="KA15" s="1" t="str">
        <f t="shared" si="140"/>
        <v>-0.01</v>
      </c>
      <c r="KB15" s="1" t="str">
        <f t="shared" si="141"/>
        <v>0.00131571858725107-3.02615275067747i</v>
      </c>
      <c r="KC15" s="1" t="str">
        <f t="shared" si="142"/>
        <v>-0.01</v>
      </c>
      <c r="KD15" s="1" t="str">
        <f t="shared" si="143"/>
        <v>0.0225415317328809+0.322094113122098i</v>
      </c>
      <c r="KE15" s="1" t="str">
        <f t="shared" si="144"/>
        <v>-0.0125</v>
      </c>
      <c r="KF15" s="1" t="str">
        <f t="shared" si="145"/>
        <v>0.00325160661276372-7.47869520935656i</v>
      </c>
      <c r="KG15" s="1" t="str">
        <f t="shared" si="146"/>
        <v>-0.0125</v>
      </c>
      <c r="KH15" s="1" t="str">
        <f t="shared" si="147"/>
        <v>0.0125580014646767+0.284172935459534i</v>
      </c>
      <c r="KI15" s="1" t="str">
        <f t="shared" si="148"/>
        <v>0.00454105651294293-10.4444299797688i</v>
      </c>
      <c r="KK15" s="1" t="str">
        <f t="shared" si="149"/>
        <v>0.00500857768139585+0.397730009877581i</v>
      </c>
      <c r="KL15" s="1" t="str">
        <f t="shared" si="150"/>
        <v>0.000671564695576067-1.54459879982496i</v>
      </c>
      <c r="KM15" s="1" t="str">
        <f t="shared" si="151"/>
        <v>-0.000158284661109491+0.0125693487914522i</v>
      </c>
      <c r="KN15" s="1" t="str">
        <f t="shared" si="152"/>
        <v>0.0150160138300415+0.378695572463777i</v>
      </c>
      <c r="KO15" s="1" t="str">
        <f t="shared" si="153"/>
        <v>-0.018098776172217-3.02640567810595i</v>
      </c>
      <c r="KP15" s="1" t="str">
        <f t="shared" si="154"/>
        <v>-0.00104542266092942+0.0263649819138571i</v>
      </c>
      <c r="KQ15" s="1" t="str">
        <f t="shared" si="155"/>
        <v>0.0225310775062716+0.322357762941237i</v>
      </c>
      <c r="KR15" s="1" t="str">
        <f t="shared" si="156"/>
        <v>-0.0765584452252396-7.48138190852717i</v>
      </c>
      <c r="KS15" s="1" t="str">
        <f t="shared" si="157"/>
        <v>-0.00269711355870478+0.0385882784762753i</v>
      </c>
      <c r="KT15" s="1" t="str">
        <f t="shared" si="158"/>
        <v>0.0125242875451929+0.284655288940487i</v>
      </c>
      <c r="KU15" s="1" t="str">
        <f t="shared" si="159"/>
        <v>-0.284040146912611-10.4647263439208i</v>
      </c>
      <c r="KV15" s="1" t="str">
        <f t="shared" si="160"/>
        <v>-36.7355922076553-0.618456708442952i</v>
      </c>
      <c r="KW15" s="1" t="str">
        <f t="shared" si="161"/>
        <v>-23.2349560670625+0.0379849757840746i</v>
      </c>
      <c r="KX15" s="1" t="str">
        <f t="shared" si="162"/>
        <v>-8.004294060199+0.343958989770428i</v>
      </c>
      <c r="KY15" s="1" t="str">
        <f t="shared" si="163"/>
        <v>-3.879842568354+0.0500777216090935i</v>
      </c>
      <c r="KZ15" s="92" t="str">
        <f t="shared" si="164"/>
        <v>-0.000283121955290486-1.62114335223574i</v>
      </c>
      <c r="LA15" s="1" t="str">
        <f t="shared" si="165"/>
        <v>-0.0209053794145155-1.61967394589494i</v>
      </c>
      <c r="LB15" s="1" t="str">
        <f t="shared" si="166"/>
        <v>0.020622257459225-0.00146940634080667i</v>
      </c>
      <c r="LC15" s="1" t="str">
        <f t="shared" si="167"/>
        <v>-0.0118444985405472-3.33554116694974i</v>
      </c>
      <c r="LD15" s="1" t="str">
        <f t="shared" si="168"/>
        <v>0.000588156305808998-9.69816916135706i</v>
      </c>
      <c r="LE15" s="1" t="str">
        <f t="shared" si="169"/>
        <v>0.0891759830030734-15.3450458621385i</v>
      </c>
      <c r="LF15" s="1" t="str">
        <f t="shared" si="170"/>
        <v>-0.0209053794145155-1.61967394589494i</v>
      </c>
      <c r="LG15" s="1" t="str">
        <f t="shared" si="171"/>
        <v>-0.143528861149956-3.34007031343042i</v>
      </c>
      <c r="LH15" s="1" t="str">
        <f t="shared" si="172"/>
        <v>-0.0158631753829683-9.70331494226999i</v>
      </c>
      <c r="LI15" s="1" t="str">
        <f t="shared" si="173"/>
        <v>0.258252866629195-15.3399128272585i</v>
      </c>
      <c r="LJ15" s="1" t="str">
        <f t="shared" si="174"/>
        <v>0.020622257459225-0.00146940634080667i</v>
      </c>
      <c r="LK15" s="1" t="str">
        <f t="shared" si="175"/>
        <v>0.152306620068635+0.00305974013986353i</v>
      </c>
      <c r="LL15" s="1" t="str">
        <f t="shared" si="176"/>
        <v>0.16875795175741+0.00820552105283784i</v>
      </c>
      <c r="LM15" s="92" t="str">
        <f t="shared" si="177"/>
        <v>0.0776365188130447-29.999899542681i</v>
      </c>
      <c r="LN15" s="1" t="str">
        <f t="shared" si="178"/>
        <v>0.00675369572060121+2.60972795093728i</v>
      </c>
      <c r="LS15" s="1">
        <f t="shared" si="179"/>
        <v>23</v>
      </c>
      <c r="LT15" s="1">
        <f t="shared" si="180"/>
        <v>2.6097366898423258</v>
      </c>
      <c r="LU15" s="1">
        <f t="shared" si="181"/>
        <v>30.000000000000085</v>
      </c>
    </row>
    <row r="16" spans="2:333" ht="18" customHeight="1" x14ac:dyDescent="0.25">
      <c r="B16" s="6"/>
      <c r="C16" s="178" t="s">
        <v>29</v>
      </c>
      <c r="D16" s="178"/>
      <c r="E16" s="178"/>
      <c r="F16" s="178"/>
      <c r="G16" s="178"/>
      <c r="H16" s="178"/>
      <c r="I16" s="178"/>
      <c r="J16" s="178"/>
      <c r="K16" s="178"/>
      <c r="L16" s="178"/>
      <c r="M16" s="178"/>
      <c r="N16" s="178"/>
      <c r="O16" s="178"/>
      <c r="P16" s="178"/>
      <c r="Q16" s="178"/>
      <c r="R16" s="178"/>
      <c r="S16" s="178"/>
      <c r="T16" s="178"/>
      <c r="U16" s="178"/>
      <c r="V16" s="178"/>
      <c r="W16" s="178"/>
      <c r="X16" s="178"/>
      <c r="Y16" s="178"/>
      <c r="Z16" s="178"/>
      <c r="AA16" s="178"/>
      <c r="AB16" s="178"/>
      <c r="AC16" s="178"/>
      <c r="AD16" s="178"/>
      <c r="AE16" s="178"/>
      <c r="AF16" s="178"/>
      <c r="AG16" s="178"/>
      <c r="AH16" s="178"/>
      <c r="AI16" s="178"/>
      <c r="AJ16" s="178"/>
      <c r="AK16" s="178"/>
      <c r="AL16" s="178"/>
      <c r="AM16" s="178"/>
      <c r="AN16" s="178"/>
      <c r="AO16" s="178"/>
      <c r="AP16" s="8"/>
      <c r="AR16" s="6"/>
      <c r="AY16" s="29" t="str">
        <f>"% "&amp;$AK$17&amp;"HZ AMPS:"</f>
        <v>% 60HZ AMPS:</v>
      </c>
      <c r="AZ16" s="212">
        <f>(CA17/U29)/(Z29/P29)</f>
        <v>0.97067308854980738</v>
      </c>
      <c r="BA16" s="212"/>
      <c r="BB16" s="212"/>
      <c r="BC16" s="212"/>
      <c r="BD16" s="212"/>
      <c r="BE16" s="80"/>
      <c r="BF16" s="212">
        <f>(CO48/U29)/(Z29/P29)</f>
        <v>1.0301790104477258</v>
      </c>
      <c r="BG16" s="212"/>
      <c r="BH16" s="212"/>
      <c r="BI16" s="212"/>
      <c r="BJ16" s="212"/>
      <c r="BK16" s="83"/>
      <c r="BL16" s="213">
        <v>1.35</v>
      </c>
      <c r="BM16" s="213"/>
      <c r="BN16" s="213"/>
      <c r="BO16" s="213"/>
      <c r="BQ16" s="23"/>
      <c r="BR16" s="23"/>
      <c r="BS16" s="23"/>
      <c r="BT16" s="23"/>
      <c r="BU16" s="23"/>
      <c r="BV16" s="23"/>
      <c r="BW16" s="23"/>
      <c r="BX16" s="23"/>
      <c r="BY16" s="23"/>
      <c r="BZ16" s="32" t="s">
        <v>54</v>
      </c>
      <c r="CA16" s="211">
        <f>DA48/1000</f>
        <v>12.665872825102701</v>
      </c>
      <c r="CB16" s="211"/>
      <c r="CC16" s="211"/>
      <c r="CD16" s="24" t="s">
        <v>32</v>
      </c>
      <c r="CE16" s="24"/>
      <c r="CF16" s="8"/>
      <c r="CJ16" s="1" t="s">
        <v>3</v>
      </c>
      <c r="EA16" s="1">
        <f t="shared" si="182"/>
        <v>3.2</v>
      </c>
      <c r="EB16" s="1" t="str">
        <f t="shared" si="12"/>
        <v>0.000443120117594004-0.141798437630082i</v>
      </c>
      <c r="EC16" s="1" t="str">
        <f t="shared" si="13"/>
        <v>0.000868153699776011-0.277809183928323i</v>
      </c>
      <c r="ED16" s="1" t="str">
        <f t="shared" si="14"/>
        <v>0.00214551526324851-0.686564884239526i</v>
      </c>
      <c r="EE16" s="1" t="str">
        <f t="shared" si="15"/>
        <v>0.00299633603325471-0.958827530641506i</v>
      </c>
      <c r="EF16" s="1" t="str">
        <f t="shared" si="16"/>
        <v>0.058081207247032i</v>
      </c>
      <c r="EG16" s="1" t="str">
        <f t="shared" si="17"/>
        <v>0.0580570168233555i</v>
      </c>
      <c r="EH16" s="1" t="str">
        <f t="shared" si="18"/>
        <v>0.0581032485214975i</v>
      </c>
      <c r="EI16" s="1" t="str">
        <f t="shared" si="19"/>
        <v>0.0580975727604855i</v>
      </c>
      <c r="EJ16" s="1" t="str">
        <f t="shared" si="1"/>
        <v>0.005</v>
      </c>
      <c r="EK16" s="1" t="str">
        <f t="shared" si="2"/>
        <v>0.01</v>
      </c>
      <c r="EL16" s="1" t="str">
        <f t="shared" si="3"/>
        <v>0.0125</v>
      </c>
      <c r="EM16" s="1" t="str">
        <f t="shared" si="20"/>
        <v>0.005443120117594-0.08371723038305i</v>
      </c>
      <c r="EN16" s="1" t="str">
        <f t="shared" si="21"/>
        <v>-0.005</v>
      </c>
      <c r="EO16" s="1" t="str">
        <f t="shared" si="22"/>
        <v>3.19026892412767-1020.88605572086i</v>
      </c>
      <c r="EP16" s="1" t="str">
        <f t="shared" si="23"/>
        <v>-0.005</v>
      </c>
      <c r="EQ16" s="1" t="str">
        <f t="shared" si="24"/>
        <v>0.015868153699776-0.219752167104967i</v>
      </c>
      <c r="ER16" s="1" t="str">
        <f t="shared" si="25"/>
        <v>-0.01</v>
      </c>
      <c r="ES16" s="1" t="str">
        <f t="shared" si="26"/>
        <v>6.25032279012771-2000.10329284086i</v>
      </c>
      <c r="ET16" s="1" t="str">
        <f t="shared" si="27"/>
        <v>-0.01</v>
      </c>
      <c r="EU16" s="1" t="str">
        <f t="shared" si="28"/>
        <v>0.0246455152632485-0.628461635718028i</v>
      </c>
      <c r="EV16" s="1" t="str">
        <f t="shared" si="29"/>
        <v>-0.0125</v>
      </c>
      <c r="EW16" s="1" t="str">
        <f t="shared" si="30"/>
        <v>15.4467612703936-4942.96360652598i</v>
      </c>
      <c r="EX16" s="1" t="str">
        <f t="shared" si="31"/>
        <v>-0.0125</v>
      </c>
      <c r="EY16" s="1" t="str">
        <f t="shared" si="32"/>
        <v>0.0154963360332547-0.900729957881021i</v>
      </c>
      <c r="EZ16" s="1" t="str">
        <f t="shared" si="33"/>
        <v>21.5722946298158-6903.13428154105i</v>
      </c>
      <c r="FB16" s="1" t="str">
        <f t="shared" si="34"/>
        <v>0.005443120117594-0.08371723038305i</v>
      </c>
      <c r="FC16" s="1" t="str">
        <f t="shared" si="35"/>
        <v>3.19026892412767-1020.88605572086i</v>
      </c>
      <c r="FD16" s="1" t="str">
        <f t="shared" si="36"/>
        <v>-0.00386683981771512-0.0594734477432588i</v>
      </c>
      <c r="FE16" s="1" t="str">
        <f t="shared" si="37"/>
        <v>0.0158488195006874-0.220049534343683i</v>
      </c>
      <c r="FF16" s="1" t="str">
        <f t="shared" si="38"/>
        <v>66.9782725357689-2003.86115939833i</v>
      </c>
      <c r="FG16" s="1" t="str">
        <f t="shared" si="39"/>
        <v>-0.00325618415794759-0.0452097903987466i</v>
      </c>
      <c r="FH16" s="1" t="str">
        <f t="shared" si="40"/>
        <v>0.024612953421669-0.628913733622016i</v>
      </c>
      <c r="FI16" s="1" t="str">
        <f t="shared" si="41"/>
        <v>106.258997864939-4946.46047382533i</v>
      </c>
      <c r="FJ16" s="1" t="str">
        <f t="shared" si="42"/>
        <v>-0.000776652830323819-0.0198451450697109i</v>
      </c>
      <c r="FK16" s="1" t="str">
        <f t="shared" si="43"/>
        <v>0.0154866278728757-0.900978022194392i</v>
      </c>
      <c r="FL16" s="1" t="str">
        <f t="shared" si="44"/>
        <v>119.678121246485-6906.66670499798i</v>
      </c>
      <c r="FM16" s="1" t="str">
        <f t="shared" si="45"/>
        <v>7665.76215912915+1.06696867448372i</v>
      </c>
      <c r="FN16" s="1" t="str">
        <f t="shared" si="46"/>
        <v>7865.59262461686+13.4924068228967i</v>
      </c>
      <c r="FO16" s="1" t="str">
        <f t="shared" si="47"/>
        <v>9106.22548866725+5.95899774749286i</v>
      </c>
      <c r="FP16" s="1" t="str">
        <f t="shared" si="48"/>
        <v>12180.4478622957-209.971643264751i</v>
      </c>
      <c r="FQ16" s="92" t="str">
        <f t="shared" si="49"/>
        <v>27.5665183966022+706.375463446597i</v>
      </c>
      <c r="FR16" s="1" t="str">
        <f t="shared" si="50"/>
        <v>12.1954065284599+707.455116651664i</v>
      </c>
      <c r="FS16" s="1" t="str">
        <f t="shared" si="51"/>
        <v>15.3711118681423-1.07965320506122i</v>
      </c>
      <c r="FT16" s="1" t="str">
        <f t="shared" si="52"/>
        <v>-3.31074486011509+529.684605507139i</v>
      </c>
      <c r="FU16" s="1" t="str">
        <f t="shared" si="53"/>
        <v>-10.6924004886914+457.24713510459i</v>
      </c>
      <c r="FV16" s="1" t="str">
        <f t="shared" si="54"/>
        <v>-2.41994368937035+447.006322985164i</v>
      </c>
      <c r="FW16" s="1" t="str">
        <f t="shared" si="55"/>
        <v>12.1954065284599+707.455116651664i</v>
      </c>
      <c r="FX16" s="1" t="str">
        <f t="shared" si="56"/>
        <v>-0.345961632476531+528.680286392823i</v>
      </c>
      <c r="FY16" s="1" t="str">
        <f t="shared" si="57"/>
        <v>-0.783952666783915+457.016483036971i</v>
      </c>
      <c r="FZ16" s="1" t="str">
        <f t="shared" si="58"/>
        <v>-0.0619882901989767+445.362174804582i</v>
      </c>
      <c r="GA16" s="1" t="str">
        <f t="shared" si="59"/>
        <v>15.3711118681423-1.07965320506122i</v>
      </c>
      <c r="GB16" s="1" t="str">
        <f t="shared" si="60"/>
        <v>12.4063286405039-0.0753340907540384i</v>
      </c>
      <c r="GC16" s="1" t="str">
        <f t="shared" si="61"/>
        <v>2.49788081859638+0.155317976855163i</v>
      </c>
      <c r="GD16" s="92" t="str">
        <f t="shared" si="62"/>
        <v>11.1434293584254+2140.31352704349i</v>
      </c>
      <c r="GE16" s="1" t="str">
        <f t="shared" si="63"/>
        <v>0.0175129023268355-3.36369537081303i</v>
      </c>
      <c r="GF16" s="1">
        <f t="shared" si="64"/>
        <v>3.2</v>
      </c>
      <c r="GG16" s="56">
        <f t="shared" si="65"/>
        <v>1.838727709750023</v>
      </c>
      <c r="GH16" s="1">
        <f t="shared" si="66"/>
        <v>0.83896953597754165</v>
      </c>
      <c r="GJ16" s="1">
        <f t="shared" si="67"/>
        <v>2140.3425356851671</v>
      </c>
      <c r="GK16" s="1">
        <f t="shared" si="68"/>
        <v>3.3637409605046757</v>
      </c>
      <c r="GM16" s="1" t="str">
        <f t="shared" si="69"/>
        <v>0.0191834803010191+1.53467842408153i</v>
      </c>
      <c r="GP16" s="1">
        <f t="shared" si="4"/>
        <v>3.2</v>
      </c>
      <c r="GQ16" s="1">
        <f t="shared" si="5"/>
        <v>3.3637409605046757</v>
      </c>
      <c r="GR16" s="1">
        <f t="shared" si="70"/>
        <v>1.5347983161503107</v>
      </c>
      <c r="GS16" s="1">
        <f t="shared" si="71"/>
        <v>2.8220761927832547</v>
      </c>
      <c r="GU16" s="15">
        <f>AF20</f>
        <v>25</v>
      </c>
      <c r="GV16" s="1" t="str">
        <f t="shared" si="72"/>
        <v>7.26014974425503E-06-0.0181503743606376i</v>
      </c>
      <c r="GW16" s="1" t="str">
        <f t="shared" si="73"/>
        <v>0.0000142239668458874-0.0355599171147186i</v>
      </c>
      <c r="GX16" s="1" t="str">
        <f t="shared" si="74"/>
        <v>0.0000351524597311121-0.0878811493277807i</v>
      </c>
      <c r="GY16" s="1" t="str">
        <f t="shared" si="75"/>
        <v>0.0000490924411278198-0.122731102819549i</v>
      </c>
      <c r="GZ16" s="1" t="str">
        <f t="shared" si="76"/>
        <v>0.453759431617438i</v>
      </c>
      <c r="HA16" s="1" t="str">
        <f t="shared" si="77"/>
        <v>0.453570443932466i</v>
      </c>
      <c r="HB16" s="1" t="str">
        <f t="shared" si="78"/>
        <v>0.4539316290742i</v>
      </c>
      <c r="HC16" s="1" t="str">
        <f t="shared" si="79"/>
        <v>0.453887287191293i</v>
      </c>
      <c r="HD16" s="1" t="str">
        <f t="shared" si="6"/>
        <v>0.005</v>
      </c>
      <c r="HE16" s="1" t="str">
        <f t="shared" si="7"/>
        <v>0.01</v>
      </c>
      <c r="HF16" s="1" t="str">
        <f t="shared" si="8"/>
        <v>0.0125</v>
      </c>
      <c r="HG16" s="1" t="str">
        <f t="shared" si="183"/>
        <v>0.00500726014974426+0.4356090572568i</v>
      </c>
      <c r="HH16" s="1" t="str">
        <f t="shared" si="184"/>
        <v>-0.005</v>
      </c>
      <c r="HI16" s="1" t="str">
        <f t="shared" si="185"/>
        <v>0.0522698681327569-130.674670331892i</v>
      </c>
      <c r="HJ16" s="1" t="str">
        <f t="shared" si="186"/>
        <v>-0.005</v>
      </c>
      <c r="HK16" s="1" t="str">
        <f t="shared" si="187"/>
        <v>0.0150142239668459+0.418010526817747i</v>
      </c>
      <c r="HL16" s="1" t="str">
        <f t="shared" si="188"/>
        <v>-0.01</v>
      </c>
      <c r="HM16" s="1" t="str">
        <f t="shared" si="189"/>
        <v>0.102406272260095-256.015680650238i</v>
      </c>
      <c r="HN16" s="1" t="str">
        <f t="shared" si="190"/>
        <v>-0.01</v>
      </c>
      <c r="HO16" s="1" t="str">
        <f t="shared" si="191"/>
        <v>0.0225351524597311+0.366050479746419i</v>
      </c>
      <c r="HP16" s="1" t="str">
        <f t="shared" si="192"/>
        <v>-0.0125</v>
      </c>
      <c r="HQ16" s="1" t="str">
        <f t="shared" si="193"/>
        <v>0.253082167642785-632.705419106966i</v>
      </c>
      <c r="HR16" s="1" t="str">
        <f t="shared" si="194"/>
        <v>-0.0125</v>
      </c>
      <c r="HS16" s="1" t="str">
        <f t="shared" si="195"/>
        <v>0.0125490924411278+0.331156184371744i</v>
      </c>
      <c r="HT16" s="1" t="str">
        <f t="shared" si="196"/>
        <v>0.353443870231023-883.609675577554i</v>
      </c>
      <c r="HV16" s="1" t="str">
        <f t="shared" si="197"/>
        <v>0.00500726014974426+0.4356090572568i</v>
      </c>
      <c r="HW16" s="1" t="str">
        <f t="shared" si="198"/>
        <v>0.0522698681327569-130.674670331892i</v>
      </c>
      <c r="HX16" s="1" t="str">
        <f t="shared" si="199"/>
        <v>-0.000131922531787078+0.0114766654785521i</v>
      </c>
      <c r="HY16" s="1" t="str">
        <f t="shared" si="200"/>
        <v>0.015013564354187+0.41806791014514i</v>
      </c>
      <c r="HZ16" s="1" t="str">
        <f t="shared" si="201"/>
        <v>-1.39729631008577-256.03351946738i</v>
      </c>
      <c r="IA16" s="1" t="str">
        <f t="shared" si="202"/>
        <v>-0.000857887644818857+0.023888750622282i</v>
      </c>
      <c r="IB16" s="1" t="str">
        <f t="shared" si="203"/>
        <v>0.0225265735832829+0.366289367252642i</v>
      </c>
      <c r="IC16" s="1" t="str">
        <f t="shared" si="204"/>
        <v>-5.86443745309921-632.891687436879i</v>
      </c>
      <c r="ID16" s="1" t="str">
        <f t="shared" si="205"/>
        <v>-0.0020908219350963+0.0339974404368673i</v>
      </c>
      <c r="IE16" s="1" t="str">
        <f t="shared" si="206"/>
        <v>0.0125229571669391+0.331581152377205i</v>
      </c>
      <c r="IF16" s="1" t="str">
        <f t="shared" si="207"/>
        <v>-21.1563917801938-884.941154092197i</v>
      </c>
      <c r="IG16" s="1" t="str">
        <f t="shared" si="208"/>
        <v>-2667.45733380726-36.9383545111114i</v>
      </c>
      <c r="IH16" s="1" t="str">
        <f t="shared" si="209"/>
        <v>-1729.1497030988+0.69845353208562i</v>
      </c>
      <c r="II16" s="1" t="str">
        <f t="shared" si="210"/>
        <v>-613.218693058281+22.680992249228i</v>
      </c>
      <c r="IJ16" s="1" t="str">
        <f t="shared" si="211"/>
        <v>-299.761111670933+3.47293451098722i</v>
      </c>
      <c r="IK16" s="92" t="str">
        <f t="shared" si="212"/>
        <v>-0.00858888281340371-136.115471941505i</v>
      </c>
      <c r="IL16" s="1" t="str">
        <f t="shared" si="213"/>
        <v>-1.57587678975015-136.019431652814i</v>
      </c>
      <c r="IM16" s="1" t="str">
        <f t="shared" si="214"/>
        <v>1.56728790693674-0.096040288691204i</v>
      </c>
      <c r="IN16" s="1" t="str">
        <f t="shared" si="215"/>
        <v>-0.695405529842688-277.822009162269i</v>
      </c>
      <c r="IO16" s="1" t="str">
        <f t="shared" si="216"/>
        <v>0.252485133798298-784.665106927439i</v>
      </c>
      <c r="IP16" s="1" t="str">
        <f t="shared" si="217"/>
        <v>5.01788084784009-1210.98784248582i</v>
      </c>
      <c r="IQ16" s="1" t="str">
        <f t="shared" si="218"/>
        <v>-1.57587678975015-136.019431652814i</v>
      </c>
      <c r="IR16" s="1" t="str">
        <f t="shared" si="219"/>
        <v>-10.2874277233112-278.137874838131i</v>
      </c>
      <c r="IS16" s="1" t="str">
        <f t="shared" si="220"/>
        <v>-0.317050149652254-784.915741640807i</v>
      </c>
      <c r="IT16" s="1" t="str">
        <f t="shared" si="221"/>
        <v>16.7658495223586-1210.7249729403i</v>
      </c>
      <c r="IU16" s="1" t="str">
        <f t="shared" si="222"/>
        <v>1.56728790693674-0.096040288691204i</v>
      </c>
      <c r="IV16" s="1" t="str">
        <f t="shared" si="223"/>
        <v>11.1593101004052+0.219825387171424i</v>
      </c>
      <c r="IW16" s="1" t="str">
        <f t="shared" si="224"/>
        <v>11.7288453838558+0.470460100539963i</v>
      </c>
      <c r="IX16" s="92" t="str">
        <f t="shared" si="225"/>
        <v>4.5663715689823-2409.59043051703i</v>
      </c>
      <c r="IY16" s="1" t="str">
        <f t="shared" si="226"/>
        <v>0.00566225018129512+2.98786545201857i</v>
      </c>
      <c r="JD16" s="1">
        <f t="shared" si="124"/>
        <v>25</v>
      </c>
      <c r="JE16" s="1">
        <f t="shared" si="227"/>
        <v>2.9878708172280888</v>
      </c>
      <c r="JJ16" s="1">
        <f t="shared" si="126"/>
        <v>25</v>
      </c>
      <c r="JK16" s="1" t="str">
        <f t="shared" si="127"/>
        <v>7.26014974425503E-06-0.0181503743606376i</v>
      </c>
      <c r="JL16" s="1" t="str">
        <f t="shared" si="128"/>
        <v>0.0000142239668458874-0.0355599171147186i</v>
      </c>
      <c r="JM16" s="1" t="str">
        <f t="shared" si="129"/>
        <v>0.0000351524597311121-0.0878811493277807i</v>
      </c>
      <c r="JN16" s="1" t="str">
        <f t="shared" si="130"/>
        <v>0.0000490924411278198-0.122731102819549i</v>
      </c>
      <c r="JO16" s="1" t="str">
        <f t="shared" si="131"/>
        <v>0.453759431617438i</v>
      </c>
      <c r="JP16" s="1" t="str">
        <f t="shared" si="132"/>
        <v>0.453570443932466i</v>
      </c>
      <c r="JQ16" s="1" t="str">
        <f t="shared" si="133"/>
        <v>0.4539316290742i</v>
      </c>
      <c r="JR16" s="1" t="str">
        <f t="shared" si="134"/>
        <v>0.453887287191293i</v>
      </c>
      <c r="JS16" s="1" t="str">
        <f t="shared" si="9"/>
        <v>0.005</v>
      </c>
      <c r="JT16" s="1" t="str">
        <f t="shared" si="10"/>
        <v>0.01</v>
      </c>
      <c r="JU16" s="1" t="str">
        <f t="shared" si="11"/>
        <v>0.0125</v>
      </c>
      <c r="JV16" s="1" t="str">
        <f t="shared" si="135"/>
        <v>0.00500726014974426+0.4356090572568i</v>
      </c>
      <c r="JW16" s="1" t="str">
        <f t="shared" si="136"/>
        <v>-0.005</v>
      </c>
      <c r="JX16" s="1" t="str">
        <f t="shared" si="137"/>
        <v>0.000433847790991312-1.08461947747828i</v>
      </c>
      <c r="JY16" s="1" t="str">
        <f t="shared" si="138"/>
        <v>-0.005</v>
      </c>
      <c r="JZ16" s="1" t="str">
        <f t="shared" si="139"/>
        <v>0.0150142239668459+0.418010526817747i</v>
      </c>
      <c r="KA16" s="1" t="str">
        <f t="shared" si="140"/>
        <v>-0.01</v>
      </c>
      <c r="KB16" s="1" t="str">
        <f t="shared" si="141"/>
        <v>0.000849987508880937-2.12496877220235i</v>
      </c>
      <c r="KC16" s="1" t="str">
        <f t="shared" si="142"/>
        <v>-0.01</v>
      </c>
      <c r="KD16" s="1" t="str">
        <f t="shared" si="143"/>
        <v>0.0225351524597311+0.366050479746419i</v>
      </c>
      <c r="KE16" s="1" t="str">
        <f t="shared" si="144"/>
        <v>-0.0125</v>
      </c>
      <c r="KF16" s="1" t="str">
        <f t="shared" si="145"/>
        <v>0.00210062017168751-5.2515504292188i</v>
      </c>
      <c r="KG16" s="1" t="str">
        <f t="shared" si="146"/>
        <v>-0.0125</v>
      </c>
      <c r="KH16" s="1" t="str">
        <f t="shared" si="147"/>
        <v>0.0125490924411278+0.331156184371744i</v>
      </c>
      <c r="KI16" s="1" t="str">
        <f t="shared" si="148"/>
        <v>0.00293363744384602-7.33409360961501i</v>
      </c>
      <c r="KK16" s="1" t="str">
        <f t="shared" si="149"/>
        <v>0.00500726014974426+0.4356090572568i</v>
      </c>
      <c r="KL16" s="1" t="str">
        <f t="shared" si="150"/>
        <v>0.000433847790991312-1.08461947747828i</v>
      </c>
      <c r="KM16" s="1" t="str">
        <f t="shared" si="151"/>
        <v>-0.000131922531787078+0.0114766654785521i</v>
      </c>
      <c r="KN16" s="1" t="str">
        <f t="shared" si="152"/>
        <v>0.015013564354187+0.41806791014514i</v>
      </c>
      <c r="KO16" s="1" t="str">
        <f t="shared" si="153"/>
        <v>-0.0115977701713603-2.12511683707581i</v>
      </c>
      <c r="KP16" s="1" t="str">
        <f t="shared" si="154"/>
        <v>-0.000857887644818857+0.023888750622282i</v>
      </c>
      <c r="KQ16" s="1" t="str">
        <f t="shared" si="155"/>
        <v>0.0225265735832829+0.366289367252642i</v>
      </c>
      <c r="KR16" s="1" t="str">
        <f t="shared" si="156"/>
        <v>-0.0486757155761667-5.25309648445773i</v>
      </c>
      <c r="KS16" s="1" t="str">
        <f t="shared" si="157"/>
        <v>-0.0020908219350963+0.0339974404368673i</v>
      </c>
      <c r="KT16" s="1" t="str">
        <f t="shared" si="158"/>
        <v>0.0125229571669391+0.331581152377205i</v>
      </c>
      <c r="KU16" s="1" t="str">
        <f t="shared" si="159"/>
        <v>-0.175601243451993-7.34514508215485i</v>
      </c>
      <c r="KV16" s="1" t="str">
        <f t="shared" si="160"/>
        <v>-22.1402982861287-0.306593915002755i</v>
      </c>
      <c r="KW16" s="1" t="str">
        <f t="shared" si="161"/>
        <v>-14.352203397134+0.00579726968577371i</v>
      </c>
      <c r="KX16" s="1" t="str">
        <f t="shared" si="162"/>
        <v>-5.08980766322593+0.18825565734787i</v>
      </c>
      <c r="KY16" s="1" t="str">
        <f t="shared" si="163"/>
        <v>-2.48806244915765+0.0288258803718898i</v>
      </c>
      <c r="KZ16" s="92" t="str">
        <f t="shared" si="164"/>
        <v>-0.0000712890230795015-1.12977895164334i</v>
      </c>
      <c r="LA16" s="1" t="str">
        <f t="shared" si="165"/>
        <v>-0.013080015093421-1.12898180275847i</v>
      </c>
      <c r="LB16" s="1" t="str">
        <f t="shared" si="166"/>
        <v>0.0130087260703414-0.0007971488848799i</v>
      </c>
      <c r="LC16" s="1" t="str">
        <f t="shared" si="167"/>
        <v>-0.00577197080733252-2.30596458857875i</v>
      </c>
      <c r="LD16" s="1" t="str">
        <f t="shared" si="168"/>
        <v>0.0020956647007091-6.5128387629333i</v>
      </c>
      <c r="LE16" s="1" t="str">
        <f t="shared" si="169"/>
        <v>0.0416491680400614-10.0513817835816i</v>
      </c>
      <c r="LF16" s="1" t="str">
        <f t="shared" si="170"/>
        <v>-0.013080015093421-1.12898180275847i</v>
      </c>
      <c r="LG16" s="1" t="str">
        <f t="shared" si="171"/>
        <v>-0.0853872020760716-2.30858632134025i</v>
      </c>
      <c r="LH16" s="1" t="str">
        <f t="shared" si="172"/>
        <v>-0.00263156407264574-6.5149190688653i</v>
      </c>
      <c r="LI16" s="1" t="str">
        <f t="shared" si="173"/>
        <v>0.139159080349958-10.049199926697i</v>
      </c>
      <c r="LJ16" s="1" t="str">
        <f t="shared" si="174"/>
        <v>0.0130087260703414-0.0007971488848799i</v>
      </c>
      <c r="LK16" s="1" t="str">
        <f t="shared" si="175"/>
        <v>0.0926239573390807+0.00182458387662096i</v>
      </c>
      <c r="LL16" s="1" t="str">
        <f t="shared" si="176"/>
        <v>0.0973511861124338+0.00390488980860661i</v>
      </c>
      <c r="LM16" s="92" t="str">
        <f t="shared" si="177"/>
        <v>0.0379015729103585-19.999964086737i</v>
      </c>
      <c r="LN16" s="1" t="str">
        <f t="shared" si="178"/>
        <v>0.00566225018129516+2.98786545201857i</v>
      </c>
      <c r="LS16" s="1">
        <f t="shared" si="179"/>
        <v>25</v>
      </c>
      <c r="LT16" s="1">
        <f t="shared" si="180"/>
        <v>2.9878708172280888</v>
      </c>
      <c r="LU16" s="1">
        <f t="shared" si="181"/>
        <v>19.999999999999968</v>
      </c>
    </row>
    <row r="17" spans="2:333" ht="18" customHeight="1" x14ac:dyDescent="0.25">
      <c r="B17" s="28"/>
      <c r="C17" s="24"/>
      <c r="D17" s="24"/>
      <c r="E17" s="24"/>
      <c r="F17" s="24"/>
      <c r="G17" s="24"/>
      <c r="H17" s="24"/>
      <c r="I17" s="24"/>
      <c r="J17" s="24"/>
      <c r="K17" s="24"/>
      <c r="L17" s="24"/>
      <c r="M17" s="24"/>
      <c r="N17" s="24"/>
      <c r="O17" s="24"/>
      <c r="P17" s="24"/>
      <c r="Q17" s="24"/>
      <c r="R17" s="32" t="s">
        <v>31</v>
      </c>
      <c r="S17" s="260">
        <v>12.47</v>
      </c>
      <c r="T17" s="260"/>
      <c r="U17" s="260"/>
      <c r="V17" s="33" t="s">
        <v>32</v>
      </c>
      <c r="W17" s="177" t="s">
        <v>48</v>
      </c>
      <c r="X17" s="177"/>
      <c r="Y17" s="177"/>
      <c r="Z17" s="177"/>
      <c r="AA17" s="177"/>
      <c r="AB17" s="177"/>
      <c r="AC17" s="177"/>
      <c r="AD17" s="177"/>
      <c r="AE17" s="177"/>
      <c r="AF17" s="177"/>
      <c r="AG17" s="177"/>
      <c r="AH17" s="177"/>
      <c r="AI17" s="177"/>
      <c r="AJ17" s="272"/>
      <c r="AK17" s="260">
        <v>60</v>
      </c>
      <c r="AL17" s="260"/>
      <c r="AM17" s="260"/>
      <c r="AN17" s="33" t="s">
        <v>49</v>
      </c>
      <c r="AO17" s="24"/>
      <c r="AP17" s="8"/>
      <c r="AR17" s="6"/>
      <c r="AY17" s="29" t="str">
        <f>"% "&amp;$AK$17&amp;"HZ KVAR:"</f>
        <v>% 60HZ KVAR:</v>
      </c>
      <c r="AZ17" s="202">
        <f>CA18/AE29</f>
        <v>0.64131528175867203</v>
      </c>
      <c r="BA17" s="202"/>
      <c r="BB17" s="202"/>
      <c r="BC17" s="202"/>
      <c r="BD17" s="202"/>
      <c r="BE17" s="81"/>
      <c r="BF17" s="202">
        <f>CP49/AE29</f>
        <v>0.7603740946754729</v>
      </c>
      <c r="BG17" s="202"/>
      <c r="BH17" s="202"/>
      <c r="BI17" s="202"/>
      <c r="BJ17" s="202"/>
      <c r="BK17" s="79"/>
      <c r="BL17" s="203">
        <v>1.35</v>
      </c>
      <c r="BM17" s="203"/>
      <c r="BN17" s="203"/>
      <c r="BO17" s="203"/>
      <c r="BQ17" s="23"/>
      <c r="BR17" s="23"/>
      <c r="BS17" s="23"/>
      <c r="BT17" s="23"/>
      <c r="BU17" s="23"/>
      <c r="BV17" s="23"/>
      <c r="BW17" s="23"/>
      <c r="BX17" s="23"/>
      <c r="BY17" s="23"/>
      <c r="BZ17" s="32" t="s">
        <v>56</v>
      </c>
      <c r="CA17" s="211">
        <f>CO46</f>
        <v>175.47610426836656</v>
      </c>
      <c r="CB17" s="211"/>
      <c r="CC17" s="211"/>
      <c r="CD17" s="24" t="s">
        <v>39</v>
      </c>
      <c r="CE17" s="24"/>
      <c r="CF17" s="8"/>
      <c r="CJ17" s="1" t="s">
        <v>3</v>
      </c>
      <c r="EA17" s="1">
        <f t="shared" si="182"/>
        <v>3.4</v>
      </c>
      <c r="EB17" s="1" t="str">
        <f t="shared" si="12"/>
        <v>0.000392522064357087-0.13345750188141i</v>
      </c>
      <c r="EC17" s="1" t="str">
        <f t="shared" si="13"/>
        <v>0.000769022819964906-0.261467758788068i</v>
      </c>
      <c r="ED17" s="1" t="str">
        <f t="shared" si="14"/>
        <v>0.00190052775038202-0.646179435129888i</v>
      </c>
      <c r="EE17" s="1" t="str">
        <f t="shared" si="15"/>
        <v>0.00265419681612886-0.902426917483816i</v>
      </c>
      <c r="EF17" s="1" t="str">
        <f t="shared" si="16"/>
        <v>0.0617112826999715i</v>
      </c>
      <c r="EG17" s="1" t="str">
        <f t="shared" si="17"/>
        <v>0.0616855803748155i</v>
      </c>
      <c r="EH17" s="1" t="str">
        <f t="shared" si="18"/>
        <v>0.061734701554091i</v>
      </c>
      <c r="EI17" s="1" t="str">
        <f t="shared" si="19"/>
        <v>0.0617286710580161i</v>
      </c>
      <c r="EJ17" s="1" t="str">
        <f t="shared" si="1"/>
        <v>0.005</v>
      </c>
      <c r="EK17" s="1" t="str">
        <f t="shared" si="2"/>
        <v>0.01</v>
      </c>
      <c r="EL17" s="1" t="str">
        <f t="shared" si="3"/>
        <v>0.0125</v>
      </c>
      <c r="EM17" s="1" t="str">
        <f t="shared" si="20"/>
        <v>0.00539252206435709-0.0717462191814385i</v>
      </c>
      <c r="EN17" s="1" t="str">
        <f t="shared" si="21"/>
        <v>-0.005</v>
      </c>
      <c r="EO17" s="1" t="str">
        <f t="shared" si="22"/>
        <v>2.82598531240731-960.83500621849i</v>
      </c>
      <c r="EP17" s="1" t="str">
        <f t="shared" si="23"/>
        <v>-0.005</v>
      </c>
      <c r="EQ17" s="1" t="str">
        <f t="shared" si="24"/>
        <v>0.0157690228199649-0.199782178413252i</v>
      </c>
      <c r="ER17" s="1" t="str">
        <f t="shared" si="25"/>
        <v>-0.01</v>
      </c>
      <c r="ES17" s="1" t="str">
        <f t="shared" si="26"/>
        <v>5.5366242855327-1882.45225708112i</v>
      </c>
      <c r="ET17" s="1" t="str">
        <f t="shared" si="27"/>
        <v>-0.01</v>
      </c>
      <c r="EU17" s="1" t="str">
        <f t="shared" si="28"/>
        <v>0.024400527750382-0.584444733575797i</v>
      </c>
      <c r="EV17" s="1" t="str">
        <f t="shared" si="29"/>
        <v>-0.0125</v>
      </c>
      <c r="EW17" s="1" t="str">
        <f t="shared" si="30"/>
        <v>13.6829594973191-4652.2062290885i</v>
      </c>
      <c r="EX17" s="1" t="str">
        <f t="shared" si="31"/>
        <v>-0.0125</v>
      </c>
      <c r="EY17" s="1" t="str">
        <f t="shared" si="32"/>
        <v>0.0151541968161289-0.8406982464258i</v>
      </c>
      <c r="EZ17" s="1" t="str">
        <f t="shared" si="33"/>
        <v>19.1090435410398-6497.07480395357i</v>
      </c>
      <c r="FB17" s="1" t="str">
        <f t="shared" si="34"/>
        <v>0.00539252206435709-0.0717462191814385i</v>
      </c>
      <c r="FC17" s="1" t="str">
        <f t="shared" si="35"/>
        <v>2.82598531240731-960.83500621849i</v>
      </c>
      <c r="FD17" s="1" t="str">
        <f t="shared" si="36"/>
        <v>-0.00520855661450978-0.069298602773191i</v>
      </c>
      <c r="FE17" s="1" t="str">
        <f t="shared" si="37"/>
        <v>0.0157429800368924-0.200128671427118i</v>
      </c>
      <c r="FF17" s="1" t="str">
        <f t="shared" si="38"/>
        <v>72.1358670165358-1887.2609837746i</v>
      </c>
      <c r="FG17" s="1" t="str">
        <f t="shared" si="39"/>
        <v>-0.00390651194090986-0.0496605498334092i</v>
      </c>
      <c r="FH17" s="1" t="str">
        <f t="shared" si="40"/>
        <v>0.0243614626309729-0.584941339074131i</v>
      </c>
      <c r="FI17" s="1" t="str">
        <f t="shared" si="41"/>
        <v>107.687177256575-4655.99652983848i</v>
      </c>
      <c r="FJ17" s="1" t="str">
        <f t="shared" si="42"/>
        <v>-0.000888456353756264-0.0213326620469156i</v>
      </c>
      <c r="FK17" s="1" t="str">
        <f t="shared" si="43"/>
        <v>0.0151430911117069-0.840964904701387i</v>
      </c>
      <c r="FL17" s="1" t="str">
        <f t="shared" si="44"/>
        <v>118.365143511044-6500.91619218603i</v>
      </c>
      <c r="FM17" s="1" t="str">
        <f t="shared" si="45"/>
        <v>7730.33409187125+1.55058793371014i</v>
      </c>
      <c r="FN17" s="1" t="str">
        <f t="shared" si="46"/>
        <v>7960.47305183285+17.7583390572381i</v>
      </c>
      <c r="FO17" s="1" t="str">
        <f t="shared" si="47"/>
        <v>9430.63757007612+16.3607668538419i</v>
      </c>
      <c r="FP17" s="1" t="str">
        <f t="shared" si="48"/>
        <v>13367.834777612-308.130115849844i</v>
      </c>
      <c r="FQ17" s="92" t="str">
        <f t="shared" si="49"/>
        <v>38.7010907252642+823.323776634206i</v>
      </c>
      <c r="FR17" s="1" t="str">
        <f t="shared" si="50"/>
        <v>19.0151046875847+824.946231047725i</v>
      </c>
      <c r="FS17" s="1" t="str">
        <f t="shared" si="51"/>
        <v>19.6859860376794-1.62245441351843i</v>
      </c>
      <c r="FT17" s="1" t="str">
        <f t="shared" si="52"/>
        <v>-5.99356425400238+583.342830506174i</v>
      </c>
      <c r="FU17" s="1" t="str">
        <f t="shared" si="53"/>
        <v>-12.9212139447086+491.654000695364i</v>
      </c>
      <c r="FV17" s="1" t="str">
        <f t="shared" si="54"/>
        <v>-2.80807688252286+478.982646128299i</v>
      </c>
      <c r="FW17" s="1" t="str">
        <f t="shared" si="55"/>
        <v>19.0151046875847+824.946231047725i</v>
      </c>
      <c r="FX17" s="1" t="str">
        <f t="shared" si="56"/>
        <v>-1.00922339875628+581.734351814685i</v>
      </c>
      <c r="FY17" s="1" t="str">
        <f t="shared" si="57"/>
        <v>-1.09630576179495+491.437428084285i</v>
      </c>
      <c r="FZ17" s="1" t="str">
        <f t="shared" si="58"/>
        <v>-0.0957157325065221+477.183250325688i</v>
      </c>
      <c r="GA17" s="1" t="str">
        <f t="shared" si="59"/>
        <v>19.6859860376794-1.62245441351843i</v>
      </c>
      <c r="GB17" s="1" t="str">
        <f t="shared" si="60"/>
        <v>14.7016451824327-0.013975722033962i</v>
      </c>
      <c r="GC17" s="1" t="str">
        <f t="shared" si="61"/>
        <v>2.87673699952+0.2025968890441i</v>
      </c>
      <c r="GD17" s="92" t="str">
        <f t="shared" si="62"/>
        <v>16.9782356440304+2377.30325396404i</v>
      </c>
      <c r="GE17" s="1" t="str">
        <f t="shared" si="63"/>
        <v>0.0216275369491963-3.02830135253952i</v>
      </c>
      <c r="GF17" s="1">
        <f t="shared" si="64"/>
        <v>3.4</v>
      </c>
      <c r="GG17" s="56">
        <f t="shared" si="65"/>
        <v>2.1657555293545863</v>
      </c>
      <c r="GH17" s="1">
        <f t="shared" si="66"/>
        <v>1.1662070030441691</v>
      </c>
      <c r="GJ17" s="1">
        <f t="shared" si="67"/>
        <v>2377.3638808128626</v>
      </c>
      <c r="GK17" s="1">
        <f t="shared" si="68"/>
        <v>3.028378581377694</v>
      </c>
      <c r="GM17" s="1" t="str">
        <f t="shared" si="69"/>
        <v>0.0191834803010191+1.63059582558663i</v>
      </c>
      <c r="GP17" s="1">
        <f t="shared" si="4"/>
        <v>3.4</v>
      </c>
      <c r="GQ17" s="1">
        <f t="shared" si="5"/>
        <v>3.028378581377694</v>
      </c>
      <c r="GR17" s="1">
        <f t="shared" si="70"/>
        <v>1.6307086656840339</v>
      </c>
      <c r="GS17" s="1">
        <f t="shared" si="71"/>
        <v>3.5317163094716375</v>
      </c>
      <c r="GU17" s="15">
        <f>AH20</f>
        <v>29</v>
      </c>
      <c r="GV17" s="1" t="str">
        <f t="shared" si="72"/>
        <v>0.0000053954741695921-0.0156468750918171i</v>
      </c>
      <c r="GW17" s="1" t="str">
        <f t="shared" si="73"/>
        <v>0.0000105707249036906-0.0306551022207029i</v>
      </c>
      <c r="GX17" s="1" t="str">
        <f t="shared" si="74"/>
        <v>0.0000261240050354231-0.0757596146027269i</v>
      </c>
      <c r="GY17" s="1" t="str">
        <f t="shared" si="75"/>
        <v>0.000036483682480099-0.105802679192287i</v>
      </c>
      <c r="GZ17" s="1" t="str">
        <f t="shared" si="76"/>
        <v>0.526360940676228i</v>
      </c>
      <c r="HA17" s="1" t="str">
        <f t="shared" si="77"/>
        <v>0.52614171496166i</v>
      </c>
      <c r="HB17" s="1" t="str">
        <f t="shared" si="78"/>
        <v>0.52656068972607i</v>
      </c>
      <c r="HC17" s="1" t="str">
        <f t="shared" si="79"/>
        <v>0.5265092531419i</v>
      </c>
      <c r="HD17" s="1" t="str">
        <f t="shared" si="6"/>
        <v>0.005</v>
      </c>
      <c r="HE17" s="1" t="str">
        <f t="shared" si="7"/>
        <v>0.01</v>
      </c>
      <c r="HF17" s="1" t="str">
        <f t="shared" si="8"/>
        <v>0.0125</v>
      </c>
      <c r="HG17" s="1" t="str">
        <f t="shared" si="183"/>
        <v>0.00500539547416959+0.510714065584411i</v>
      </c>
      <c r="HH17" s="1" t="str">
        <f t="shared" si="184"/>
        <v>-0.005</v>
      </c>
      <c r="HI17" s="1" t="str">
        <f t="shared" si="185"/>
        <v>0.0388450284488193-112.650582501576i</v>
      </c>
      <c r="HJ17" s="1" t="str">
        <f t="shared" si="186"/>
        <v>-0.005</v>
      </c>
      <c r="HK17" s="1" t="str">
        <f t="shared" si="187"/>
        <v>0.0150105707249037+0.495486612740957i</v>
      </c>
      <c r="HL17" s="1" t="str">
        <f t="shared" si="188"/>
        <v>-0.01</v>
      </c>
      <c r="HM17" s="1" t="str">
        <f t="shared" si="189"/>
        <v>0.0761045455323804-220.703182043904i</v>
      </c>
      <c r="HN17" s="1" t="str">
        <f t="shared" si="190"/>
        <v>-0.01</v>
      </c>
      <c r="HO17" s="1" t="str">
        <f t="shared" si="191"/>
        <v>0.0225261240050354+0.450801075123343i</v>
      </c>
      <c r="HP17" s="1" t="str">
        <f t="shared" si="192"/>
        <v>-0.0125</v>
      </c>
      <c r="HQ17" s="1" t="str">
        <f t="shared" si="193"/>
        <v>0.188081285703723-545.435728540796i</v>
      </c>
      <c r="HR17" s="1" t="str">
        <f t="shared" si="194"/>
        <v>-0.0125</v>
      </c>
      <c r="HS17" s="1" t="str">
        <f t="shared" si="195"/>
        <v>0.0125364836824801+0.420706573949613i</v>
      </c>
      <c r="HT17" s="1" t="str">
        <f t="shared" si="196"/>
        <v>0.262666382844398-761.732510248752i</v>
      </c>
      <c r="HV17" s="1" t="str">
        <f t="shared" si="197"/>
        <v>0.00500539547416959+0.510714065584411i</v>
      </c>
      <c r="HW17" s="1" t="str">
        <f t="shared" si="198"/>
        <v>0.0388450284488193-112.650582501576i</v>
      </c>
      <c r="HX17" s="1" t="str">
        <f t="shared" si="199"/>
        <v>-0.000095942503974771+0.00978927369878459i</v>
      </c>
      <c r="HY17" s="1" t="str">
        <f t="shared" si="200"/>
        <v>0.0150100910123838+0.495535559109451i</v>
      </c>
      <c r="HZ17" s="1" t="str">
        <f t="shared" si="201"/>
        <v>-1.02665911201377-220.714370287479i</v>
      </c>
      <c r="IA17" s="1" t="str">
        <f t="shared" si="202"/>
        <v>-0.000610710496069981+0.0201616876855956i</v>
      </c>
      <c r="IB17" s="1" t="str">
        <f t="shared" si="203"/>
        <v>0.0225200169000747+0.451002692000199i</v>
      </c>
      <c r="IC17" s="1" t="str">
        <f t="shared" si="204"/>
        <v>-4.26251990725092-545.549821942988i</v>
      </c>
      <c r="ID17" s="1" t="str">
        <f t="shared" si="205"/>
        <v>-0.00138050812343659+0.0276470876003641i</v>
      </c>
      <c r="IE17" s="1" t="str">
        <f t="shared" si="206"/>
        <v>0.0125192273309371+0.421052162544618i</v>
      </c>
      <c r="IF17" s="1" t="str">
        <f t="shared" si="207"/>
        <v>-14.8167833367486-762.490688602597i</v>
      </c>
      <c r="IG17" s="1" t="str">
        <f t="shared" si="208"/>
        <v>-1810.36323569738-18.6379889728892i</v>
      </c>
      <c r="IH17" s="1" t="str">
        <f t="shared" si="209"/>
        <v>-1210.11436014541-0.797634901986922i</v>
      </c>
      <c r="II17" s="1" t="str">
        <f t="shared" si="210"/>
        <v>-445.815230502433+12.9881204498948i</v>
      </c>
      <c r="IJ17" s="1" t="str">
        <f t="shared" si="211"/>
        <v>-220.468359872838+2.12780470832489i</v>
      </c>
      <c r="IK17" s="92" t="str">
        <f t="shared" si="212"/>
        <v>0.00674106529878565-116.100234870719i</v>
      </c>
      <c r="IL17" s="1" t="str">
        <f t="shared" si="213"/>
        <v>-1.1199932878492-116.045933292012i</v>
      </c>
      <c r="IM17" s="1" t="str">
        <f t="shared" si="214"/>
        <v>1.12673435314797-0.0543015787078495i</v>
      </c>
      <c r="IN17" s="1" t="str">
        <f t="shared" si="215"/>
        <v>-0.31733502435443-234.369830800351i</v>
      </c>
      <c r="IO17" s="1" t="str">
        <f t="shared" si="216"/>
        <v>0.280122832109812-637.113505253219i</v>
      </c>
      <c r="IP17" s="1" t="str">
        <f t="shared" si="217"/>
        <v>2.3006642683972-953.27311091428i</v>
      </c>
      <c r="IQ17" s="1" t="str">
        <f t="shared" si="218"/>
        <v>-1.1199932878492-116.045933292012i</v>
      </c>
      <c r="IR17" s="1" t="str">
        <f t="shared" si="219"/>
        <v>-6.83359196763626-234.561989932578i</v>
      </c>
      <c r="IS17" s="1" t="str">
        <f t="shared" si="220"/>
        <v>0.42000318413982-637.198652125589i</v>
      </c>
      <c r="IT17" s="1" t="str">
        <f t="shared" si="221"/>
        <v>9.81307365418286-953.172995142581i</v>
      </c>
      <c r="IU17" s="1" t="str">
        <f t="shared" si="222"/>
        <v>1.12673435314797-0.0543015787078495i</v>
      </c>
      <c r="IV17" s="1" t="str">
        <f t="shared" si="223"/>
        <v>7.64299129642977+0.137857553518817i</v>
      </c>
      <c r="IW17" s="1" t="str">
        <f t="shared" si="224"/>
        <v>7.50311094439962+0.223004425886279i</v>
      </c>
      <c r="IX17" s="92" t="str">
        <f t="shared" si="225"/>
        <v>2.27019314145137-1940.85668183857i</v>
      </c>
      <c r="IY17" s="1" t="str">
        <f t="shared" si="226"/>
        <v>0.00433891462767416+3.70946916070087i</v>
      </c>
      <c r="JD17" s="1">
        <f t="shared" si="124"/>
        <v>29</v>
      </c>
      <c r="JE17" s="1">
        <f t="shared" si="227"/>
        <v>3.709471698284132</v>
      </c>
      <c r="JJ17" s="1">
        <f t="shared" si="126"/>
        <v>29</v>
      </c>
      <c r="JK17" s="1" t="str">
        <f t="shared" si="127"/>
        <v>0.0000053954741695921-0.0156468750918171i</v>
      </c>
      <c r="JL17" s="1" t="str">
        <f t="shared" si="128"/>
        <v>0.0000105707249036906-0.0306551022207029i</v>
      </c>
      <c r="JM17" s="1" t="str">
        <f t="shared" si="129"/>
        <v>0.0000261240050354231-0.0757596146027269i</v>
      </c>
      <c r="JN17" s="1" t="str">
        <f t="shared" si="130"/>
        <v>0.000036483682480099-0.105802679192287i</v>
      </c>
      <c r="JO17" s="1" t="str">
        <f t="shared" si="131"/>
        <v>0.526360940676228i</v>
      </c>
      <c r="JP17" s="1" t="str">
        <f t="shared" si="132"/>
        <v>0.52614171496166i</v>
      </c>
      <c r="JQ17" s="1" t="str">
        <f t="shared" si="133"/>
        <v>0.52656068972607i</v>
      </c>
      <c r="JR17" s="1" t="str">
        <f t="shared" si="134"/>
        <v>0.5265092531419i</v>
      </c>
      <c r="JS17" s="1" t="str">
        <f t="shared" si="9"/>
        <v>0.005</v>
      </c>
      <c r="JT17" s="1" t="str">
        <f t="shared" si="10"/>
        <v>0.01</v>
      </c>
      <c r="JU17" s="1" t="str">
        <f t="shared" si="11"/>
        <v>0.0125</v>
      </c>
      <c r="JV17" s="1" t="str">
        <f t="shared" si="135"/>
        <v>0.00500539547416959+0.510714065584411i</v>
      </c>
      <c r="JW17" s="1" t="str">
        <f t="shared" si="136"/>
        <v>-0.005</v>
      </c>
      <c r="JX17" s="1" t="str">
        <f t="shared" si="137"/>
        <v>0.0000400287174618499-0.116083280639365i</v>
      </c>
      <c r="JY17" s="1" t="str">
        <f t="shared" si="138"/>
        <v>-0.005</v>
      </c>
      <c r="JZ17" s="1" t="str">
        <f t="shared" si="139"/>
        <v>0.0150105707249037+0.495486612740957i</v>
      </c>
      <c r="KA17" s="1" t="str">
        <f t="shared" si="140"/>
        <v>-0.01</v>
      </c>
      <c r="KB17" s="1" t="str">
        <f t="shared" si="141"/>
        <v>0.0000784236097211751-0.227428468191409i</v>
      </c>
      <c r="KC17" s="1" t="str">
        <f t="shared" si="142"/>
        <v>-0.01</v>
      </c>
      <c r="KD17" s="1" t="str">
        <f t="shared" si="143"/>
        <v>0.0225261240050354+0.450801075123343i</v>
      </c>
      <c r="KE17" s="1" t="str">
        <f t="shared" si="144"/>
        <v>-0.0125</v>
      </c>
      <c r="KF17" s="1" t="str">
        <f t="shared" si="145"/>
        <v>0.000193812514649468-0.562056292483457i</v>
      </c>
      <c r="KG17" s="1" t="str">
        <f t="shared" si="146"/>
        <v>-0.0125</v>
      </c>
      <c r="KH17" s="1" t="str">
        <f t="shared" si="147"/>
        <v>0.0125364836824801+0.420706573949613i</v>
      </c>
      <c r="KI17" s="1" t="str">
        <f t="shared" si="148"/>
        <v>0.000270670375218224-0.784944088132848i</v>
      </c>
      <c r="KK17" s="1" t="str">
        <f t="shared" si="149"/>
        <v>0.00500539547416959+0.510714065584411i</v>
      </c>
      <c r="KL17" s="1" t="str">
        <f t="shared" si="150"/>
        <v>0.0000400287174618499-0.116083280639365i</v>
      </c>
      <c r="KM17" s="1" t="str">
        <f t="shared" si="151"/>
        <v>-0.000095942503974771+0.00978927369878459i</v>
      </c>
      <c r="KN17" s="1" t="str">
        <f t="shared" si="152"/>
        <v>0.0150100910123838+0.495535559109451i</v>
      </c>
      <c r="KO17" s="1" t="str">
        <f t="shared" si="153"/>
        <v>-0.00105794355585501-0.227439997364094i</v>
      </c>
      <c r="KP17" s="1" t="str">
        <f t="shared" si="154"/>
        <v>-0.000610710496069981+0.0201616876855956i</v>
      </c>
      <c r="KQ17" s="1" t="str">
        <f t="shared" si="155"/>
        <v>0.0225200169000747+0.451002692000199i</v>
      </c>
      <c r="KR17" s="1" t="str">
        <f t="shared" si="156"/>
        <v>-0.00439240777665189-0.562173862549511i</v>
      </c>
      <c r="KS17" s="1" t="str">
        <f t="shared" si="157"/>
        <v>-0.00138050812343659+0.0276470876003641i</v>
      </c>
      <c r="KT17" s="1" t="str">
        <f t="shared" si="158"/>
        <v>0.0125192273309371+0.421052162544618i</v>
      </c>
      <c r="KU17" s="1" t="str">
        <f t="shared" si="159"/>
        <v>-0.0152682816196569-0.785725369762021i</v>
      </c>
      <c r="KV17" s="1" t="str">
        <f t="shared" si="160"/>
        <v>-1.86552877829733-0.0192059273591685i</v>
      </c>
      <c r="KW17" s="1" t="str">
        <f t="shared" si="161"/>
        <v>-1.24698906792177-0.000821940500607819i</v>
      </c>
      <c r="KX17" s="1" t="str">
        <f t="shared" si="162"/>
        <v>-0.459400150150071+0.0133838955616755i</v>
      </c>
      <c r="KY17" s="1" t="str">
        <f t="shared" si="163"/>
        <v>-0.22718649049916+0.00219264335449649i</v>
      </c>
      <c r="KZ17" s="92" t="str">
        <f t="shared" si="164"/>
        <v>6.94647961430899E-06-0.119638051109104i</v>
      </c>
      <c r="LA17" s="1" t="str">
        <f t="shared" si="165"/>
        <v>-0.00115412181864025-0.119582094848069i</v>
      </c>
      <c r="LB17" s="1" t="str">
        <f t="shared" si="166"/>
        <v>0.00116106829825456-0.000055956261035895i</v>
      </c>
      <c r="LC17" s="1" t="str">
        <f t="shared" si="167"/>
        <v>-0.000327004884225249-0.241511568231944i</v>
      </c>
      <c r="LD17" s="1" t="str">
        <f t="shared" si="168"/>
        <v>0.000288658758891395-0.656527682210646i</v>
      </c>
      <c r="LE17" s="1" t="str">
        <f t="shared" si="169"/>
        <v>0.00237077030579558-0.982321330284064i</v>
      </c>
      <c r="LF17" s="1" t="str">
        <f t="shared" si="170"/>
        <v>-0.00115412181864025-0.119582094848069i</v>
      </c>
      <c r="LG17" s="1" t="str">
        <f t="shared" si="171"/>
        <v>-0.0070418257636877-0.241709582853602i</v>
      </c>
      <c r="LH17" s="1" t="str">
        <f t="shared" si="172"/>
        <v>0.000432801556913844-0.656615423685756i</v>
      </c>
      <c r="LI17" s="1" t="str">
        <f t="shared" si="173"/>
        <v>0.0101120984697734-0.982218163776048i</v>
      </c>
      <c r="LJ17" s="1" t="str">
        <f t="shared" si="174"/>
        <v>0.00116106829825456-0.000055956261035895i</v>
      </c>
      <c r="LK17" s="1" t="str">
        <f t="shared" si="175"/>
        <v>0.00787588917771699+0.000142058360622833i</v>
      </c>
      <c r="LL17" s="1" t="str">
        <f t="shared" si="176"/>
        <v>0.0077317463796945+0.000229799835732009i</v>
      </c>
      <c r="LM17" s="92" t="str">
        <f t="shared" si="177"/>
        <v>0.00233937066007603-1.99999863183576i</v>
      </c>
      <c r="LN17" s="1" t="str">
        <f t="shared" si="178"/>
        <v>0.00433891462767415+3.70946916070087i</v>
      </c>
      <c r="LS17" s="1">
        <f t="shared" si="179"/>
        <v>29</v>
      </c>
      <c r="LT17" s="1">
        <f t="shared" si="180"/>
        <v>3.709471698284132</v>
      </c>
      <c r="LU17" s="1">
        <f t="shared" si="181"/>
        <v>1.9999999999999996</v>
      </c>
    </row>
    <row r="18" spans="2:333" ht="18" customHeight="1" x14ac:dyDescent="0.25">
      <c r="B18" s="28"/>
      <c r="C18" s="24"/>
      <c r="AP18" s="8"/>
      <c r="AR18" s="6"/>
      <c r="BQ18" s="23"/>
      <c r="BR18" s="23"/>
      <c r="BS18" s="23"/>
      <c r="BT18" s="23"/>
      <c r="BU18" s="23"/>
      <c r="BV18" s="23"/>
      <c r="BW18" s="23"/>
      <c r="BX18" s="23"/>
      <c r="BY18" s="23"/>
      <c r="BZ18" s="32" t="s">
        <v>58</v>
      </c>
      <c r="CA18" s="248">
        <f>CP46</f>
        <v>1154.7179636888341</v>
      </c>
      <c r="CB18" s="248"/>
      <c r="CC18" s="248"/>
      <c r="CD18" s="24" t="s">
        <v>37</v>
      </c>
      <c r="CE18" s="24"/>
      <c r="CF18" s="8"/>
      <c r="CJ18" s="1" t="s">
        <v>3</v>
      </c>
      <c r="EA18" s="1">
        <f t="shared" si="182"/>
        <v>3.6</v>
      </c>
      <c r="EB18" s="1" t="str">
        <f t="shared" si="12"/>
        <v>0.000350120316677678-0.126043314003964i</v>
      </c>
      <c r="EC18" s="1" t="str">
        <f t="shared" si="13"/>
        <v>0.000685950008184837-0.246942002946542i</v>
      </c>
      <c r="ED18" s="1" t="str">
        <f t="shared" si="14"/>
        <v>0.00169522541085264-0.61028114790695i</v>
      </c>
      <c r="EE18" s="1" t="str">
        <f t="shared" si="15"/>
        <v>0.0023674802365824-0.852292885169662i</v>
      </c>
      <c r="EF18" s="1" t="str">
        <f t="shared" si="16"/>
        <v>0.0653413581529111i</v>
      </c>
      <c r="EG18" s="1" t="str">
        <f t="shared" si="17"/>
        <v>0.0653141439262753i</v>
      </c>
      <c r="EH18" s="1" t="str">
        <f t="shared" si="18"/>
        <v>0.0653661545866848i</v>
      </c>
      <c r="EI18" s="1" t="str">
        <f t="shared" si="19"/>
        <v>0.0653597693555464i</v>
      </c>
      <c r="EJ18" s="1" t="str">
        <f t="shared" si="1"/>
        <v>0.005</v>
      </c>
      <c r="EK18" s="1" t="str">
        <f t="shared" si="2"/>
        <v>0.01</v>
      </c>
      <c r="EL18" s="1" t="str">
        <f t="shared" si="3"/>
        <v>0.0125</v>
      </c>
      <c r="EM18" s="1" t="str">
        <f t="shared" si="20"/>
        <v>0.00535012031667768-0.0607019558510529i</v>
      </c>
      <c r="EN18" s="1" t="str">
        <f t="shared" si="21"/>
        <v>-0.005</v>
      </c>
      <c r="EO18" s="1" t="str">
        <f t="shared" si="22"/>
        <v>2.5207114767602-907.456131633672i</v>
      </c>
      <c r="EP18" s="1" t="str">
        <f t="shared" si="23"/>
        <v>-0.005</v>
      </c>
      <c r="EQ18" s="1" t="str">
        <f t="shared" si="24"/>
        <v>0.0156859500081848-0.181627859020267i</v>
      </c>
      <c r="ER18" s="1" t="str">
        <f t="shared" si="25"/>
        <v>-0.01</v>
      </c>
      <c r="ES18" s="1" t="str">
        <f t="shared" si="26"/>
        <v>4.93853677079549-1777.87323748638i</v>
      </c>
      <c r="ET18" s="1" t="str">
        <f t="shared" si="27"/>
        <v>-0.01</v>
      </c>
      <c r="EU18" s="1" t="str">
        <f t="shared" si="28"/>
        <v>0.0241952254108526-0.544914993320265i</v>
      </c>
      <c r="EV18" s="1" t="str">
        <f t="shared" si="29"/>
        <v>-0.0125</v>
      </c>
      <c r="EW18" s="1" t="str">
        <f t="shared" si="30"/>
        <v>12.204873425742-4393.75443326713i</v>
      </c>
      <c r="EX18" s="1" t="str">
        <f t="shared" si="31"/>
        <v>-0.0125</v>
      </c>
      <c r="EY18" s="1" t="str">
        <f t="shared" si="32"/>
        <v>0.0148674802365824-0.786933115814116i</v>
      </c>
      <c r="EZ18" s="1" t="str">
        <f t="shared" si="33"/>
        <v>17.0448109380928-6136.13193771341i</v>
      </c>
      <c r="FB18" s="1" t="str">
        <f t="shared" si="34"/>
        <v>0.00535012031667768-0.0607019558510529i</v>
      </c>
      <c r="FC18" s="1" t="str">
        <f t="shared" si="35"/>
        <v>2.5207114767602-907.456131633672i</v>
      </c>
      <c r="FD18" s="1" t="str">
        <f t="shared" si="36"/>
        <v>-0.00720389748110373-0.0817347351031198i</v>
      </c>
      <c r="FE18" s="1" t="str">
        <f t="shared" si="37"/>
        <v>0.0156499305207793-0.182036532695783i</v>
      </c>
      <c r="FF18" s="1" t="str">
        <f t="shared" si="38"/>
        <v>79.1273822546335-1784.20442874244i</v>
      </c>
      <c r="FG18" s="1" t="str">
        <f t="shared" si="39"/>
        <v>-0.00468810364514089-0.0545309853834043i</v>
      </c>
      <c r="FH18" s="1" t="str">
        <f t="shared" si="40"/>
        <v>0.0241483443744012-0.545460303174099i</v>
      </c>
      <c r="FI18" s="1" t="str">
        <f t="shared" si="41"/>
        <v>109.87025641968-4397.80407442804i</v>
      </c>
      <c r="FJ18" s="1" t="str">
        <f t="shared" si="42"/>
        <v>-0.00101255985622487-0.0228715972240243i</v>
      </c>
      <c r="FK18" s="1" t="str">
        <f t="shared" si="43"/>
        <v>0.0148548232383796-0.787219010779416i</v>
      </c>
      <c r="FL18" s="1" t="str">
        <f t="shared" si="44"/>
        <v>117.549350801931-6140.30173212148i</v>
      </c>
      <c r="FM18" s="1" t="str">
        <f t="shared" si="45"/>
        <v>7800.03197752544+2.13568841587996i</v>
      </c>
      <c r="FN18" s="1" t="str">
        <f t="shared" si="46"/>
        <v>8063.53344637526+23.1908234706836i</v>
      </c>
      <c r="FO18" s="1" t="str">
        <f t="shared" si="47"/>
        <v>9803.07636148069+34.8570293959799i</v>
      </c>
      <c r="FP18" s="1" t="str">
        <f t="shared" si="48"/>
        <v>14905.540423811-464.735295145166i</v>
      </c>
      <c r="FQ18" s="92" t="str">
        <f t="shared" si="49"/>
        <v>55.8787556780306+971.450293672225i</v>
      </c>
      <c r="FR18" s="1" t="str">
        <f t="shared" si="50"/>
        <v>30.3664353663791+973.948255294929i</v>
      </c>
      <c r="FS18" s="1" t="str">
        <f t="shared" si="51"/>
        <v>25.5123203116516-2.49796162270573i</v>
      </c>
      <c r="FT18" s="1" t="str">
        <f t="shared" si="52"/>
        <v>-10.3935481954085+642.894164075962i</v>
      </c>
      <c r="FU18" s="1" t="str">
        <f t="shared" si="53"/>
        <v>-15.6175557424097+527.228700899602i</v>
      </c>
      <c r="FV18" s="1" t="str">
        <f t="shared" si="54"/>
        <v>-3.24184265520313+511.774764627258i</v>
      </c>
      <c r="FW18" s="1" t="str">
        <f t="shared" si="55"/>
        <v>30.3664353663791+973.948255294929i</v>
      </c>
      <c r="FX18" s="1" t="str">
        <f t="shared" si="56"/>
        <v>-2.27665703481144+640.279540394017i</v>
      </c>
      <c r="FY18" s="1" t="str">
        <f t="shared" si="57"/>
        <v>-1.51589495197722+527.082173770668i</v>
      </c>
      <c r="FZ18" s="1" t="str">
        <f t="shared" si="58"/>
        <v>-0.139588102277226+509.808291016949i</v>
      </c>
      <c r="GA18" s="1" t="str">
        <f t="shared" si="59"/>
        <v>25.5123203116516-2.49796162270573i</v>
      </c>
      <c r="GB18" s="1" t="str">
        <f t="shared" si="60"/>
        <v>17.3954291510543+0.116662059252963i</v>
      </c>
      <c r="GC18" s="1" t="str">
        <f t="shared" si="61"/>
        <v>3.29376836062275+0.263189188185045i</v>
      </c>
      <c r="GD18" s="92" t="str">
        <f t="shared" si="62"/>
        <v>26.6258090850093+2653.34792327505i</v>
      </c>
      <c r="GE18" s="1" t="str">
        <f t="shared" si="63"/>
        <v>0.0272255403234763-2.71311307936962i</v>
      </c>
      <c r="GF18" s="1">
        <f t="shared" si="64"/>
        <v>3.6</v>
      </c>
      <c r="GG18" s="56">
        <f t="shared" si="65"/>
        <v>2.7470639068635649</v>
      </c>
      <c r="GH18" s="1">
        <f t="shared" si="66"/>
        <v>1.7481380241224416</v>
      </c>
      <c r="GJ18" s="1">
        <f t="shared" si="67"/>
        <v>2653.4815122132381</v>
      </c>
      <c r="GK18" s="1">
        <f t="shared" si="68"/>
        <v>2.7132496773228238</v>
      </c>
      <c r="GM18" s="1" t="str">
        <f t="shared" si="69"/>
        <v>0.0191834803010191+1.72651322709173i</v>
      </c>
      <c r="GP18" s="1">
        <f t="shared" si="4"/>
        <v>3.6</v>
      </c>
      <c r="GQ18" s="1">
        <f t="shared" si="5"/>
        <v>2.7132496773228238</v>
      </c>
      <c r="GR18" s="1">
        <f t="shared" si="70"/>
        <v>1.7266197986931455</v>
      </c>
      <c r="GS18" s="1">
        <f t="shared" si="71"/>
        <v>4.7431349298659828</v>
      </c>
      <c r="GU18" s="15">
        <f>AJ20</f>
        <v>31</v>
      </c>
      <c r="GV18" s="1" t="str">
        <f t="shared" ref="GV18" si="228">IMDIV(COMPLEX(1,0),COMPLEX($W$39/100,$W$39*GU18))</f>
        <v>4.72174177315316E-06-0.0146373994967748i</v>
      </c>
      <c r="GW18" s="1" t="str">
        <f t="shared" ref="GW18" si="229">IMDIV(COMPLEX(1,0),COMPLEX($W$40/100,$W$40*GU18))</f>
        <v>9.25075939230007E-06-0.0286773541161303i</v>
      </c>
      <c r="GX18" s="1" t="str">
        <f t="shared" ref="GX18" si="230">IMDIV(COMPLEX(1,0),COMPLEX($W$41/100,$W$41*GU18))</f>
        <v>0.0000228619027689916-0.070871898583874i</v>
      </c>
      <c r="GY18" s="1" t="str">
        <f t="shared" ref="GY18" si="231">IMDIV(COMPLEX(1,0),COMPLEX($W$42/100,$W$42*GU18))</f>
        <v>0.0000319279681803689-0.0989767013591439i</v>
      </c>
      <c r="GZ18" s="1" t="str">
        <f t="shared" ref="GZ18" si="232">IMDIV(COMPLEX(1,0),COMPLEX(0,-$L$39/GU18))</f>
        <v>0.562661695205623i</v>
      </c>
      <c r="HA18" s="1" t="str">
        <f t="shared" ref="HA18" si="233">IMDIV(COMPLEX(1,0),COMPLEX(0,-$L$40/GU18))</f>
        <v>0.562427350476256i</v>
      </c>
      <c r="HB18" s="1" t="str">
        <f t="shared" ref="HB18" si="234">IMDIV(COMPLEX(1,0),COMPLEX(0,-$L$41/GU18))</f>
        <v>0.562875220052008i</v>
      </c>
      <c r="HC18" s="1" t="str">
        <f t="shared" ref="HC18" si="235">IMDIV(COMPLEX(1,0),COMPLEX(0,-$L$42/GU18))</f>
        <v>0.562820236117204i</v>
      </c>
      <c r="HD18" s="1" t="str">
        <f t="shared" si="6"/>
        <v>0.005</v>
      </c>
      <c r="HE18" s="1" t="str">
        <f t="shared" si="7"/>
        <v>0.01</v>
      </c>
      <c r="HF18" s="1" t="str">
        <f t="shared" si="8"/>
        <v>0.0125</v>
      </c>
      <c r="HG18" s="1" t="str">
        <f t="shared" ref="HG18" si="236">IMSUM(GV18,GZ18,HD18)</f>
        <v>0.00500472174177315+0.548024295708848i</v>
      </c>
      <c r="HH18" s="1" t="str">
        <f t="shared" ref="HH18" si="237">IMPRODUCT("-1+0i",HD18)</f>
        <v>-0.005</v>
      </c>
      <c r="HI18" s="1" t="str">
        <f t="shared" ref="HI18" si="238">IMPRODUCT($EO$1,GV18)</f>
        <v>0.0339944530806603-105.382804550047i</v>
      </c>
      <c r="HJ18" s="1" t="str">
        <f t="shared" ref="HJ18" si="239">IMPRODUCT("-1+0i",HD18)</f>
        <v>-0.005</v>
      </c>
      <c r="HK18" s="1" t="str">
        <f t="shared" ref="HK18" si="240">IMSUM(GW18,HA18,HD18,HE18)</f>
        <v>0.0150092507593923+0.533749996360126i</v>
      </c>
      <c r="HL18" s="1" t="str">
        <f t="shared" ref="HL18" si="241">IMPRODUCT("-1+0i",HE18)</f>
        <v>-0.01</v>
      </c>
      <c r="HM18" s="1" t="str">
        <f t="shared" ref="HM18" si="242">IMPRODUCT($EO$1,GW18)</f>
        <v>0.0666013774641507-206.464270138868i</v>
      </c>
      <c r="HN18" s="1" t="str">
        <f t="shared" ref="HN18" si="243">IMPRODUCT("-1+0i",HE18)</f>
        <v>-0.01</v>
      </c>
      <c r="HO18" s="1" t="str">
        <f t="shared" ref="HO18" si="244">IMSUM(GX18,HB18,HE18,HF18)</f>
        <v>0.022522861902769+0.492003321468134i</v>
      </c>
      <c r="HP18" s="1" t="str">
        <f t="shared" ref="HP18" si="245">IMPRODUCT("-1+0i",HF18)</f>
        <v>-0.0125</v>
      </c>
      <c r="HQ18" s="1" t="str">
        <f t="shared" ref="HQ18" si="246">IMPRODUCT($EO$1,GX18)</f>
        <v>0.164595591701768-510.246334275483i</v>
      </c>
      <c r="HR18" s="1" t="str">
        <f t="shared" ref="HR18" si="247">IMPRODUCT("-1+0i",HF18)</f>
        <v>-0.0125</v>
      </c>
      <c r="HS18" s="1" t="str">
        <f t="shared" ref="HS18" si="248">IMSUM(GY18,HC18,HF18)</f>
        <v>0.0125319279681804+0.46384353475806i</v>
      </c>
      <c r="HT18" s="1" t="str">
        <f t="shared" ref="HT18" si="249">IMPRODUCT($EO$1,GY18)</f>
        <v>0.229867254164464-712.588487909841i</v>
      </c>
      <c r="HV18" s="1" t="str">
        <f t="shared" ref="HV18" si="250">HG18</f>
        <v>0.00500472174177315+0.548024295708848i</v>
      </c>
      <c r="HW18" s="1" t="str">
        <f t="shared" ref="HW18" si="251">HI18</f>
        <v>0.0339944530806603-105.382804550047i</v>
      </c>
      <c r="HX18" s="1" t="str">
        <f t="shared" ref="HX18" si="252">IMDIV(HJ18,HV18)</f>
        <v>-0.0000833132539667959+0.00912292224905783i</v>
      </c>
      <c r="HY18" s="1" t="str">
        <f t="shared" ref="HY18" si="253">IMSUB(HK18,IMPRODUCT(HX18,HH18))</f>
        <v>0.0150088341931225+0.533795610971371i</v>
      </c>
      <c r="HZ18" s="1" t="str">
        <f t="shared" ref="HZ18" si="254">IMSUB(HM18,IMPRODUCT(HX18,HW18))</f>
        <v>-0.894794922645083-206.47336005198i</v>
      </c>
      <c r="IA18" s="1" t="str">
        <f t="shared" ref="IA18" si="255">IMDIV(HN18,HY18)</f>
        <v>-0.000526324704546381+0.0187189633530232i</v>
      </c>
      <c r="IB18" s="1" t="str">
        <f t="shared" ref="IB18" si="256">IMSUB(HO18,IMPRODUCT(IA18,HL18))</f>
        <v>0.0225175986557235+0.492190511101664i</v>
      </c>
      <c r="IC18" s="1" t="str">
        <f t="shared" ref="IC18" si="257">IMSUB(HQ18,IMPRODUCT(IA18,HZ18))</f>
        <v>-3.7008426211601-510.338256672344i</v>
      </c>
      <c r="ID18" s="1" t="str">
        <f t="shared" ref="ID18" si="258">IMDIV(HR18,IB18)</f>
        <v>-0.00115946479779765+0.0253436247868891i</v>
      </c>
      <c r="IE18" s="1" t="str">
        <f t="shared" ref="IE18" si="259">IMSUB(HS18,IMPRODUCT(ID18,HP18))</f>
        <v>0.0125174346582079+0.464160330067896i</v>
      </c>
      <c r="IF18" s="1" t="str">
        <f t="shared" ref="IF18" si="260">IMSUB(HT18,IMPRODUCT(ID18,HQ18))</f>
        <v>-12.7014335478045-713.184272021556i</v>
      </c>
      <c r="IG18" s="1" t="str">
        <f t="shared" ref="IG18" si="261">IMDIV(IF18,IE18)</f>
        <v>-1536.12493077411-14.0617572791062i</v>
      </c>
      <c r="IH18" s="1" t="str">
        <f t="shared" ref="IH18" si="262">IMDIV(IMSUB(IC18,IMPRODUCT(HP18,IG18)),IB18)</f>
        <v>-1037.18644174181-0.919448384835044i</v>
      </c>
      <c r="II18" s="1" t="str">
        <f t="shared" ref="II18" si="263">IMDIV(IMSUB(HZ18,IMPRODUCT(HL18,IH18)),HY18)</f>
        <v>-387.106929254316+10.2223313787588i</v>
      </c>
      <c r="IJ18" s="1" t="str">
        <f t="shared" ref="IJ18" si="264">IMDIV(IMSUB(HW18,IMPRODUCT(HH18,II18)),HV18)</f>
        <v>-192.218253625383+1.71441545103587i</v>
      </c>
      <c r="IK18" s="92" t="str">
        <f t="shared" ref="IK18" si="265">IMPRODUCT(IMSUB($EO$1,IJ18),GV18)</f>
        <v>0.00980747417811041-108.196388013961i</v>
      </c>
      <c r="IL18" s="1" t="str">
        <f t="shared" ref="IL18" si="266">IMPRODUCT(IJ18,GZ18)</f>
        <v>-0.964635903966555-108.153848434322i</v>
      </c>
      <c r="IM18" s="1" t="str">
        <f t="shared" ref="IM18" si="267">IMPRODUCT(IMSUB(IJ18,II18),HD18)</f>
        <v>0.974443378144665-0.0425395796386146i</v>
      </c>
      <c r="IN18" s="1" t="str">
        <f t="shared" ref="IN18" si="268">IMPRODUCT(IMSUB($EO$1,II18),GW18)</f>
        <v>-0.222967006315322-217.56556719423i</v>
      </c>
      <c r="IO18" s="1" t="str">
        <f t="shared" ref="IO18" si="269">IMPRODUCT(IMSUB($EO$1,IH18),GX18)</f>
        <v>0.253470699969322-583.753685566837i</v>
      </c>
      <c r="IP18" s="1" t="str">
        <f t="shared" ref="IP18" si="270">IMPRODUCT(IMSUB($EO$1,IG18),GY18)</f>
        <v>1.67069895287415-864.628617470066i</v>
      </c>
      <c r="IQ18" s="1" t="str">
        <f t="shared" ref="IQ18" si="271">IMPRODUCT(IJ18,GZ18)</f>
        <v>-0.964635903966555-108.153848434322i</v>
      </c>
      <c r="IR18" s="1" t="str">
        <f t="shared" ref="IR18" si="272">IMPRODUCT(II18,HA18)</f>
        <v>-5.74931875304561-217.719524571504i</v>
      </c>
      <c r="IS18" s="1" t="str">
        <f t="shared" ref="IS18" si="273">IMPRODUCT(IH18,HB18)</f>
        <v>0.517534711940489-583.80654663038i</v>
      </c>
      <c r="IT18" s="1" t="str">
        <f t="shared" ref="IT18" si="274">IMPRODUCT(IG18,HC18)</f>
        <v>7.91424155204936-864.562196243808i</v>
      </c>
      <c r="IU18" s="1" t="str">
        <f t="shared" ref="IU18" si="275">IMPRODUCT(IMSUB(IJ18,II18),HD18)</f>
        <v>0.974443378144665-0.0425395796386146i</v>
      </c>
      <c r="IV18" s="1" t="str">
        <f t="shared" ref="IV18" si="276">IMPRODUCT(IMSUB(II18,IH18),HE18)</f>
        <v>6.50079512487494+0.111417797635938i</v>
      </c>
      <c r="IW18" s="1" t="str">
        <f t="shared" ref="IW18" si="277">IMPRODUCT(IMSUB(IH18,IG18),HF18)</f>
        <v>6.23673111290375+0.16427886117839i</v>
      </c>
      <c r="IX18" s="92" t="str">
        <f t="shared" ref="IX18" si="278">IMSUM(IK18,IN18,IO18,IP18)</f>
        <v>1.71101012070626-1774.14425824509i</v>
      </c>
      <c r="IY18" s="1" t="str">
        <f t="shared" ref="IY18" si="279">IMDIV($EO$1,IX18)</f>
        <v>0.00391363338877722+4.05804157529433i</v>
      </c>
      <c r="JD18" s="1">
        <f t="shared" ref="JD18" si="280">GU18</f>
        <v>31</v>
      </c>
      <c r="JE18" s="1">
        <f t="shared" ref="JE18" si="281">IMABS(IY18)</f>
        <v>4.0580434624759238</v>
      </c>
      <c r="JJ18" s="1">
        <f t="shared" ref="JJ18" si="282">JD18</f>
        <v>31</v>
      </c>
      <c r="JK18" s="1" t="str">
        <f t="shared" ref="JK18" si="283">IMDIV(COMPLEX(1,0),COMPLEX($W$39/100,$W$39*JJ18))</f>
        <v>4.72174177315316E-06-0.0146373994967748i</v>
      </c>
      <c r="JL18" s="1" t="str">
        <f t="shared" ref="JL18" si="284">IMDIV(COMPLEX(1,0),COMPLEX($W$40/100,$W$40*JJ18))</f>
        <v>9.25075939230007E-06-0.0286773541161303i</v>
      </c>
      <c r="JM18" s="1" t="str">
        <f t="shared" ref="JM18" si="285">IMDIV(COMPLEX(1,0),COMPLEX($W$41/100,$W$41*JJ18))</f>
        <v>0.0000228619027689916-0.070871898583874i</v>
      </c>
      <c r="JN18" s="1" t="str">
        <f t="shared" ref="JN18" si="286">IMDIV(COMPLEX(1,0),COMPLEX($W$42/100,$W$42*JJ18))</f>
        <v>0.0000319279681803689-0.0989767013591439i</v>
      </c>
      <c r="JO18" s="1" t="str">
        <f t="shared" ref="JO18" si="287">IMDIV(COMPLEX(1,0),COMPLEX(0,-$L$39/JJ18))</f>
        <v>0.562661695205623i</v>
      </c>
      <c r="JP18" s="1" t="str">
        <f t="shared" ref="JP18" si="288">IMDIV(COMPLEX(1,0),COMPLEX(0,-$L$40/JJ18))</f>
        <v>0.562427350476256i</v>
      </c>
      <c r="JQ18" s="1" t="str">
        <f t="shared" ref="JQ18" si="289">IMDIV(COMPLEX(1,0),COMPLEX(0,-$L$41/JJ18))</f>
        <v>0.562875220052008i</v>
      </c>
      <c r="JR18" s="1" t="str">
        <f t="shared" ref="JR18" si="290">IMDIV(COMPLEX(1,0),COMPLEX(0,-$L$42/JJ18))</f>
        <v>0.562820236117204i</v>
      </c>
      <c r="JS18" s="1" t="str">
        <f t="shared" si="9"/>
        <v>0.005</v>
      </c>
      <c r="JT18" s="1" t="str">
        <f t="shared" si="10"/>
        <v>0.01</v>
      </c>
      <c r="JU18" s="1" t="str">
        <f t="shared" si="11"/>
        <v>0.0125</v>
      </c>
      <c r="JV18" s="1" t="str">
        <f t="shared" ref="JV18" si="291">IMSUM(JK18,JO18,JS18)</f>
        <v>0.00500472174177315+0.548024295708848i</v>
      </c>
      <c r="JW18" s="1" t="str">
        <f t="shared" ref="JW18" si="292">IMPRODUCT("-1+0i",JS18)</f>
        <v>-0.005</v>
      </c>
      <c r="JX18" s="1" t="str">
        <f>IMPRODUCT(CI42,JK18)</f>
        <v>0.0000447473475432743-0.13871677738415i</v>
      </c>
      <c r="JY18" s="1" t="str">
        <f t="shared" ref="JY18" si="293">IMPRODUCT("-1+0i",JS18)</f>
        <v>-0.005</v>
      </c>
      <c r="JZ18" s="1" t="str">
        <f t="shared" ref="JZ18" si="294">IMSUM(JL18,JP18,JS18,JT18)</f>
        <v>0.0150092507593923+0.533749996360126i</v>
      </c>
      <c r="KA18" s="1" t="str">
        <f t="shared" ref="KA18" si="295">IMPRODUCT("-1+0i",JT18)</f>
        <v>-0.01</v>
      </c>
      <c r="KB18" s="1" t="str">
        <f t="shared" si="141"/>
        <v>0.0000750799673497221-0.232747898784139i</v>
      </c>
      <c r="KC18" s="1" t="str">
        <f t="shared" ref="KC18" si="296">IMPRODUCT("-1+0i",JT18)</f>
        <v>-0.01</v>
      </c>
      <c r="KD18" s="1" t="str">
        <f t="shared" ref="KD18" si="297">IMSUM(JM18,JQ18,JT18,JU18)</f>
        <v>0.022522861902769+0.492003321468134i</v>
      </c>
      <c r="KE18" s="1" t="str">
        <f t="shared" ref="KE18" si="298">IMPRODUCT("-1+0i",JU18)</f>
        <v>-0.0125</v>
      </c>
      <c r="KF18" s="1" t="str">
        <f>IMPRODUCT(CI42,JM18)</f>
        <v>0.000216659351115139-0.671643988456932i</v>
      </c>
      <c r="KG18" s="1" t="str">
        <f t="shared" ref="KG18" si="299">IMPRODUCT("-1+0i",JU18)</f>
        <v>-0.0125</v>
      </c>
      <c r="KH18" s="1" t="str">
        <f t="shared" ref="KH18" si="300">IMSUM(JN18,JR18,JU18)</f>
        <v>0.0125319279681804+0.46384353475806i</v>
      </c>
      <c r="KI18" s="1" t="str">
        <f>IMPRODUCT(CI42,JN18)</f>
        <v>0.000302577302435473-0.937989637549968i</v>
      </c>
      <c r="KK18" s="1" t="str">
        <f t="shared" ref="KK18" si="301">JV18</f>
        <v>0.00500472174177315+0.548024295708848i</v>
      </c>
      <c r="KL18" s="1" t="str">
        <f t="shared" ref="KL18" si="302">JX18</f>
        <v>0.0000447473475432743-0.13871677738415i</v>
      </c>
      <c r="KM18" s="1" t="str">
        <f t="shared" ref="KM18" si="303">IMDIV(JY18,KK18)</f>
        <v>-0.0000833132539667959+0.00912292224905783i</v>
      </c>
      <c r="KN18" s="1" t="str">
        <f t="shared" ref="KN18" si="304">IMSUB(JZ18,IMPRODUCT(KM18,JW18))</f>
        <v>0.0150088341931225+0.533795610971371i</v>
      </c>
      <c r="KO18" s="1" t="str">
        <f t="shared" ref="KO18" si="305">IMSUB(KB18,IMPRODUCT(KM18,KL18))</f>
        <v>-0.00119041867931861-0.232759863956815i</v>
      </c>
      <c r="KP18" s="1" t="str">
        <f t="shared" ref="KP18" si="306">IMDIV(KC18,KN18)</f>
        <v>-0.000526324704546381+0.0187189633530232i</v>
      </c>
      <c r="KQ18" s="1" t="str">
        <f t="shared" ref="KQ18" si="307">IMSUB(KD18,IMPRODUCT(KP18,KA18))</f>
        <v>0.0225175986557235+0.492190511101664i</v>
      </c>
      <c r="KR18" s="1" t="str">
        <f t="shared" ref="KR18" si="308">IMSUB(KF18,IMPRODUCT(KP18,KO18))</f>
        <v>-0.00414099055910682-0.671744212319926i</v>
      </c>
      <c r="KS18" s="1" t="str">
        <f t="shared" ref="KS18" si="309">IMDIV(KG18,KQ18)</f>
        <v>-0.00115946479779765+0.0253436247868891i</v>
      </c>
      <c r="KT18" s="1" t="str">
        <f t="shared" ref="KT18" si="310">IMSUB(KH18,IMPRODUCT(KS18,KE18))</f>
        <v>0.0125174346582079+0.464160330067896i</v>
      </c>
      <c r="KU18" s="1" t="str">
        <f t="shared" ref="KU18" si="311">IMSUB(KI18,IMPRODUCT(KS18,KF18))</f>
        <v>-0.0167190647224959-0.938773876044537i</v>
      </c>
      <c r="KV18" s="1" t="str">
        <f t="shared" ref="KV18" si="312">IMDIV(KU18,KT18)</f>
        <v>-2.02202153345843-0.0185096768153422i</v>
      </c>
      <c r="KW18" s="1" t="str">
        <f t="shared" ref="KW18" si="313">IMDIV(IMSUB(KR18,IMPRODUCT(KE18,KV18)),KQ18)</f>
        <v>-1.36515233329912-0.00268939077036254i</v>
      </c>
      <c r="KX18" s="1" t="str">
        <f t="shared" ref="KX18" si="314">IMDIV(IMSUB(KO18,IMPRODUCT(KA18,KW18)),KN18)</f>
        <v>-0.436533847027954+0.015530434706077i</v>
      </c>
      <c r="KY18" s="1" t="str">
        <f t="shared" ref="KY18" si="315">IMDIV(IMSUB(KL18,IMPRODUCT(JW18,KX18)),KK18)</f>
        <v>-0.252994415440612+0.001590723701339i</v>
      </c>
      <c r="KZ18" s="92" t="str">
        <f>IMPRODUCT(IMSUB(CI42,KY18),JK18)</f>
        <v>0.0000226578635375475-0.142419965224394i</v>
      </c>
      <c r="LA18" s="1" t="str">
        <f t="shared" ref="LA18" si="316">IMPRODUCT(KY18,JO18)</f>
        <v>-0.000895039294399165-0.14235026666937i</v>
      </c>
      <c r="LB18" s="1" t="str">
        <f t="shared" ref="LB18" si="317">IMPRODUCT(IMSUB(KY18,KX18),JS18)</f>
        <v>0.00091769715793671-0.00006969855502369i</v>
      </c>
      <c r="LC18" s="1" t="str">
        <f>IMPRODUCT(IMSUB(CI42,KX18),JL18)</f>
        <v>-0.000353665233320316-0.284290424870528i</v>
      </c>
      <c r="LD18" s="1" t="str">
        <f>IMPRODUCT(IMSUB(CI42,KW18),JM18)</f>
        <v>0.000438471560953428-0.76839486468946i</v>
      </c>
      <c r="LE18" s="1" t="str">
        <f>IMPRODUCT(IMSUB(CI42,KV18),JN18)</f>
        <v>0.00219916309602215-1.13812206803247i</v>
      </c>
      <c r="LF18" s="1" t="str">
        <f t="shared" ref="LF18" si="318">IMPRODUCT(KY18,JO18)</f>
        <v>-0.000895039294399165-0.14235026666937i</v>
      </c>
      <c r="LG18" s="1" t="str">
        <f t="shared" ref="LG18" si="319">IMPRODUCT(KX18,JP18)</f>
        <v>-0.00873474124348338-0.245518574977139i</v>
      </c>
      <c r="LH18" s="1" t="str">
        <f t="shared" ref="LH18" si="320">IMPRODUCT(KW18,JQ18)</f>
        <v>0.00151379142167365-0.768410420010254i</v>
      </c>
      <c r="LI18" s="1" t="str">
        <f t="shared" ref="LI18" si="321">IMPRODUCT(KV18,JR18)</f>
        <v>0.010417620675664-1.13803463689514i</v>
      </c>
      <c r="LJ18" s="1" t="str">
        <f t="shared" ref="LJ18" si="322">IMPRODUCT(IMSUB(KY18,KX18),JS18)</f>
        <v>0.00091769715793671-0.00006969855502369i</v>
      </c>
      <c r="LK18" s="1" t="str">
        <f t="shared" ref="LK18" si="323">IMPRODUCT(IMSUB(KX18,KW18),JT18)</f>
        <v>0.00928618486271166+0.000182198254764395i</v>
      </c>
      <c r="LL18" s="1" t="str">
        <f t="shared" ref="LL18" si="324">IMPRODUCT(IMSUB(KW18,KV18),JU18)</f>
        <v>0.00821086500199138+0.000197753575562246i</v>
      </c>
      <c r="LM18" s="92" t="str">
        <f t="shared" ref="LM18" si="325">IMSUM(KZ18,LC18,LD18,LE18)</f>
        <v>0.00230662728719281-2.33322732281685i</v>
      </c>
      <c r="LN18" s="1" t="str">
        <f>IMDIV(CI42,LM18)</f>
        <v>0.00401539208564011+4.06169760414133i</v>
      </c>
      <c r="LS18" s="1">
        <f t="shared" ref="LS18" si="326">JJ18</f>
        <v>31</v>
      </c>
      <c r="LT18" s="1">
        <f t="shared" ref="LT18" si="327">IMABS(LN18)</f>
        <v>4.0616995889480831</v>
      </c>
      <c r="LU18" s="1">
        <f t="shared" ref="LU18" si="328">IMABS(LM18)</f>
        <v>2.3332284629818245</v>
      </c>
    </row>
    <row r="19" spans="2:333" ht="18" customHeight="1" x14ac:dyDescent="0.25">
      <c r="B19" s="28"/>
      <c r="C19" s="162" t="s">
        <v>399</v>
      </c>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c r="AM19" s="162"/>
      <c r="AN19" s="162"/>
      <c r="AO19" s="162"/>
      <c r="AP19" s="8"/>
      <c r="AR19" s="6"/>
      <c r="CF19" s="8"/>
      <c r="EA19" s="1">
        <f t="shared" si="182"/>
        <v>3.8</v>
      </c>
      <c r="EB19" s="1" t="str">
        <f t="shared" si="12"/>
        <v>0.000314235657382869-0.11940954980549i</v>
      </c>
      <c r="EC19" s="1" t="str">
        <f t="shared" si="13"/>
        <v>0.00061564536956644-0.233945240435247i</v>
      </c>
      <c r="ED19" s="1" t="str">
        <f t="shared" si="14"/>
        <v>0.00152147774926705-0.578161544721481i</v>
      </c>
      <c r="EE19" s="1" t="str">
        <f t="shared" si="15"/>
        <v>0.00212483158801748-0.807436003446647i</v>
      </c>
      <c r="EF19" s="1" t="str">
        <f t="shared" si="16"/>
        <v>0.0689714336058506i</v>
      </c>
      <c r="EG19" s="1" t="str">
        <f t="shared" si="17"/>
        <v>0.0689427074777346i</v>
      </c>
      <c r="EH19" s="1" t="str">
        <f t="shared" si="18"/>
        <v>0.0689976076192784i</v>
      </c>
      <c r="EI19" s="1" t="str">
        <f t="shared" si="19"/>
        <v>0.0689908676530766i</v>
      </c>
      <c r="EJ19" s="1" t="str">
        <f t="shared" si="1"/>
        <v>0.005</v>
      </c>
      <c r="EK19" s="1" t="str">
        <f t="shared" si="2"/>
        <v>0.01</v>
      </c>
      <c r="EL19" s="1" t="str">
        <f t="shared" si="3"/>
        <v>0.0125</v>
      </c>
      <c r="EM19" s="1" t="str">
        <f t="shared" si="20"/>
        <v>0.00531423565738287-0.0504381161996394i</v>
      </c>
      <c r="EN19" s="1" t="str">
        <f t="shared" si="21"/>
        <v>-0.005</v>
      </c>
      <c r="EO19" s="1" t="str">
        <f t="shared" si="22"/>
        <v>2.26235779599586-859.695962478426i</v>
      </c>
      <c r="EP19" s="1" t="str">
        <f t="shared" si="23"/>
        <v>-0.005</v>
      </c>
      <c r="EQ19" s="1" t="str">
        <f t="shared" si="24"/>
        <v>0.0156156453695664-0.165002532957512i</v>
      </c>
      <c r="ER19" s="1" t="str">
        <f t="shared" si="25"/>
        <v>-0.01</v>
      </c>
      <c r="ES19" s="1" t="str">
        <f t="shared" si="26"/>
        <v>4.4323744574613-1684.30229383529i</v>
      </c>
      <c r="ET19" s="1" t="str">
        <f t="shared" si="27"/>
        <v>-0.01</v>
      </c>
      <c r="EU19" s="1" t="str">
        <f t="shared" si="28"/>
        <v>0.0240214777492671-0.509163937102203i</v>
      </c>
      <c r="EV19" s="1" t="str">
        <f t="shared" si="29"/>
        <v>-0.0125</v>
      </c>
      <c r="EW19" s="1" t="str">
        <f t="shared" si="30"/>
        <v>10.9539670836738-4162.50749179606i</v>
      </c>
      <c r="EX19" s="1" t="str">
        <f t="shared" si="31"/>
        <v>-0.0125</v>
      </c>
      <c r="EY19" s="1" t="str">
        <f t="shared" si="32"/>
        <v>0.0146248315880175-0.73844513579357i</v>
      </c>
      <c r="EZ19" s="1" t="str">
        <f t="shared" si="33"/>
        <v>15.2978479538767-5813.18222247317i</v>
      </c>
      <c r="FB19" s="1" t="str">
        <f t="shared" si="34"/>
        <v>0.00531423565738287-0.0504381161996394i</v>
      </c>
      <c r="FC19" s="1" t="str">
        <f t="shared" si="35"/>
        <v>2.26235779599586-859.695962478426i</v>
      </c>
      <c r="FD19" s="1" t="str">
        <f t="shared" si="36"/>
        <v>-0.0103299575791132-0.0980429989002876i</v>
      </c>
      <c r="FE19" s="1" t="str">
        <f t="shared" si="37"/>
        <v>0.0155639955816708-0.165492747952013i</v>
      </c>
      <c r="FF19" s="1" t="str">
        <f t="shared" si="38"/>
        <v>88.7429148213767-1692.96110831572i</v>
      </c>
      <c r="FG19" s="1" t="str">
        <f t="shared" si="39"/>
        <v>-0.00563298814555638-0.0598958463138529i</v>
      </c>
      <c r="FH19" s="1" t="str">
        <f t="shared" si="40"/>
        <v>0.0239651478678115-0.509762895565341i</v>
      </c>
      <c r="FI19" s="1" t="str">
        <f t="shared" si="41"/>
        <v>112.855193229873-4166.72858966251i</v>
      </c>
      <c r="FJ19" s="1" t="str">
        <f t="shared" si="42"/>
        <v>-0.00115025699415114-0.0244671278148185i</v>
      </c>
      <c r="FK19" s="1" t="str">
        <f t="shared" si="43"/>
        <v>0.0146104533755906-0.738750974891255i</v>
      </c>
      <c r="FL19" s="1" t="str">
        <f t="shared" si="44"/>
        <v>117.155050663042-5817.7021637161i</v>
      </c>
      <c r="FM19" s="1" t="str">
        <f t="shared" si="45"/>
        <v>7875.10787476421+2.83743007088653i</v>
      </c>
      <c r="FN19" s="1" t="str">
        <f t="shared" si="46"/>
        <v>8175.20445001003+30.1592334477282i</v>
      </c>
      <c r="FO19" s="1" t="str">
        <f t="shared" si="47"/>
        <v>10234.3670315628+67.7208892820255i</v>
      </c>
      <c r="FP19" s="1" t="str">
        <f t="shared" si="48"/>
        <v>16961.1890909948-727.655306552278i</v>
      </c>
      <c r="FQ19" s="92" t="str">
        <f t="shared" si="49"/>
        <v>83.8215399609753+1165.86064628665i</v>
      </c>
      <c r="FR19" s="1" t="str">
        <f t="shared" si="50"/>
        <v>50.1874296638153+1169.83752726583i</v>
      </c>
      <c r="FS19" s="1" t="str">
        <f t="shared" si="51"/>
        <v>33.63411029716-3.97688097917152i</v>
      </c>
      <c r="FT19" s="1" t="str">
        <f t="shared" si="52"/>
        <v>-17.711345941536+709.937470014324i</v>
      </c>
      <c r="FU19" s="1" t="str">
        <f t="shared" si="53"/>
        <v>-18.9213335804797+564.035454833038i</v>
      </c>
      <c r="FV19" s="1" t="str">
        <f t="shared" si="54"/>
        <v>-3.72647321396349+545.457377576621i</v>
      </c>
      <c r="FW19" s="1" t="str">
        <f t="shared" si="55"/>
        <v>50.1874296638153+1169.83752726583i</v>
      </c>
      <c r="FX19" s="1" t="str">
        <f t="shared" si="56"/>
        <v>-4.66886145990274+705.584972476805i</v>
      </c>
      <c r="FY19" s="1" t="str">
        <f t="shared" si="57"/>
        <v>-2.08091495552457+564.069548849171i</v>
      </c>
      <c r="FZ19" s="1" t="str">
        <f t="shared" si="58"/>
        <v>-0.195756762495392+543.310525141559i</v>
      </c>
      <c r="GA19" s="1" t="str">
        <f t="shared" si="59"/>
        <v>33.63411029716-3.97688097917152i</v>
      </c>
      <c r="GB19" s="1" t="str">
        <f t="shared" si="60"/>
        <v>20.5916258155277+0.375616558342973i</v>
      </c>
      <c r="GC19" s="1" t="str">
        <f t="shared" si="61"/>
        <v>3.75120719057276+0.341522542210521i</v>
      </c>
      <c r="GD19" s="92" t="str">
        <f t="shared" si="62"/>
        <v>43.4623872249961+2985.29094871063i</v>
      </c>
      <c r="GE19" s="1" t="str">
        <f t="shared" si="63"/>
        <v>0.0351037918912285-2.41116604239439i</v>
      </c>
      <c r="GF19" s="1">
        <f t="shared" si="64"/>
        <v>3.8</v>
      </c>
      <c r="GG19" s="56">
        <f t="shared" si="65"/>
        <v>4.0786313401633176</v>
      </c>
      <c r="GH19" s="1">
        <f t="shared" si="66"/>
        <v>3.0825943409834555</v>
      </c>
      <c r="GJ19" s="1">
        <f t="shared" si="67"/>
        <v>2985.6073130197328</v>
      </c>
      <c r="GK19" s="1">
        <f t="shared" si="68"/>
        <v>2.4114215641817935</v>
      </c>
      <c r="GM19" s="1" t="str">
        <f t="shared" si="69"/>
        <v>0.0191834803010191+1.82243062859682i</v>
      </c>
      <c r="GP19" s="1">
        <f t="shared" si="4"/>
        <v>3.8</v>
      </c>
      <c r="GQ19" s="1">
        <f t="shared" si="5"/>
        <v>2.4114215641817935</v>
      </c>
      <c r="GR19" s="1">
        <f t="shared" si="70"/>
        <v>1.8225315914859364</v>
      </c>
      <c r="GS19" s="1">
        <f t="shared" si="71"/>
        <v>7.4334344674722619</v>
      </c>
      <c r="GU19" s="15">
        <f>AL20</f>
        <v>35</v>
      </c>
      <c r="GV19" s="1" t="str">
        <f>IMDIV(COMPLEX(1,0),COMPLEX($W$39/100,$W$39*GU19))</f>
        <v>0.0000037041583230682-0.0129645541307387i</v>
      </c>
      <c r="GW19" s="1" t="str">
        <f>IMDIV(COMPLEX(1,0),COMPLEX($W$40/100,$W$40*GU19))</f>
        <v>7.25712651050097E-06-0.0253999427867534i</v>
      </c>
      <c r="GX19" s="1" t="str">
        <f>IMDIV(COMPLEX(1,0),COMPLEX($W$41/100,$W$41*GU19))</f>
        <v>0.0000179349298397536-0.0627722544391377i</v>
      </c>
      <c r="GY19" s="1" t="str">
        <f>IMDIV(COMPLEX(1,0),COMPLEX($W$42/100,$W$42*GU19))</f>
        <v>0.0000250471658036039-0.0876650803126139i</v>
      </c>
      <c r="GZ19" s="1" t="str">
        <f>IMDIV(COMPLEX(1,0),COMPLEX(0,-$L$39/GU19))</f>
        <v>0.635263204264413i</v>
      </c>
      <c r="HA19" s="1" t="str">
        <f>IMDIV(COMPLEX(1,0),COMPLEX(0,-$L$40/GU19))</f>
        <v>0.634998621505451i</v>
      </c>
      <c r="HB19" s="1" t="str">
        <f>IMDIV(COMPLEX(1,0),COMPLEX(0,-$L$41/GU19))</f>
        <v>0.635504280703881i</v>
      </c>
      <c r="HC19" s="1" t="str">
        <f>IMDIV(COMPLEX(1,0),COMPLEX(0,-$L$42/GU19))</f>
        <v>0.63544220206781i</v>
      </c>
      <c r="HD19" s="1" t="str">
        <f t="shared" si="6"/>
        <v>0.005</v>
      </c>
      <c r="HE19" s="1" t="str">
        <f t="shared" si="7"/>
        <v>0.01</v>
      </c>
      <c r="HF19" s="1" t="str">
        <f t="shared" si="8"/>
        <v>0.0125</v>
      </c>
      <c r="HG19" s="1" t="str">
        <f>IMSUM(GV19,GZ19,HD19)</f>
        <v>0.00500370415832307+0.622298650133674i</v>
      </c>
      <c r="HH19" s="1" t="str">
        <f>IMPRODUCT("-1+0i",HD19)</f>
        <v>-0.005</v>
      </c>
      <c r="HI19" s="1" t="str">
        <f>IMPRODUCT($EO$1,GV19)</f>
        <v>0.0266683021576569-93.3390575517991i</v>
      </c>
      <c r="HJ19" s="1" t="str">
        <f>IMPRODUCT("-1+0i",HD19)</f>
        <v>-0.005</v>
      </c>
      <c r="HK19" s="1" t="str">
        <f>IMSUM(GW19,HA19,HD19,HE19)</f>
        <v>0.0150072571265105+0.609598678718698i</v>
      </c>
      <c r="HL19" s="1" t="str">
        <f>IMPRODUCT("-1+0i",HE19)</f>
        <v>-0.01</v>
      </c>
      <c r="HM19" s="1" t="str">
        <f>IMPRODUCT($EO$1,GW19)</f>
        <v>0.0522481021864299-182.868357652505i</v>
      </c>
      <c r="HN19" s="1" t="str">
        <f>IMPRODUCT("-1+0i",HE19)</f>
        <v>-0.01</v>
      </c>
      <c r="HO19" s="1" t="str">
        <f>IMSUM(GX19,HB19,HE19,HF19)</f>
        <v>0.0225179349298398+0.572732026264743i</v>
      </c>
      <c r="HP19" s="1" t="str">
        <f>IMPRODUCT("-1+0i",HF19)</f>
        <v>-0.0125</v>
      </c>
      <c r="HQ19" s="1" t="str">
        <f>IMPRODUCT($EO$1,GX19)</f>
        <v>0.129123565038859-451.932477636006i</v>
      </c>
      <c r="HR19" s="1" t="str">
        <f>IMPRODUCT("-1+0i",HF19)</f>
        <v>-0.0125</v>
      </c>
      <c r="HS19" s="1" t="str">
        <f>IMSUM(GY19,HC19,HF19)</f>
        <v>0.0125250471658036+0.547777121755196i</v>
      </c>
      <c r="HT19" s="1" t="str">
        <f>IMPRODUCT($EO$1,GY19)</f>
        <v>0.180328519351774-631.149817731212i</v>
      </c>
      <c r="HV19" s="1" t="str">
        <f>HG19</f>
        <v>0.00500370415832307+0.622298650133674i</v>
      </c>
      <c r="HW19" s="1" t="str">
        <f>HI19</f>
        <v>0.0266683021576569-93.3390575517991i</v>
      </c>
      <c r="HX19" s="1" t="str">
        <f>IMDIV(HJ19,HV19)</f>
        <v>-0.0000646004931683133+0.00803420794367743i</v>
      </c>
      <c r="HY19" s="1" t="str">
        <f>IMSUB(HK19,IMPRODUCT(HX19,HH19))</f>
        <v>0.0150069341240447+0.609638849758416i</v>
      </c>
      <c r="HZ19" s="1" t="str">
        <f>IMSUB(HM19,IMPRODUCT(HX19,HW19))</f>
        <v>-0.697655572666128-182.87460166034i</v>
      </c>
      <c r="IA19" s="1" t="str">
        <f>IMDIV(HN19,HY19)</f>
        <v>-0.000403537244294497+0.0163932205880885i</v>
      </c>
      <c r="IB19" s="1" t="str">
        <f>IMSUB(HO19,IMPRODUCT(IA19,HL19))</f>
        <v>0.0225138995573969+0.572895958470624i</v>
      </c>
      <c r="IC19" s="1" t="str">
        <f>IMSUB(HQ19,IMPRODUCT(IA19,HZ19))</f>
        <v>-2.86906164994517-451.994837527114i</v>
      </c>
      <c r="ID19" s="1" t="str">
        <f>IMDIV(HR19,IB19)</f>
        <v>-0.000856128645348301+0.0217853259760959i</v>
      </c>
      <c r="IE19" s="1" t="str">
        <f>IMSUB(HS19,IMPRODUCT(ID19,HP19))</f>
        <v>0.0125143455577367+0.548049438329897i</v>
      </c>
      <c r="IF19" s="1" t="str">
        <f>IMSUB(HT19,IMPRODUCT(ID19,HQ19))</f>
        <v>-9.66505727875047-631.539543070035i</v>
      </c>
      <c r="IG19" s="1" t="str">
        <f>IMDIV(IF19,IE19)</f>
        <v>-1152.14241922617-8.67303340672583i</v>
      </c>
      <c r="IH19" s="1" t="str">
        <f>IMDIV(IMSUB(IC19,IMPRODUCT(HP19,IG19)),IB19)</f>
        <v>-789.120219860944-0.864609831967134i</v>
      </c>
      <c r="II19" s="1" t="str">
        <f>IMDIV(IMSUB(HZ19,IMPRODUCT(HL19,IH19)),HY19)</f>
        <v>-300.151134637042+6.69988382160815i</v>
      </c>
      <c r="IJ19" s="1" t="str">
        <f>IMDIV(IMSUB(HW19,IMPRODUCT(HH19,II19)),HV19)</f>
        <v>-149.946296622013+1.16310787905351i</v>
      </c>
      <c r="IK19" s="92" t="str">
        <f>IMPRODUCT(IMSUB($EO$1,IJ19),GV19)</f>
        <v>0.0121445519224247-95.2830487393948i</v>
      </c>
      <c r="IL19" s="1" t="str">
        <f>IMPRODUCT(IJ19,GZ19)</f>
        <v>-0.738879638152718-95.2553648596821i</v>
      </c>
      <c r="IM19" s="1" t="str">
        <f>IMPRODUCT(IMSUB(IJ19,II19),HD19)</f>
        <v>0.751024190075145-0.0276838797127732i</v>
      </c>
      <c r="IN19" s="1" t="str">
        <f>IMPRODUCT(IMSUB($EO$1,II19),GW19)</f>
        <v>-0.11575032880398-190.492227921569i</v>
      </c>
      <c r="IO19" s="1" t="str">
        <f>IMPRODUCT(IMSUB($EO$1,IH19),GX19)</f>
        <v>0.197549889180017-501.467317353469i</v>
      </c>
      <c r="IP19" s="1" t="str">
        <f>IMPRODUCT(IMSUB($EO$1,IG19),GY19)</f>
        <v>0.969508591710101-732.152258209337i</v>
      </c>
      <c r="IQ19" s="1" t="str">
        <f>IMPRODUCT(IJ19,GZ19)</f>
        <v>-0.738879638152718-95.2553648596821i</v>
      </c>
      <c r="IR19" s="1" t="str">
        <f>IMPRODUCT(II19,HA19)</f>
        <v>-4.25441699096785-190.595556737819i</v>
      </c>
      <c r="IS19" s="1" t="str">
        <f>IMPRODUCT(IH19,HB19)</f>
        <v>0.549463249353777-501.489277711618i</v>
      </c>
      <c r="IT19" s="1" t="str">
        <f>IMPRODUCT(IG19,HC19)</f>
        <v>5.51121144657754-732.119915968811i</v>
      </c>
      <c r="IU19" s="1" t="str">
        <f>IMPRODUCT(IMSUB(IJ19,II19),HD19)</f>
        <v>0.751024190075145-0.0276838797127732i</v>
      </c>
      <c r="IV19" s="1" t="str">
        <f>IMPRODUCT(IMSUB(II19,IH19),HE19)</f>
        <v>4.88969085223902+0.0756449365357528i</v>
      </c>
      <c r="IW19" s="1" t="str">
        <f>IMPRODUCT(IMSUB(IH19,IG19),HF19)</f>
        <v>4.53777749206533+0.0976052946844838i</v>
      </c>
      <c r="IX19" s="92" t="str">
        <f>IMSUM(IK19,IN19,IO19,IP19)</f>
        <v>1.06345270400856-1519.39485222377i</v>
      </c>
      <c r="IY19" s="1" t="str">
        <f>IMDIV($EO$1,IX19)</f>
        <v>0.00331651901700322+4.7384353838611i</v>
      </c>
      <c r="JD19" s="1">
        <f>GU19</f>
        <v>35</v>
      </c>
      <c r="JE19" s="1">
        <f>IMABS(IY19)</f>
        <v>4.7384365445076169</v>
      </c>
      <c r="JJ19" s="1">
        <f>JD19</f>
        <v>35</v>
      </c>
      <c r="JK19" s="1" t="str">
        <f>IMDIV(COMPLEX(1,0),COMPLEX($W$39/100,$W$39*JJ19))</f>
        <v>0.0000037041583230682-0.0129645541307387i</v>
      </c>
      <c r="JL19" s="1" t="str">
        <f>IMDIV(COMPLEX(1,0),COMPLEX($W$40/100,$W$40*JJ19))</f>
        <v>7.25712651050097E-06-0.0253999427867534i</v>
      </c>
      <c r="JM19" s="1" t="str">
        <f>IMDIV(COMPLEX(1,0),COMPLEX($W$41/100,$W$41*JJ19))</f>
        <v>0.0000179349298397536-0.0627722544391377i</v>
      </c>
      <c r="JN19" s="1" t="str">
        <f>IMDIV(COMPLEX(1,0),COMPLEX($W$42/100,$W$42*JJ19))</f>
        <v>0.0000250471658036039-0.0876650803126139i</v>
      </c>
      <c r="JO19" s="1" t="str">
        <f>IMDIV(COMPLEX(1,0),COMPLEX(0,-$L$39/JJ19))</f>
        <v>0.635263204264413i</v>
      </c>
      <c r="JP19" s="1" t="str">
        <f>IMDIV(COMPLEX(1,0),COMPLEX(0,-$L$40/JJ19))</f>
        <v>0.634998621505451i</v>
      </c>
      <c r="JQ19" s="1" t="str">
        <f>IMDIV(COMPLEX(1,0),COMPLEX(0,-$L$41/JJ19))</f>
        <v>0.635504280703881i</v>
      </c>
      <c r="JR19" s="1" t="str">
        <f>IMDIV(COMPLEX(1,0),COMPLEX(0,-$L$42/JJ19))</f>
        <v>0.63544220206781i</v>
      </c>
      <c r="JS19" s="1" t="str">
        <f t="shared" si="9"/>
        <v>0.005</v>
      </c>
      <c r="JT19" s="1" t="str">
        <f t="shared" si="10"/>
        <v>0.01</v>
      </c>
      <c r="JU19" s="1" t="str">
        <f t="shared" si="11"/>
        <v>0.0125</v>
      </c>
      <c r="JV19" s="1" t="str">
        <f>IMSUM(JK19,JO19,JS19)</f>
        <v>0.00500370415832307+0.622298650133674i</v>
      </c>
      <c r="JW19" s="1" t="str">
        <f>IMPRODUCT("-1+0i",JS19)</f>
        <v>-0.005</v>
      </c>
      <c r="JX19" s="1" t="str">
        <f>IMPRODUCT(CI42,JK19)</f>
        <v>0.0000351038383293368-0.122863434152679i</v>
      </c>
      <c r="JY19" s="1" t="str">
        <f>IMPRODUCT("-1+0i",JS19)</f>
        <v>-0.005</v>
      </c>
      <c r="JZ19" s="1" t="str">
        <f>IMSUM(JL19,JP19,JS19,JT19)</f>
        <v>0.0150072571265105+0.609598678718698i</v>
      </c>
      <c r="KA19" s="1" t="str">
        <f>IMPRODUCT("-1+0i",JT19)</f>
        <v>-0.01</v>
      </c>
      <c r="KB19" s="1" t="str">
        <f t="shared" si="141"/>
        <v>0.0000687748669309457-0.24071203425831i</v>
      </c>
      <c r="KC19" s="1" t="str">
        <f>IMPRODUCT("-1+0i",JT19)</f>
        <v>-0.01</v>
      </c>
      <c r="KD19" s="1" t="str">
        <f>IMSUM(JM19,JQ19,JT19,JU19)</f>
        <v>0.0225179349298398+0.572732026264743i</v>
      </c>
      <c r="KE19" s="1" t="str">
        <f>IMPRODUCT("-1+0i",JU19)</f>
        <v>-0.0125</v>
      </c>
      <c r="KF19" s="1" t="str">
        <f>IMPRODUCT(CI42,JM19)</f>
        <v>0.000169967053951737-0.594884688831081i</v>
      </c>
      <c r="KG19" s="1" t="str">
        <f>IMPRODUCT("-1+0i",JU19)</f>
        <v>-0.0125</v>
      </c>
      <c r="KH19" s="1" t="str">
        <f>IMSUM(JN19,JR19,JU19)</f>
        <v>0.0125250471658036+0.547777121755196i</v>
      </c>
      <c r="KI19" s="1" t="str">
        <f>IMPRODUCT(CI42,JN19)</f>
        <v>0.000237368811560276-0.83079084046097i</v>
      </c>
      <c r="KK19" s="1" t="str">
        <f>JV19</f>
        <v>0.00500370415832307+0.622298650133674i</v>
      </c>
      <c r="KL19" s="1" t="str">
        <f>JX19</f>
        <v>0.0000351038383293368-0.122863434152679i</v>
      </c>
      <c r="KM19" s="1" t="str">
        <f>IMDIV(JY19,KK19)</f>
        <v>-0.0000646004931683133+0.00803420794367743i</v>
      </c>
      <c r="KN19" s="1" t="str">
        <f>IMSUB(JZ19,IMPRODUCT(KM19,JW19))</f>
        <v>0.0150069341240447+0.609638849758416i</v>
      </c>
      <c r="KO19" s="1" t="str">
        <f>IMSUB(KB19,IMPRODUCT(KM19,KL19))</f>
        <v>-0.000918333244000728-0.240720253328285i</v>
      </c>
      <c r="KP19" s="1" t="str">
        <f>IMDIV(KC19,KN19)</f>
        <v>-0.000403537244294497+0.0163932205880885i</v>
      </c>
      <c r="KQ19" s="1" t="str">
        <f>IMSUB(KD19,IMPRODUCT(KP19,KA19))</f>
        <v>0.0225138995573969+0.572895958470624i</v>
      </c>
      <c r="KR19" s="1" t="str">
        <f>IMSUB(KF19,IMPRODUCT(KP19,KO19))</f>
        <v>-0.00377658374054601-0.594966773979313i</v>
      </c>
      <c r="KS19" s="1" t="str">
        <f>IMDIV(KG19,KQ19)</f>
        <v>-0.000856128645348301+0.0217853259760959i</v>
      </c>
      <c r="KT19" s="1" t="str">
        <f>IMSUB(KH19,IMPRODUCT(KS19,KE19))</f>
        <v>0.0125143455577367+0.548049438329897i</v>
      </c>
      <c r="KU19" s="1" t="str">
        <f>IMSUB(KI19,IMPRODUCT(KS19,KF19))</f>
        <v>-0.0127222425391495-0.831303841071433i</v>
      </c>
      <c r="KV19" s="1" t="str">
        <f>IMDIV(KU19,KT19)</f>
        <v>-1.5165802823812-0.0114164284150811i</v>
      </c>
      <c r="KW19" s="1" t="str">
        <f>IMDIV(IMSUB(KR19,IMPRODUCT(KE19,KV19)),KQ19)</f>
        <v>-1.03872936704581-0.00113809734042699i</v>
      </c>
      <c r="KX19" s="1" t="str">
        <f>IMDIV(IMSUB(KO19,IMPRODUCT(KA19,KW19)),KN19)</f>
        <v>-0.395092902516873+0.00881914555747397i</v>
      </c>
      <c r="KY19" s="1" t="str">
        <f>IMDIV(IMSUB(KL19,IMPRODUCT(JW19,KX19)),KK19)</f>
        <v>-0.197376290533391+0.00153101426196901i</v>
      </c>
      <c r="KZ19" s="92" t="str">
        <f>IMPRODUCT(IMSUB(CI42,KY19),JK19)</f>
        <v>0.0000159860340844622-0.125422335426543i</v>
      </c>
      <c r="LA19" s="1" t="str">
        <f>IMPRODUCT(KY19,JO19)</f>
        <v>-0.000972597025832949-0.125385894770066i</v>
      </c>
      <c r="LB19" s="1" t="str">
        <f>IMPRODUCT(IMSUB(KY19,KX19),JS19)</f>
        <v>0.00098858305991741-0.0000364406564775248i</v>
      </c>
      <c r="LC19" s="1" t="str">
        <f>IMPRODUCT(IMSUB(CI42,KX19),JL19)</f>
        <v>-0.000152363686479978-0.250747435379346i</v>
      </c>
      <c r="LD19" s="1" t="str">
        <f>IMPRODUCT(IMSUB(CI42,KW19),JM19)</f>
        <v>0.000260037528101984-0.660088052540986i</v>
      </c>
      <c r="LE19" s="1" t="str">
        <f>IMPRODUCT(IMSUB(CI42,KV19),JN19)</f>
        <v>0.00127617696323885-0.963741686767266i</v>
      </c>
      <c r="LF19" s="1" t="str">
        <f>IMPRODUCT(KY19,JO19)</f>
        <v>-0.000972597025832949-0.125385894770066i</v>
      </c>
      <c r="LG19" s="1" t="str">
        <f>IMPRODUCT(KX19,JP19)</f>
        <v>-0.00560014527185189-0.250883448464802i</v>
      </c>
      <c r="LH19" s="1" t="str">
        <f>IMPRODUCT(KW19,JQ19)</f>
        <v>0.000723265731699054-0.660116959250445i</v>
      </c>
      <c r="LI19" s="1" t="str">
        <f>IMPRODUCT(KV19,JR19)</f>
        <v>0.00725448041182865-0.963699114248931i</v>
      </c>
      <c r="LJ19" s="1" t="str">
        <f>IMPRODUCT(IMSUB(KY19,KX19),JS19)</f>
        <v>0.00098858305991741-0.0000364406564775248i</v>
      </c>
      <c r="LK19" s="1" t="str">
        <f>IMPRODUCT(IMSUB(KX19,KW19),JT19)</f>
        <v>0.00643636464528937+0.0000995724289790096i</v>
      </c>
      <c r="LL19" s="1" t="str">
        <f>IMPRODUCT(IMSUB(KW19,KV19),JU19)</f>
        <v>0.00597313644169237+0.000128479138433176i</v>
      </c>
      <c r="LM19" s="92" t="str">
        <f>IMSUM(KZ19,LC19,LD19,LE19)</f>
        <v>0.00139983683894532-1.99999951011414i</v>
      </c>
      <c r="LN19" s="1" t="str">
        <f>IMDIV(CI42,LM19)</f>
        <v>0.00331651901700328+4.73843538386112i</v>
      </c>
      <c r="LS19" s="1">
        <f>JJ19</f>
        <v>35</v>
      </c>
      <c r="LT19" s="1">
        <f>IMABS(LN19)</f>
        <v>4.7384365445076364</v>
      </c>
      <c r="LU19" s="1">
        <f>IMABS(LM19)</f>
        <v>1.999999999999994</v>
      </c>
    </row>
    <row r="20" spans="2:333" ht="18" customHeight="1" x14ac:dyDescent="0.25">
      <c r="B20" s="28"/>
      <c r="C20" s="159" t="s">
        <v>57</v>
      </c>
      <c r="D20" s="159"/>
      <c r="E20" s="159"/>
      <c r="F20" s="159"/>
      <c r="G20" s="159"/>
      <c r="H20" s="159"/>
      <c r="I20" s="160"/>
      <c r="J20" s="165">
        <v>1</v>
      </c>
      <c r="K20" s="166"/>
      <c r="L20" s="169">
        <v>2</v>
      </c>
      <c r="M20" s="170"/>
      <c r="N20" s="169">
        <v>3</v>
      </c>
      <c r="O20" s="170"/>
      <c r="P20" s="169">
        <v>4</v>
      </c>
      <c r="Q20" s="170"/>
      <c r="R20" s="169">
        <v>5</v>
      </c>
      <c r="S20" s="170"/>
      <c r="T20" s="169">
        <v>7</v>
      </c>
      <c r="U20" s="170"/>
      <c r="V20" s="169">
        <v>11</v>
      </c>
      <c r="W20" s="170"/>
      <c r="X20" s="169">
        <v>13</v>
      </c>
      <c r="Y20" s="170"/>
      <c r="Z20" s="169">
        <v>17</v>
      </c>
      <c r="AA20" s="170"/>
      <c r="AB20" s="169">
        <v>19</v>
      </c>
      <c r="AC20" s="170"/>
      <c r="AD20" s="169">
        <v>23</v>
      </c>
      <c r="AE20" s="170"/>
      <c r="AF20" s="169">
        <v>25</v>
      </c>
      <c r="AG20" s="170"/>
      <c r="AH20" s="169">
        <v>29</v>
      </c>
      <c r="AI20" s="170"/>
      <c r="AJ20" s="169">
        <v>31</v>
      </c>
      <c r="AK20" s="170"/>
      <c r="AL20" s="169">
        <v>35</v>
      </c>
      <c r="AM20" s="170"/>
      <c r="AN20" s="169">
        <v>37</v>
      </c>
      <c r="AO20" s="171"/>
      <c r="AP20" s="8"/>
      <c r="AR20" s="6"/>
      <c r="AS20" s="172" t="s">
        <v>384</v>
      </c>
      <c r="AT20" s="172"/>
      <c r="AU20" s="172"/>
      <c r="AV20" s="172"/>
      <c r="AW20" s="172"/>
      <c r="AX20" s="172"/>
      <c r="AY20" s="172"/>
      <c r="AZ20" s="172"/>
      <c r="BA20" s="172"/>
      <c r="BB20" s="172"/>
      <c r="BC20" s="172"/>
      <c r="BD20" s="172"/>
      <c r="BE20" s="172"/>
      <c r="BF20" s="172"/>
      <c r="BG20" s="172"/>
      <c r="BH20" s="172"/>
      <c r="BI20" s="172"/>
      <c r="BJ20" s="172"/>
      <c r="BK20" s="172"/>
      <c r="BL20" s="172"/>
      <c r="BM20" s="172"/>
      <c r="BN20" s="172"/>
      <c r="BO20" s="172"/>
      <c r="BP20" s="172"/>
      <c r="BQ20" s="172"/>
      <c r="BR20" s="172"/>
      <c r="BS20" s="172"/>
      <c r="BT20" s="172"/>
      <c r="BU20" s="172"/>
      <c r="BV20" s="172"/>
      <c r="BW20" s="172"/>
      <c r="BX20" s="172"/>
      <c r="BY20" s="172"/>
      <c r="BZ20" s="172"/>
      <c r="CA20" s="172"/>
      <c r="CB20" s="172"/>
      <c r="CC20" s="172"/>
      <c r="CD20" s="172"/>
      <c r="CE20" s="172"/>
      <c r="CF20" s="8"/>
      <c r="EA20" s="1">
        <f t="shared" si="182"/>
        <v>4</v>
      </c>
      <c r="EB20" s="1" t="str">
        <f t="shared" si="12"/>
        <v>0.000283597872274196-0.113439148909679i</v>
      </c>
      <c r="EC20" s="1" t="str">
        <f t="shared" si="13"/>
        <v>0.000555620321190263-0.222248128476105i</v>
      </c>
      <c r="ED20" s="1" t="str">
        <f t="shared" si="14"/>
        <v>0.00137313459585823-0.549253838343292i</v>
      </c>
      <c r="EE20" s="1" t="str">
        <f t="shared" si="15"/>
        <v>0.00191766180299695-0.76706472119878i</v>
      </c>
      <c r="EF20" s="1" t="str">
        <f t="shared" si="16"/>
        <v>0.0726015090587899i</v>
      </c>
      <c r="EG20" s="1" t="str">
        <f t="shared" si="17"/>
        <v>0.0725712710291944i</v>
      </c>
      <c r="EH20" s="1" t="str">
        <f t="shared" si="18"/>
        <v>0.0726290606518716i</v>
      </c>
      <c r="EI20" s="1" t="str">
        <f t="shared" si="19"/>
        <v>0.0726219659506071i</v>
      </c>
      <c r="EJ20" s="1" t="str">
        <f t="shared" si="1"/>
        <v>0.005</v>
      </c>
      <c r="EK20" s="1" t="str">
        <f t="shared" si="2"/>
        <v>0.01</v>
      </c>
      <c r="EL20" s="1" t="str">
        <f t="shared" si="3"/>
        <v>0.0125</v>
      </c>
      <c r="EM20" s="1" t="str">
        <f t="shared" si="20"/>
        <v>0.0052835978722742-0.0408376398508891i</v>
      </c>
      <c r="EN20" s="1" t="str">
        <f t="shared" si="21"/>
        <v>-0.005</v>
      </c>
      <c r="EO20" s="1" t="str">
        <f t="shared" si="22"/>
        <v>2.04177928950193-816.711715800776i</v>
      </c>
      <c r="EP20" s="1" t="str">
        <f t="shared" si="23"/>
        <v>-0.005</v>
      </c>
      <c r="EQ20" s="1" t="str">
        <f t="shared" si="24"/>
        <v>0.0155556203211903-0.149676857446911i</v>
      </c>
      <c r="ER20" s="1" t="str">
        <f t="shared" si="25"/>
        <v>-0.01</v>
      </c>
      <c r="ES20" s="1" t="str">
        <f t="shared" si="26"/>
        <v>4.00022064882012-1600.08825952805i</v>
      </c>
      <c r="ET20" s="1" t="str">
        <f t="shared" si="27"/>
        <v>-0.01</v>
      </c>
      <c r="EU20" s="1" t="str">
        <f t="shared" si="28"/>
        <v>0.0238731345958582-0.47662477769142i</v>
      </c>
      <c r="EV20" s="1" t="str">
        <f t="shared" si="29"/>
        <v>-0.0125</v>
      </c>
      <c r="EW20" s="1" t="str">
        <f t="shared" si="30"/>
        <v>9.88596196804764-3954.38478721906i</v>
      </c>
      <c r="EX20" s="1" t="str">
        <f t="shared" si="31"/>
        <v>-0.0125</v>
      </c>
      <c r="EY20" s="1" t="str">
        <f t="shared" si="32"/>
        <v>0.014417661802997-0.694442755248173i</v>
      </c>
      <c r="EZ20" s="1" t="str">
        <f t="shared" si="33"/>
        <v>13.8063171004417-5522.52684017666i</v>
      </c>
      <c r="FB20" s="1" t="str">
        <f t="shared" si="34"/>
        <v>0.0052835978722742-0.0408376398508891i</v>
      </c>
      <c r="FC20" s="1" t="str">
        <f t="shared" si="35"/>
        <v>2.04177928950193-816.711715800776i</v>
      </c>
      <c r="FD20" s="1" t="str">
        <f t="shared" si="36"/>
        <v>-0.0155800506472925-0.120420310662076i</v>
      </c>
      <c r="FE20" s="1" t="str">
        <f t="shared" si="37"/>
        <v>0.0154777200679538-0.150278959000221i</v>
      </c>
      <c r="FF20" s="1" t="str">
        <f t="shared" si="38"/>
        <v>102.380710211648-1612.56679772812i</v>
      </c>
      <c r="FG20" s="1" t="str">
        <f t="shared" si="39"/>
        <v>-0.00678153592415867-0.065844462532646i</v>
      </c>
      <c r="FH20" s="1" t="str">
        <f t="shared" si="40"/>
        <v>0.0238053192366166-0.477283222316746i</v>
      </c>
      <c r="FI20" s="1" t="str">
        <f t="shared" si="41"/>
        <v>116.758854526687-3958.57926405036i</v>
      </c>
      <c r="FJ20" s="1" t="str">
        <f t="shared" si="42"/>
        <v>-0.00130302467428691-0.0261249096943543i</v>
      </c>
      <c r="FK20" s="1" t="str">
        <f t="shared" si="43"/>
        <v>0.0144013739945684-0.694769316619352i</v>
      </c>
      <c r="FL20" s="1" t="str">
        <f t="shared" si="44"/>
        <v>117.127144215642-5527.42123126237i</v>
      </c>
      <c r="FM20" s="1" t="str">
        <f t="shared" si="45"/>
        <v>7955.8408809612+3.67331168287836i</v>
      </c>
      <c r="FN20" s="1" t="str">
        <f t="shared" si="46"/>
        <v>8295.8439288085+39.2254569213486i</v>
      </c>
      <c r="FO20" s="1" t="str">
        <f t="shared" si="47"/>
        <v>10740.9650403598+127.05371046214i</v>
      </c>
      <c r="FP20" s="1" t="str">
        <f t="shared" si="48"/>
        <v>19828.1428446105-1200.29778979906i</v>
      </c>
      <c r="FQ20" s="92" t="str">
        <f t="shared" si="49"/>
        <v>132.579319880596+1432.91633485067i</v>
      </c>
      <c r="FR20" s="1" t="str">
        <f t="shared" si="50"/>
        <v>87.1434308593419+1439.55309235197i</v>
      </c>
      <c r="FS20" s="1" t="str">
        <f t="shared" si="51"/>
        <v>45.4358890212535-6.636757501306i</v>
      </c>
      <c r="FT20" s="1" t="str">
        <f t="shared" si="52"/>
        <v>-30.2051271629535+787.000525095778i</v>
      </c>
      <c r="FU20" s="1" t="str">
        <f t="shared" si="53"/>
        <v>-23.0500811072599+602.085471143972i</v>
      </c>
      <c r="FV20" s="1" t="str">
        <f t="shared" si="54"/>
        <v>-4.26796286960255+580.110982910192i</v>
      </c>
      <c r="FW20" s="1" t="str">
        <f t="shared" si="55"/>
        <v>87.1434308593419+1439.55309235197i</v>
      </c>
      <c r="FX20" s="1" t="str">
        <f t="shared" si="56"/>
        <v>-9.22044925721275+779.485485059053i</v>
      </c>
      <c r="FY20" s="1" t="str">
        <f t="shared" si="57"/>
        <v>-2.848908089838+602.519351863893i</v>
      </c>
      <c r="FZ20" s="1" t="str">
        <f t="shared" si="58"/>
        <v>-0.26676311595996+577.768805565612i</v>
      </c>
      <c r="GA20" s="1" t="str">
        <f t="shared" si="59"/>
        <v>45.4358890212535-6.636757501306i</v>
      </c>
      <c r="GB20" s="1" t="str">
        <f t="shared" si="60"/>
        <v>24.451211115513+0.878282535407914i</v>
      </c>
      <c r="GC20" s="1" t="str">
        <f t="shared" si="61"/>
        <v>4.25003809809124+0.444401815480878i</v>
      </c>
      <c r="GD20" s="92" t="str">
        <f t="shared" si="62"/>
        <v>75.05614874078+3402.11331400061i</v>
      </c>
      <c r="GE20" s="1" t="str">
        <f t="shared" si="63"/>
        <v>0.0466641357633652-2.11517217750103i</v>
      </c>
      <c r="GF20" s="1">
        <f t="shared" si="64"/>
        <v>4</v>
      </c>
      <c r="GG20" s="56">
        <f t="shared" si="65"/>
        <v>10.193784560037409</v>
      </c>
      <c r="GH20" s="1">
        <f t="shared" si="66"/>
        <v>9.2434304211618912</v>
      </c>
      <c r="GJ20" s="1">
        <f t="shared" si="67"/>
        <v>3402.9411435938782</v>
      </c>
      <c r="GK20" s="72">
        <f t="shared" si="68"/>
        <v>2.1156868582190964</v>
      </c>
      <c r="GM20" s="1" t="str">
        <f t="shared" si="69"/>
        <v>0.0191834803010191+1.91834803010192i</v>
      </c>
      <c r="GP20" s="1">
        <f t="shared" si="4"/>
        <v>4</v>
      </c>
      <c r="GQ20" s="1">
        <f t="shared" si="5"/>
        <v>2.1156868582190964</v>
      </c>
      <c r="GR20" s="1">
        <f t="shared" si="70"/>
        <v>1.9184439451056097</v>
      </c>
      <c r="GS20" s="1">
        <f t="shared" si="71"/>
        <v>19.556204266915071</v>
      </c>
      <c r="GU20" s="15">
        <f>AN20</f>
        <v>37</v>
      </c>
      <c r="GV20" s="1" t="str">
        <f>IMDIV(COMPLEX(1,0),COMPLEX($W$39/100,$W$39*GU20))</f>
        <v>0.0000033145317638577-0.0122637675262735i</v>
      </c>
      <c r="GW20" s="1" t="str">
        <f>IMDIV(COMPLEX(1,0),COMPLEX($W$40/100,$W$40*GU20))</f>
        <v>6.49377651694571E-06-0.0240269731126991i</v>
      </c>
      <c r="GX20" s="1" t="str">
        <f>IMDIV(COMPLEX(1,0),COMPLEX($W$41/100,$W$41*GU20))</f>
        <v>0.0000160484216525559-0.059379160114457i</v>
      </c>
      <c r="GY20" s="1" t="str">
        <f>IMDIV(COMPLEX(1,0),COMPLEX($W$42/100,$W$42*GU20))</f>
        <v>0.0000224125481175141-0.082926428034802i</v>
      </c>
      <c r="GZ20" s="1" t="str">
        <f>IMDIV(COMPLEX(1,0),COMPLEX(0,-$L$39/GU20))</f>
        <v>0.671563958793809i</v>
      </c>
      <c r="HA20" s="1" t="str">
        <f>IMDIV(COMPLEX(1,0),COMPLEX(0,-$L$40/GU20))</f>
        <v>0.671284257020049i</v>
      </c>
      <c r="HB20" s="1" t="str">
        <f>IMDIV(COMPLEX(1,0),COMPLEX(0,-$L$41/GU20))</f>
        <v>0.671818811029816i</v>
      </c>
      <c r="HC20" s="1" t="str">
        <f>IMDIV(COMPLEX(1,0),COMPLEX(0,-$L$42/GU20))</f>
        <v>0.671753185043115i</v>
      </c>
      <c r="HD20" s="1" t="str">
        <f t="shared" si="6"/>
        <v>0.005</v>
      </c>
      <c r="HE20" s="1" t="str">
        <f t="shared" si="7"/>
        <v>0.01</v>
      </c>
      <c r="HF20" s="1" t="str">
        <f t="shared" si="8"/>
        <v>0.0125</v>
      </c>
      <c r="HG20" s="1" t="str">
        <f>IMSUM(GV20,GZ20,HD20)</f>
        <v>0.00500331453176386+0.659300191267536i</v>
      </c>
      <c r="HH20" s="1" t="str">
        <f>IMPRODUCT("-1+0i",HD20)</f>
        <v>-0.005</v>
      </c>
      <c r="HI20" s="1" t="str">
        <f>IMPRODUCT($EO$1,GV20)</f>
        <v>0.0238631632020771-88.2937038476853i</v>
      </c>
      <c r="HJ20" s="1" t="str">
        <f>IMPRODUCT("-1+0i",HD20)</f>
        <v>-0.005</v>
      </c>
      <c r="HK20" s="1" t="str">
        <f>IMSUM(GW20,HA20,HD20,HE20)</f>
        <v>0.0150064937765169+0.64725728390735i</v>
      </c>
      <c r="HL20" s="1" t="str">
        <f>IMPRODUCT("-1+0i",HE20)</f>
        <v>-0.01</v>
      </c>
      <c r="HM20" s="1" t="str">
        <f>IMPRODUCT($EO$1,GW20)</f>
        <v>0.046752319742845-172.983583048526i</v>
      </c>
      <c r="HN20" s="1" t="str">
        <f>IMPRODUCT("-1+0i",HE20)</f>
        <v>-0.01</v>
      </c>
      <c r="HO20" s="1" t="str">
        <f>IMSUM(GX20,HB20,HE20,HF20)</f>
        <v>0.0225160484216526+0.612439650915359i</v>
      </c>
      <c r="HP20" s="1" t="str">
        <f>IMPRODUCT("-1+0i",HF20)</f>
        <v>-0.0125</v>
      </c>
      <c r="HQ20" s="1" t="str">
        <f>IMPRODUCT($EO$1,GX20)</f>
        <v>0.115541540197812-427.503698731905i</v>
      </c>
      <c r="HR20" s="1" t="str">
        <f>IMPRODUCT("-1+0i",HF20)</f>
        <v>-0.0125</v>
      </c>
      <c r="HS20" s="1" t="str">
        <f>IMSUM(GY20,HC20,HF20)</f>
        <v>0.0125224125481175+0.588826757008313i</v>
      </c>
      <c r="HT20" s="1" t="str">
        <f>IMPRODUCT($EO$1,GY20)</f>
        <v>0.161360436890236-597.033616493874i</v>
      </c>
      <c r="HV20" s="1" t="str">
        <f>HG20</f>
        <v>0.00500331453176386+0.659300191267536i</v>
      </c>
      <c r="HW20" s="1" t="str">
        <f>HI20</f>
        <v>0.0238631632020771-88.2937038476853i</v>
      </c>
      <c r="HX20" s="1" t="str">
        <f>IMDIV(HJ20,HV20)</f>
        <v>-0.0000575488163994801+0.00758336207298596i</v>
      </c>
      <c r="HY20" s="1" t="str">
        <f>IMSUB(HK20,IMPRODUCT(HX20,HH20))</f>
        <v>0.0150062060324349+0.647295200717715i</v>
      </c>
      <c r="HZ20" s="1" t="str">
        <f>IMSUB(HM20,IMPRODUCT(HX20,HW20))</f>
        <v>-0.622809432002348-172.988845209685i</v>
      </c>
      <c r="IA20" s="1" t="str">
        <f>IMDIV(HN20,HY20)</f>
        <v>-0.000357958584950062+0.0154406032806071i</v>
      </c>
      <c r="IB20" s="1" t="str">
        <f>IMSUB(HO20,IMPRODUCT(IA20,HL20))</f>
        <v>0.0225124688358031+0.612594056948165i</v>
      </c>
      <c r="IC20" s="1" t="str">
        <f>IMSUB(HQ20,IMPRODUCT(IA20,HZ20))</f>
        <v>-2.55573353063826-427.556005020789i</v>
      </c>
      <c r="ID20" s="1" t="str">
        <f>IMDIV(HR20,IB20)</f>
        <v>-0.000748861411209812+0.0203775096072701i</v>
      </c>
      <c r="IE20" s="1" t="str">
        <f>IMSUB(HS20,IMPRODUCT(ID20,HP20))</f>
        <v>0.0125130517804774+0.589081475878404i</v>
      </c>
      <c r="IF20" s="1" t="str">
        <f>IMSUB(HT20,IMPRODUCT(ID20,HQ20))</f>
        <v>-8.55001376656181-597.356111965849i</v>
      </c>
      <c r="IG20" s="1" t="str">
        <f>IMDIV(IF20,IE20)</f>
        <v>-1013.89750162833-7.02269268481316i</v>
      </c>
      <c r="IH20" s="1" t="str">
        <f>IMDIV(IMSUB(IC20,IMPRODUCT(HP20,IG20)),IB20)</f>
        <v>-698.057612915592-0.792609640687461i</v>
      </c>
      <c r="II20" s="1" t="str">
        <f>IMDIV(IMSUB(HZ20,IMPRODUCT(HL20,IH20)),HY20)</f>
        <v>-267.389621169958+5.54751805816826i</v>
      </c>
      <c r="IJ20" s="1" t="str">
        <f>IMDIV(IMSUB(HW20,IMPRODUCT(HH20,II20)),HV20)</f>
        <v>-133.885669467213+0.975599333242817i</v>
      </c>
      <c r="IK20" s="92" t="str">
        <f>IMPRODUCT(IMSUB($EO$1,IJ20),GV20)</f>
        <v>0.0123424080845742-89.9356498067857i</v>
      </c>
      <c r="IL20" s="1" t="str">
        <f>IMPRODUCT(IJ20,GZ20)</f>
        <v>-0.655177350429147-89.912790213161i</v>
      </c>
      <c r="IM20" s="1" t="str">
        <f>IMPRODUCT(IMSUB(IJ20,II20),HD20)</f>
        <v>0.667519758513725-0.0228595936246272i</v>
      </c>
      <c r="IN20" s="1" t="str">
        <f>IMPRODUCT(IMSUB($EO$1,II20),GW20)</f>
        <v>-0.0848013790401481-179.408182311334i</v>
      </c>
      <c r="IO20" s="1" t="str">
        <f>IMPRODUCT(IMSUB($EO$1,IH20),GX20)</f>
        <v>0.173808757870301-468.953760778203i</v>
      </c>
      <c r="IP20" s="1" t="str">
        <f>IMPRODUCT(IMSUB($EO$1,IG20),GY20)</f>
        <v>0.766451282969398-681.112357300883i</v>
      </c>
      <c r="IQ20" s="1" t="str">
        <f>IMPRODUCT(IJ20,GZ20)</f>
        <v>-0.655177350429147-89.912790213161i</v>
      </c>
      <c r="IR20" s="1" t="str">
        <f>IMPRODUCT(II20,HA20)</f>
        <v>-3.72396153798279-179.494443181948i</v>
      </c>
      <c r="IS20" s="1" t="str">
        <f>IMPRODUCT(IH20,HB20)</f>
        <v>0.53249006641742-468.968235539265i</v>
      </c>
      <c r="IT20" s="1" t="str">
        <f>IMPRODUCT(IG20,HC20)</f>
        <v>4.71751617860222-681.088876026088i</v>
      </c>
      <c r="IU20" s="1" t="str">
        <f>IMPRODUCT(IMSUB(IJ20,II20),HD20)</f>
        <v>0.667519758513725-0.0228595936246272i</v>
      </c>
      <c r="IV20" s="1" t="str">
        <f>IMPRODUCT(IMSUB(II20,IH20),HE20)</f>
        <v>4.30667991745634+0.0634012769885572i</v>
      </c>
      <c r="IW20" s="1" t="str">
        <f>IMPRODUCT(IMSUB(IH20,IG20),HF20)</f>
        <v>3.94799860890923+0.0778760380515713i</v>
      </c>
      <c r="IX20" s="92" t="str">
        <f>IMSUM(IK20,IN20,IO20,IP20)</f>
        <v>0.867801069884125-1419.40995019721i</v>
      </c>
      <c r="IY20" s="1" t="str">
        <f>IMDIV($EO$1,IX20)</f>
        <v>0.00310105989406262+5.07221691991891i</v>
      </c>
      <c r="JD20" s="1">
        <f>GU20</f>
        <v>37</v>
      </c>
      <c r="JE20" s="1">
        <f>IMABS(IY20)</f>
        <v>5.0722178678842393</v>
      </c>
      <c r="JJ20" s="1">
        <f>JD20</f>
        <v>37</v>
      </c>
      <c r="JK20" s="1" t="str">
        <f>IMDIV(COMPLEX(1,0),COMPLEX($W$39/100,$W$39*JJ20))</f>
        <v>0.0000033145317638577-0.0122637675262735i</v>
      </c>
      <c r="JL20" s="1" t="str">
        <f>IMDIV(COMPLEX(1,0),COMPLEX($W$40/100,$W$40*JJ20))</f>
        <v>6.49377651694571E-06-0.0240269731126991i</v>
      </c>
      <c r="JM20" s="1" t="str">
        <f>IMDIV(COMPLEX(1,0),COMPLEX($W$41/100,$W$41*JJ20))</f>
        <v>0.0000160484216525559-0.059379160114457i</v>
      </c>
      <c r="JN20" s="1" t="str">
        <f>IMDIV(COMPLEX(1,0),COMPLEX($W$42/100,$W$42*JJ20))</f>
        <v>0.0000224125481175141-0.082926428034802i</v>
      </c>
      <c r="JO20" s="1" t="str">
        <f>IMDIV(COMPLEX(1,0),COMPLEX(0,-$L$39/JJ20))</f>
        <v>0.671563958793809i</v>
      </c>
      <c r="JP20" s="1" t="str">
        <f>IMDIV(COMPLEX(1,0),COMPLEX(0,-$L$40/JJ20))</f>
        <v>0.671284257020049i</v>
      </c>
      <c r="JQ20" s="1" t="str">
        <f>IMDIV(COMPLEX(1,0),COMPLEX(0,-$L$41/JJ20))</f>
        <v>0.671818811029816i</v>
      </c>
      <c r="JR20" s="1" t="str">
        <f>IMDIV(COMPLEX(1,0),COMPLEX(0,-$L$42/JJ20))</f>
        <v>0.671753185043115i</v>
      </c>
      <c r="JS20" s="1" t="str">
        <f t="shared" si="9"/>
        <v>0.005</v>
      </c>
      <c r="JT20" s="1" t="str">
        <f t="shared" si="10"/>
        <v>0.01</v>
      </c>
      <c r="JU20" s="1" t="str">
        <f t="shared" si="11"/>
        <v>0.0125</v>
      </c>
      <c r="JV20" s="1" t="str">
        <f>IMSUM(JK20,JO20,JS20)</f>
        <v>0.00500331453176386+0.659300191267536i</v>
      </c>
      <c r="JW20" s="1" t="str">
        <f>IMPRODUCT("-1+0i",JS20)</f>
        <v>-0.005</v>
      </c>
      <c r="JX20" s="1" t="str">
        <f>IMPRODUCT(CI43,JK20)</f>
        <v>0.0000168120272363089-0.0622045007743429i</v>
      </c>
      <c r="JY20" s="1" t="str">
        <f>IMPRODUCT("-1+0i",JS20)</f>
        <v>-0.005</v>
      </c>
      <c r="JZ20" s="1" t="str">
        <f>IMSUM(JL20,JP20,JS20,JT20)</f>
        <v>0.0150064937765169+0.64725728390735i</v>
      </c>
      <c r="KA20" s="1" t="str">
        <f>IMPRODUCT("-1+0i",JT20)</f>
        <v>-0.01</v>
      </c>
      <c r="KB20" s="72" t="str">
        <f t="shared" si="141"/>
        <v>0.0000329378492792991-0.121870042333407i</v>
      </c>
      <c r="KC20" s="1" t="str">
        <f>IMPRODUCT("-1+0i",JT20)</f>
        <v>-0.01</v>
      </c>
      <c r="KD20" s="1" t="str">
        <f>IMSUM(JM20,JQ20,JT20,JU20)</f>
        <v>0.0225160484216526+0.612439650915359i</v>
      </c>
      <c r="KE20" s="1" t="str">
        <f>IMPRODUCT("-1+0i",JU20)</f>
        <v>-0.0125</v>
      </c>
      <c r="KF20" s="1" t="str">
        <f>IMPRODUCT(CI43,JM20)</f>
        <v>0.0000814010910574344-0.301184036912508i</v>
      </c>
      <c r="KG20" s="1" t="str">
        <f>IMPRODUCT("-1+0i",JU20)</f>
        <v>-0.0125</v>
      </c>
      <c r="KH20" s="1" t="str">
        <f>IMSUM(JN20,JR20,JU20)</f>
        <v>0.0125224125481175+0.588826757008313i</v>
      </c>
      <c r="KI20" s="1" t="str">
        <f>IMPRODUCT(CI43,JN20)</f>
        <v>0.00011368132702647-0.420620909997939i</v>
      </c>
      <c r="KK20" s="1" t="str">
        <f>JV20</f>
        <v>0.00500331453176386+0.659300191267536i</v>
      </c>
      <c r="KL20" s="1" t="str">
        <f>JX20</f>
        <v>0.0000168120272363089-0.0622045007743429i</v>
      </c>
      <c r="KM20" s="1" t="str">
        <f>IMDIV(JY20,KK20)</f>
        <v>-0.0000575488163994801+0.00758336207298596i</v>
      </c>
      <c r="KN20" s="1" t="str">
        <f>IMSUB(JZ20,IMPRODUCT(KM20,JW20))</f>
        <v>0.0150062060324349+0.647295200717715i</v>
      </c>
      <c r="KO20" s="1" t="str">
        <f>IMSUB(KB20,IMPRODUCT(KM20,KL20))</f>
        <v>-0.00043878043514961-0.121873749620491i</v>
      </c>
      <c r="KP20" s="1" t="str">
        <f>IMDIV(KC20,KN20)</f>
        <v>-0.000357958584950062+0.0154406032806071i</v>
      </c>
      <c r="KQ20" s="1" t="str">
        <f>IMSUB(KD20,IMPRODUCT(KP20,KA20))</f>
        <v>0.0225124688358031+0.612594056948165i</v>
      </c>
      <c r="KR20" s="1" t="str">
        <f>IMSUB(KF20,IMPRODUCT(KP20,KO20))</f>
        <v>-0.00180056019237628-0.301220887632838i</v>
      </c>
      <c r="KS20" s="1" t="str">
        <f>IMDIV(KG20,KQ20)</f>
        <v>-0.000748861411209812+0.0203775096072701i</v>
      </c>
      <c r="KT20" s="1" t="str">
        <f>IMSUB(KH20,IMPRODUCT(KS20,KE20))</f>
        <v>0.0125130517804774+0.589081475878404i</v>
      </c>
      <c r="KU20" s="1" t="str">
        <f>IMSUB(KI20,IMPRODUCT(KS20,KF20))</f>
        <v>-0.00602363832057863-0.42084811385237i</v>
      </c>
      <c r="KV20" s="1" t="str">
        <f>IMDIV(KU20,KT20)</f>
        <v>-0.714309007060614-0.00494761317640523i</v>
      </c>
      <c r="KW20" s="1" t="str">
        <f>IMDIV(IMSUB(KR20,IMPRODUCT(KE20,KV20)),KQ20)</f>
        <v>-0.49179413062172-0.000558407733046925i</v>
      </c>
      <c r="KX20" s="1" t="str">
        <f>IMDIV(IMSUB(KO20,IMPRODUCT(KA20,KW20)),KN20)</f>
        <v>-0.188380792426729+0.00390832614679191i</v>
      </c>
      <c r="KY20" s="1" t="str">
        <f>IMDIV(IMSUB(KL20,IMPRODUCT(JW20,KX20)),KK20)</f>
        <v>-0.0943248597251479+0.000687327259312187i</v>
      </c>
      <c r="KZ20" s="92" t="str">
        <f>IMPRODUCT(IMSUB(CI43,KY20),JK20)</f>
        <v>8.69544825731396E-06-0.0633612812041286i</v>
      </c>
      <c r="LA20" s="1" t="str">
        <f>IMPRODUCT(KY20,JO20)</f>
        <v>-0.000461584215250591-0.063345176209691i</v>
      </c>
      <c r="LB20" s="1" t="str">
        <f>IMPRODUCT(IMSUB(KY20,KX20),JS20)</f>
        <v>0.000470279663507905-0.0000161049944373986i</v>
      </c>
      <c r="LC20" s="1" t="str">
        <f>IMPRODUCT(IMSUB(CI43,KX20),JL20)</f>
        <v>-0.0000597440951992247-0.126396287947789i</v>
      </c>
      <c r="LD20" s="1" t="str">
        <f>IMPRODUCT(IMSUB(CI43,KW20),JM20)</f>
        <v>0.000122451392821648-0.330386350376483i</v>
      </c>
      <c r="LE20" s="1" t="str">
        <f>IMPRODUCT(IMSUB(CI43,KV20),JN20)</f>
        <v>0.000539978700035196-0.479855893577943i</v>
      </c>
      <c r="LF20" s="1" t="str">
        <f>IMPRODUCT(KY20,JO20)</f>
        <v>-0.000461584215250591-0.063345176209691i</v>
      </c>
      <c r="LG20" s="1" t="str">
        <f>IMPRODUCT(KX20,JP20)</f>
        <v>-0.00262359781364124-0.126457060281025i</v>
      </c>
      <c r="LH20" s="1" t="str">
        <f>IMPRODUCT(KW20,JQ20)</f>
        <v>0.00037514881928544-0.330396548105726i</v>
      </c>
      <c r="LI20" s="1" t="str">
        <f>IMPRODUCT(KV20,JR20)</f>
        <v>0.0033235749096115-0.479839350597952i</v>
      </c>
      <c r="LJ20" s="1" t="str">
        <f>IMPRODUCT(IMSUB(KY20,KX20),JS20)</f>
        <v>0.000470279663507905-0.0000161049944373986i</v>
      </c>
      <c r="LK20" s="1" t="str">
        <f>IMPRODUCT(IMSUB(KX20,KW20),JT20)</f>
        <v>0.00303413338194991+0.0000446673387983884i</v>
      </c>
      <c r="LL20" s="1" t="str">
        <f>IMPRODUCT(IMSUB(KW20,KV20),JU20)</f>
        <v>0.00278143595548618+0.0000548650680419789i</v>
      </c>
      <c r="LM20" s="92" t="str">
        <f>IMSUM(KZ20,LC20,LD20,LE20)</f>
        <v>0.000611381445914933-0.999999813106344i</v>
      </c>
      <c r="LN20" s="1" t="str">
        <f>IMDIV(CI43,LM20)</f>
        <v>0.00310105989406264+5.07221691991892i</v>
      </c>
      <c r="LS20" s="1">
        <f>JJ20</f>
        <v>37</v>
      </c>
      <c r="LT20" s="1">
        <f>IMABS(LN20)</f>
        <v>5.0722178678842491</v>
      </c>
      <c r="LU20" s="1">
        <f>IMABS(LM20)</f>
        <v>0.99999999999999756</v>
      </c>
    </row>
    <row r="21" spans="2:333" ht="18" customHeight="1" x14ac:dyDescent="0.35">
      <c r="B21" s="28"/>
      <c r="C21" s="159" t="s">
        <v>59</v>
      </c>
      <c r="D21" s="159"/>
      <c r="E21" s="159"/>
      <c r="F21" s="159"/>
      <c r="G21" s="159"/>
      <c r="H21" s="159"/>
      <c r="I21" s="160"/>
      <c r="J21" s="165">
        <f>SUM(AG39:AJ42)</f>
        <v>532.76419788011424</v>
      </c>
      <c r="K21" s="166"/>
      <c r="L21" s="169">
        <v>5</v>
      </c>
      <c r="M21" s="170"/>
      <c r="N21" s="169">
        <v>3</v>
      </c>
      <c r="O21" s="170"/>
      <c r="P21" s="169">
        <v>3</v>
      </c>
      <c r="Q21" s="170"/>
      <c r="R21" s="169">
        <v>120</v>
      </c>
      <c r="S21" s="170"/>
      <c r="T21" s="169">
        <v>100</v>
      </c>
      <c r="U21" s="170"/>
      <c r="V21" s="169">
        <v>90</v>
      </c>
      <c r="W21" s="170"/>
      <c r="X21" s="169">
        <v>80</v>
      </c>
      <c r="Y21" s="170"/>
      <c r="Z21" s="169">
        <v>70</v>
      </c>
      <c r="AA21" s="170"/>
      <c r="AB21" s="169">
        <v>60</v>
      </c>
      <c r="AC21" s="170"/>
      <c r="AD21" s="169">
        <v>30</v>
      </c>
      <c r="AE21" s="170"/>
      <c r="AF21" s="169">
        <v>20</v>
      </c>
      <c r="AG21" s="170"/>
      <c r="AH21" s="169">
        <v>2</v>
      </c>
      <c r="AI21" s="170"/>
      <c r="AJ21" s="169">
        <v>2</v>
      </c>
      <c r="AK21" s="170"/>
      <c r="AL21" s="169">
        <v>2</v>
      </c>
      <c r="AM21" s="170"/>
      <c r="AN21" s="169">
        <v>1</v>
      </c>
      <c r="AO21" s="171"/>
      <c r="AP21" s="8"/>
      <c r="AR21" s="6"/>
      <c r="AZ21" s="200" t="s">
        <v>15</v>
      </c>
      <c r="BA21" s="200"/>
      <c r="BB21" s="200"/>
      <c r="BC21" s="200"/>
      <c r="BD21" s="200"/>
      <c r="BE21" s="18"/>
      <c r="BF21" s="200" t="s">
        <v>387</v>
      </c>
      <c r="BG21" s="200"/>
      <c r="BH21" s="200"/>
      <c r="BI21" s="200"/>
      <c r="BJ21" s="200"/>
      <c r="BK21" s="48"/>
      <c r="BL21" s="48"/>
      <c r="BT21" s="245" t="s">
        <v>388</v>
      </c>
      <c r="BU21" s="245"/>
      <c r="BV21" s="245"/>
      <c r="BW21" s="245"/>
      <c r="BX21" s="245"/>
      <c r="BY21" s="245"/>
      <c r="BZ21" s="245"/>
      <c r="CA21" s="253">
        <f>CQ28/U30</f>
        <v>44.447302194449385</v>
      </c>
      <c r="CB21" s="253"/>
      <c r="CC21" s="253"/>
      <c r="CD21" s="33" t="s">
        <v>39</v>
      </c>
      <c r="CE21" s="38"/>
      <c r="CF21" s="8"/>
      <c r="EA21" s="1">
        <f t="shared" si="182"/>
        <v>4.2</v>
      </c>
      <c r="EB21" s="1" t="str">
        <f t="shared" si="12"/>
        <v>0.000257231779648322-0.108037347452296i</v>
      </c>
      <c r="EC21" s="1" t="str">
        <f t="shared" si="13"/>
        <v>0.000503964302984469-0.211665007253477i</v>
      </c>
      <c r="ED21" s="1" t="str">
        <f t="shared" si="14"/>
        <v>0.00124547428003192-0.523099197613409i</v>
      </c>
      <c r="EE21" s="1" t="str">
        <f t="shared" si="15"/>
        <v>0.00173937679571722-0.730538254201234i</v>
      </c>
      <c r="EF21" s="1" t="str">
        <f t="shared" si="16"/>
        <v>0.0762315845117295i</v>
      </c>
      <c r="EG21" s="1" t="str">
        <f t="shared" si="17"/>
        <v>0.0761998345806545i</v>
      </c>
      <c r="EH21" s="1" t="str">
        <f t="shared" si="18"/>
        <v>0.0762605136844654i</v>
      </c>
      <c r="EI21" s="1" t="str">
        <f t="shared" si="19"/>
        <v>0.0762530642481374i</v>
      </c>
      <c r="EJ21" s="1" t="str">
        <f t="shared" si="1"/>
        <v>0.005</v>
      </c>
      <c r="EK21" s="1" t="str">
        <f t="shared" si="2"/>
        <v>0.01</v>
      </c>
      <c r="EL21" s="1" t="str">
        <f t="shared" si="3"/>
        <v>0.0125</v>
      </c>
      <c r="EM21" s="1" t="str">
        <f t="shared" si="20"/>
        <v>0.00525723177964832-0.0318057629405665i</v>
      </c>
      <c r="EN21" s="1" t="str">
        <f t="shared" si="21"/>
        <v>-0.005</v>
      </c>
      <c r="EO21" s="1" t="str">
        <f t="shared" si="22"/>
        <v>1.85195508018434-777.821133677429i</v>
      </c>
      <c r="EP21" s="1" t="str">
        <f t="shared" si="23"/>
        <v>-0.005</v>
      </c>
      <c r="EQ21" s="1" t="str">
        <f t="shared" si="24"/>
        <v>0.0155039643029845-0.135465172672822i</v>
      </c>
      <c r="ER21" s="1" t="str">
        <f t="shared" si="25"/>
        <v>-0.01</v>
      </c>
      <c r="ES21" s="1" t="str">
        <f t="shared" si="26"/>
        <v>3.62832015709587-1523.89446598026i</v>
      </c>
      <c r="ET21" s="1" t="str">
        <f t="shared" si="27"/>
        <v>-0.01</v>
      </c>
      <c r="EU21" s="1" t="str">
        <f t="shared" si="28"/>
        <v>0.0237454742800319-0.446838683928944i</v>
      </c>
      <c r="EV21" s="1" t="str">
        <f t="shared" si="29"/>
        <v>-0.0125</v>
      </c>
      <c r="EW21" s="1" t="str">
        <f t="shared" si="30"/>
        <v>8.96686413823945-3766.08293806059i</v>
      </c>
      <c r="EX21" s="1" t="str">
        <f t="shared" si="31"/>
        <v>-0.0125</v>
      </c>
      <c r="EY21" s="1" t="str">
        <f t="shared" si="32"/>
        <v>0.0142393767957172-0.654285189953097i</v>
      </c>
      <c r="EZ21" s="1" t="str">
        <f t="shared" si="33"/>
        <v>12.5227438755322-5259.55242772353i</v>
      </c>
      <c r="FB21" s="1" t="str">
        <f t="shared" si="34"/>
        <v>0.00525723177964832-0.0318057629405665i</v>
      </c>
      <c r="FC21" s="1" t="str">
        <f t="shared" si="35"/>
        <v>1.85195508018434-777.821133677429i</v>
      </c>
      <c r="FD21" s="1" t="str">
        <f t="shared" si="36"/>
        <v>-0.0252935138782857-0.15302340472432i</v>
      </c>
      <c r="FE21" s="1" t="str">
        <f t="shared" si="37"/>
        <v>0.0153774967335931-0.136230289696444i</v>
      </c>
      <c r="FF21" s="1" t="str">
        <f t="shared" si="38"/>
        <v>122.700000750469-1543.28490314799i</v>
      </c>
      <c r="FG21" s="1" t="str">
        <f t="shared" si="39"/>
        <v>-0.00818162620494001-0.0724815831468925i</v>
      </c>
      <c r="FH21" s="1" t="str">
        <f t="shared" si="40"/>
        <v>0.0236636580179825-0.447563499760413i</v>
      </c>
      <c r="FI21" s="1" t="str">
        <f t="shared" si="41"/>
        <v>121.83048270659-3769.81602795936i</v>
      </c>
      <c r="FJ21" s="1" t="str">
        <f t="shared" si="42"/>
        <v>-0.00147255053786429-0.0278511408422058i</v>
      </c>
      <c r="FK21" s="1" t="str">
        <f t="shared" si="43"/>
        <v>0.0142209699139939-0.654633329213625i</v>
      </c>
      <c r="FL21" s="1" t="str">
        <f t="shared" si="44"/>
        <v>117.425654367495-5264.84843778359i</v>
      </c>
      <c r="FM21" s="1" t="str">
        <f t="shared" si="45"/>
        <v>8042.54003493858+4.66357938452245i</v>
      </c>
      <c r="FN21" s="1" t="str">
        <f t="shared" si="46"/>
        <v>8425.55945558706+51.3506476476163i</v>
      </c>
      <c r="FO21" s="1" t="str">
        <f t="shared" si="47"/>
        <v>11351.5746586311+237.809030167158i</v>
      </c>
      <c r="FP21" s="1" t="str">
        <f t="shared" si="48"/>
        <v>24065.0669823728-2135.01580429457i</v>
      </c>
      <c r="FQ21" s="92" t="str">
        <f t="shared" si="49"/>
        <v>226.323099337668+1822.65406327488i</v>
      </c>
      <c r="FR21" s="1" t="str">
        <f t="shared" si="50"/>
        <v>162.75563771896+1834.51818744718i</v>
      </c>
      <c r="FS21" s="1" t="str">
        <f t="shared" si="51"/>
        <v>63.5674616187085-11.8641241723086i</v>
      </c>
      <c r="FT21" s="1" t="str">
        <f t="shared" si="52"/>
        <v>-52.4283183487911+878.716819215143i</v>
      </c>
      <c r="FU21" s="1" t="str">
        <f t="shared" si="53"/>
        <v>-28.388436039971+641.256496690169i</v>
      </c>
      <c r="FV21" s="1" t="str">
        <f t="shared" si="54"/>
        <v>-4.87318678176463+615.822617022265i</v>
      </c>
      <c r="FW21" s="1" t="str">
        <f t="shared" si="55"/>
        <v>162.75563771896+1834.51818744718i</v>
      </c>
      <c r="FX21" s="1" t="str">
        <f t="shared" si="56"/>
        <v>-18.1210087605233+864.988111217639i</v>
      </c>
      <c r="FY21" s="1" t="str">
        <f t="shared" si="57"/>
        <v>-3.9160267676372+642.537492162074i</v>
      </c>
      <c r="FZ21" s="1" t="str">
        <f t="shared" si="58"/>
        <v>-0.355612218434279+613.268322002389i</v>
      </c>
      <c r="GA21" s="1" t="str">
        <f t="shared" si="59"/>
        <v>63.5674616187085-11.8641241723086i</v>
      </c>
      <c r="GB21" s="1" t="str">
        <f t="shared" si="60"/>
        <v>29.2601520304404+1.86458382519542i</v>
      </c>
      <c r="GC21" s="1" t="str">
        <f t="shared" si="61"/>
        <v>4.78774275810599+0.583588353288673i</v>
      </c>
      <c r="GD21" s="92" t="str">
        <f t="shared" si="62"/>
        <v>140.633158167141+3958.44999620246i</v>
      </c>
      <c r="GE21" s="1" t="str">
        <f t="shared" si="63"/>
        <v>0.0645350145610696-1.8164893078813i</v>
      </c>
      <c r="GF21" s="1">
        <f t="shared" si="64"/>
        <v>4.2</v>
      </c>
      <c r="GG21" s="56">
        <f t="shared" si="65"/>
        <v>8.4633522757784494</v>
      </c>
      <c r="GH21" s="1">
        <f t="shared" si="66"/>
        <v>9.3793352282780127</v>
      </c>
      <c r="GJ21" s="1">
        <f t="shared" si="67"/>
        <v>3960.9473686999831</v>
      </c>
      <c r="GK21" s="1">
        <f t="shared" si="68"/>
        <v>1.8176353247424197</v>
      </c>
      <c r="GM21" s="1" t="str">
        <f t="shared" si="69"/>
        <v>0.0191834803010191+2.01426543160701i</v>
      </c>
      <c r="GP21" s="1">
        <f t="shared" si="4"/>
        <v>4.2</v>
      </c>
      <c r="GQ21" s="1">
        <f t="shared" si="5"/>
        <v>1.8176353247424197</v>
      </c>
      <c r="GR21" s="1">
        <f t="shared" si="70"/>
        <v>2.0143567794418731</v>
      </c>
      <c r="GS21" s="1">
        <f t="shared" si="71"/>
        <v>17.048211033519255</v>
      </c>
      <c r="IK21" s="92"/>
      <c r="IX21" s="92"/>
    </row>
    <row r="22" spans="2:333" ht="18" customHeight="1" x14ac:dyDescent="0.25">
      <c r="B22" s="6"/>
      <c r="AP22" s="8"/>
      <c r="AR22" s="6"/>
      <c r="AS22" s="172" t="s">
        <v>20</v>
      </c>
      <c r="AT22" s="172"/>
      <c r="AU22" s="172"/>
      <c r="AV22" s="172"/>
      <c r="AW22" s="172"/>
      <c r="AX22" s="172"/>
      <c r="AY22" s="172"/>
      <c r="AZ22" s="201"/>
      <c r="BA22" s="201"/>
      <c r="BB22" s="201"/>
      <c r="BC22" s="201"/>
      <c r="BD22" s="201"/>
      <c r="BF22" s="201"/>
      <c r="BG22" s="201"/>
      <c r="BH22" s="201"/>
      <c r="BI22" s="201"/>
      <c r="BJ22" s="201"/>
      <c r="BK22" s="82"/>
      <c r="BL22" s="172" t="s">
        <v>21</v>
      </c>
      <c r="BM22" s="172"/>
      <c r="BN22" s="172"/>
      <c r="BO22" s="172"/>
      <c r="BQ22" s="208" t="s">
        <v>389</v>
      </c>
      <c r="BR22" s="208"/>
      <c r="BS22" s="208"/>
      <c r="BT22" s="208"/>
      <c r="BU22" s="208"/>
      <c r="BV22" s="208"/>
      <c r="BW22" s="208"/>
      <c r="BX22" s="208"/>
      <c r="BY22" s="208"/>
      <c r="BZ22" s="208"/>
      <c r="CA22" s="185">
        <f>1.8*CA21</f>
        <v>80.0051439500089</v>
      </c>
      <c r="CB22" s="185"/>
      <c r="CC22" s="185"/>
      <c r="CD22" s="33" t="s">
        <v>39</v>
      </c>
      <c r="CE22" s="38"/>
      <c r="CF22" s="8"/>
      <c r="EA22" s="1">
        <f t="shared" si="182"/>
        <v>4.4000000000000004</v>
      </c>
      <c r="EB22" s="1" t="str">
        <f t="shared" si="12"/>
        <v>0.000234378661069642-0.103126610870642i</v>
      </c>
      <c r="EC22" s="1" t="str">
        <f t="shared" si="13"/>
        <v>0.000459190846177257-0.202043972317993i</v>
      </c>
      <c r="ED22" s="1" t="str">
        <f t="shared" si="14"/>
        <v>0.00113482321099536-0.499322212837957i</v>
      </c>
      <c r="EE22" s="1" t="str">
        <f t="shared" si="15"/>
        <v>0.00158484618437568-0.697332321125297i</v>
      </c>
      <c r="EF22" s="1" t="str">
        <f t="shared" si="16"/>
        <v>0.0798616599646692i</v>
      </c>
      <c r="EG22" s="1" t="str">
        <f t="shared" si="17"/>
        <v>0.0798283981321138i</v>
      </c>
      <c r="EH22" s="1" t="str">
        <f t="shared" si="18"/>
        <v>0.0798919667170589i</v>
      </c>
      <c r="EI22" s="1" t="str">
        <f t="shared" si="19"/>
        <v>0.0798841625456676i</v>
      </c>
      <c r="EJ22" s="1" t="str">
        <f t="shared" si="1"/>
        <v>0.005</v>
      </c>
      <c r="EK22" s="1" t="str">
        <f t="shared" si="2"/>
        <v>0.01</v>
      </c>
      <c r="EL22" s="1" t="str">
        <f t="shared" si="3"/>
        <v>0.0125</v>
      </c>
      <c r="EM22" s="1" t="str">
        <f t="shared" si="20"/>
        <v>0.00523437866106964-0.0232649509059728i</v>
      </c>
      <c r="EN22" s="1" t="str">
        <f t="shared" si="21"/>
        <v>-0.005</v>
      </c>
      <c r="EO22" s="1" t="str">
        <f t="shared" si="22"/>
        <v>1.68742273076895-742.466001538334i</v>
      </c>
      <c r="EP22" s="1" t="str">
        <f t="shared" si="23"/>
        <v>-0.005</v>
      </c>
      <c r="EQ22" s="1" t="str">
        <f t="shared" si="24"/>
        <v>0.0154591908461773-0.122215574185879i</v>
      </c>
      <c r="ER22" s="1" t="str">
        <f t="shared" si="25"/>
        <v>-0.01</v>
      </c>
      <c r="ES22" s="1" t="str">
        <f t="shared" si="26"/>
        <v>3.30597106436365-1454.62726832i</v>
      </c>
      <c r="ET22" s="1" t="str">
        <f t="shared" si="27"/>
        <v>-0.01</v>
      </c>
      <c r="EU22" s="1" t="str">
        <f t="shared" si="28"/>
        <v>0.0236348232109954-0.419430246120898i</v>
      </c>
      <c r="EV22" s="1" t="str">
        <f t="shared" si="29"/>
        <v>-0.0125</v>
      </c>
      <c r="EW22" s="1" t="str">
        <f t="shared" si="30"/>
        <v>8.17022536479456-3594.8991605096i</v>
      </c>
      <c r="EX22" s="1" t="str">
        <f t="shared" si="31"/>
        <v>-0.0125</v>
      </c>
      <c r="EY22" s="1" t="str">
        <f t="shared" si="32"/>
        <v>0.0140848461843757-0.617448158579629i</v>
      </c>
      <c r="EZ22" s="1" t="str">
        <f t="shared" si="33"/>
        <v>11.4101917985329-5020.48439135447i</v>
      </c>
      <c r="FB22" s="1" t="str">
        <f t="shared" si="34"/>
        <v>0.00523437866106964-0.0232649509059728i</v>
      </c>
      <c r="FC22" s="1" t="str">
        <f t="shared" si="35"/>
        <v>1.68742273076895-742.466001538334i</v>
      </c>
      <c r="FD22" s="1" t="str">
        <f t="shared" si="36"/>
        <v>-0.0460240688583389-0.204560612025642i</v>
      </c>
      <c r="FE22" s="1" t="str">
        <f t="shared" si="37"/>
        <v>0.0152290705018856-0.123238377246007i</v>
      </c>
      <c r="FF22" s="1" t="str">
        <f t="shared" si="38"/>
        <v>155.262932807231-1488.45339447322i</v>
      </c>
      <c r="FG22" s="1" t="str">
        <f t="shared" si="39"/>
        <v>-0.00987642258024016-0.0799230847105157i</v>
      </c>
      <c r="FH22" s="1" t="str">
        <f t="shared" si="40"/>
        <v>0.023536058985193-0.420229476968003i</v>
      </c>
      <c r="FI22" s="1" t="str">
        <f t="shared" si="41"/>
        <v>128.665454434384-3597.19066269326i</v>
      </c>
      <c r="FJ22" s="1" t="str">
        <f t="shared" si="42"/>
        <v>-0.00166077402903501-0.0296526364937516i</v>
      </c>
      <c r="FK22" s="1" t="str">
        <f t="shared" si="43"/>
        <v>0.0140640865090128-0.617818816535801i</v>
      </c>
      <c r="FL22" s="1" t="str">
        <f t="shared" si="44"/>
        <v>118.021998734914-5026.21243779443i</v>
      </c>
      <c r="FM22" s="1" t="str">
        <f t="shared" si="45"/>
        <v>8135.54770623647+5.83172914092502i</v>
      </c>
      <c r="FN22" s="1" t="str">
        <f t="shared" si="46"/>
        <v>8563.72808937569+68.5420535595428i</v>
      </c>
      <c r="FO22" s="1" t="str">
        <f t="shared" si="47"/>
        <v>12128.623812079+455.966297444974i</v>
      </c>
      <c r="FP22" s="1" t="str">
        <f t="shared" si="48"/>
        <v>30856.328221189-4263.2010963464i</v>
      </c>
      <c r="FQ22" s="92" t="str">
        <f t="shared" si="49"/>
        <v>434.104838362971+2440.64175518987i</v>
      </c>
      <c r="FR22" s="1" t="str">
        <f t="shared" si="50"/>
        <v>340.466316317421+2464.23759215882i</v>
      </c>
      <c r="FS22" s="1" t="str">
        <f t="shared" si="51"/>
        <v>93.63852204555-23.5958369689569i</v>
      </c>
      <c r="FT22" s="1" t="str">
        <f t="shared" si="52"/>
        <v>-94.3886239457806+995.678689873085i</v>
      </c>
      <c r="FU22" s="1" t="str">
        <f t="shared" si="53"/>
        <v>-35.7726618994906+681.082716106737i</v>
      </c>
      <c r="FV22" s="1" t="str">
        <f t="shared" si="54"/>
        <v>-5.55005315951754+652.686731867316i</v>
      </c>
      <c r="FW22" s="1" t="str">
        <f t="shared" si="55"/>
        <v>340.466316317421+2464.23759215882i</v>
      </c>
      <c r="FX22" s="1" t="str">
        <f t="shared" si="56"/>
        <v>-36.3990591272632+968.208610465278i</v>
      </c>
      <c r="FY22" s="1" t="str">
        <f t="shared" si="57"/>
        <v>-5.47595946169786+684.173079490345i</v>
      </c>
      <c r="FZ22" s="1" t="str">
        <f t="shared" si="58"/>
        <v>-0.465862798615961+649.901415363027i</v>
      </c>
      <c r="GA22" s="1" t="str">
        <f t="shared" si="59"/>
        <v>93.63852204555-23.5958369689569i</v>
      </c>
      <c r="GB22" s="1" t="str">
        <f t="shared" si="60"/>
        <v>35.6489572270331+3.87424243885431i</v>
      </c>
      <c r="GC22" s="1" t="str">
        <f t="shared" si="61"/>
        <v>5.35225478924026+0.783879055232723i</v>
      </c>
      <c r="GD22" s="92" t="str">
        <f t="shared" si="62"/>
        <v>298.393499358182+4770.08989303701i</v>
      </c>
      <c r="GE22" s="1" t="str">
        <f t="shared" si="63"/>
        <v>0.0940472102235365-1.50342969240465i</v>
      </c>
      <c r="GF22" s="1">
        <f t="shared" si="64"/>
        <v>4.4000000000000004</v>
      </c>
      <c r="GG22" s="56">
        <f t="shared" si="65"/>
        <v>2.4405374880711537</v>
      </c>
      <c r="GH22" s="1">
        <f t="shared" si="66"/>
        <v>3.4189466265965898</v>
      </c>
      <c r="GJ22" s="1">
        <f t="shared" si="67"/>
        <v>4779.4137996320278</v>
      </c>
      <c r="GK22" s="1">
        <f t="shared" si="68"/>
        <v>1.5063683871333633</v>
      </c>
      <c r="GM22" s="1" t="str">
        <f t="shared" si="69"/>
        <v>0.0191834803010191+2.11018283311211i</v>
      </c>
      <c r="GP22" s="1">
        <f t="shared" si="4"/>
        <v>4.4000000000000004</v>
      </c>
      <c r="GQ22" s="1">
        <f t="shared" si="5"/>
        <v>1.5063683871333633</v>
      </c>
      <c r="GR22" s="1">
        <f t="shared" si="70"/>
        <v>2.1102700289483125</v>
      </c>
      <c r="GS22" s="1">
        <f t="shared" si="71"/>
        <v>5.1501931156013674</v>
      </c>
      <c r="IK22" s="92"/>
      <c r="IX22" s="92"/>
    </row>
    <row r="23" spans="2:333" ht="18" customHeight="1" x14ac:dyDescent="0.25">
      <c r="B23" s="6"/>
      <c r="C23" s="178" t="s">
        <v>400</v>
      </c>
      <c r="D23" s="178"/>
      <c r="E23" s="178"/>
      <c r="F23" s="178"/>
      <c r="G23" s="178"/>
      <c r="H23" s="178"/>
      <c r="I23" s="178"/>
      <c r="J23" s="178"/>
      <c r="K23" s="178"/>
      <c r="L23" s="178"/>
      <c r="M23" s="178"/>
      <c r="N23" s="178"/>
      <c r="O23" s="178"/>
      <c r="P23" s="178"/>
      <c r="Q23" s="178"/>
      <c r="R23" s="178"/>
      <c r="S23" s="178"/>
      <c r="T23" s="178"/>
      <c r="U23" s="178"/>
      <c r="V23" s="178"/>
      <c r="W23" s="178"/>
      <c r="X23" s="178"/>
      <c r="Y23" s="178"/>
      <c r="Z23" s="178"/>
      <c r="AA23" s="178"/>
      <c r="AB23" s="178"/>
      <c r="AC23" s="178"/>
      <c r="AD23" s="178"/>
      <c r="AE23" s="178"/>
      <c r="AF23" s="178"/>
      <c r="AG23" s="178"/>
      <c r="AH23" s="178"/>
      <c r="AI23" s="178"/>
      <c r="AJ23" s="178"/>
      <c r="AK23" s="178"/>
      <c r="AL23" s="178"/>
      <c r="AM23" s="178"/>
      <c r="AN23" s="178"/>
      <c r="AO23" s="178"/>
      <c r="AP23" s="8"/>
      <c r="AR23" s="6"/>
      <c r="AY23" s="29" t="s">
        <v>26</v>
      </c>
      <c r="AZ23" s="209">
        <f>CA24/$P$30</f>
        <v>0.74182393888277365</v>
      </c>
      <c r="BA23" s="209"/>
      <c r="BB23" s="209"/>
      <c r="BC23" s="209"/>
      <c r="BD23" s="209"/>
      <c r="BF23" s="209">
        <f>(DB50/1000)/P30</f>
        <v>0.8152600897469614</v>
      </c>
      <c r="BG23" s="209"/>
      <c r="BH23" s="209"/>
      <c r="BI23" s="209"/>
      <c r="BJ23" s="209"/>
      <c r="BK23" s="82"/>
      <c r="BL23" s="210">
        <f>IF(LEFT(C24,2)="SD",1.1,1.25)</f>
        <v>1.25</v>
      </c>
      <c r="BM23" s="210"/>
      <c r="BN23" s="210"/>
      <c r="BO23" s="210"/>
      <c r="BQ23" s="23"/>
      <c r="BR23" s="23"/>
      <c r="BS23" s="23"/>
      <c r="BT23" s="23"/>
      <c r="BU23" s="23"/>
      <c r="BV23" s="23"/>
      <c r="BW23" s="23"/>
      <c r="BX23" s="23"/>
      <c r="BY23" s="23"/>
      <c r="BZ23" s="32" t="s">
        <v>51</v>
      </c>
      <c r="CA23" s="211">
        <f>AG40*L40/1000</f>
        <v>7.3495486454778556</v>
      </c>
      <c r="CB23" s="211"/>
      <c r="CC23" s="211"/>
      <c r="CD23" s="24" t="s">
        <v>32</v>
      </c>
      <c r="CE23" s="24"/>
      <c r="CF23" s="8"/>
      <c r="EA23" s="1">
        <f t="shared" si="182"/>
        <v>4.5999999999999996</v>
      </c>
      <c r="EB23" s="1" t="str">
        <f t="shared" si="12"/>
        <v>0.000214441062007002-0.0986428885232211i</v>
      </c>
      <c r="EC23" s="1" t="str">
        <f t="shared" si="13"/>
        <v>0.000420129427605555-0.193259536698556i</v>
      </c>
      <c r="ED23" s="1" t="str">
        <f t="shared" si="14"/>
        <v>0.00103828861145228-0.477612761268046i</v>
      </c>
      <c r="EE23" s="1" t="str">
        <f t="shared" si="15"/>
        <v>0.00145003003833306-0.667013817633208i</v>
      </c>
      <c r="EF23" s="1" t="str">
        <f t="shared" si="16"/>
        <v>0.0834917354176082i</v>
      </c>
      <c r="EG23" s="1" t="str">
        <f t="shared" si="17"/>
        <v>0.0834569616835737i</v>
      </c>
      <c r="EH23" s="1" t="str">
        <f t="shared" si="18"/>
        <v>0.0835234197496526i</v>
      </c>
      <c r="EI23" s="1" t="str">
        <f t="shared" si="19"/>
        <v>0.0835152608431978i</v>
      </c>
      <c r="EJ23" s="1" t="str">
        <f t="shared" si="1"/>
        <v>0.005</v>
      </c>
      <c r="EK23" s="1" t="str">
        <f t="shared" si="2"/>
        <v>0.01</v>
      </c>
      <c r="EL23" s="1" t="str">
        <f t="shared" si="3"/>
        <v>0.0125</v>
      </c>
      <c r="EM23" s="1" t="str">
        <f t="shared" si="20"/>
        <v>0.005214441062007-0.0151511531056129i</v>
      </c>
      <c r="EN23" s="1" t="str">
        <f t="shared" si="21"/>
        <v>-0.005</v>
      </c>
      <c r="EO23" s="1" t="str">
        <f t="shared" si="22"/>
        <v>1.5438808327919-710.185183084274i</v>
      </c>
      <c r="EP23" s="1" t="str">
        <f t="shared" si="23"/>
        <v>-0.005</v>
      </c>
      <c r="EQ23" s="1" t="str">
        <f t="shared" si="24"/>
        <v>0.0154201294276056-0.109802575014982i</v>
      </c>
      <c r="ER23" s="1" t="str">
        <f t="shared" si="25"/>
        <v>-0.01</v>
      </c>
      <c r="ES23" s="1" t="str">
        <f t="shared" si="26"/>
        <v>3.02474612138821-1391.38321583858i</v>
      </c>
      <c r="ET23" s="1" t="str">
        <f t="shared" si="27"/>
        <v>-0.01</v>
      </c>
      <c r="EU23" s="1" t="str">
        <f t="shared" si="28"/>
        <v>0.0235382886114523-0.394089341518393i</v>
      </c>
      <c r="EV23" s="1" t="str">
        <f t="shared" si="29"/>
        <v>-0.0125</v>
      </c>
      <c r="EW23" s="1" t="str">
        <f t="shared" si="30"/>
        <v>7.47521893020165-3438.60070789274i</v>
      </c>
      <c r="EX23" s="1" t="str">
        <f t="shared" si="31"/>
        <v>-0.0125</v>
      </c>
      <c r="EY23" s="1" t="str">
        <f t="shared" si="32"/>
        <v>0.0139500300383331-0.58349855679001i</v>
      </c>
      <c r="EZ23" s="1" t="str">
        <f t="shared" si="33"/>
        <v>10.439575155069-4802.20457133175i</v>
      </c>
      <c r="FB23" s="1" t="str">
        <f t="shared" si="34"/>
        <v>0.005214441062007-0.0151511531056129i</v>
      </c>
      <c r="FC23" s="1" t="str">
        <f t="shared" si="35"/>
        <v>1.5438808327919-710.185183084274i</v>
      </c>
      <c r="FD23" s="1" t="str">
        <f t="shared" si="36"/>
        <v>-0.101547906748935-0.295059022513036i</v>
      </c>
      <c r="FE23" s="1" t="str">
        <f t="shared" si="37"/>
        <v>0.0149123898938609-0.111277870127547i</v>
      </c>
      <c r="FF23" s="1" t="str">
        <f t="shared" si="38"/>
        <v>212.728069912315-1463.0454986155i</v>
      </c>
      <c r="FG23" s="1" t="str">
        <f t="shared" si="39"/>
        <v>-0.0118304004989543-0.0882797311262271i</v>
      </c>
      <c r="FH23" s="1" t="str">
        <f t="shared" si="40"/>
        <v>0.0234199846064628-0.394972138829655i</v>
      </c>
      <c r="FI23" s="1" t="str">
        <f t="shared" si="41"/>
        <v>139.149140437847-3437.12954527469i</v>
      </c>
      <c r="FJ23" s="1" t="str">
        <f t="shared" si="42"/>
        <v>-0.0018699906006417-0.0315369202643706i</v>
      </c>
      <c r="FK23" s="1" t="str">
        <f t="shared" si="43"/>
        <v>0.0139266551558251-0.583892768293315i</v>
      </c>
      <c r="FL23" s="1" t="str">
        <f t="shared" si="44"/>
        <v>118.896430090028-4808.39897695151i</v>
      </c>
      <c r="FM23" s="1" t="str">
        <f t="shared" si="45"/>
        <v>8235.24383510525+7.20513988669442i</v>
      </c>
      <c r="FN23" s="1" t="str">
        <f t="shared" si="46"/>
        <v>8707.70764003126+96.602534048631i</v>
      </c>
      <c r="FO23" s="1" t="str">
        <f t="shared" si="47"/>
        <v>13261.879773842+916.973197659442i</v>
      </c>
      <c r="FP23" s="1" t="str">
        <f t="shared" si="48"/>
        <v>43016.8196734031-10326.3025638611i</v>
      </c>
      <c r="FQ23" s="92" t="str">
        <f t="shared" si="49"/>
        <v>1010.93562100187+3535.33254787114i</v>
      </c>
      <c r="FR23" s="1" t="str">
        <f t="shared" si="50"/>
        <v>862.16092150406+3591.54892667873i</v>
      </c>
      <c r="FS23" s="1" t="str">
        <f t="shared" si="51"/>
        <v>148.774699497805-56.2163788076025i</v>
      </c>
      <c r="FT23" s="1" t="str">
        <f t="shared" si="52"/>
        <v>-179.760775181627+1171.21627758141i</v>
      </c>
      <c r="FU23" s="1" t="str">
        <f t="shared" si="53"/>
        <v>-47.7044977767559+720.211281066512i</v>
      </c>
      <c r="FV23" s="1" t="str">
        <f t="shared" si="54"/>
        <v>-6.30770364123611+690.806410592884i</v>
      </c>
      <c r="FW23" s="1" t="str">
        <f t="shared" si="55"/>
        <v>862.16092150406+3591.54892667873i</v>
      </c>
      <c r="FX23" s="1" t="str">
        <f t="shared" si="56"/>
        <v>-76.5277970219281+1106.79619213769i</v>
      </c>
      <c r="FY23" s="1" t="str">
        <f t="shared" si="57"/>
        <v>-8.06857400022392+727.297520275588i</v>
      </c>
      <c r="FZ23" s="1" t="str">
        <f t="shared" si="58"/>
        <v>-0.601739137049013+687.768536996152i</v>
      </c>
      <c r="GA23" s="1" t="str">
        <f t="shared" si="59"/>
        <v>148.774699497805-56.2163788076025i</v>
      </c>
      <c r="GB23" s="1" t="str">
        <f t="shared" si="60"/>
        <v>45.5417213381074+8.20370663610811i</v>
      </c>
      <c r="GC23" s="1" t="str">
        <f t="shared" si="61"/>
        <v>5.90579756157513+1.11746742702421i</v>
      </c>
      <c r="GD23" s="92" t="str">
        <f t="shared" si="62"/>
        <v>777.162644402251+6117.56651711195i</v>
      </c>
      <c r="GE23" s="1" t="str">
        <f t="shared" si="63"/>
        <v>0.1471320834266-1.15817495043883i</v>
      </c>
      <c r="GF23" s="1">
        <f t="shared" si="64"/>
        <v>4.5999999999999996</v>
      </c>
      <c r="GG23" s="56">
        <f t="shared" si="65"/>
        <v>1.100318537743739</v>
      </c>
      <c r="GH23" s="1">
        <f t="shared" si="66"/>
        <v>2.0792630827007246</v>
      </c>
      <c r="GJ23" s="1">
        <f t="shared" si="67"/>
        <v>6166.7334843613544</v>
      </c>
      <c r="GK23" s="1">
        <f t="shared" si="68"/>
        <v>1.1674832186363273</v>
      </c>
      <c r="GM23" s="1" t="str">
        <f t="shared" si="69"/>
        <v>0.0191834803010191+2.2061002346172i</v>
      </c>
      <c r="GP23" s="1">
        <f t="shared" si="4"/>
        <v>4.5999999999999996</v>
      </c>
      <c r="GQ23" s="1">
        <f t="shared" si="5"/>
        <v>1.1674832186363273</v>
      </c>
      <c r="GR23" s="1">
        <f t="shared" si="70"/>
        <v>2.2061836394766701</v>
      </c>
      <c r="GS23" s="1">
        <f t="shared" si="71"/>
        <v>2.4275047561831342</v>
      </c>
      <c r="IK23" s="92"/>
      <c r="IX23" s="92"/>
      <c r="JH23" s="2"/>
      <c r="JI23" s="155" t="s">
        <v>370</v>
      </c>
      <c r="JJ23" s="155"/>
    </row>
    <row r="24" spans="2:333" ht="18" customHeight="1" x14ac:dyDescent="0.25">
      <c r="B24" s="6"/>
      <c r="C24" s="293" t="s">
        <v>270</v>
      </c>
      <c r="D24" s="293"/>
      <c r="E24" s="293"/>
      <c r="F24" s="293"/>
      <c r="G24" s="293"/>
      <c r="H24" s="293"/>
      <c r="I24" s="293"/>
      <c r="J24" s="293"/>
      <c r="K24" s="293"/>
      <c r="L24" s="293"/>
      <c r="M24" s="293"/>
      <c r="N24" s="293"/>
      <c r="AP24" s="8"/>
      <c r="AR24" s="6"/>
      <c r="AY24" s="29" t="s">
        <v>27</v>
      </c>
      <c r="AZ24" s="204">
        <f>CA25/(1.414*$P$30)</f>
        <v>0.84877699251608629</v>
      </c>
      <c r="BA24" s="204"/>
      <c r="BB24" s="204"/>
      <c r="BC24" s="204"/>
      <c r="BD24" s="204"/>
      <c r="BE24" s="79"/>
      <c r="BF24" s="204">
        <f>(DB49/1000)/(P30*1.414)</f>
        <v>0.92256764156706883</v>
      </c>
      <c r="BG24" s="204"/>
      <c r="BH24" s="204"/>
      <c r="BI24" s="204"/>
      <c r="BJ24" s="204"/>
      <c r="BK24" s="82"/>
      <c r="BL24" s="203">
        <f>IF(LEFT(C24,2)="SD",1.2,1.35)</f>
        <v>1.35</v>
      </c>
      <c r="BM24" s="203"/>
      <c r="BN24" s="203"/>
      <c r="BO24" s="203"/>
      <c r="BQ24" s="23"/>
      <c r="BR24" s="23"/>
      <c r="BS24" s="23"/>
      <c r="BT24" s="32"/>
      <c r="BU24" s="23"/>
      <c r="BV24" s="23"/>
      <c r="BW24" s="23"/>
      <c r="BX24" s="23"/>
      <c r="BY24" s="23"/>
      <c r="BZ24" s="32" t="s">
        <v>53</v>
      </c>
      <c r="CA24" s="211">
        <f>DB46/1000</f>
        <v>7.3885664312724266</v>
      </c>
      <c r="CB24" s="211"/>
      <c r="CC24" s="211"/>
      <c r="CD24" s="24" t="s">
        <v>32</v>
      </c>
      <c r="CE24" s="24"/>
      <c r="CF24" s="8"/>
      <c r="EA24" s="1">
        <f t="shared" si="182"/>
        <v>4.8</v>
      </c>
      <c r="EB24" s="1" t="str">
        <f t="shared" si="12"/>
        <v>0.000196943342961809-0.0945328046216684i</v>
      </c>
      <c r="EC24" s="1" t="str">
        <f t="shared" si="13"/>
        <v>0.000385848182129258-0.185207127422044i</v>
      </c>
      <c r="ED24" s="1" t="str">
        <f t="shared" si="14"/>
        <v>0.000953567512605899-0.457712406050832i</v>
      </c>
      <c r="EE24" s="1" t="str">
        <f t="shared" si="15"/>
        <v>0.0013317121285989-0.639221821727472i</v>
      </c>
      <c r="EF24" s="1" t="str">
        <f t="shared" si="16"/>
        <v>0.087121810870548i</v>
      </c>
      <c r="EG24" s="1" t="str">
        <f t="shared" si="17"/>
        <v>0.0870855252350335i</v>
      </c>
      <c r="EH24" s="1" t="str">
        <f t="shared" si="18"/>
        <v>0.0871548727822461i</v>
      </c>
      <c r="EI24" s="1" t="str">
        <f t="shared" si="19"/>
        <v>0.0871463591407286i</v>
      </c>
      <c r="EJ24" s="1" t="str">
        <f t="shared" si="1"/>
        <v>0.005</v>
      </c>
      <c r="EK24" s="1" t="str">
        <f t="shared" si="2"/>
        <v>0.01</v>
      </c>
      <c r="EL24" s="1" t="str">
        <f t="shared" si="3"/>
        <v>0.0125</v>
      </c>
      <c r="EM24" s="1" t="str">
        <f t="shared" si="20"/>
        <v>0.00519694334296181-0.00741099375112039i</v>
      </c>
      <c r="EN24" s="1" t="str">
        <f t="shared" si="21"/>
        <v>-0.005</v>
      </c>
      <c r="EO24" s="1" t="str">
        <f t="shared" si="22"/>
        <v>1.41790499216409-680.594396238765i</v>
      </c>
      <c r="EP24" s="1" t="str">
        <f t="shared" si="23"/>
        <v>-0.005</v>
      </c>
      <c r="EQ24" s="1" t="str">
        <f t="shared" si="24"/>
        <v>0.0153858481821293-0.0981216021870105i</v>
      </c>
      <c r="ER24" s="1" t="str">
        <f t="shared" si="25"/>
        <v>-0.01</v>
      </c>
      <c r="ES24" s="1" t="str">
        <f t="shared" si="26"/>
        <v>2.77793631117863-1333.40942936574i</v>
      </c>
      <c r="ET24" s="1" t="str">
        <f t="shared" si="27"/>
        <v>-0.01</v>
      </c>
      <c r="EU24" s="1" t="str">
        <f t="shared" si="28"/>
        <v>0.0234535675126059-0.370557533268586i</v>
      </c>
      <c r="EV24" s="1" t="str">
        <f t="shared" si="29"/>
        <v>-0.0125</v>
      </c>
      <c r="EW24" s="1" t="str">
        <f t="shared" si="30"/>
        <v>6.86526447736592-3295.32694913564i</v>
      </c>
      <c r="EX24" s="1" t="str">
        <f t="shared" si="31"/>
        <v>-0.0125</v>
      </c>
      <c r="EY24" s="1" t="str">
        <f t="shared" si="32"/>
        <v>0.0138317121285989-0.552075462586743i</v>
      </c>
      <c r="EZ24" s="1" t="str">
        <f t="shared" si="33"/>
        <v>9.58773851844292-4602.1144888526i</v>
      </c>
      <c r="FB24" s="1" t="str">
        <f t="shared" si="34"/>
        <v>0.00519694334296181-0.00741099375112039i</v>
      </c>
      <c r="FC24" s="1" t="str">
        <f t="shared" si="35"/>
        <v>1.41790499216409-680.594396238765i</v>
      </c>
      <c r="FD24" s="1" t="str">
        <f t="shared" si="36"/>
        <v>-0.317153474708258-0.452270164228784i</v>
      </c>
      <c r="FE24" s="1" t="str">
        <f t="shared" si="37"/>
        <v>0.013800080808588-0.100382953008154i</v>
      </c>
      <c r="FF24" s="1" t="str">
        <f t="shared" si="38"/>
        <v>311.040169166346-1548.62103087617i</v>
      </c>
      <c r="FG24" s="1" t="str">
        <f t="shared" si="39"/>
        <v>-0.0134409657772148-0.0977707199481544i</v>
      </c>
      <c r="FH24" s="1" t="str">
        <f t="shared" si="40"/>
        <v>0.0233191578548338-0.371535240468068i</v>
      </c>
      <c r="FI24" s="1" t="str">
        <f t="shared" si="41"/>
        <v>162.455737862086-3285.73129014133i</v>
      </c>
      <c r="FJ24" s="1" t="str">
        <f t="shared" si="42"/>
        <v>-0.00210336850804764-0.0335121675188819i</v>
      </c>
      <c r="FK24" s="1" t="str">
        <f t="shared" si="43"/>
        <v>0.0138054200222483-0.552494364680729i</v>
      </c>
      <c r="FL24" s="1" t="str">
        <f t="shared" si="44"/>
        <v>120.035727448464-4608.81570588791i</v>
      </c>
      <c r="FM24" s="1" t="str">
        <f t="shared" si="45"/>
        <v>8342.05322954393+8.81489310659573i</v>
      </c>
      <c r="FN24" s="1" t="str">
        <f t="shared" si="46"/>
        <v>8853.54554189854+162.230040652289i</v>
      </c>
      <c r="FO24" s="1" t="str">
        <f t="shared" si="47"/>
        <v>15662.1861932359+1827.3639495804i</v>
      </c>
      <c r="FP24" s="1" t="str">
        <f t="shared" si="48"/>
        <v>65793.3011501634-35379.2259541227i</v>
      </c>
      <c r="FQ24" s="92" t="str">
        <f t="shared" si="49"/>
        <v>3332.9578071061+5545.99858983503i</v>
      </c>
      <c r="FR24" s="1" t="str">
        <f t="shared" si="50"/>
        <v>3082.30223232146+5732.03153935354i</v>
      </c>
      <c r="FS24" s="1" t="str">
        <f t="shared" si="51"/>
        <v>250.655574784638-186.032949518515i</v>
      </c>
      <c r="FT24" s="1" t="str">
        <f t="shared" si="52"/>
        <v>-341.706117616038+1566.63399957464i</v>
      </c>
      <c r="FU24" s="1" t="str">
        <f t="shared" si="53"/>
        <v>-75.8318911634488+756.895985631022i</v>
      </c>
      <c r="FV24" s="1" t="str">
        <f t="shared" si="54"/>
        <v>-7.15614697468942+730.296234583952i</v>
      </c>
      <c r="FW24" s="1" t="str">
        <f t="shared" si="55"/>
        <v>3082.30223232146+5732.03153935354i</v>
      </c>
      <c r="FX24" s="1" t="str">
        <f t="shared" si="56"/>
        <v>-159.136949344774+1363.94971096684i</v>
      </c>
      <c r="FY24" s="1" t="str">
        <f t="shared" si="57"/>
        <v>-14.1391385545089+771.629635375989i</v>
      </c>
      <c r="FZ24" s="1" t="str">
        <f t="shared" si="58"/>
        <v>-0.768185840454524+726.97956671291i</v>
      </c>
      <c r="GA24" s="1" t="str">
        <f t="shared" si="59"/>
        <v>250.655574784638-186.032949518515i</v>
      </c>
      <c r="GB24" s="1" t="str">
        <f t="shared" si="60"/>
        <v>68.0864065133736+16.6513390892811i</v>
      </c>
      <c r="GC24" s="1" t="str">
        <f t="shared" si="61"/>
        <v>6.39365390443263+1.91768934432116i</v>
      </c>
      <c r="GD24" s="92" t="str">
        <f t="shared" si="62"/>
        <v>2908.26365135192+8599.82480962464i</v>
      </c>
      <c r="GE24" s="1" t="str">
        <f t="shared" si="63"/>
        <v>0.254058319835595-0.751258243384521i</v>
      </c>
      <c r="GF24" s="1">
        <f t="shared" si="64"/>
        <v>4.8</v>
      </c>
      <c r="GG24" s="56">
        <f t="shared" si="65"/>
        <v>0.50363893665957993</v>
      </c>
      <c r="GH24" s="1">
        <f t="shared" si="66"/>
        <v>1.4619761498960266</v>
      </c>
      <c r="GJ24" s="1">
        <f t="shared" si="67"/>
        <v>9078.269891450147</v>
      </c>
      <c r="GK24" s="1">
        <f t="shared" si="68"/>
        <v>0.79305395663276368</v>
      </c>
      <c r="GM24" s="1" t="str">
        <f t="shared" si="69"/>
        <v>0.0191834803010191+2.3020176361223i</v>
      </c>
      <c r="GP24" s="1">
        <f t="shared" si="4"/>
        <v>4.8</v>
      </c>
      <c r="GQ24" s="1">
        <f t="shared" si="5"/>
        <v>0.79305395663276368</v>
      </c>
      <c r="GR24" s="1">
        <f t="shared" si="70"/>
        <v>2.3020975659025749</v>
      </c>
      <c r="GS24" s="1">
        <f t="shared" si="71"/>
        <v>1.159425970177774</v>
      </c>
      <c r="JH24" s="2"/>
      <c r="JI24" s="155"/>
      <c r="JJ24" s="155"/>
    </row>
    <row r="25" spans="2:333" ht="18" customHeight="1" x14ac:dyDescent="0.25">
      <c r="B25" s="6"/>
      <c r="C25" s="24"/>
      <c r="D25" s="24"/>
      <c r="E25" s="24"/>
      <c r="F25" s="24"/>
      <c r="G25" s="24"/>
      <c r="H25" s="24"/>
      <c r="I25" s="24"/>
      <c r="J25" s="24"/>
      <c r="K25" s="24"/>
      <c r="L25" s="24"/>
      <c r="M25" s="24"/>
      <c r="N25" s="24"/>
      <c r="O25" s="24"/>
      <c r="P25" s="24"/>
      <c r="Q25" s="24"/>
      <c r="R25" s="24"/>
      <c r="S25" s="24"/>
      <c r="T25" s="24"/>
      <c r="Y25" s="24"/>
      <c r="Z25" s="240" t="s">
        <v>398</v>
      </c>
      <c r="AA25" s="240"/>
      <c r="AB25" s="240"/>
      <c r="AC25" s="240"/>
      <c r="AD25" s="24"/>
      <c r="AI25" s="24"/>
      <c r="AJ25" s="24"/>
      <c r="AK25" s="24"/>
      <c r="AL25" s="24"/>
      <c r="AM25" s="24"/>
      <c r="AN25" s="24"/>
      <c r="AO25" s="24"/>
      <c r="AP25" s="8"/>
      <c r="AR25" s="6"/>
      <c r="AY25" s="29" t="str">
        <f>"% "&amp;$AK$17&amp;"HZ AMPS:"</f>
        <v>% 60HZ AMPS:</v>
      </c>
      <c r="AZ25" s="212">
        <f>(CA26/U30)/(Z30/P30)</f>
        <v>0.90709411991165267</v>
      </c>
      <c r="BA25" s="212"/>
      <c r="BB25" s="212"/>
      <c r="BC25" s="212"/>
      <c r="BD25" s="212"/>
      <c r="BE25" s="80"/>
      <c r="BF25" s="212">
        <f>(CQ48/U30)/(Z30/P30)</f>
        <v>0.96807368529917193</v>
      </c>
      <c r="BG25" s="212"/>
      <c r="BH25" s="212"/>
      <c r="BI25" s="212"/>
      <c r="BJ25" s="212"/>
      <c r="BK25" s="83"/>
      <c r="BL25" s="213">
        <v>1.35</v>
      </c>
      <c r="BM25" s="213"/>
      <c r="BN25" s="213"/>
      <c r="BO25" s="213"/>
      <c r="BQ25" s="23"/>
      <c r="BR25" s="23"/>
      <c r="BS25" s="23"/>
      <c r="BT25" s="23"/>
      <c r="BU25" s="23"/>
      <c r="BV25" s="23"/>
      <c r="BW25" s="23"/>
      <c r="BX25" s="23"/>
      <c r="BY25" s="23"/>
      <c r="BZ25" s="32" t="s">
        <v>54</v>
      </c>
      <c r="CA25" s="211">
        <f>DB48/1000</f>
        <v>11.953699847480751</v>
      </c>
      <c r="CB25" s="211"/>
      <c r="CC25" s="211"/>
      <c r="CD25" s="24" t="s">
        <v>32</v>
      </c>
      <c r="CE25" s="24"/>
      <c r="CF25" s="8"/>
      <c r="CI25" s="38" t="s">
        <v>382</v>
      </c>
      <c r="CJ25" s="2"/>
      <c r="CK25" s="2"/>
      <c r="CL25" s="2"/>
      <c r="CM25" s="2"/>
      <c r="CN25" s="2"/>
      <c r="CO25" s="2"/>
      <c r="CP25" s="2"/>
      <c r="CQ25" s="2"/>
      <c r="CR25" s="2"/>
      <c r="CS25" s="2"/>
      <c r="CT25" s="2"/>
      <c r="CU25" s="2"/>
      <c r="CV25" s="2"/>
      <c r="CW25" s="2"/>
      <c r="CX25" s="2"/>
      <c r="CY25" s="2"/>
      <c r="CZ25" s="2"/>
      <c r="DZ25" s="1" t="s">
        <v>3</v>
      </c>
      <c r="EA25" s="1">
        <f t="shared" si="182"/>
        <v>5</v>
      </c>
      <c r="EB25" s="1" t="str">
        <f t="shared" si="12"/>
        <v>0.000181503046634789-0.0907515233173944i</v>
      </c>
      <c r="EC25" s="1" t="str">
        <f t="shared" si="13"/>
        <v>0.000355597805651831-0.177798902825915i</v>
      </c>
      <c r="ED25" s="1" t="str">
        <f t="shared" si="14"/>
        <v>0.000878808118655176-0.439404059327588i</v>
      </c>
      <c r="EE25" s="1" t="str">
        <f t="shared" si="15"/>
        <v>0.00122730631533999-0.613653157669998i</v>
      </c>
      <c r="EF25" s="1" t="str">
        <f t="shared" si="16"/>
        <v>0.0907518863234877i</v>
      </c>
      <c r="EG25" s="1" t="str">
        <f t="shared" si="17"/>
        <v>0.0907140887864928i</v>
      </c>
      <c r="EH25" s="1" t="str">
        <f t="shared" si="18"/>
        <v>0.0907863258148395i</v>
      </c>
      <c r="EI25" s="1" t="str">
        <f t="shared" si="19"/>
        <v>0.0907774574382591i</v>
      </c>
      <c r="EJ25" s="1" t="str">
        <f t="shared" si="1"/>
        <v>0.005</v>
      </c>
      <c r="EK25" s="1" t="str">
        <f t="shared" si="2"/>
        <v>0.01</v>
      </c>
      <c r="EL25" s="1" t="str">
        <f t="shared" si="3"/>
        <v>0.0125</v>
      </c>
      <c r="EM25" s="1" t="str">
        <f t="shared" si="20"/>
        <v>0.00518150304663479+3.63006093295759E-07i</v>
      </c>
      <c r="EN25" s="1" t="str">
        <f t="shared" si="21"/>
        <v>-0.005</v>
      </c>
      <c r="EO25" s="1" t="str">
        <f t="shared" si="22"/>
        <v>1.30674168543166-653.370842715828i</v>
      </c>
      <c r="EP25" s="1" t="str">
        <f t="shared" si="23"/>
        <v>-0.005</v>
      </c>
      <c r="EQ25" s="1" t="str">
        <f t="shared" si="24"/>
        <v>0.0153555978056518-0.0870848140394222i</v>
      </c>
      <c r="ER25" s="1" t="str">
        <f t="shared" si="25"/>
        <v>-0.01</v>
      </c>
      <c r="ES25" s="1" t="str">
        <f t="shared" si="26"/>
        <v>2.56014697553957-1280.07348776978i</v>
      </c>
      <c r="ET25" s="1" t="str">
        <f t="shared" si="27"/>
        <v>-0.01</v>
      </c>
      <c r="EU25" s="1" t="str">
        <f t="shared" si="28"/>
        <v>0.0233788081186552-0.348617733512748i</v>
      </c>
      <c r="EV25" s="1" t="str">
        <f t="shared" si="29"/>
        <v>-0.0125</v>
      </c>
      <c r="EW25" s="1" t="str">
        <f t="shared" si="30"/>
        <v>6.32702989527878-3163.51494763939i</v>
      </c>
      <c r="EX25" s="1" t="str">
        <f t="shared" si="31"/>
        <v>-0.0125</v>
      </c>
      <c r="EY25" s="1" t="str">
        <f t="shared" si="32"/>
        <v>0.01372730631534-0.522875700231739i</v>
      </c>
      <c r="EZ25" s="1" t="str">
        <f t="shared" si="33"/>
        <v>8.8360628252997-4418.03141264987i</v>
      </c>
      <c r="FB25" s="1" t="str">
        <f t="shared" si="34"/>
        <v>0.00518150304663479+3.63006093295759E-07i</v>
      </c>
      <c r="FC25" s="1" t="str">
        <f t="shared" si="35"/>
        <v>1.30674168543166-653.370842715828i</v>
      </c>
      <c r="FD25" s="1" t="str">
        <f t="shared" si="36"/>
        <v>-0.964970961216874+0.0000676040013143855i</v>
      </c>
      <c r="FE25" s="1" t="str">
        <f t="shared" si="37"/>
        <v>0.0105307429995674-0.0870844760194156i</v>
      </c>
      <c r="FF25" s="1" t="str">
        <f t="shared" si="38"/>
        <v>3.77694427248297-1910.55746623732i</v>
      </c>
      <c r="FG25" s="1" t="str">
        <f t="shared" si="39"/>
        <v>-0.0136858830375658-0.113176055406384i</v>
      </c>
      <c r="FH25" s="1" t="str">
        <f t="shared" si="40"/>
        <v>0.0232419492882795-0.349749494066812i</v>
      </c>
      <c r="FI25" s="1" t="str">
        <f t="shared" si="41"/>
        <v>222.608078368787-3189.23515400461i</v>
      </c>
      <c r="FJ25" s="1" t="str">
        <f t="shared" si="42"/>
        <v>-0.00236458397519793-0.0355827318417313i</v>
      </c>
      <c r="FK25" s="1" t="str">
        <f t="shared" si="43"/>
        <v>0.01369774901565-0.523320484379761i</v>
      </c>
      <c r="FL25" s="1" t="str">
        <f t="shared" si="44"/>
        <v>121.417527677962-4425.28667639224i</v>
      </c>
      <c r="FM25" s="1" t="str">
        <f t="shared" si="45"/>
        <v>8456.44867229794+10.6688279319229i</v>
      </c>
      <c r="FN25" s="1" t="str">
        <f t="shared" si="46"/>
        <v>9140.26233777656+331.3119103875i</v>
      </c>
      <c r="FO25" s="1" t="str">
        <f t="shared" si="47"/>
        <v>21715.7008335114-1533.02750369868i</v>
      </c>
      <c r="FP25" s="1" t="str">
        <f t="shared" si="48"/>
        <v>21198.2765274069-127577.590785591i</v>
      </c>
      <c r="FQ25" s="92" t="str">
        <f t="shared" si="49"/>
        <v>11575.3198948679+1293.56076525963i</v>
      </c>
      <c r="FR25" s="1" t="str">
        <f t="shared" si="50"/>
        <v>11577.9070163984+1923.78358166909i</v>
      </c>
      <c r="FS25" s="1" t="str">
        <f t="shared" si="51"/>
        <v>-2.58712153052251-630.22281640946i</v>
      </c>
      <c r="FT25" s="1" t="str">
        <f t="shared" si="52"/>
        <v>267.408699570528+2581.49943574068i</v>
      </c>
      <c r="FU25" s="1" t="str">
        <f t="shared" si="53"/>
        <v>-147.285305181643+852.462267302044i</v>
      </c>
      <c r="FV25" s="1" t="str">
        <f t="shared" si="54"/>
        <v>-8.0895499846224+771.281923860127i</v>
      </c>
      <c r="FW25" s="1" t="str">
        <f t="shared" si="55"/>
        <v>11577.9070163984+1923.78358166909i</v>
      </c>
      <c r="FX25" s="1" t="str">
        <f t="shared" si="56"/>
        <v>139.067193082657+1969.92001347207i</v>
      </c>
      <c r="FY25" s="1" t="str">
        <f t="shared" si="57"/>
        <v>-30.0785910427765+829.810834630489i</v>
      </c>
      <c r="FZ25" s="1" t="str">
        <f t="shared" si="58"/>
        <v>-0.968489073506241+767.654909428349i</v>
      </c>
      <c r="GA25" s="1" t="str">
        <f t="shared" si="59"/>
        <v>-2.58712153052251-630.22281640946i</v>
      </c>
      <c r="GB25" s="1" t="str">
        <f t="shared" si="60"/>
        <v>125.754384957348-18.6433941408618i</v>
      </c>
      <c r="GC25" s="1" t="str">
        <f t="shared" si="61"/>
        <v>8.54767081848274+4.00803853069471i</v>
      </c>
      <c r="GD25" s="92" t="str">
        <f t="shared" si="62"/>
        <v>11687.3537392722+5498.80439216248i</v>
      </c>
      <c r="GE25" s="1" t="str">
        <f t="shared" si="63"/>
        <v>0.504365108841495-0.237299660609385i</v>
      </c>
      <c r="GF25" s="1">
        <f t="shared" si="64"/>
        <v>5</v>
      </c>
      <c r="GG25" s="56">
        <f t="shared" si="65"/>
        <v>0.25072420681753393</v>
      </c>
      <c r="GH25" s="1">
        <f t="shared" si="66"/>
        <v>1.0786492363847211</v>
      </c>
      <c r="GJ25" s="1">
        <f t="shared" si="67"/>
        <v>12916.31089631034</v>
      </c>
      <c r="GK25" s="72">
        <f t="shared" si="68"/>
        <v>0.55740047716343266</v>
      </c>
      <c r="GM25" s="1" t="str">
        <f t="shared" si="69"/>
        <v>0.0191834803010191+2.3979350376274i</v>
      </c>
      <c r="GP25" s="1">
        <f t="shared" si="4"/>
        <v>5</v>
      </c>
      <c r="GQ25" s="1">
        <f t="shared" si="5"/>
        <v>0.55740047716343266</v>
      </c>
      <c r="GR25" s="1">
        <f t="shared" si="70"/>
        <v>2.3980117703209007</v>
      </c>
      <c r="GS25" s="1">
        <f t="shared" si="71"/>
        <v>0.60123959905281477</v>
      </c>
      <c r="JH25" s="2"/>
      <c r="JI25" s="155"/>
      <c r="JJ25" s="155"/>
    </row>
    <row r="26" spans="2:333" ht="18" customHeight="1" x14ac:dyDescent="0.25">
      <c r="B26" s="6"/>
      <c r="F26" s="186" t="s">
        <v>405</v>
      </c>
      <c r="G26" s="186"/>
      <c r="H26" s="186"/>
      <c r="I26" s="186"/>
      <c r="J26" s="186"/>
      <c r="K26" s="186"/>
      <c r="L26" s="186"/>
      <c r="M26" s="186"/>
      <c r="N26" s="186"/>
      <c r="O26" s="18"/>
      <c r="P26" s="240" t="s">
        <v>390</v>
      </c>
      <c r="Q26" s="240"/>
      <c r="R26" s="240"/>
      <c r="S26" s="240"/>
      <c r="U26" s="240" t="s">
        <v>391</v>
      </c>
      <c r="V26" s="240"/>
      <c r="W26" s="240"/>
      <c r="X26" s="240"/>
      <c r="Z26" s="240"/>
      <c r="AA26" s="240"/>
      <c r="AB26" s="240"/>
      <c r="AC26" s="240"/>
      <c r="AE26" s="240" t="s">
        <v>397</v>
      </c>
      <c r="AF26" s="240"/>
      <c r="AG26" s="240"/>
      <c r="AH26" s="240"/>
      <c r="AJ26" s="240" t="s">
        <v>305</v>
      </c>
      <c r="AK26" s="240"/>
      <c r="AL26" s="240"/>
      <c r="AM26" s="240"/>
      <c r="AN26" s="240"/>
      <c r="AO26" s="240"/>
      <c r="AP26" s="8"/>
      <c r="AR26" s="6"/>
      <c r="AY26" s="29" t="str">
        <f>"% "&amp;$AK$17&amp;"HZ KVAR:"</f>
        <v>% 60HZ KVAR:</v>
      </c>
      <c r="AZ26" s="202">
        <f>CA27/AE30</f>
        <v>0.5844196320578372</v>
      </c>
      <c r="BA26" s="202"/>
      <c r="BB26" s="202"/>
      <c r="BC26" s="202"/>
      <c r="BD26" s="202"/>
      <c r="BE26" s="81"/>
      <c r="BF26" s="202">
        <f>CR49/AE30</f>
        <v>0.69876654984826203</v>
      </c>
      <c r="BG26" s="202"/>
      <c r="BH26" s="202"/>
      <c r="BI26" s="202"/>
      <c r="BJ26" s="202"/>
      <c r="BK26" s="79"/>
      <c r="BL26" s="203">
        <v>1.35</v>
      </c>
      <c r="BM26" s="203"/>
      <c r="BN26" s="203"/>
      <c r="BO26" s="203"/>
      <c r="BQ26" s="23"/>
      <c r="BR26" s="23"/>
      <c r="BS26" s="23"/>
      <c r="BT26" s="23"/>
      <c r="BU26" s="23"/>
      <c r="BV26" s="23"/>
      <c r="BW26" s="23"/>
      <c r="BX26" s="23"/>
      <c r="BY26" s="23"/>
      <c r="BZ26" s="32" t="s">
        <v>56</v>
      </c>
      <c r="CA26" s="211">
        <f>CQ46</f>
        <v>163.91414333049207</v>
      </c>
      <c r="CB26" s="211"/>
      <c r="CC26" s="211"/>
      <c r="CD26" s="24" t="s">
        <v>39</v>
      </c>
      <c r="CE26" s="24"/>
      <c r="CF26" s="27"/>
      <c r="CH26" s="2"/>
      <c r="CI26" s="2" t="s">
        <v>374</v>
      </c>
      <c r="CJ26" s="2" t="s">
        <v>375</v>
      </c>
      <c r="CK26" s="2" t="s">
        <v>351</v>
      </c>
      <c r="CL26" s="2" t="s">
        <v>354</v>
      </c>
      <c r="CM26" s="2" t="s">
        <v>355</v>
      </c>
      <c r="CN26" s="2" t="s">
        <v>356</v>
      </c>
      <c r="CO26" s="2" t="s">
        <v>352</v>
      </c>
      <c r="CP26" s="2" t="s">
        <v>408</v>
      </c>
      <c r="CQ26" s="2" t="s">
        <v>357</v>
      </c>
      <c r="CR26" s="2" t="s">
        <v>409</v>
      </c>
      <c r="CS26" s="2" t="s">
        <v>358</v>
      </c>
      <c r="CT26" s="2" t="s">
        <v>410</v>
      </c>
      <c r="CU26" s="2" t="s">
        <v>359</v>
      </c>
      <c r="CV26" s="2" t="s">
        <v>411</v>
      </c>
      <c r="CW26" s="2" t="s">
        <v>353</v>
      </c>
      <c r="CX26" s="2" t="s">
        <v>360</v>
      </c>
      <c r="CY26" s="2" t="s">
        <v>361</v>
      </c>
      <c r="CZ26" s="2" t="s">
        <v>362</v>
      </c>
      <c r="DA26" s="2" t="s">
        <v>376</v>
      </c>
      <c r="DB26" s="2" t="s">
        <v>377</v>
      </c>
      <c r="DC26" s="2" t="s">
        <v>378</v>
      </c>
      <c r="DD26" s="2" t="s">
        <v>379</v>
      </c>
      <c r="EA26" s="1">
        <f t="shared" si="182"/>
        <v>5.2</v>
      </c>
      <c r="EB26" s="1" t="str">
        <f t="shared" si="12"/>
        <v>0.000167809820088476-0.0872611064460073i</v>
      </c>
      <c r="EC26" s="1" t="str">
        <f t="shared" si="13"/>
        <v>0.000328770259765176-0.170960535077891i</v>
      </c>
      <c r="ED26" s="1" t="str">
        <f t="shared" si="14"/>
        <v>0.000812507751346746-0.422504030700309i</v>
      </c>
      <c r="EE26" s="1" t="str">
        <f t="shared" si="15"/>
        <v>0.00113471402155064-0.590051291206334i</v>
      </c>
      <c r="EF26" s="1" t="str">
        <f t="shared" si="16"/>
        <v>0.0943819617764268i</v>
      </c>
      <c r="EG26" s="1" t="str">
        <f t="shared" si="17"/>
        <v>0.0943426523379526i</v>
      </c>
      <c r="EH26" s="1" t="str">
        <f t="shared" si="18"/>
        <v>0.0944177788474336i</v>
      </c>
      <c r="EI26" s="1" t="str">
        <f t="shared" si="19"/>
        <v>0.0944085557357894i</v>
      </c>
      <c r="EJ26" s="1" t="str">
        <f t="shared" si="1"/>
        <v>0.005</v>
      </c>
      <c r="EK26" s="1" t="str">
        <f t="shared" si="2"/>
        <v>0.01</v>
      </c>
      <c r="EL26" s="1" t="str">
        <f t="shared" si="3"/>
        <v>0.0125</v>
      </c>
      <c r="EM26" s="1" t="str">
        <f t="shared" ref="EM26:EM89" si="329">IMSUM(EB26,EF26,EJ26)</f>
        <v>0.00516780982008848+0.00712085533041949i</v>
      </c>
      <c r="EN26" s="1" t="str">
        <f t="shared" ref="EN26:EN89" si="330">IMPRODUCT("-1+0i",EJ26)</f>
        <v>-0.005</v>
      </c>
      <c r="EO26" s="1" t="str">
        <f t="shared" ref="EO26:EO89" si="331">IMPRODUCT($EO$1,EB26)</f>
        <v>1.20815650866528-628.241384505945i</v>
      </c>
      <c r="EP26" s="1" t="str">
        <f t="shared" ref="EP26:EP89" si="332">IMPRODUCT("-1+0i",EJ26)</f>
        <v>-0.005</v>
      </c>
      <c r="EQ26" s="1" t="str">
        <f t="shared" ref="EQ26:EQ89" si="333">IMSUM(EC26,EG26,EJ26,EK26)</f>
        <v>0.0153287702597652-0.0766178827399384i</v>
      </c>
      <c r="ER26" s="1" t="str">
        <f t="shared" ref="ER26:ER89" si="334">IMPRODUCT("-1+0i",EK26)</f>
        <v>-0.01</v>
      </c>
      <c r="ES26" s="1" t="str">
        <f t="shared" ref="ES26:ES89" si="335">IMPRODUCT($EO$1,EC26)</f>
        <v>2.36700050677279-1230.84026352184i</v>
      </c>
      <c r="ET26" s="1" t="str">
        <f t="shared" ref="ET26:ET89" si="336">IMPRODUCT("-1+0i",EK26)</f>
        <v>-0.01</v>
      </c>
      <c r="EU26" s="1" t="str">
        <f t="shared" ref="EU26:EU89" si="337">IMSUM(ED26,EH26,EK26,EL26)</f>
        <v>0.0233125077513467-0.328086251852875i</v>
      </c>
      <c r="EV26" s="1" t="str">
        <f t="shared" ref="EV26:EV89" si="338">IMPRODUCT("-1+0i",EL26)</f>
        <v>-0.0125</v>
      </c>
      <c r="EW26" s="1" t="str">
        <f t="shared" ref="EW26:EW89" si="339">IMPRODUCT($EO$1,ED26)</f>
        <v>5.84969656491501-3041.84221375581i</v>
      </c>
      <c r="EX26" s="1" t="str">
        <f t="shared" ref="EX26:EX89" si="340">IMPRODUCT("-1+0i",EL26)</f>
        <v>-0.0125</v>
      </c>
      <c r="EY26" s="1" t="str">
        <f t="shared" ref="EY26:EY89" si="341">IMSUM(EE26,EI26,EL26)</f>
        <v>0.0136347140215506-0.495642735470545i</v>
      </c>
      <c r="EZ26" s="1" t="str">
        <f t="shared" ref="EZ26:EZ89" si="342">IMPRODUCT($EO$1,EE26)</f>
        <v>8.16943924906995-4248.10840951638i</v>
      </c>
      <c r="FB26" s="1" t="str">
        <f t="shared" ref="FB26:FB89" si="343">EM26</f>
        <v>0.00516780982008848+0.00712085533041949i</v>
      </c>
      <c r="FC26" s="1" t="str">
        <f t="shared" ref="FC26:FC89" si="344">EO26</f>
        <v>1.20815650866528-628.241384505945i</v>
      </c>
      <c r="FD26" s="1" t="str">
        <f t="shared" ref="FD26:FD89" si="345">IMDIV(EP26,FB26)</f>
        <v>-0.333782476435623+0.459927282402689i</v>
      </c>
      <c r="FE26" s="1" t="str">
        <f t="shared" ref="FE26:FE89" si="346">IMSUB(EQ26,IMPRODUCT(FD26,EN26))</f>
        <v>0.0136598578775871-0.074318246327925i</v>
      </c>
      <c r="FF26" s="1" t="str">
        <f t="shared" ref="FF26:FF89" si="347">IMSUB(ES26,IMPRODUCT(FD26,FC26))</f>
        <v>-286.175090690565-1441.09189278133i</v>
      </c>
      <c r="FG26" s="1" t="str">
        <f t="shared" ref="FG26:FG89" si="348">IMDIV(ET26,FE26)</f>
        <v>-0.0239235586829079-0.130159255181869i</v>
      </c>
      <c r="FH26" s="1" t="str">
        <f t="shared" ref="FH26:FH89" si="349">IMSUB(EU26,IMPRODUCT(FG26,ER26))</f>
        <v>0.0230732721645176-0.329387844404694i</v>
      </c>
      <c r="FI26" s="1" t="str">
        <f t="shared" ref="FI26:FI89" si="350">IMSUB(EW26,IMPRODUCT(FG26,FF26))</f>
        <v>186.574817402241-3113.56659687611i</v>
      </c>
      <c r="FJ26" s="1" t="str">
        <f t="shared" ref="FJ26:FJ89" si="351">IMDIV(EX26,FH26)</f>
        <v>-0.00264532025212454-0.0377638823568049i</v>
      </c>
      <c r="FK26" s="1" t="str">
        <f t="shared" ref="FK26:FK89" si="352">IMSUB(EY26,IMPRODUCT(FJ26,EV26))</f>
        <v>0.013601647518399-0.496114784000005i</v>
      </c>
      <c r="FL26" s="1" t="str">
        <f t="shared" ref="FL26:FL89" si="353">IMSUB(EZ26,IMPRODUCT(FJ26,EW26))</f>
        <v>123.056685078099-4255.93414907529i</v>
      </c>
      <c r="FM26" s="1" t="str">
        <f t="shared" ref="FM26:FM89" si="354">IMDIV(FL26,FK26)</f>
        <v>8578.8791681633+12.8393564054838i</v>
      </c>
      <c r="FN26" s="1" t="str">
        <f t="shared" ref="FN26:FN89" si="355">IMDIV(IMSUB(FI26,IMPRODUCT(EV26,FM26)),FH26)</f>
        <v>9468.12204426062+228.758442274545i</v>
      </c>
      <c r="FO26" s="1" t="str">
        <f t="shared" ref="FO26:FO89" si="356">IMDIV(IMSUB(FF26,IMPRODUCT(ER26,FN26)),FE26)</f>
        <v>18269.2482286122-5934.60188276049i</v>
      </c>
      <c r="FP26" s="1" t="str">
        <f t="shared" ref="FP26:FP89" si="357">IMDIV(IMSUB(FC26,IMPRODUCT(EN26,FO26)),FB26)</f>
        <v>-54339.9486391841-52433.7176543103i</v>
      </c>
      <c r="FQ26" s="92" t="str">
        <f t="shared" ref="FQ26:FQ89" si="358">IMPRODUCT(IMSUB($EO$1,FP26),EB26)</f>
        <v>4585.75115110609-5361.20653425422i</v>
      </c>
      <c r="FR26" s="1" t="str">
        <f t="shared" ref="FR26:FR89" si="359">IMPRODUCT(FP26,EF26)</f>
        <v>4948.79713544507-5128.71095539647i</v>
      </c>
      <c r="FS26" s="1" t="str">
        <f t="shared" ref="FS26:FS89" si="360">IMPRODUCT(IMSUB(FP26,FO26),EJ26)</f>
        <v>-363.045984338981-232.495578857749i</v>
      </c>
      <c r="FT26" s="1" t="str">
        <f t="shared" ref="FT26:FT89" si="361">IMPRODUCT(IMSUB($EO$1,FO26),EC26)</f>
        <v>1010.94332837193+1894.43130971511i</v>
      </c>
      <c r="FU26" s="1" t="str">
        <f t="shared" ref="FU26:FU89" si="362">IMPRODUCT(IMSUB($EO$1,FN26),ED26)</f>
        <v>-98.494589904463+958.291645099218i</v>
      </c>
      <c r="FV26" s="1" t="str">
        <f t="shared" ref="FV26:FV89" si="363">IMPRODUCT(IMSUB($EO$1,FM26),EE26)</f>
        <v>-9.14101405754768+813.855751763757i</v>
      </c>
      <c r="FW26" s="1" t="str">
        <f t="shared" ref="FW26:FW89" si="364">IMPRODUCT(FP26,EF26)</f>
        <v>4948.79713544507-5128.71095539647i</v>
      </c>
      <c r="FX26" s="1" t="str">
        <f t="shared" ref="FX26:FX89" si="365">IMPRODUCT(FO26,EG26)</f>
        <v>559.886082189432+1723.56933410772i</v>
      </c>
      <c r="FY26" s="1" t="str">
        <f t="shared" ref="FY26:FY89" si="366">IMPRODUCT(FN26,EH26)</f>
        <v>-21.5988640121614+893.95905327551i</v>
      </c>
      <c r="FZ26" s="1" t="str">
        <f t="shared" ref="FZ26:FZ89" si="367">IMPRODUCT(FM26,EI26)</f>
        <v>-1.21214509481878+809.919592098148i</v>
      </c>
      <c r="GA26" s="1" t="str">
        <f t="shared" ref="GA26:GA89" si="368">IMPRODUCT(IMSUB(FP26,FO26),EJ26)</f>
        <v>-363.045984338981-232.495578857749i</v>
      </c>
      <c r="GB26" s="1" t="str">
        <f t="shared" ref="GB26:GB89" si="369">IMPRODUCT(IMSUB(FO26,FN26),EK26)</f>
        <v>88.0112618435158-61.6336032503504i</v>
      </c>
      <c r="GC26" s="1" t="str">
        <f t="shared" ref="GC26:GC89" si="370">IMPRODUCT(IMSUB(FN26,FM26),EL26)</f>
        <v>11.1155359512165+2.69898857336326i</v>
      </c>
      <c r="GD26" s="92" t="str">
        <f t="shared" ref="GD26:GD89" si="371">IMSUM(FQ26,FT26,FU26,FV26)</f>
        <v>5489.05887551601-1694.62782767614i</v>
      </c>
      <c r="GE26" s="1" t="str">
        <f t="shared" si="63"/>
        <v>1.19748375241443+0.369697125874018i</v>
      </c>
      <c r="GF26" s="1">
        <f t="shared" si="64"/>
        <v>5.2</v>
      </c>
      <c r="GG26" s="56">
        <f t="shared" si="65"/>
        <v>0.4028067358967079</v>
      </c>
      <c r="GH26" s="1">
        <f t="shared" si="66"/>
        <v>0.80157016189213293</v>
      </c>
      <c r="GJ26" s="1">
        <f t="shared" ref="GJ26:GJ89" si="372">IMABS(GD26)</f>
        <v>5744.6958851809923</v>
      </c>
      <c r="GK26" s="1">
        <f t="shared" ref="GK26:GK89" si="373">IMABS(GE26)</f>
        <v>1.253253087838228</v>
      </c>
      <c r="GM26" s="1" t="str">
        <f t="shared" si="69"/>
        <v>0.0191834803010191+2.49385243913249i</v>
      </c>
      <c r="GP26" s="1">
        <f t="shared" si="4"/>
        <v>5.2</v>
      </c>
      <c r="GQ26" s="1">
        <f t="shared" si="5"/>
        <v>1.253253087838228</v>
      </c>
      <c r="GR26" s="1">
        <f t="shared" si="70"/>
        <v>2.4939262206576061</v>
      </c>
      <c r="GS26" s="1">
        <f t="shared" si="71"/>
        <v>1.0045702805103049</v>
      </c>
      <c r="JH26" s="2" t="s">
        <v>372</v>
      </c>
      <c r="JI26" s="1" t="s">
        <v>373</v>
      </c>
    </row>
    <row r="27" spans="2:333" ht="18" customHeight="1" x14ac:dyDescent="0.25">
      <c r="B27" s="6"/>
      <c r="F27" s="240" t="s">
        <v>299</v>
      </c>
      <c r="G27" s="240"/>
      <c r="H27" s="240"/>
      <c r="I27" s="240"/>
      <c r="J27" s="18"/>
      <c r="K27" s="240" t="s">
        <v>300</v>
      </c>
      <c r="L27" s="240"/>
      <c r="M27" s="240"/>
      <c r="N27" s="240"/>
      <c r="O27" s="18"/>
      <c r="P27" s="240"/>
      <c r="Q27" s="240"/>
      <c r="R27" s="240"/>
      <c r="S27" s="240"/>
      <c r="U27" s="240"/>
      <c r="V27" s="240"/>
      <c r="W27" s="240"/>
      <c r="X27" s="240"/>
      <c r="Z27" s="240"/>
      <c r="AA27" s="240"/>
      <c r="AB27" s="240"/>
      <c r="AC27" s="240"/>
      <c r="AE27" s="240"/>
      <c r="AF27" s="240"/>
      <c r="AG27" s="240"/>
      <c r="AH27" s="240"/>
      <c r="AJ27" s="240"/>
      <c r="AK27" s="240"/>
      <c r="AL27" s="240"/>
      <c r="AM27" s="240"/>
      <c r="AN27" s="240"/>
      <c r="AO27" s="240"/>
      <c r="AP27" s="8"/>
      <c r="AR27" s="6"/>
      <c r="BQ27" s="23"/>
      <c r="BR27" s="23"/>
      <c r="BS27" s="23"/>
      <c r="BT27" s="23"/>
      <c r="BU27" s="23"/>
      <c r="BV27" s="23"/>
      <c r="BW27" s="23"/>
      <c r="BX27" s="23"/>
      <c r="BY27" s="23"/>
      <c r="BZ27" s="32" t="s">
        <v>58</v>
      </c>
      <c r="CA27" s="248">
        <f>CR46</f>
        <v>1051.8364375489209</v>
      </c>
      <c r="CB27" s="248"/>
      <c r="CC27" s="248"/>
      <c r="CD27" s="24" t="s">
        <v>37</v>
      </c>
      <c r="CE27" s="24"/>
      <c r="CF27" s="8"/>
      <c r="CH27" s="2" t="s">
        <v>371</v>
      </c>
      <c r="CI27" s="13" t="s">
        <v>381</v>
      </c>
      <c r="CJ27" s="77" t="s">
        <v>3</v>
      </c>
      <c r="CK27" s="2" t="s">
        <v>380</v>
      </c>
      <c r="CL27" s="2" t="s">
        <v>380</v>
      </c>
      <c r="CM27" s="2" t="s">
        <v>380</v>
      </c>
      <c r="CN27" s="2" t="s">
        <v>380</v>
      </c>
      <c r="CO27" s="2" t="s">
        <v>380</v>
      </c>
      <c r="CP27" s="2" t="s">
        <v>412</v>
      </c>
      <c r="CQ27" s="2" t="s">
        <v>380</v>
      </c>
      <c r="CR27" s="2" t="s">
        <v>412</v>
      </c>
      <c r="CS27" s="2" t="s">
        <v>380</v>
      </c>
      <c r="CT27" s="2" t="s">
        <v>412</v>
      </c>
      <c r="CU27" s="2" t="s">
        <v>380</v>
      </c>
      <c r="CV27" s="2" t="s">
        <v>412</v>
      </c>
      <c r="CW27" s="2" t="s">
        <v>380</v>
      </c>
      <c r="CX27" s="2" t="s">
        <v>380</v>
      </c>
      <c r="CY27" s="2" t="s">
        <v>380</v>
      </c>
      <c r="CZ27" s="2" t="s">
        <v>380</v>
      </c>
      <c r="DA27" s="2" t="s">
        <v>97</v>
      </c>
      <c r="DB27" s="2" t="s">
        <v>97</v>
      </c>
      <c r="DC27" s="2" t="s">
        <v>97</v>
      </c>
      <c r="DD27" s="2" t="s">
        <v>97</v>
      </c>
      <c r="EA27" s="1">
        <f t="shared" si="182"/>
        <v>5.4</v>
      </c>
      <c r="EB27" s="1" t="str">
        <f t="shared" si="12"/>
        <v>0.000155609696680544-0.0840292362074943i</v>
      </c>
      <c r="EC27" s="1" t="str">
        <f t="shared" si="13"/>
        <v>0.000304867977170048-0.164628707671826i</v>
      </c>
      <c r="ED27" s="1" t="str">
        <f t="shared" si="14"/>
        <v>0.000753436745662437-0.406855842657716i</v>
      </c>
      <c r="EE27" s="1" t="str">
        <f t="shared" si="15"/>
        <v>0.00105221794898273-0.568197692450676i</v>
      </c>
      <c r="EF27" s="1" t="str">
        <f t="shared" si="16"/>
        <v>0.0980120372293667i</v>
      </c>
      <c r="EG27" s="1" t="str">
        <f t="shared" si="17"/>
        <v>0.0979712158894129i</v>
      </c>
      <c r="EH27" s="1" t="str">
        <f t="shared" si="18"/>
        <v>0.0980492318800269i</v>
      </c>
      <c r="EI27" s="1" t="str">
        <f t="shared" si="19"/>
        <v>0.0980396540333199i</v>
      </c>
      <c r="EJ27" s="1" t="str">
        <f t="shared" si="1"/>
        <v>0.005</v>
      </c>
      <c r="EK27" s="1" t="str">
        <f t="shared" si="2"/>
        <v>0.01</v>
      </c>
      <c r="EL27" s="1" t="str">
        <f t="shared" si="3"/>
        <v>0.0125</v>
      </c>
      <c r="EM27" s="1" t="str">
        <f t="shared" si="329"/>
        <v>0.00515560969668054+0.0139828010218724i</v>
      </c>
      <c r="EN27" s="1" t="str">
        <f t="shared" si="330"/>
        <v>-0.005</v>
      </c>
      <c r="EO27" s="1" t="str">
        <f t="shared" si="331"/>
        <v>1.12032101432984-604.973347738118i</v>
      </c>
      <c r="EP27" s="1" t="str">
        <f t="shared" si="332"/>
        <v>-0.005</v>
      </c>
      <c r="EQ27" s="1" t="str">
        <f t="shared" si="333"/>
        <v>0.01530486797717-0.0666574917824131i</v>
      </c>
      <c r="ER27" s="1" t="str">
        <f t="shared" si="334"/>
        <v>-0.01</v>
      </c>
      <c r="ES27" s="1" t="str">
        <f t="shared" si="335"/>
        <v>2.19491464031971-1185.25390577264i</v>
      </c>
      <c r="ET27" s="1" t="str">
        <f t="shared" si="336"/>
        <v>-0.01</v>
      </c>
      <c r="EU27" s="1" t="str">
        <f t="shared" si="337"/>
        <v>0.0232534367456624-0.308806610777689i</v>
      </c>
      <c r="EV27" s="1" t="str">
        <f t="shared" si="338"/>
        <v>-0.0125</v>
      </c>
      <c r="EW27" s="1" t="str">
        <f t="shared" si="339"/>
        <v>5.42441144183178-2929.18217858916i</v>
      </c>
      <c r="EX27" s="1" t="str">
        <f t="shared" si="340"/>
        <v>-0.0125</v>
      </c>
      <c r="EY27" s="1" t="str">
        <f t="shared" si="341"/>
        <v>0.0135522179489827-0.470158038417356i</v>
      </c>
      <c r="EZ27" s="1" t="str">
        <f t="shared" si="342"/>
        <v>7.57550400165895-4090.77216089585i</v>
      </c>
      <c r="FB27" s="1" t="str">
        <f t="shared" si="343"/>
        <v>0.00515560969668054+0.0139828010218724i</v>
      </c>
      <c r="FC27" s="1" t="str">
        <f t="shared" si="344"/>
        <v>1.12032101432984-604.973347738118i</v>
      </c>
      <c r="FD27" s="1" t="str">
        <f t="shared" si="345"/>
        <v>-0.116065557848939+0.314787522014954i</v>
      </c>
      <c r="FE27" s="1" t="str">
        <f t="shared" si="346"/>
        <v>0.0147245401879253-0.0650835541723383i</v>
      </c>
      <c r="FF27" s="1" t="str">
        <f t="shared" si="347"/>
        <v>-188.113115695755-1255.82313793757i</v>
      </c>
      <c r="FG27" s="1" t="str">
        <f t="shared" si="348"/>
        <v>-0.0330689304547108-0.146167112806374i</v>
      </c>
      <c r="FH27" s="1" t="str">
        <f t="shared" si="349"/>
        <v>0.0229227474411153-0.310268281905753i</v>
      </c>
      <c r="FI27" s="1" t="str">
        <f t="shared" si="350"/>
        <v>182.763754169045-2998.20685760329i</v>
      </c>
      <c r="FJ27" s="1" t="str">
        <f t="shared" si="351"/>
        <v>-0.00296031448984978-0.040069005385408i</v>
      </c>
      <c r="FK27" s="1" t="str">
        <f t="shared" si="352"/>
        <v>0.0135152140178596-0.470658900984674i</v>
      </c>
      <c r="FL27" s="1" t="str">
        <f t="shared" si="353"/>
        <v>124.960978454179-4099.22611057126i</v>
      </c>
      <c r="FM27" s="1" t="str">
        <f t="shared" si="354"/>
        <v>8709.98956117748+15.3903504775707i</v>
      </c>
      <c r="FN27" s="1" t="str">
        <f t="shared" si="355"/>
        <v>9679.26402535297+224.848310585338i</v>
      </c>
      <c r="FO27" s="1" t="str">
        <f t="shared" si="356"/>
        <v>18021.1517532509-5480.24233159137i</v>
      </c>
      <c r="FP27" s="1" t="str">
        <f t="shared" si="357"/>
        <v>-37695.0829394966-20422.7475206102i</v>
      </c>
      <c r="FQ27" s="92" t="str">
        <f t="shared" si="358"/>
        <v>1723.09391685227-3769.2843983751i</v>
      </c>
      <c r="FR27" s="1" t="str">
        <f t="shared" si="359"/>
        <v>2001.675090316-3694.57187243001i</v>
      </c>
      <c r="FS27" s="1" t="str">
        <f t="shared" si="360"/>
        <v>-278.581173463738-74.712525945094i</v>
      </c>
      <c r="FT27" s="1" t="str">
        <f t="shared" si="361"/>
        <v>898.906055337353+1783.21576851695i</v>
      </c>
      <c r="FU27" s="1" t="str">
        <f t="shared" si="362"/>
        <v>-93.3491506191992+1008.71353377294i</v>
      </c>
      <c r="FV27" s="1" t="str">
        <f t="shared" si="363"/>
        <v>-10.334064977427+858.207615031663i</v>
      </c>
      <c r="FW27" s="1" t="str">
        <f t="shared" si="364"/>
        <v>2001.675090316-3694.57187243001i</v>
      </c>
      <c r="FX27" s="1" t="str">
        <f t="shared" si="365"/>
        <v>536.906004594638+1765.55414899362i</v>
      </c>
      <c r="FY27" s="1" t="str">
        <f t="shared" si="366"/>
        <v>-22.0462041424141+949.044402849836i</v>
      </c>
      <c r="FZ27" s="1" t="str">
        <f t="shared" si="367"/>
        <v>-1.50886463627257+853.924363211668i</v>
      </c>
      <c r="GA27" s="1" t="str">
        <f t="shared" si="368"/>
        <v>-278.581173463738-74.712525945094i</v>
      </c>
      <c r="GB27" s="1" t="str">
        <f t="shared" si="369"/>
        <v>83.4188772789793-57.0509064217671i</v>
      </c>
      <c r="GC27" s="1" t="str">
        <f t="shared" si="370"/>
        <v>12.1159308021936+2.61822450134709i</v>
      </c>
      <c r="GD27" s="92" t="str">
        <f t="shared" si="371"/>
        <v>2518.316756593-119.147481053547i</v>
      </c>
      <c r="GE27" s="1" t="str">
        <f t="shared" si="63"/>
        <v>2.85249181690221+0.13495808810388i</v>
      </c>
      <c r="GF27" s="1">
        <f t="shared" si="64"/>
        <v>5.4</v>
      </c>
      <c r="GG27" s="56">
        <f t="shared" si="65"/>
        <v>0.72138362034938319</v>
      </c>
      <c r="GH27" s="1">
        <f t="shared" si="66"/>
        <v>0.65422844300977012</v>
      </c>
      <c r="GJ27" s="1">
        <f t="shared" si="372"/>
        <v>2521.1337546386731</v>
      </c>
      <c r="GK27" s="1">
        <f t="shared" si="373"/>
        <v>2.855682624354241</v>
      </c>
      <c r="GM27" s="1" t="str">
        <f t="shared" si="69"/>
        <v>0.0191834803010191+2.58976984063759i</v>
      </c>
      <c r="GP27" s="1">
        <f t="shared" si="4"/>
        <v>5.4</v>
      </c>
      <c r="GQ27" s="1">
        <f t="shared" si="5"/>
        <v>2.855682624354241</v>
      </c>
      <c r="GR27" s="1">
        <f t="shared" si="70"/>
        <v>2.589840889590036</v>
      </c>
      <c r="GS27" s="1">
        <f t="shared" si="71"/>
        <v>1.8682687970613276</v>
      </c>
      <c r="JH27" s="69"/>
      <c r="KD27" s="2"/>
      <c r="KE27" s="2"/>
      <c r="KF27" s="2"/>
    </row>
    <row r="28" spans="2:333" ht="18" customHeight="1" x14ac:dyDescent="0.25">
      <c r="B28" s="6"/>
      <c r="F28" s="252"/>
      <c r="G28" s="252"/>
      <c r="H28" s="252"/>
      <c r="I28" s="252"/>
      <c r="J28" s="18"/>
      <c r="K28" s="252"/>
      <c r="L28" s="252"/>
      <c r="M28" s="252"/>
      <c r="N28" s="252"/>
      <c r="O28" s="18"/>
      <c r="P28" s="252"/>
      <c r="Q28" s="252"/>
      <c r="R28" s="252"/>
      <c r="S28" s="252"/>
      <c r="U28" s="252"/>
      <c r="V28" s="252"/>
      <c r="W28" s="252"/>
      <c r="X28" s="252"/>
      <c r="Z28" s="252"/>
      <c r="AA28" s="252"/>
      <c r="AB28" s="252"/>
      <c r="AC28" s="252"/>
      <c r="AE28" s="252"/>
      <c r="AF28" s="252"/>
      <c r="AG28" s="252"/>
      <c r="AH28" s="252"/>
      <c r="AJ28" s="252"/>
      <c r="AK28" s="252"/>
      <c r="AL28" s="252"/>
      <c r="AM28" s="252"/>
      <c r="AN28" s="252"/>
      <c r="AO28" s="252"/>
      <c r="AP28" s="8"/>
      <c r="AR28" s="6"/>
      <c r="BP28" s="38"/>
      <c r="CF28" s="8"/>
      <c r="CH28" s="2">
        <f t="shared" ref="CH28:CH40" si="374">JJ5</f>
        <v>1</v>
      </c>
      <c r="CK28" s="14">
        <f>IMABS(FQ5)</f>
        <v>136.09736515994842</v>
      </c>
      <c r="CL28" s="14">
        <f>IMABS(FT5)</f>
        <v>133.36046911286851</v>
      </c>
      <c r="CM28" s="14">
        <f>IMABS(FU5)</f>
        <v>131.8235350864409</v>
      </c>
      <c r="CN28" s="14">
        <f>IMABS(FV5)</f>
        <v>131.91053431996454</v>
      </c>
      <c r="CO28" s="14">
        <f>IMABS(FW5)</f>
        <v>136.11817622751539</v>
      </c>
      <c r="CP28" s="14">
        <f t="shared" ref="CP28:CP40" si="375">CO28^2*$L$39/(CH28*1000)</f>
        <v>1020.8139274075706</v>
      </c>
      <c r="CQ28" s="14">
        <f>IMABS(FX5)</f>
        <v>133.34190658334816</v>
      </c>
      <c r="CR28" s="14">
        <f t="shared" ref="CR28:CR40" si="376">CQ28^2*$L$40/(CH28*1000)</f>
        <v>980.00565783832849</v>
      </c>
      <c r="CS28" s="14">
        <f>IMABS(FY5)</f>
        <v>131.81371682467045</v>
      </c>
      <c r="CT28" s="14">
        <f t="shared" ref="CT28:CT40" si="377">CS28^2*$L$41/(CH28*1000)</f>
        <v>956.90930254026978</v>
      </c>
      <c r="CU28" s="14">
        <f>IMABS(FZ5)</f>
        <v>131.49204615593823</v>
      </c>
      <c r="CV28" s="14">
        <f t="shared" ref="CV28:CV40" si="378">CU28^2*$L$42/(CH28*1000)</f>
        <v>952.33765574647623</v>
      </c>
      <c r="CW28" s="14">
        <f>IMABS(GA5)</f>
        <v>0.74984756151727783</v>
      </c>
      <c r="CX28" s="14">
        <f>IMABS(GB5)</f>
        <v>0.90013342783372963</v>
      </c>
      <c r="CY28" s="14">
        <f>IMABS(GC6)</f>
        <v>0.30820733961802471</v>
      </c>
      <c r="CZ28" s="1">
        <f>GJ5</f>
        <v>533.18726515465619</v>
      </c>
      <c r="DA28" s="1">
        <f>CA14*1000</f>
        <v>7499.539434161079</v>
      </c>
      <c r="DB28" s="1">
        <f>CA23*1000</f>
        <v>7349.5486454778556</v>
      </c>
      <c r="DC28" s="1">
        <f>CA32*1000</f>
        <v>7259.5541722679236</v>
      </c>
      <c r="DD28" s="1">
        <f>CA32*1000</f>
        <v>7259.5541722679236</v>
      </c>
      <c r="EA28" s="1">
        <f t="shared" si="182"/>
        <v>5.6</v>
      </c>
      <c r="EB28" s="1" t="str">
        <f t="shared" si="12"/>
        <v>0.000144693234912336-0.0810282115509085i</v>
      </c>
      <c r="EC28" s="1" t="str">
        <f t="shared" si="13"/>
        <v>0.000283480623501721-0.158749149160964i</v>
      </c>
      <c r="ED28" s="1" t="str">
        <f t="shared" si="14"/>
        <v>0.000700581020060245-0.392325371233737i</v>
      </c>
      <c r="EE28" s="1" t="str">
        <f t="shared" si="15"/>
        <v>0.000978401874169136-0.547905049534716i</v>
      </c>
      <c r="EF28" s="1" t="str">
        <f t="shared" si="16"/>
        <v>0.101642112682306i</v>
      </c>
      <c r="EG28" s="1" t="str">
        <f t="shared" si="17"/>
        <v>0.101599779440872i</v>
      </c>
      <c r="EH28" s="1" t="str">
        <f t="shared" si="18"/>
        <v>0.101680684912621i</v>
      </c>
      <c r="EI28" s="1" t="str">
        <f t="shared" si="19"/>
        <v>0.10167075233085i</v>
      </c>
      <c r="EJ28" s="1" t="str">
        <f t="shared" si="1"/>
        <v>0.005</v>
      </c>
      <c r="EK28" s="1" t="str">
        <f t="shared" si="2"/>
        <v>0.01</v>
      </c>
      <c r="EL28" s="1" t="str">
        <f t="shared" si="3"/>
        <v>0.0125</v>
      </c>
      <c r="EM28" s="1" t="str">
        <f t="shared" si="329"/>
        <v>0.00514469323491234+0.0206139011313975i</v>
      </c>
      <c r="EN28" s="1" t="str">
        <f t="shared" si="330"/>
        <v>-0.005</v>
      </c>
      <c r="EO28" s="1" t="str">
        <f t="shared" si="331"/>
        <v>1.04172731623814-583.367297093361i</v>
      </c>
      <c r="EP28" s="1" t="str">
        <f t="shared" si="332"/>
        <v>-0.005</v>
      </c>
      <c r="EQ28" s="1" t="str">
        <f t="shared" si="333"/>
        <v>0.0152834806235017-0.057149369720092i</v>
      </c>
      <c r="ER28" s="1" t="str">
        <f t="shared" si="334"/>
        <v>-0.01</v>
      </c>
      <c r="ES28" s="1" t="str">
        <f t="shared" si="335"/>
        <v>2.04093515018086-1142.92368410128i</v>
      </c>
      <c r="ET28" s="1" t="str">
        <f t="shared" si="336"/>
        <v>-0.01</v>
      </c>
      <c r="EU28" s="1" t="str">
        <f t="shared" si="337"/>
        <v>0.0232005810200602-0.290644686321116i</v>
      </c>
      <c r="EV28" s="1" t="str">
        <f t="shared" si="338"/>
        <v>-0.0125</v>
      </c>
      <c r="EW28" s="1" t="str">
        <f t="shared" si="339"/>
        <v>5.04387358729594-2824.56920888572i</v>
      </c>
      <c r="EX28" s="1" t="str">
        <f t="shared" si="340"/>
        <v>-0.0125</v>
      </c>
      <c r="EY28" s="1" t="str">
        <f t="shared" si="341"/>
        <v>0.0134784018741691-0.446234297203866i</v>
      </c>
      <c r="EZ28" s="1" t="str">
        <f t="shared" si="342"/>
        <v>7.044060900277-3944.67410415512i</v>
      </c>
      <c r="FB28" s="1" t="str">
        <f t="shared" si="343"/>
        <v>0.00514469323491234+0.0206139011313975i</v>
      </c>
      <c r="FC28" s="1" t="str">
        <f t="shared" si="344"/>
        <v>1.04172731623814-583.367297093361i</v>
      </c>
      <c r="FD28" s="1" t="str">
        <f t="shared" si="345"/>
        <v>-0.0569858689643948+0.228332577877955i</v>
      </c>
      <c r="FE28" s="1" t="str">
        <f t="shared" si="346"/>
        <v>0.0149985512786797-0.0560077068307022i</v>
      </c>
      <c r="FF28" s="1" t="str">
        <f t="shared" si="347"/>
        <v>-131.101459908501-1176.40523673512i</v>
      </c>
      <c r="FG28" s="1" t="str">
        <f t="shared" si="348"/>
        <v>-0.044614382470194-0.166599373992566i</v>
      </c>
      <c r="FH28" s="1" t="str">
        <f t="shared" si="349"/>
        <v>0.0227544371953583-0.292310680061042i</v>
      </c>
      <c r="FI28" s="1" t="str">
        <f t="shared" si="350"/>
        <v>195.183238914185-2898.89522320763i</v>
      </c>
      <c r="FJ28" s="1" t="str">
        <f t="shared" si="351"/>
        <v>-0.00330874304804786-0.0425051572235507i</v>
      </c>
      <c r="FK28" s="1" t="str">
        <f t="shared" si="352"/>
        <v>0.0134370425860685-0.44676561166916i</v>
      </c>
      <c r="FL28" s="1" t="str">
        <f t="shared" si="353"/>
        <v>127.119508094432-3953.80548724891i</v>
      </c>
      <c r="FM28" s="1" t="str">
        <f t="shared" si="354"/>
        <v>8850.39470457379+18.3460349934643i</v>
      </c>
      <c r="FN28" s="1" t="str">
        <f t="shared" si="355"/>
        <v>9937.60855460086+272.615707975484i</v>
      </c>
      <c r="FO28" s="1" t="str">
        <f t="shared" si="356"/>
        <v>19411.8791952938-5764.8394865481i</v>
      </c>
      <c r="FP28" s="1" t="str">
        <f t="shared" si="357"/>
        <v>-26838.5768685768-11457.1893324657i</v>
      </c>
      <c r="FQ28" s="92" t="str">
        <f t="shared" si="358"/>
        <v>933.280648833639-2756.3914035382i</v>
      </c>
      <c r="FR28" s="1" t="str">
        <f t="shared" si="359"/>
        <v>1164.53292915299-2727.92965430861i</v>
      </c>
      <c r="FS28" s="1" t="str">
        <f t="shared" si="360"/>
        <v>-231.252280319353-28.461749229588i</v>
      </c>
      <c r="FT28" s="1" t="str">
        <f t="shared" si="361"/>
        <v>911.701407071598+1940.32984205907i</v>
      </c>
      <c r="FU28" s="1" t="str">
        <f t="shared" si="362"/>
        <v>-108.872285186476+1074.01576708284i</v>
      </c>
      <c r="FV28" s="1" t="str">
        <f t="shared" si="363"/>
        <v>-11.6670670776743+904.483895061154i</v>
      </c>
      <c r="FW28" s="1" t="str">
        <f t="shared" si="364"/>
        <v>1164.53292915299-2727.92965430861i</v>
      </c>
      <c r="FX28" s="1" t="str">
        <f t="shared" si="365"/>
        <v>585.706420345317+1972.2426447747i</v>
      </c>
      <c r="FY28" s="1" t="str">
        <f t="shared" si="366"/>
        <v>-27.7197519048863+1010.46284422534i</v>
      </c>
      <c r="FZ28" s="1" t="str">
        <f t="shared" si="367"/>
        <v>-1.86525518007362+899.826288038988i</v>
      </c>
      <c r="GA28" s="1" t="str">
        <f t="shared" si="368"/>
        <v>-231.252280319353-28.461749229588i</v>
      </c>
      <c r="GB28" s="1" t="str">
        <f t="shared" si="369"/>
        <v>94.7427064069294-60.3745519452358i</v>
      </c>
      <c r="GC28" s="1" t="str">
        <f t="shared" si="370"/>
        <v>13.5901731253384+3.17837091227525i</v>
      </c>
      <c r="GD28" s="92" t="str">
        <f t="shared" si="371"/>
        <v>1724.44270364109+1162.43810066486i</v>
      </c>
      <c r="GE28" s="1" t="str">
        <f t="shared" si="63"/>
        <v>2.87059550411-1.93505390380846i</v>
      </c>
      <c r="GF28" s="1">
        <f t="shared" si="64"/>
        <v>5.6</v>
      </c>
      <c r="GG28" s="56">
        <f t="shared" si="65"/>
        <v>1.1595021649908315</v>
      </c>
      <c r="GH28" s="1">
        <f t="shared" si="66"/>
        <v>0.8995463588611593</v>
      </c>
      <c r="GJ28" s="1">
        <f t="shared" si="372"/>
        <v>2079.6550137025897</v>
      </c>
      <c r="GK28" s="1">
        <f t="shared" si="373"/>
        <v>3.4619000792716283</v>
      </c>
      <c r="GM28" s="1" t="str">
        <f t="shared" si="69"/>
        <v>0.0191834803010191+2.68568724214268i</v>
      </c>
      <c r="GP28" s="1">
        <f t="shared" si="4"/>
        <v>5.6</v>
      </c>
      <c r="GQ28" s="1">
        <f t="shared" si="5"/>
        <v>3.4619000792716283</v>
      </c>
      <c r="GR28" s="1">
        <f t="shared" si="70"/>
        <v>2.6857557536984653</v>
      </c>
      <c r="GS28" s="1">
        <f t="shared" si="71"/>
        <v>3.1141396110499571</v>
      </c>
      <c r="JG28" s="2">
        <f t="shared" ref="JG28:JG43" si="379">CH28</f>
        <v>1</v>
      </c>
      <c r="JH28" s="14"/>
    </row>
    <row r="29" spans="2:333" ht="18" customHeight="1" x14ac:dyDescent="0.35">
      <c r="B29" s="6"/>
      <c r="D29" s="18"/>
      <c r="E29" s="71" t="s">
        <v>393</v>
      </c>
      <c r="F29" s="258">
        <v>2940</v>
      </c>
      <c r="G29" s="258"/>
      <c r="H29" s="258"/>
      <c r="I29" s="258"/>
      <c r="K29" s="156">
        <v>5</v>
      </c>
      <c r="L29" s="156"/>
      <c r="M29" s="156"/>
      <c r="N29" s="156"/>
      <c r="P29" s="156">
        <v>9.9600000000000009</v>
      </c>
      <c r="Q29" s="156"/>
      <c r="R29" s="156"/>
      <c r="S29" s="156"/>
      <c r="U29" s="156">
        <v>3</v>
      </c>
      <c r="V29" s="156"/>
      <c r="W29" s="156"/>
      <c r="X29" s="156"/>
      <c r="Z29" s="255">
        <f>AE29/U29</f>
        <v>600.18215508720527</v>
      </c>
      <c r="AA29" s="255"/>
      <c r="AB29" s="255"/>
      <c r="AC29" s="255"/>
      <c r="AE29" s="255">
        <f>1000*(P29*P29)/L39</f>
        <v>1800.5464652616158</v>
      </c>
      <c r="AF29" s="255"/>
      <c r="AG29" s="255"/>
      <c r="AH29" s="255"/>
      <c r="AK29" s="84" t="s">
        <v>306</v>
      </c>
      <c r="AL29" s="156">
        <v>200</v>
      </c>
      <c r="AM29" s="156"/>
      <c r="AN29" s="156"/>
      <c r="AO29" s="156"/>
      <c r="AP29" s="8"/>
      <c r="AR29" s="6"/>
      <c r="AS29" s="172" t="s">
        <v>385</v>
      </c>
      <c r="AT29" s="172"/>
      <c r="AU29" s="172"/>
      <c r="AV29" s="172"/>
      <c r="AW29" s="172"/>
      <c r="AX29" s="172"/>
      <c r="AY29" s="172"/>
      <c r="AZ29" s="172"/>
      <c r="BA29" s="172"/>
      <c r="BB29" s="172"/>
      <c r="BC29" s="172"/>
      <c r="BD29" s="172"/>
      <c r="BE29" s="172"/>
      <c r="BF29" s="172"/>
      <c r="BG29" s="172"/>
      <c r="BH29" s="172"/>
      <c r="BI29" s="172"/>
      <c r="BJ29" s="172"/>
      <c r="BK29" s="172"/>
      <c r="BL29" s="172"/>
      <c r="BM29" s="172"/>
      <c r="BN29" s="172"/>
      <c r="BO29" s="172"/>
      <c r="BP29" s="172"/>
      <c r="BQ29" s="172"/>
      <c r="BR29" s="172"/>
      <c r="BS29" s="172"/>
      <c r="BT29" s="172"/>
      <c r="BU29" s="172"/>
      <c r="BV29" s="172"/>
      <c r="BW29" s="172"/>
      <c r="BX29" s="172"/>
      <c r="BY29" s="172"/>
      <c r="BZ29" s="172"/>
      <c r="CA29" s="172"/>
      <c r="CB29" s="172"/>
      <c r="CC29" s="172"/>
      <c r="CD29" s="172"/>
      <c r="CE29" s="172"/>
      <c r="CF29" s="8"/>
      <c r="CH29" s="2">
        <f t="shared" si="374"/>
        <v>2</v>
      </c>
      <c r="CI29" s="14">
        <f t="shared" ref="CI29:CI43" si="380">IMABS(JI29)</f>
        <v>31.725501601232903</v>
      </c>
      <c r="CJ29" s="77">
        <f t="shared" ref="CJ29:CJ43" si="381">CI29/($S$17*1000/SQRT(3))</f>
        <v>4.4065902701638454E-3</v>
      </c>
      <c r="CK29" s="14">
        <f t="shared" ref="CK29:CK43" si="382">IMABS(KZ6)</f>
        <v>1.3705497879328472</v>
      </c>
      <c r="CL29" s="14">
        <f t="shared" ref="CL29:CL40" si="383">IMABS(LC6)</f>
        <v>1.2537853301445552</v>
      </c>
      <c r="CM29" s="14">
        <f t="shared" ref="CM29:CM40" si="384">IMABS(LD6)</f>
        <v>1.1919393216746605</v>
      </c>
      <c r="CN29" s="14">
        <f t="shared" ref="CN29:CN40" si="385">IMABS(LE6)</f>
        <v>1.1839616667468893</v>
      </c>
      <c r="CO29" s="14">
        <f t="shared" ref="CO29:CO40" si="386">IMABS(LF6)</f>
        <v>1.3709137555685817</v>
      </c>
      <c r="CP29" s="14">
        <f t="shared" si="375"/>
        <v>5.1773153191217586E-2</v>
      </c>
      <c r="CQ29" s="14">
        <f t="shared" ref="CQ29:CQ40" si="387">IMABS(LG6)</f>
        <v>1.2535290802016688</v>
      </c>
      <c r="CR29" s="14">
        <f t="shared" si="376"/>
        <v>4.3304606151354667E-2</v>
      </c>
      <c r="CS29" s="14">
        <f t="shared" ref="CS29:CS40" si="388">IMABS(LH6)</f>
        <v>1.1914993327750572</v>
      </c>
      <c r="CT29" s="14">
        <f t="shared" si="377"/>
        <v>3.9093735958068393E-2</v>
      </c>
      <c r="CU29" s="14">
        <f t="shared" ref="CU29:CU40" si="389">IMABS(LI6)</f>
        <v>1.1800072102856556</v>
      </c>
      <c r="CV29" s="14">
        <f t="shared" si="378"/>
        <v>3.8346993174852094E-2</v>
      </c>
      <c r="CW29" s="14">
        <f t="shared" ref="CW29:CW40" si="390">IMABS(LJ6)</f>
        <v>1.6103547875340737E-2</v>
      </c>
      <c r="CX29" s="14">
        <f t="shared" ref="CX29:CX40" si="391">IMABS(LK6)</f>
        <v>1.7357954457903974E-2</v>
      </c>
      <c r="CY29" s="14">
        <f t="shared" ref="CY29:CY40" si="392">IMABS(LL6)</f>
        <v>3.9175157989442015E-3</v>
      </c>
      <c r="CZ29" s="2">
        <f t="shared" ref="CZ29:CZ40" si="393">IMABS(LM6)</f>
        <v>4.9999999999997442</v>
      </c>
      <c r="DA29" s="34">
        <f t="shared" ref="DA29:DA40" si="394">CO29/IMABS(JO6)</f>
        <v>37.765434171856413</v>
      </c>
      <c r="DB29" s="34">
        <f t="shared" ref="DB29:DB40" si="395">CQ29/IMABS(JP6)</f>
        <v>34.546152008206981</v>
      </c>
      <c r="DC29" s="34">
        <f t="shared" ref="DC29:DC40" si="396">CS29/IMABS(JQ6)</f>
        <v>32.810539530070315</v>
      </c>
      <c r="DD29" s="34">
        <f t="shared" ref="DD29:DD40" si="397">CU29/IMABS(JR6)</f>
        <v>32.497253271502473</v>
      </c>
      <c r="EA29" s="1">
        <f t="shared" si="182"/>
        <v>5.8</v>
      </c>
      <c r="EB29" s="1" t="str">
        <f t="shared" si="12"/>
        <v>0.000134886469308188-0.078234152198749i</v>
      </c>
      <c r="EC29" s="1" t="str">
        <f t="shared" si="13"/>
        <v>0.000264267368440531-0.153275073695508i</v>
      </c>
      <c r="ED29" s="1" t="str">
        <f t="shared" si="14"/>
        <v>0.000653098262109541-0.378796992023535i</v>
      </c>
      <c r="EE29" s="1" t="str">
        <f t="shared" si="15"/>
        <v>0.000912089459131553-0.529011886296302i</v>
      </c>
      <c r="EF29" s="1" t="str">
        <f t="shared" si="16"/>
        <v>0.105272188135245i</v>
      </c>
      <c r="EG29" s="1" t="str">
        <f t="shared" si="17"/>
        <v>0.105228342992332i</v>
      </c>
      <c r="EH29" s="1" t="str">
        <f t="shared" si="18"/>
        <v>0.105312137945214i</v>
      </c>
      <c r="EI29" s="1" t="str">
        <f t="shared" si="19"/>
        <v>0.10530185062838i</v>
      </c>
      <c r="EJ29" s="1" t="str">
        <f t="shared" si="1"/>
        <v>0.005</v>
      </c>
      <c r="EK29" s="1" t="str">
        <f t="shared" si="2"/>
        <v>0.01</v>
      </c>
      <c r="EL29" s="1" t="str">
        <f t="shared" si="3"/>
        <v>0.0125</v>
      </c>
      <c r="EM29" s="1" t="str">
        <f t="shared" si="329"/>
        <v>0.00513488646930819+0.027038035936496i</v>
      </c>
      <c r="EN29" s="1" t="str">
        <f t="shared" si="330"/>
        <v>-0.005</v>
      </c>
      <c r="EO29" s="1" t="str">
        <f t="shared" si="331"/>
        <v>0.971122939883053-563.251305132171i</v>
      </c>
      <c r="EP29" s="1" t="str">
        <f t="shared" si="332"/>
        <v>-0.005</v>
      </c>
      <c r="EQ29" s="1" t="str">
        <f t="shared" si="333"/>
        <v>0.0152642673684405-0.048046730703176i</v>
      </c>
      <c r="ER29" s="1" t="str">
        <f t="shared" si="334"/>
        <v>-0.01</v>
      </c>
      <c r="ES29" s="1" t="str">
        <f t="shared" si="335"/>
        <v>1.90260820875047-1103.51276107527i</v>
      </c>
      <c r="ET29" s="1" t="str">
        <f t="shared" si="336"/>
        <v>-0.01</v>
      </c>
      <c r="EU29" s="1" t="str">
        <f t="shared" si="337"/>
        <v>0.0231530982621095-0.273484854078321i</v>
      </c>
      <c r="EV29" s="1" t="str">
        <f t="shared" si="338"/>
        <v>-0.0125</v>
      </c>
      <c r="EW29" s="1" t="str">
        <f t="shared" si="339"/>
        <v>4.70201872422967-2727.17086005322i</v>
      </c>
      <c r="EX29" s="1" t="str">
        <f t="shared" si="340"/>
        <v>-0.0125</v>
      </c>
      <c r="EY29" s="1" t="str">
        <f t="shared" si="341"/>
        <v>0.0134120894591316-0.423710035667922i</v>
      </c>
      <c r="EZ29" s="1" t="str">
        <f t="shared" si="342"/>
        <v>6.56664083159014-3808.65168232229i</v>
      </c>
      <c r="FB29" s="1" t="str">
        <f t="shared" si="343"/>
        <v>0.00513488646930819+0.027038035936496i</v>
      </c>
      <c r="FC29" s="1" t="str">
        <f t="shared" si="344"/>
        <v>0.971122939883053-563.251305132171i</v>
      </c>
      <c r="FD29" s="1" t="str">
        <f t="shared" si="345"/>
        <v>-0.0338971104831449+0.178487157771596i</v>
      </c>
      <c r="FE29" s="1" t="str">
        <f t="shared" si="346"/>
        <v>0.0150947818160248-0.047154294914318i</v>
      </c>
      <c r="FF29" s="1" t="str">
        <f t="shared" si="347"/>
        <v>-98.5975980938465-1122.7786857685i</v>
      </c>
      <c r="FG29" s="1" t="str">
        <f t="shared" si="348"/>
        <v>-0.0615766711794911-0.192358163770026i</v>
      </c>
      <c r="FH29" s="1" t="str">
        <f t="shared" si="349"/>
        <v>0.0225373315503146-0.275408435716021i</v>
      </c>
      <c r="FI29" s="1" t="str">
        <f t="shared" si="350"/>
        <v>214.606353161869-2815.2738869156i</v>
      </c>
      <c r="FJ29" s="1" t="str">
        <f t="shared" si="351"/>
        <v>-0.00368943151775716-0.0450852205248186i</v>
      </c>
      <c r="FK29" s="1" t="str">
        <f t="shared" si="352"/>
        <v>0.0133659715651596-0.424273600924482i</v>
      </c>
      <c r="FL29" s="1" t="str">
        <f t="shared" si="353"/>
        <v>129.539088242027-3818.50140089659i</v>
      </c>
      <c r="FM29" s="1" t="str">
        <f t="shared" si="354"/>
        <v>9000.7776184289+21.7664981032492i</v>
      </c>
      <c r="FN29" s="1" t="str">
        <f t="shared" si="355"/>
        <v>10249.7479630723+348.987513731837i</v>
      </c>
      <c r="FO29" s="1" t="str">
        <f t="shared" si="356"/>
        <v>21554.4482064385-6817.19049957656i</v>
      </c>
      <c r="FP29" s="1" t="str">
        <f t="shared" si="357"/>
        <v>-20586.1887045196-7931.46019589655i</v>
      </c>
      <c r="FQ29" s="92" t="str">
        <f t="shared" si="358"/>
        <v>624.258985374838-2172.72447877144i</v>
      </c>
      <c r="FR29" s="1" t="str">
        <f t="shared" si="359"/>
        <v>834.962169929629-2167.15313028984i</v>
      </c>
      <c r="FS29" s="1" t="str">
        <f t="shared" si="360"/>
        <v>-210.703184554791-5.57134848159995i</v>
      </c>
      <c r="FT29" s="1" t="str">
        <f t="shared" si="361"/>
        <v>1041.11184712196+2202.04843722609i</v>
      </c>
      <c r="FU29" s="1" t="str">
        <f t="shared" si="362"/>
        <v>-134.187494312906+1155.17491421921i</v>
      </c>
      <c r="FV29" s="1" t="str">
        <f t="shared" si="363"/>
        <v>-13.1576097778308+952.846810742838i</v>
      </c>
      <c r="FW29" s="1" t="str">
        <f t="shared" si="364"/>
        <v>834.962169929629-2167.15313028984i</v>
      </c>
      <c r="FX29" s="1" t="str">
        <f t="shared" si="365"/>
        <v>717.361660133509+2268.13886887757i</v>
      </c>
      <c r="FY29" s="1" t="str">
        <f t="shared" si="366"/>
        <v>-36.7526211872845+1079.42287139075i</v>
      </c>
      <c r="FZ29" s="1" t="str">
        <f t="shared" si="367"/>
        <v>-2.29205253197126+947.798540315066i</v>
      </c>
      <c r="GA29" s="1" t="str">
        <f t="shared" si="368"/>
        <v>-210.703184554791-5.57134848159995i</v>
      </c>
      <c r="GB29" s="1" t="str">
        <f t="shared" si="369"/>
        <v>113.047002433662-71.661780133084i</v>
      </c>
      <c r="GC29" s="1" t="str">
        <f t="shared" si="370"/>
        <v>15.6121293080425+4.09026269535735i</v>
      </c>
      <c r="GD29" s="92" t="str">
        <f t="shared" si="371"/>
        <v>1518.02572840606+2137.3456834167i</v>
      </c>
      <c r="GE29" s="1" t="str">
        <f t="shared" si="63"/>
        <v>1.59023319314359-2.2390121507099i</v>
      </c>
      <c r="GF29" s="1">
        <f t="shared" si="64"/>
        <v>5.8</v>
      </c>
      <c r="GG29" s="56">
        <f t="shared" si="65"/>
        <v>1.6169582195524972</v>
      </c>
      <c r="GH29" s="1">
        <f t="shared" si="66"/>
        <v>1.637799653104278</v>
      </c>
      <c r="GJ29" s="1">
        <f t="shared" si="372"/>
        <v>2621.573703431347</v>
      </c>
      <c r="GK29" s="1">
        <f t="shared" si="373"/>
        <v>2.7462732965970869</v>
      </c>
      <c r="GM29" s="1" t="str">
        <f t="shared" si="69"/>
        <v>0.0191834803010191+2.78160464364778i</v>
      </c>
      <c r="GP29" s="1">
        <f t="shared" si="4"/>
        <v>5.8</v>
      </c>
      <c r="GQ29" s="1">
        <f t="shared" si="5"/>
        <v>2.7462732965970869</v>
      </c>
      <c r="GR29" s="1">
        <f t="shared" si="70"/>
        <v>2.7816707927933089</v>
      </c>
      <c r="GS29" s="1">
        <f t="shared" si="71"/>
        <v>4.4978454524962439</v>
      </c>
      <c r="JG29" s="2">
        <f t="shared" si="379"/>
        <v>2</v>
      </c>
      <c r="JH29" s="14">
        <f>L21</f>
        <v>5</v>
      </c>
      <c r="JI29" s="1" t="str">
        <f t="shared" ref="JI29:JI43" si="398">IMPRODUCT(JH29,IY6)</f>
        <v>0.0319878121958806-31.725485475083i</v>
      </c>
    </row>
    <row r="30" spans="2:333" ht="18" customHeight="1" x14ac:dyDescent="0.35">
      <c r="B30" s="6"/>
      <c r="D30" s="18"/>
      <c r="E30" s="71" t="s">
        <v>394</v>
      </c>
      <c r="F30" s="258">
        <v>2880</v>
      </c>
      <c r="G30" s="258"/>
      <c r="H30" s="258"/>
      <c r="I30" s="258"/>
      <c r="K30" s="156">
        <v>7</v>
      </c>
      <c r="L30" s="156"/>
      <c r="M30" s="156"/>
      <c r="N30" s="156"/>
      <c r="P30" s="156">
        <v>9.9600000000000009</v>
      </c>
      <c r="Q30" s="156"/>
      <c r="R30" s="156"/>
      <c r="S30" s="156"/>
      <c r="U30" s="156">
        <v>3</v>
      </c>
      <c r="V30" s="156"/>
      <c r="W30" s="156"/>
      <c r="X30" s="156"/>
      <c r="Z30" s="255">
        <f>AE30/U30</f>
        <v>599.9321833441453</v>
      </c>
      <c r="AA30" s="255"/>
      <c r="AB30" s="255"/>
      <c r="AC30" s="255"/>
      <c r="AE30" s="255">
        <f>1000*(P30*P30)/L40</f>
        <v>1799.7965500324358</v>
      </c>
      <c r="AF30" s="255"/>
      <c r="AG30" s="255"/>
      <c r="AH30" s="255"/>
      <c r="AK30" s="84" t="s">
        <v>307</v>
      </c>
      <c r="AL30" s="156">
        <v>100</v>
      </c>
      <c r="AM30" s="156"/>
      <c r="AN30" s="156"/>
      <c r="AO30" s="156"/>
      <c r="AP30" s="8"/>
      <c r="AR30" s="6"/>
      <c r="AZ30" s="200" t="s">
        <v>15</v>
      </c>
      <c r="BA30" s="200"/>
      <c r="BB30" s="200"/>
      <c r="BC30" s="200"/>
      <c r="BD30" s="200"/>
      <c r="BE30" s="18"/>
      <c r="BF30" s="200" t="s">
        <v>387</v>
      </c>
      <c r="BG30" s="200"/>
      <c r="BH30" s="200"/>
      <c r="BI30" s="200"/>
      <c r="BJ30" s="200"/>
      <c r="BK30" s="48"/>
      <c r="BL30" s="48"/>
      <c r="BT30" s="245" t="s">
        <v>388</v>
      </c>
      <c r="BU30" s="245"/>
      <c r="BV30" s="245"/>
      <c r="BW30" s="245"/>
      <c r="BX30" s="245"/>
      <c r="BY30" s="245"/>
      <c r="BZ30" s="245"/>
      <c r="CA30" s="253">
        <f>CS28/U31</f>
        <v>43.937905608223481</v>
      </c>
      <c r="CB30" s="253"/>
      <c r="CC30" s="253"/>
      <c r="CD30" s="33" t="s">
        <v>39</v>
      </c>
      <c r="CE30" s="38"/>
      <c r="CF30" s="8"/>
      <c r="CH30" s="2">
        <f t="shared" si="374"/>
        <v>3</v>
      </c>
      <c r="CI30" s="14">
        <f t="shared" si="380"/>
        <v>11.180148145356027</v>
      </c>
      <c r="CJ30" s="77">
        <f t="shared" si="381"/>
        <v>1.552893714827874E-3</v>
      </c>
      <c r="CK30" s="14">
        <f t="shared" si="382"/>
        <v>0.94988357015344727</v>
      </c>
      <c r="CL30" s="14">
        <f t="shared" si="383"/>
        <v>0.74664368189911445</v>
      </c>
      <c r="CM30" s="14">
        <f t="shared" si="384"/>
        <v>0.65845157966046097</v>
      </c>
      <c r="CN30" s="14">
        <f t="shared" si="385"/>
        <v>0.64566434458899546</v>
      </c>
      <c r="CO30" s="14">
        <f t="shared" si="386"/>
        <v>0.95058896531932369</v>
      </c>
      <c r="CP30" s="14">
        <f t="shared" si="375"/>
        <v>1.6595052319645219E-2</v>
      </c>
      <c r="CQ30" s="14">
        <f t="shared" si="387"/>
        <v>0.74565756710116549</v>
      </c>
      <c r="CR30" s="14">
        <f t="shared" si="376"/>
        <v>1.0215340946723581E-2</v>
      </c>
      <c r="CS30" s="14">
        <f t="shared" si="388"/>
        <v>0.6579718103553267</v>
      </c>
      <c r="CT30" s="14">
        <f t="shared" si="377"/>
        <v>7.9477259623368726E-3</v>
      </c>
      <c r="CU30" s="14">
        <f t="shared" si="389"/>
        <v>0.64332789177703542</v>
      </c>
      <c r="CV30" s="14">
        <f t="shared" si="378"/>
        <v>7.5986334790178883E-3</v>
      </c>
      <c r="CW30" s="14">
        <f t="shared" si="390"/>
        <v>1.8816314111214927E-2</v>
      </c>
      <c r="CX30" s="14">
        <f t="shared" si="391"/>
        <v>1.6207298854669976E-2</v>
      </c>
      <c r="CY30" s="14">
        <f t="shared" si="392"/>
        <v>3.3509224112927864E-3</v>
      </c>
      <c r="CZ30" s="2">
        <f t="shared" si="393"/>
        <v>2.9999999999999454</v>
      </c>
      <c r="DA30" s="34">
        <f t="shared" si="394"/>
        <v>17.457653018379556</v>
      </c>
      <c r="DB30" s="34">
        <f t="shared" si="395"/>
        <v>13.699775067578216</v>
      </c>
      <c r="DC30" s="34">
        <f t="shared" si="396"/>
        <v>12.079128371844433</v>
      </c>
      <c r="DD30" s="34">
        <f t="shared" si="397"/>
        <v>11.81144728239363</v>
      </c>
      <c r="EA30" s="1">
        <f t="shared" si="182"/>
        <v>6</v>
      </c>
      <c r="EB30" s="1" t="str">
        <f t="shared" si="12"/>
        <v>0.000126043936438354-0.0756263618630122i</v>
      </c>
      <c r="EC30" s="1" t="str">
        <f t="shared" si="13"/>
        <v>0.000246943222409835-0.148165933445901i</v>
      </c>
      <c r="ED30" s="1" t="str">
        <f t="shared" si="14"/>
        <v>0.000610284161632642-0.366170496979585i</v>
      </c>
      <c r="EE30" s="1" t="str">
        <f t="shared" si="15"/>
        <v>0.000852297094011725-0.511378256407035i</v>
      </c>
      <c r="EF30" s="1" t="str">
        <f t="shared" si="16"/>
        <v>0.108902263588185i</v>
      </c>
      <c r="EG30" s="1" t="str">
        <f t="shared" si="17"/>
        <v>0.108856906543792i</v>
      </c>
      <c r="EH30" s="1" t="str">
        <f t="shared" si="18"/>
        <v>0.108943590977808i</v>
      </c>
      <c r="EI30" s="1" t="str">
        <f t="shared" si="19"/>
        <v>0.108932948925911i</v>
      </c>
      <c r="EJ30" s="1" t="str">
        <f t="shared" si="1"/>
        <v>0.005</v>
      </c>
      <c r="EK30" s="1" t="str">
        <f t="shared" si="2"/>
        <v>0.01</v>
      </c>
      <c r="EL30" s="1" t="str">
        <f t="shared" si="3"/>
        <v>0.0125</v>
      </c>
      <c r="EM30" s="1" t="str">
        <f t="shared" si="329"/>
        <v>0.00512604393643835+0.0332759017251728i</v>
      </c>
      <c r="EN30" s="1" t="str">
        <f t="shared" si="330"/>
        <v>-0.005</v>
      </c>
      <c r="EO30" s="1" t="str">
        <f t="shared" si="331"/>
        <v>0.907460612886075-544.476367731644i</v>
      </c>
      <c r="EP30" s="1" t="str">
        <f t="shared" si="332"/>
        <v>-0.005</v>
      </c>
      <c r="EQ30" s="1" t="str">
        <f t="shared" si="333"/>
        <v>0.0152469432224098-0.039309026902109i</v>
      </c>
      <c r="ER30" s="1" t="str">
        <f t="shared" si="334"/>
        <v>-0.01</v>
      </c>
      <c r="ES30" s="1" t="str">
        <f t="shared" si="335"/>
        <v>1.77788201708291-1066.72921024975i</v>
      </c>
      <c r="ET30" s="1" t="str">
        <f t="shared" si="336"/>
        <v>-0.01</v>
      </c>
      <c r="EU30" s="1" t="str">
        <f t="shared" si="337"/>
        <v>0.0231102841616326-0.257226906001777i</v>
      </c>
      <c r="EV30" s="1" t="str">
        <f t="shared" si="338"/>
        <v>-0.0125</v>
      </c>
      <c r="EW30" s="1" t="str">
        <f t="shared" si="339"/>
        <v>4.39377613075961-2636.26567845577i</v>
      </c>
      <c r="EX30" s="1" t="str">
        <f t="shared" si="340"/>
        <v>-0.0125</v>
      </c>
      <c r="EY30" s="1" t="str">
        <f t="shared" si="341"/>
        <v>0.0133522970940117-0.402445307481124i</v>
      </c>
      <c r="EZ30" s="1" t="str">
        <f t="shared" si="342"/>
        <v>6.13616223951535-3681.69734370921i</v>
      </c>
      <c r="FB30" s="1" t="str">
        <f t="shared" si="343"/>
        <v>0.00512604393643835+0.0332759017251728i</v>
      </c>
      <c r="FC30" s="1" t="str">
        <f t="shared" si="344"/>
        <v>0.907460612886075-544.476367731644i</v>
      </c>
      <c r="FD30" s="1" t="str">
        <f t="shared" si="345"/>
        <v>-0.0226103385081633+0.146775839516759i</v>
      </c>
      <c r="FE30" s="1" t="str">
        <f t="shared" si="346"/>
        <v>0.015133891529869-0.0385751477045252i</v>
      </c>
      <c r="FF30" s="1" t="str">
        <f t="shared" si="347"/>
        <v>-78.1175759621246-1079.17319852714i</v>
      </c>
      <c r="FG30" s="1" t="str">
        <f t="shared" si="348"/>
        <v>-0.0881375397455479-0.224655939107778i</v>
      </c>
      <c r="FH30" s="1" t="str">
        <f t="shared" si="349"/>
        <v>0.0222289087641771-0.259473465392855i</v>
      </c>
      <c r="FI30" s="1" t="str">
        <f t="shared" si="350"/>
        <v>239.951353549632-2748.93092652188i</v>
      </c>
      <c r="FJ30" s="1" t="str">
        <f t="shared" si="351"/>
        <v>-0.00409700510890502-0.0478234952789492i</v>
      </c>
      <c r="FK30" s="1" t="str">
        <f t="shared" si="352"/>
        <v>0.0133010845301504-0.403043101172111i</v>
      </c>
      <c r="FL30" s="1" t="str">
        <f t="shared" si="353"/>
        <v>132.229602790455-3692.28801193023i</v>
      </c>
      <c r="FM30" s="1" t="str">
        <f t="shared" si="354"/>
        <v>9161.87405439915+25.7211735125898i</v>
      </c>
      <c r="FN30" s="1" t="str">
        <f t="shared" si="355"/>
        <v>10632.0315370326+455.292490259864i</v>
      </c>
      <c r="FO30" s="1" t="str">
        <f t="shared" si="356"/>
        <v>24390.5546820902-8837.8474170793i</v>
      </c>
      <c r="FP30" s="1" t="str">
        <f t="shared" si="357"/>
        <v>-16724.7953722404-6268.56851700535i</v>
      </c>
      <c r="FQ30" s="92" t="str">
        <f t="shared" si="358"/>
        <v>477.084550687862-1808.52167958581i</v>
      </c>
      <c r="FR30" s="1" t="str">
        <f t="shared" si="359"/>
        <v>682.661300959515-1821.36807408618i</v>
      </c>
      <c r="FS30" s="1" t="str">
        <f t="shared" si="360"/>
        <v>-205.576750271653+12.8463945003697i</v>
      </c>
      <c r="FT30" s="1" t="str">
        <f t="shared" si="361"/>
        <v>1305.22271205152+2549.30253800578i</v>
      </c>
      <c r="FU30" s="1" t="str">
        <f t="shared" si="362"/>
        <v>-168.809461751797+1256.59273556637i</v>
      </c>
      <c r="FV30" s="1" t="str">
        <f t="shared" si="363"/>
        <v>-14.8257252563615+1003.46391356884i</v>
      </c>
      <c r="FW30" s="1" t="str">
        <f t="shared" si="364"/>
        <v>682.661300959515-1821.36807408618i</v>
      </c>
      <c r="FX30" s="1" t="str">
        <f t="shared" si="365"/>
        <v>962.060730329295+2655.08033157954i</v>
      </c>
      <c r="FY30" s="1" t="str">
        <f t="shared" si="366"/>
        <v>-49.6011988341383+1158.29169503363i</v>
      </c>
      <c r="FZ30" s="1" t="str">
        <f t="shared" si="367"/>
        <v>-2.80188328056144+998.029958433492i</v>
      </c>
      <c r="GA30" s="1" t="str">
        <f t="shared" si="368"/>
        <v>-205.576750271653+12.8463945003697i</v>
      </c>
      <c r="GB30" s="1" t="str">
        <f t="shared" si="369"/>
        <v>137.585231450576-92.9313990733916i</v>
      </c>
      <c r="GC30" s="1" t="str">
        <f t="shared" si="370"/>
        <v>18.3769685329181+5.36964145934093i</v>
      </c>
      <c r="GD30" s="92" t="str">
        <f t="shared" si="371"/>
        <v>1598.67207573122+3000.83750755518i</v>
      </c>
      <c r="GE30" s="1" t="str">
        <f t="shared" si="63"/>
        <v>0.995584549021647-1.8687931702817i</v>
      </c>
      <c r="GF30" s="1">
        <f t="shared" si="64"/>
        <v>6</v>
      </c>
      <c r="GG30" s="56">
        <f t="shared" si="65"/>
        <v>1.4798674293300227</v>
      </c>
      <c r="GH30" s="1">
        <f t="shared" si="66"/>
        <v>2.0111239115262158</v>
      </c>
      <c r="GJ30" s="1">
        <f t="shared" si="372"/>
        <v>3400.1144322614718</v>
      </c>
      <c r="GK30" s="72">
        <f t="shared" si="373"/>
        <v>2.1174457507908353</v>
      </c>
      <c r="GM30" s="1" t="str">
        <f t="shared" si="69"/>
        <v>0.0191834803010191+2.87752204515288i</v>
      </c>
      <c r="GP30" s="1">
        <f t="shared" si="4"/>
        <v>6</v>
      </c>
      <c r="GQ30" s="1">
        <f t="shared" si="5"/>
        <v>2.1174457507908353</v>
      </c>
      <c r="GR30" s="1">
        <f t="shared" si="70"/>
        <v>2.8775859893767333</v>
      </c>
      <c r="GS30" s="1">
        <f t="shared" si="71"/>
        <v>4.2584457807750402</v>
      </c>
      <c r="JG30" s="2">
        <f t="shared" si="379"/>
        <v>3</v>
      </c>
      <c r="JH30" s="14">
        <f>N21</f>
        <v>3</v>
      </c>
      <c r="JI30" s="1" t="str">
        <f t="shared" si="398"/>
        <v>0.043212333544701-11.1800646351592i</v>
      </c>
    </row>
    <row r="31" spans="2:333" ht="18" customHeight="1" x14ac:dyDescent="0.35">
      <c r="B31" s="6"/>
      <c r="D31" s="18"/>
      <c r="E31" s="71" t="s">
        <v>395</v>
      </c>
      <c r="F31" s="258">
        <v>2847</v>
      </c>
      <c r="G31" s="258"/>
      <c r="H31" s="258"/>
      <c r="I31" s="258"/>
      <c r="K31" s="156">
        <v>11</v>
      </c>
      <c r="L31" s="156"/>
      <c r="M31" s="156"/>
      <c r="N31" s="156"/>
      <c r="P31" s="156">
        <v>9.9600000000000009</v>
      </c>
      <c r="Q31" s="156"/>
      <c r="R31" s="156"/>
      <c r="S31" s="156"/>
      <c r="U31" s="156">
        <v>3</v>
      </c>
      <c r="V31" s="156"/>
      <c r="W31" s="156"/>
      <c r="X31" s="156"/>
      <c r="Z31" s="255">
        <f>AE31/U31</f>
        <v>600.40991859689439</v>
      </c>
      <c r="AA31" s="255"/>
      <c r="AB31" s="255"/>
      <c r="AC31" s="255"/>
      <c r="AE31" s="255">
        <f>1000*(P31*P31)/L41</f>
        <v>1801.2297557906832</v>
      </c>
      <c r="AF31" s="255"/>
      <c r="AG31" s="255"/>
      <c r="AH31" s="255"/>
      <c r="AK31" s="84" t="s">
        <v>308</v>
      </c>
      <c r="AL31" s="156">
        <v>80</v>
      </c>
      <c r="AM31" s="156"/>
      <c r="AN31" s="156"/>
      <c r="AO31" s="156"/>
      <c r="AP31" s="8"/>
      <c r="AR31" s="6"/>
      <c r="AS31" s="172" t="s">
        <v>20</v>
      </c>
      <c r="AT31" s="172"/>
      <c r="AU31" s="172"/>
      <c r="AV31" s="172"/>
      <c r="AW31" s="172"/>
      <c r="AX31" s="172"/>
      <c r="AY31" s="172"/>
      <c r="AZ31" s="201"/>
      <c r="BA31" s="201"/>
      <c r="BB31" s="201"/>
      <c r="BC31" s="201"/>
      <c r="BD31" s="201"/>
      <c r="BF31" s="201"/>
      <c r="BG31" s="201"/>
      <c r="BH31" s="201"/>
      <c r="BI31" s="201"/>
      <c r="BJ31" s="201"/>
      <c r="BK31" s="82"/>
      <c r="BL31" s="172" t="s">
        <v>21</v>
      </c>
      <c r="BM31" s="172"/>
      <c r="BN31" s="172"/>
      <c r="BO31" s="172"/>
      <c r="BQ31" s="208" t="s">
        <v>389</v>
      </c>
      <c r="BR31" s="208"/>
      <c r="BS31" s="208"/>
      <c r="BT31" s="208"/>
      <c r="BU31" s="208"/>
      <c r="BV31" s="208"/>
      <c r="BW31" s="208"/>
      <c r="BX31" s="208"/>
      <c r="BY31" s="208"/>
      <c r="BZ31" s="208"/>
      <c r="CA31" s="185">
        <f>1.8*CA30</f>
        <v>79.08823009480227</v>
      </c>
      <c r="CB31" s="185"/>
      <c r="CC31" s="185"/>
      <c r="CD31" s="33" t="s">
        <v>39</v>
      </c>
      <c r="CE31" s="38"/>
      <c r="CF31" s="8"/>
      <c r="CH31" s="2">
        <f t="shared" si="374"/>
        <v>4</v>
      </c>
      <c r="CI31" s="14">
        <f t="shared" si="380"/>
        <v>6.3470605746572888</v>
      </c>
      <c r="CJ31" s="77">
        <f t="shared" si="381"/>
        <v>8.8159032830984266E-4</v>
      </c>
      <c r="CK31" s="14">
        <f t="shared" si="382"/>
        <v>1.2686407984510231</v>
      </c>
      <c r="CL31" s="14">
        <f t="shared" si="383"/>
        <v>0.69432286588811898</v>
      </c>
      <c r="CM31" s="14">
        <f t="shared" si="384"/>
        <v>0.53118156245732784</v>
      </c>
      <c r="CN31" s="14">
        <f t="shared" si="385"/>
        <v>0.51143407267766883</v>
      </c>
      <c r="CO31" s="14">
        <f t="shared" si="386"/>
        <v>1.2714192540040308</v>
      </c>
      <c r="CP31" s="14">
        <f t="shared" si="375"/>
        <v>2.2265472721003349E-2</v>
      </c>
      <c r="CQ31" s="14">
        <f t="shared" si="387"/>
        <v>0.68723493951649162</v>
      </c>
      <c r="CR31" s="14">
        <f t="shared" si="376"/>
        <v>6.5079728574994758E-3</v>
      </c>
      <c r="CS31" s="14">
        <f t="shared" si="388"/>
        <v>0.53118117095033424</v>
      </c>
      <c r="CT31" s="14">
        <f t="shared" si="377"/>
        <v>3.8848559218546954E-3</v>
      </c>
      <c r="CU31" s="14">
        <f t="shared" si="389"/>
        <v>0.50935544527757781</v>
      </c>
      <c r="CV31" s="14">
        <f t="shared" si="378"/>
        <v>3.5725137186505863E-3</v>
      </c>
      <c r="CW31" s="14">
        <f t="shared" si="390"/>
        <v>4.048090153175609E-2</v>
      </c>
      <c r="CX31" s="14">
        <f t="shared" si="391"/>
        <v>2.1569852839193999E-2</v>
      </c>
      <c r="CY31" s="14">
        <f t="shared" si="392"/>
        <v>3.767219895568105E-3</v>
      </c>
      <c r="CZ31" s="2">
        <f t="shared" si="393"/>
        <v>2.9999999999999738</v>
      </c>
      <c r="DA31" s="34">
        <f t="shared" si="394"/>
        <v>17.512297891418271</v>
      </c>
      <c r="DB31" s="34">
        <f t="shared" si="395"/>
        <v>9.4697933461855257</v>
      </c>
      <c r="DC31" s="34">
        <f t="shared" si="396"/>
        <v>7.3136175269622754</v>
      </c>
      <c r="DD31" s="34">
        <f t="shared" si="397"/>
        <v>7.0137931218222507</v>
      </c>
      <c r="EA31" s="1">
        <f t="shared" si="182"/>
        <v>6.2</v>
      </c>
      <c r="EB31" s="1" t="str">
        <f t="shared" si="12"/>
        <v>0.000118043249527821-0.0731868147072489i</v>
      </c>
      <c r="EC31" s="1" t="str">
        <f t="shared" si="13"/>
        <v>0.000231268407238179-0.143386412487671i</v>
      </c>
      <c r="ED31" s="1" t="str">
        <f t="shared" si="14"/>
        <v>0.000571546141846435-0.354358607944791i</v>
      </c>
      <c r="EE31" s="1" t="str">
        <f t="shared" si="15"/>
        <v>0.000798197211092878-0.494882270877586i</v>
      </c>
      <c r="EF31" s="1" t="str">
        <f t="shared" si="16"/>
        <v>0.112532339041124i</v>
      </c>
      <c r="EG31" s="1" t="str">
        <f t="shared" si="17"/>
        <v>0.112485470095251i</v>
      </c>
      <c r="EH31" s="1" t="str">
        <f t="shared" si="18"/>
        <v>0.112575044010401i</v>
      </c>
      <c r="EI31" s="1" t="str">
        <f t="shared" si="19"/>
        <v>0.112564047223441i</v>
      </c>
      <c r="EJ31" s="1" t="str">
        <f t="shared" si="1"/>
        <v>0.005</v>
      </c>
      <c r="EK31" s="1" t="str">
        <f t="shared" si="2"/>
        <v>0.01</v>
      </c>
      <c r="EL31" s="1" t="str">
        <f t="shared" si="3"/>
        <v>0.0125</v>
      </c>
      <c r="EM31" s="1" t="str">
        <f t="shared" si="329"/>
        <v>0.00511804324952782+0.0393455243338751i</v>
      </c>
      <c r="EN31" s="1" t="str">
        <f t="shared" si="330"/>
        <v>-0.005</v>
      </c>
      <c r="EO31" s="1" t="str">
        <f t="shared" si="331"/>
        <v>0.849859204579593-526.912706839347i</v>
      </c>
      <c r="EP31" s="1" t="str">
        <f t="shared" si="332"/>
        <v>-0.005</v>
      </c>
      <c r="EQ31" s="1" t="str">
        <f t="shared" si="333"/>
        <v>0.0152312684072382-0.03090094239242i</v>
      </c>
      <c r="ER31" s="1" t="str">
        <f t="shared" si="334"/>
        <v>-0.01</v>
      </c>
      <c r="ES31" s="1" t="str">
        <f t="shared" si="335"/>
        <v>1.66503027836001-1032.31877258321i</v>
      </c>
      <c r="ET31" s="1" t="str">
        <f t="shared" si="336"/>
        <v>-0.01</v>
      </c>
      <c r="EU31" s="1" t="str">
        <f t="shared" si="337"/>
        <v>0.0230715461418464-0.24178356393439i</v>
      </c>
      <c r="EV31" s="1" t="str">
        <f t="shared" si="338"/>
        <v>-0.0125</v>
      </c>
      <c r="EW31" s="1" t="str">
        <f t="shared" si="339"/>
        <v>4.11487951605116-2551.22529995173i</v>
      </c>
      <c r="EX31" s="1" t="str">
        <f t="shared" si="340"/>
        <v>-0.0125</v>
      </c>
      <c r="EY31" s="1" t="str">
        <f t="shared" si="341"/>
        <v>0.0132981972110929-0.382318223654145i</v>
      </c>
      <c r="EZ31" s="1" t="str">
        <f t="shared" si="342"/>
        <v>5.7466670023953-3562.93354148509i</v>
      </c>
      <c r="FB31" s="1" t="str">
        <f t="shared" si="343"/>
        <v>0.00511804324952782+0.0393455243338751i</v>
      </c>
      <c r="FC31" s="1" t="str">
        <f t="shared" si="344"/>
        <v>0.849859204579593-526.912706839347i</v>
      </c>
      <c r="FD31" s="1" t="str">
        <f t="shared" si="345"/>
        <v>-0.0162553457693349+0.124964770976081i</v>
      </c>
      <c r="FE31" s="1" t="str">
        <f t="shared" si="346"/>
        <v>0.0151499916783915-0.0302761185375396i</v>
      </c>
      <c r="FF31" s="1" t="str">
        <f t="shared" si="347"/>
        <v>-64.1666807009802-1040.990123284i</v>
      </c>
      <c r="FG31" s="1" t="str">
        <f t="shared" si="348"/>
        <v>-0.132179779761706-0.264151345115207i</v>
      </c>
      <c r="FH31" s="1" t="str">
        <f t="shared" si="349"/>
        <v>0.0217497483442293-0.244425077385542i</v>
      </c>
      <c r="FI31" s="1" t="str">
        <f t="shared" si="350"/>
        <v>270.612283110069-2705.77286020026i</v>
      </c>
      <c r="FJ31" s="1" t="str">
        <f t="shared" si="351"/>
        <v>-0.00451489353806683-0.0507386653382712i</v>
      </c>
      <c r="FK31" s="1" t="str">
        <f t="shared" si="352"/>
        <v>0.0132417610418671-0.382952456970873i</v>
      </c>
      <c r="FL31" s="1" t="str">
        <f t="shared" si="353"/>
        <v>135.211011942113-3574.24326861132i</v>
      </c>
      <c r="FM31" s="1" t="str">
        <f t="shared" si="354"/>
        <v>9334.43444381995+30.3083616903348i</v>
      </c>
      <c r="FN31" s="1" t="str">
        <f t="shared" si="355"/>
        <v>11121.3333146042+594.891957765559i</v>
      </c>
      <c r="FO31" s="1" t="str">
        <f t="shared" si="356"/>
        <v>27962.6142367406-12438.4081823665i</v>
      </c>
      <c r="FP31" s="1" t="str">
        <f t="shared" si="357"/>
        <v>-14266.1630626517-5430.80244996969i</v>
      </c>
      <c r="FQ31" s="92" t="str">
        <f t="shared" si="358"/>
        <v>399.997016068394-1570.36666992029i</v>
      </c>
      <c r="FR31" s="1" t="str">
        <f t="shared" si="359"/>
        <v>611.140902565356-1605.40469858228i</v>
      </c>
      <c r="FS31" s="1" t="str">
        <f t="shared" si="360"/>
        <v>-211.143886496961+35.0380286619841i</v>
      </c>
      <c r="FT31" s="1" t="str">
        <f t="shared" si="361"/>
        <v>1778.69688734844+2980.01677744862i</v>
      </c>
      <c r="FU31" s="1" t="str">
        <f t="shared" si="362"/>
        <v>-213.046561663454+1389.37488369817i</v>
      </c>
      <c r="FV31" s="1" t="str">
        <f t="shared" si="363"/>
        <v>-16.7031233976832+1056.48838138071i</v>
      </c>
      <c r="FW31" s="1" t="str">
        <f t="shared" si="364"/>
        <v>611.140902565356-1605.40469858228i</v>
      </c>
      <c r="FX31" s="1" t="str">
        <f t="shared" si="365"/>
        <v>1399.14019163011+3145.38780751192i</v>
      </c>
      <c r="FY31" s="1" t="str">
        <f t="shared" si="366"/>
        <v>-66.9699883268914+1251.98458734591i</v>
      </c>
      <c r="FZ31" s="1" t="str">
        <f t="shared" si="367"/>
        <v>-3.41163185657598+1050.72171953826i</v>
      </c>
      <c r="GA31" s="1" t="str">
        <f t="shared" si="368"/>
        <v>-211.143886496961+35.0380286619841i</v>
      </c>
      <c r="GB31" s="1" t="str">
        <f t="shared" si="369"/>
        <v>168.412809221364-130.333001401321i</v>
      </c>
      <c r="GC31" s="1" t="str">
        <f t="shared" si="370"/>
        <v>22.3362358848031+7.0572949509403i</v>
      </c>
      <c r="GD31" s="92" t="str">
        <f t="shared" si="371"/>
        <v>1948.9442183557+3855.51337260721i</v>
      </c>
      <c r="GE31" s="1" t="str">
        <f t="shared" si="63"/>
        <v>0.751822364655783-1.48729817583035i</v>
      </c>
      <c r="GF31" s="1">
        <f t="shared" si="64"/>
        <v>6.2</v>
      </c>
      <c r="GG31" s="56">
        <f t="shared" si="65"/>
        <v>0.99539206771885824</v>
      </c>
      <c r="GH31" s="1">
        <f t="shared" si="66"/>
        <v>1.7760348505728496</v>
      </c>
      <c r="GJ31" s="1">
        <f t="shared" si="372"/>
        <v>4320.1119120475496</v>
      </c>
      <c r="GK31" s="1">
        <f t="shared" si="373"/>
        <v>1.6665211465279703</v>
      </c>
      <c r="GM31" s="1" t="str">
        <f t="shared" si="69"/>
        <v>0.0191834803010191+2.97343944665797i</v>
      </c>
      <c r="GP31" s="1">
        <f t="shared" si="4"/>
        <v>6.2</v>
      </c>
      <c r="GQ31" s="1">
        <f t="shared" si="5"/>
        <v>1.6665211465279703</v>
      </c>
      <c r="GR31" s="1">
        <f t="shared" si="70"/>
        <v>2.9735013282085672</v>
      </c>
      <c r="GS31" s="1">
        <f t="shared" si="71"/>
        <v>2.9597996354503047</v>
      </c>
      <c r="JG31" s="2">
        <f t="shared" si="379"/>
        <v>4</v>
      </c>
      <c r="JH31" s="14">
        <f>P21</f>
        <v>3</v>
      </c>
      <c r="JI31" s="1" t="str">
        <f t="shared" si="398"/>
        <v>0.139992407290096-6.34551653250309i</v>
      </c>
    </row>
    <row r="32" spans="2:333" ht="18" customHeight="1" x14ac:dyDescent="0.25">
      <c r="B32" s="6"/>
      <c r="D32" s="18"/>
      <c r="E32" s="71" t="s">
        <v>396</v>
      </c>
      <c r="F32" s="258">
        <v>2840</v>
      </c>
      <c r="G32" s="258"/>
      <c r="H32" s="258"/>
      <c r="I32" s="258"/>
      <c r="K32" s="156">
        <v>13</v>
      </c>
      <c r="L32" s="156"/>
      <c r="M32" s="156"/>
      <c r="N32" s="156"/>
      <c r="P32" s="156">
        <v>9.9600000000000009</v>
      </c>
      <c r="Q32" s="156"/>
      <c r="R32" s="156"/>
      <c r="S32" s="156"/>
      <c r="U32" s="156">
        <v>3</v>
      </c>
      <c r="V32" s="156"/>
      <c r="W32" s="156"/>
      <c r="X32" s="156"/>
      <c r="Z32" s="255">
        <f>AE32/U32</f>
        <v>600.35126812047872</v>
      </c>
      <c r="AA32" s="255"/>
      <c r="AB32" s="255"/>
      <c r="AC32" s="255"/>
      <c r="AE32" s="255">
        <f>1000*(P32*P32)/L42</f>
        <v>1801.0538043614361</v>
      </c>
      <c r="AF32" s="255"/>
      <c r="AG32" s="255"/>
      <c r="AH32" s="255"/>
      <c r="AP32" s="8"/>
      <c r="AR32" s="6"/>
      <c r="AY32" s="29" t="s">
        <v>26</v>
      </c>
      <c r="AZ32" s="209">
        <f>CA33/$P$31</f>
        <v>0.73025134961124361</v>
      </c>
      <c r="BA32" s="209"/>
      <c r="BB32" s="209"/>
      <c r="BC32" s="209"/>
      <c r="BD32" s="209"/>
      <c r="BF32" s="209">
        <f>(DC50/1000)/P31</f>
        <v>0.80301315028160769</v>
      </c>
      <c r="BG32" s="209"/>
      <c r="BH32" s="209"/>
      <c r="BI32" s="209"/>
      <c r="BJ32" s="209"/>
      <c r="BK32" s="82"/>
      <c r="BL32" s="210">
        <f>IF(LEFT(C24,2)="SD",1.1,1.25)</f>
        <v>1.25</v>
      </c>
      <c r="BM32" s="210"/>
      <c r="BN32" s="210"/>
      <c r="BO32" s="210"/>
      <c r="BQ32" s="23"/>
      <c r="BR32" s="23"/>
      <c r="BS32" s="23"/>
      <c r="BT32" s="23"/>
      <c r="BU32" s="23"/>
      <c r="BV32" s="23"/>
      <c r="BW32" s="23"/>
      <c r="BX32" s="23"/>
      <c r="BY32" s="23"/>
      <c r="BZ32" s="32" t="s">
        <v>51</v>
      </c>
      <c r="CA32" s="211">
        <f>AG41*L41/1000</f>
        <v>7.259554172267924</v>
      </c>
      <c r="CB32" s="211"/>
      <c r="CC32" s="211"/>
      <c r="CD32" s="24" t="s">
        <v>32</v>
      </c>
      <c r="CE32" s="24"/>
      <c r="CF32" s="8"/>
      <c r="CH32" s="2">
        <f t="shared" si="374"/>
        <v>5</v>
      </c>
      <c r="CI32" s="14">
        <f t="shared" si="380"/>
        <v>66.888057259611926</v>
      </c>
      <c r="CJ32" s="77">
        <f t="shared" si="381"/>
        <v>9.2905784757998499E-3</v>
      </c>
      <c r="CK32" s="14">
        <f t="shared" si="382"/>
        <v>108.21084578383231</v>
      </c>
      <c r="CL32" s="14">
        <f t="shared" si="383"/>
        <v>24.111954050757689</v>
      </c>
      <c r="CM32" s="14">
        <f t="shared" si="384"/>
        <v>8.0372089263756479</v>
      </c>
      <c r="CN32" s="14">
        <f t="shared" si="385"/>
        <v>7.1660493677715769</v>
      </c>
      <c r="CO32" s="14">
        <f t="shared" si="386"/>
        <v>109.04023657140391</v>
      </c>
      <c r="CP32" s="14">
        <f t="shared" si="375"/>
        <v>131.01406123026823</v>
      </c>
      <c r="CQ32" s="14">
        <f t="shared" si="387"/>
        <v>18.347244910797222</v>
      </c>
      <c r="CR32" s="14">
        <f t="shared" si="376"/>
        <v>3.7107950961074501</v>
      </c>
      <c r="CS32" s="14">
        <f t="shared" si="388"/>
        <v>7.7144856573692895</v>
      </c>
      <c r="CT32" s="14">
        <f t="shared" si="377"/>
        <v>0.6555314186757023</v>
      </c>
      <c r="CU32" s="14">
        <f t="shared" si="389"/>
        <v>7.1319638542937147</v>
      </c>
      <c r="CV32" s="14">
        <f t="shared" si="378"/>
        <v>0.56032532585027728</v>
      </c>
      <c r="CW32" s="14">
        <f t="shared" si="390"/>
        <v>5.8551838675619949</v>
      </c>
      <c r="CX32" s="14">
        <f t="shared" si="391"/>
        <v>1.1811004470674236</v>
      </c>
      <c r="CY32" s="14">
        <f t="shared" si="392"/>
        <v>8.7709678762855167E-2</v>
      </c>
      <c r="CZ32" s="2">
        <f t="shared" si="393"/>
        <v>119.99999999999986</v>
      </c>
      <c r="DA32" s="34">
        <f t="shared" si="394"/>
        <v>1201.5203318499282</v>
      </c>
      <c r="DB32" s="34">
        <f t="shared" si="395"/>
        <v>202.25353256846142</v>
      </c>
      <c r="DC32" s="34">
        <f t="shared" si="396"/>
        <v>84.974092608430198</v>
      </c>
      <c r="DD32" s="34">
        <f t="shared" si="397"/>
        <v>78.565362542175308</v>
      </c>
      <c r="EA32" s="1">
        <f t="shared" si="182"/>
        <v>6.4</v>
      </c>
      <c r="EB32" s="1" t="str">
        <f t="shared" si="12"/>
        <v>0.000110780840773689-0.0708997380951611i</v>
      </c>
      <c r="EC32" s="1" t="str">
        <f t="shared" si="13"/>
        <v>0.000217040014577023-0.138905609329295i</v>
      </c>
      <c r="ED32" s="1" t="str">
        <f t="shared" si="14"/>
        <v>0.00053638274435832-0.343284956389325i</v>
      </c>
      <c r="EE32" s="1" t="str">
        <f t="shared" si="15"/>
        <v>0.000749089494755421-0.479417276643469i</v>
      </c>
      <c r="EF32" s="1" t="str">
        <f t="shared" si="16"/>
        <v>0.116162414494064i</v>
      </c>
      <c r="EG32" s="1" t="str">
        <f t="shared" si="17"/>
        <v>0.116114033646711i</v>
      </c>
      <c r="EH32" s="1" t="str">
        <f t="shared" si="18"/>
        <v>0.116206497042995i</v>
      </c>
      <c r="EI32" s="1" t="str">
        <f t="shared" si="19"/>
        <v>0.116195145520971i</v>
      </c>
      <c r="EJ32" s="1" t="str">
        <f t="shared" si="1"/>
        <v>0.005</v>
      </c>
      <c r="EK32" s="1" t="str">
        <f t="shared" si="2"/>
        <v>0.01</v>
      </c>
      <c r="EL32" s="1" t="str">
        <f t="shared" si="3"/>
        <v>0.0125</v>
      </c>
      <c r="EM32" s="1" t="str">
        <f t="shared" si="329"/>
        <v>0.00511078084077369+0.0452626763989029i</v>
      </c>
      <c r="EN32" s="1" t="str">
        <f t="shared" si="330"/>
        <v>-0.005</v>
      </c>
      <c r="EO32" s="1" t="str">
        <f t="shared" si="331"/>
        <v>0.797573072574528-510.446766447699i</v>
      </c>
      <c r="EP32" s="1" t="str">
        <f t="shared" si="332"/>
        <v>-0.005</v>
      </c>
      <c r="EQ32" s="1" t="str">
        <f t="shared" si="333"/>
        <v>0.015217040014577-0.022791575682584i</v>
      </c>
      <c r="ER32" s="1" t="str">
        <f t="shared" si="334"/>
        <v>-0.01</v>
      </c>
      <c r="ES32" s="1" t="str">
        <f t="shared" si="335"/>
        <v>1.56259214218683-1000.05897099957i</v>
      </c>
      <c r="ET32" s="1" t="str">
        <f t="shared" si="336"/>
        <v>-0.01</v>
      </c>
      <c r="EU32" s="1" t="str">
        <f t="shared" si="337"/>
        <v>0.0230363827443583-0.22707845934633i</v>
      </c>
      <c r="EV32" s="1" t="str">
        <f t="shared" si="338"/>
        <v>-0.0125</v>
      </c>
      <c r="EW32" s="1" t="str">
        <f t="shared" si="339"/>
        <v>3.86171860139401-2471.49990489217i</v>
      </c>
      <c r="EX32" s="1" t="str">
        <f t="shared" si="340"/>
        <v>-0.0125</v>
      </c>
      <c r="EY32" s="1" t="str">
        <f t="shared" si="341"/>
        <v>0.0132490894947554-0.363222131122498i</v>
      </c>
      <c r="EZ32" s="1" t="str">
        <f t="shared" si="342"/>
        <v>5.39311315740871-3451.59242074157i</v>
      </c>
      <c r="FB32" s="1" t="str">
        <f t="shared" si="343"/>
        <v>0.00511078084077369+0.0452626763989029i</v>
      </c>
      <c r="FC32" s="1" t="str">
        <f t="shared" si="344"/>
        <v>0.797573072574528-510.446766447699i</v>
      </c>
      <c r="FD32" s="1" t="str">
        <f t="shared" si="345"/>
        <v>-0.0123161438531236+0.109075628768672i</v>
      </c>
      <c r="FE32" s="1" t="str">
        <f t="shared" si="346"/>
        <v>0.0151554592953114-0.0222461975387406i</v>
      </c>
      <c r="FF32" s="1" t="str">
        <f t="shared" si="347"/>
        <v>-54.1048868363362-1006.43270258888i</v>
      </c>
      <c r="FG32" s="1" t="str">
        <f t="shared" si="348"/>
        <v>-0.209161626337319-0.307021434742249i</v>
      </c>
      <c r="FH32" s="1" t="str">
        <f t="shared" si="349"/>
        <v>0.0209447664809851-0.230148673693752i</v>
      </c>
      <c r="FI32" s="1" t="str">
        <f t="shared" si="350"/>
        <v>301.541464798266-2698.61836574778i</v>
      </c>
      <c r="FJ32" s="1" t="str">
        <f t="shared" si="351"/>
        <v>-0.0049021497950169-0.05386659596303i</v>
      </c>
      <c r="FK32" s="1" t="str">
        <f t="shared" si="352"/>
        <v>0.0131878126223177-0.363895463572036i</v>
      </c>
      <c r="FL32" s="1" t="str">
        <f t="shared" si="353"/>
        <v>138.543330679953-3463.5000658581i</v>
      </c>
      <c r="FM32" s="1" t="str">
        <f t="shared" si="354"/>
        <v>9519.13883095233+35.7429887249763i</v>
      </c>
      <c r="FN32" s="1" t="str">
        <f t="shared" si="355"/>
        <v>11792.2258190166+754.057285360477i</v>
      </c>
      <c r="FO32" s="1" t="str">
        <f t="shared" si="356"/>
        <v>32002.9440005004-18933.6601476447i</v>
      </c>
      <c r="FP32" s="1" t="str">
        <f t="shared" si="357"/>
        <v>-12804.5438191676-4998.67723921005i</v>
      </c>
      <c r="FQ32" s="92" t="str">
        <f t="shared" si="358"/>
        <v>356.620978284821-1417.73181198738i</v>
      </c>
      <c r="FR32" s="1" t="str">
        <f t="shared" si="359"/>
        <v>580.658417383161-1487.40672652955i</v>
      </c>
      <c r="FS32" s="1" t="str">
        <f t="shared" si="360"/>
        <v>-224.03743909834+69.674914542173i</v>
      </c>
      <c r="FT32" s="1" t="str">
        <f t="shared" si="361"/>
        <v>2624.60827235219+3449.43882759569i</v>
      </c>
      <c r="FU32" s="1" t="str">
        <f t="shared" si="362"/>
        <v>-261.319950165527+1576.18935780589i</v>
      </c>
      <c r="FV32" s="1" t="str">
        <f t="shared" si="363"/>
        <v>-18.8733800536024+1112.02041888732i</v>
      </c>
      <c r="FW32" s="1" t="str">
        <f t="shared" si="364"/>
        <v>580.658417383161-1487.40672652955i</v>
      </c>
      <c r="FX32" s="1" t="str">
        <f t="shared" si="365"/>
        <v>2198.46365143901+3715.99091646791i</v>
      </c>
      <c r="FY32" s="1" t="str">
        <f t="shared" si="366"/>
        <v>-87.6263557014911+1370.33325476788i</v>
      </c>
      <c r="FZ32" s="1" t="str">
        <f t="shared" si="367"/>
        <v>-4.15316177625305+1106.07772169683i</v>
      </c>
      <c r="GA32" s="1" t="str">
        <f t="shared" si="368"/>
        <v>-224.03743909834+69.674914542173i</v>
      </c>
      <c r="GB32" s="1" t="str">
        <f t="shared" si="369"/>
        <v>202.107181814838-196.877174330052i</v>
      </c>
      <c r="GC32" s="1" t="str">
        <f t="shared" si="370"/>
        <v>28.4135873508034+8.97892870794376i</v>
      </c>
      <c r="GD32" s="92" t="str">
        <f t="shared" si="371"/>
        <v>2701.03592041788+4719.91679230152i</v>
      </c>
      <c r="GE32" s="1" t="str">
        <f t="shared" si="63"/>
        <v>0.657563540289327-1.14905735697756i</v>
      </c>
      <c r="GF32" s="1">
        <f t="shared" si="64"/>
        <v>6.4</v>
      </c>
      <c r="GG32" s="56">
        <f t="shared" si="65"/>
        <v>0.65022882085491085</v>
      </c>
      <c r="GH32" s="1">
        <f t="shared" si="66"/>
        <v>1.5075283391086913</v>
      </c>
      <c r="GJ32" s="1">
        <f t="shared" si="372"/>
        <v>5438.1255566267982</v>
      </c>
      <c r="GK32" s="1">
        <f t="shared" si="373"/>
        <v>1.323904308906837</v>
      </c>
      <c r="GM32" s="1" t="str">
        <f t="shared" si="69"/>
        <v>0.0191834803010191+3.06935684816307i</v>
      </c>
      <c r="GP32" s="1">
        <f t="shared" si="4"/>
        <v>6.4</v>
      </c>
      <c r="GQ32" s="1">
        <f t="shared" si="5"/>
        <v>1.323904308906837</v>
      </c>
      <c r="GR32" s="1">
        <f t="shared" si="70"/>
        <v>3.0694167959535883</v>
      </c>
      <c r="GS32" s="1">
        <f t="shared" si="71"/>
        <v>1.9958232639451621</v>
      </c>
      <c r="JG32" s="2">
        <f t="shared" si="379"/>
        <v>5</v>
      </c>
      <c r="JH32" s="14">
        <f>R21</f>
        <v>120</v>
      </c>
      <c r="JI32" s="1" t="str">
        <f t="shared" si="398"/>
        <v>60.5238130609794-28.4759592731262i</v>
      </c>
    </row>
    <row r="33" spans="2:269" ht="18" customHeight="1" x14ac:dyDescent="0.25">
      <c r="B33" s="6"/>
      <c r="E33" s="71" t="s">
        <v>401</v>
      </c>
      <c r="F33" s="195">
        <f>SUM(F29:I32)</f>
        <v>11507</v>
      </c>
      <c r="G33" s="195"/>
      <c r="H33" s="195"/>
      <c r="I33" s="195"/>
      <c r="J33" s="18" t="s">
        <v>37</v>
      </c>
      <c r="K33" s="18"/>
      <c r="AP33" s="8"/>
      <c r="AR33" s="6"/>
      <c r="AY33" s="29" t="s">
        <v>27</v>
      </c>
      <c r="AZ33" s="204">
        <f>CA34/(1.414*$P$31)</f>
        <v>0.82378342707181906</v>
      </c>
      <c r="BA33" s="204"/>
      <c r="BB33" s="204"/>
      <c r="BC33" s="204"/>
      <c r="BD33" s="204"/>
      <c r="BE33" s="79"/>
      <c r="BF33" s="204">
        <f>(DC49/1000)/(P31*1.414)</f>
        <v>0.89667051715483037</v>
      </c>
      <c r="BG33" s="204"/>
      <c r="BH33" s="204"/>
      <c r="BI33" s="204"/>
      <c r="BJ33" s="204"/>
      <c r="BK33" s="82"/>
      <c r="BL33" s="203">
        <f>IF(LEFT(C24,2)="SD",1.2,1.35)</f>
        <v>1.35</v>
      </c>
      <c r="BM33" s="203"/>
      <c r="BN33" s="203"/>
      <c r="BO33" s="203"/>
      <c r="BQ33" s="23"/>
      <c r="BR33" s="23"/>
      <c r="BS33" s="23"/>
      <c r="BT33" s="32"/>
      <c r="BU33" s="23"/>
      <c r="BV33" s="23"/>
      <c r="BW33" s="23"/>
      <c r="BX33" s="23"/>
      <c r="BY33" s="23"/>
      <c r="BZ33" s="32" t="s">
        <v>53</v>
      </c>
      <c r="CA33" s="211">
        <f>DC46/1000</f>
        <v>7.273303442127987</v>
      </c>
      <c r="CB33" s="211"/>
      <c r="CC33" s="211"/>
      <c r="CD33" s="24" t="s">
        <v>32</v>
      </c>
      <c r="CE33" s="24"/>
      <c r="CF33" s="8"/>
      <c r="CH33" s="2">
        <f t="shared" si="374"/>
        <v>7</v>
      </c>
      <c r="CI33" s="14">
        <f t="shared" si="380"/>
        <v>84.979831308224604</v>
      </c>
      <c r="CJ33" s="77">
        <f t="shared" si="381"/>
        <v>1.1803479185603639E-2</v>
      </c>
      <c r="CK33" s="14">
        <f t="shared" si="382"/>
        <v>14.964504085679378</v>
      </c>
      <c r="CL33" s="14">
        <f t="shared" si="383"/>
        <v>91.884787443337999</v>
      </c>
      <c r="CM33" s="14">
        <f t="shared" si="384"/>
        <v>30.069270834703957</v>
      </c>
      <c r="CN33" s="14">
        <f t="shared" si="385"/>
        <v>15.304771866218736</v>
      </c>
      <c r="CO33" s="14">
        <f t="shared" si="386"/>
        <v>18.584266504315138</v>
      </c>
      <c r="CP33" s="14">
        <f t="shared" si="375"/>
        <v>2.7183611390126723</v>
      </c>
      <c r="CQ33" s="14">
        <f t="shared" si="387"/>
        <v>92.322825984997365</v>
      </c>
      <c r="CR33" s="14">
        <f t="shared" si="376"/>
        <v>67.114351978029632</v>
      </c>
      <c r="CS33" s="14">
        <f t="shared" si="388"/>
        <v>22.946105763127896</v>
      </c>
      <c r="CT33" s="14">
        <f t="shared" si="377"/>
        <v>4.1425666646137955</v>
      </c>
      <c r="CU33" s="14">
        <f t="shared" si="389"/>
        <v>15.236529487920169</v>
      </c>
      <c r="CV33" s="14">
        <f t="shared" si="378"/>
        <v>1.8266950957994958</v>
      </c>
      <c r="CW33" s="14">
        <f t="shared" si="390"/>
        <v>3.6912285855407569</v>
      </c>
      <c r="CX33" s="14">
        <f t="shared" si="391"/>
        <v>7.2149649080733118</v>
      </c>
      <c r="CY33" s="14">
        <f t="shared" si="392"/>
        <v>0.76681269396349727</v>
      </c>
      <c r="CZ33" s="2">
        <f t="shared" si="393"/>
        <v>100.00000000000033</v>
      </c>
      <c r="DA33" s="34">
        <f t="shared" si="394"/>
        <v>146.27217804810849</v>
      </c>
      <c r="DB33" s="34">
        <f t="shared" si="395"/>
        <v>726.9529638199773</v>
      </c>
      <c r="DC33" s="34">
        <f t="shared" si="396"/>
        <v>180.53462785264765</v>
      </c>
      <c r="DD33" s="34">
        <f t="shared" si="397"/>
        <v>119.88918455792329</v>
      </c>
      <c r="EA33" s="1">
        <f t="shared" si="182"/>
        <v>6.6</v>
      </c>
      <c r="EB33" s="1" t="str">
        <f t="shared" si="12"/>
        <v>0.000104168592729914-0.0687512712017438i</v>
      </c>
      <c r="EC33" s="1" t="str">
        <f t="shared" si="13"/>
        <v>0.000204085406164731-0.134696368068723i</v>
      </c>
      <c r="ED33" s="1" t="str">
        <f t="shared" si="14"/>
        <v>0.00050436731888107-0.332882430461506i</v>
      </c>
      <c r="EE33" s="1" t="str">
        <f t="shared" si="15"/>
        <v>0.000704378103221328-0.464889548126077i</v>
      </c>
      <c r="EF33" s="1" t="str">
        <f t="shared" si="16"/>
        <v>0.119792489947003i</v>
      </c>
      <c r="EG33" s="1" t="str">
        <f t="shared" si="17"/>
        <v>0.119742597198171i</v>
      </c>
      <c r="EH33" s="1" t="str">
        <f t="shared" si="18"/>
        <v>0.119837950075589i</v>
      </c>
      <c r="EI33" s="1" t="str">
        <f t="shared" si="19"/>
        <v>0.119826243818502i</v>
      </c>
      <c r="EJ33" s="1" t="str">
        <f t="shared" si="1"/>
        <v>0.005</v>
      </c>
      <c r="EK33" s="1" t="str">
        <f t="shared" si="2"/>
        <v>0.01</v>
      </c>
      <c r="EL33" s="1" t="str">
        <f t="shared" si="3"/>
        <v>0.0125</v>
      </c>
      <c r="EM33" s="1" t="str">
        <f t="shared" si="329"/>
        <v>0.00510416859272991+0.0510412187452592i</v>
      </c>
      <c r="EN33" s="1" t="str">
        <f t="shared" si="330"/>
        <v>-0.005</v>
      </c>
      <c r="EO33" s="1" t="str">
        <f t="shared" si="331"/>
        <v>0.749967810219893-494.978754745133i</v>
      </c>
      <c r="EP33" s="1" t="str">
        <f t="shared" si="332"/>
        <v>-0.005</v>
      </c>
      <c r="EQ33" s="1" t="str">
        <f t="shared" si="333"/>
        <v>0.0152040854061647-0.014953770870552i</v>
      </c>
      <c r="ER33" s="1" t="str">
        <f t="shared" si="334"/>
        <v>-0.01</v>
      </c>
      <c r="ES33" s="1" t="str">
        <f t="shared" si="335"/>
        <v>1.46932468941041-969.754295010877i</v>
      </c>
      <c r="ET33" s="1" t="str">
        <f t="shared" si="336"/>
        <v>-0.01</v>
      </c>
      <c r="EU33" s="1" t="str">
        <f t="shared" si="337"/>
        <v>0.0230043673188811-0.213044480385917i</v>
      </c>
      <c r="EV33" s="1" t="str">
        <f t="shared" si="338"/>
        <v>-0.0125</v>
      </c>
      <c r="EW33" s="1" t="str">
        <f t="shared" si="339"/>
        <v>3.63122169336065-2396.60631761803i</v>
      </c>
      <c r="EX33" s="1" t="str">
        <f t="shared" si="340"/>
        <v>-0.0125</v>
      </c>
      <c r="EY33" s="1" t="str">
        <f t="shared" si="341"/>
        <v>0.0132043781032213-0.345063304307575i</v>
      </c>
      <c r="EZ33" s="1" t="str">
        <f t="shared" si="342"/>
        <v>5.07121090720121-3346.99919875281i</v>
      </c>
      <c r="FB33" s="1" t="str">
        <f t="shared" si="343"/>
        <v>0.00510416859272991+0.0510412187452592i</v>
      </c>
      <c r="FC33" s="1" t="str">
        <f t="shared" si="344"/>
        <v>0.749967810219893-494.978754745133i</v>
      </c>
      <c r="FD33" s="1" t="str">
        <f t="shared" si="345"/>
        <v>-0.00969910120873944+0.096990124333433i</v>
      </c>
      <c r="FE33" s="1" t="str">
        <f t="shared" si="346"/>
        <v>0.015155589900121-0.0144688202488848i</v>
      </c>
      <c r="FF33" s="1" t="str">
        <f t="shared" si="347"/>
        <v>-46.5314522620333-974.627883520485i</v>
      </c>
      <c r="FG33" s="1" t="str">
        <f t="shared" si="348"/>
        <v>-0.345199435074919-0.329556857174903i</v>
      </c>
      <c r="FH33" s="1" t="str">
        <f t="shared" si="349"/>
        <v>0.0195523729681319-0.216340048957666i</v>
      </c>
      <c r="FI33" s="1" t="str">
        <f t="shared" si="350"/>
        <v>308.76389286733-2748.38207158483i</v>
      </c>
      <c r="FJ33" s="1" t="str">
        <f t="shared" si="351"/>
        <v>-0.00517967671232769-0.0573112795749271i</v>
      </c>
      <c r="FK33" s="1" t="str">
        <f t="shared" si="352"/>
        <v>0.0131396321443172-0.345779695302262i</v>
      </c>
      <c r="FL33" s="1" t="str">
        <f t="shared" si="353"/>
        <v>142.442594161687-3359.20473472313i</v>
      </c>
      <c r="FM33" s="1" t="str">
        <f t="shared" si="354"/>
        <v>9716.49317630622+42.7192466560035i</v>
      </c>
      <c r="FN33" s="1" t="str">
        <f t="shared" si="355"/>
        <v>12776.8872330471+833.879782721873i</v>
      </c>
      <c r="FO33" s="1" t="str">
        <f t="shared" si="356"/>
        <v>34649.0305718052-30679.0097657624i</v>
      </c>
      <c r="FP33" s="1" t="str">
        <f t="shared" si="357"/>
        <v>-12239.651907596-4632.89030581598i</v>
      </c>
      <c r="FQ33" s="92" t="str">
        <f t="shared" si="358"/>
        <v>320.542052988022-1335.98778079578i</v>
      </c>
      <c r="FR33" s="1" t="str">
        <f t="shared" si="359"/>
        <v>554.985465385029-1466.21837809551i</v>
      </c>
      <c r="FS33" s="1" t="str">
        <f t="shared" si="360"/>
        <v>-234.443412397006+130.230597299732i</v>
      </c>
      <c r="FT33" s="1" t="str">
        <f t="shared" si="361"/>
        <v>4126.74915460503+3703.60541828221i</v>
      </c>
      <c r="FU33" s="1" t="str">
        <f t="shared" si="362"/>
        <v>-280.396951449187+1856.174376541i</v>
      </c>
      <c r="FV33" s="1" t="str">
        <f t="shared" si="363"/>
        <v>-21.6326054004842+1170.06683284838i</v>
      </c>
      <c r="FW33" s="1" t="str">
        <f t="shared" si="364"/>
        <v>554.985465385029-1466.21837809551i</v>
      </c>
      <c r="FX33" s="1" t="str">
        <f t="shared" si="365"/>
        <v>3673.58430882044+4148.96491106678i</v>
      </c>
      <c r="FY33" s="1" t="str">
        <f t="shared" si="366"/>
        <v>-99.9304437708668+1531.15597435533i</v>
      </c>
      <c r="FZ33" s="1" t="str">
        <f t="shared" si="367"/>
        <v>-5.118886865545+1164.29088040488i</v>
      </c>
      <c r="GA33" s="1" t="str">
        <f t="shared" si="368"/>
        <v>-234.443412397006+130.230597299732i</v>
      </c>
      <c r="GB33" s="1" t="str">
        <f t="shared" si="369"/>
        <v>218.721433387581-315.128895484843i</v>
      </c>
      <c r="GC33" s="1" t="str">
        <f t="shared" si="370"/>
        <v>38.254925709261+9.88950670082336i</v>
      </c>
      <c r="GD33" s="92" t="str">
        <f t="shared" si="371"/>
        <v>4145.26165074338+5393.85884687581i</v>
      </c>
      <c r="GE33" s="1" t="str">
        <f t="shared" si="63"/>
        <v>0.644901588164517-0.839152852042918i</v>
      </c>
      <c r="GF33" s="1">
        <f t="shared" si="64"/>
        <v>6.6</v>
      </c>
      <c r="GG33" s="56">
        <f t="shared" si="65"/>
        <v>0.43749901456908397</v>
      </c>
      <c r="GH33" s="1">
        <f t="shared" si="66"/>
        <v>1.3084970194271746</v>
      </c>
      <c r="GJ33" s="1">
        <f t="shared" si="372"/>
        <v>6802.7132390792558</v>
      </c>
      <c r="GK33" s="1">
        <f t="shared" si="373"/>
        <v>1.0583362261157272</v>
      </c>
      <c r="GM33" s="1" t="str">
        <f t="shared" si="69"/>
        <v>0.0191834803010191+3.16527424966816i</v>
      </c>
      <c r="GP33" s="1">
        <f t="shared" si="4"/>
        <v>6.6</v>
      </c>
      <c r="GQ33" s="1">
        <f t="shared" si="5"/>
        <v>1.0583362261157272</v>
      </c>
      <c r="GR33" s="1">
        <f t="shared" si="70"/>
        <v>3.1653323808928491</v>
      </c>
      <c r="GS33" s="1">
        <f t="shared" si="71"/>
        <v>1.384829797424231</v>
      </c>
      <c r="JG33" s="2">
        <f t="shared" si="379"/>
        <v>7</v>
      </c>
      <c r="JH33" s="14">
        <f>T21</f>
        <v>100</v>
      </c>
      <c r="JI33" s="1" t="str">
        <f t="shared" si="398"/>
        <v>81.3891889611691-24.4411875615204i</v>
      </c>
    </row>
    <row r="34" spans="2:269" ht="18" customHeight="1" x14ac:dyDescent="0.25">
      <c r="B34" s="6"/>
      <c r="C34" s="178" t="s">
        <v>403</v>
      </c>
      <c r="D34" s="178"/>
      <c r="E34" s="178"/>
      <c r="F34" s="178"/>
      <c r="G34" s="178"/>
      <c r="H34" s="178"/>
      <c r="I34" s="178"/>
      <c r="J34" s="178"/>
      <c r="K34" s="178"/>
      <c r="L34" s="178"/>
      <c r="M34" s="178"/>
      <c r="N34" s="178"/>
      <c r="O34" s="178"/>
      <c r="P34" s="178"/>
      <c r="Q34" s="178"/>
      <c r="R34" s="178"/>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8"/>
      <c r="AR34" s="6"/>
      <c r="AY34" s="29" t="str">
        <f>"% "&amp;$AK$17&amp;"HZ AMPS:"</f>
        <v>% 60HZ AMPS:</v>
      </c>
      <c r="AZ34" s="212">
        <f>(CA35/U31)/(Z31/P31)</f>
        <v>0.87443922382765249</v>
      </c>
      <c r="BA34" s="212"/>
      <c r="BB34" s="212"/>
      <c r="BC34" s="212"/>
      <c r="BD34" s="212"/>
      <c r="BE34" s="80"/>
      <c r="BF34" s="212">
        <f>(CS48/U31)/(Z31/P31)</f>
        <v>0.93605937583114851</v>
      </c>
      <c r="BG34" s="212"/>
      <c r="BH34" s="212"/>
      <c r="BI34" s="212"/>
      <c r="BJ34" s="212"/>
      <c r="BK34" s="83"/>
      <c r="BL34" s="213">
        <v>1.35</v>
      </c>
      <c r="BM34" s="213"/>
      <c r="BN34" s="213"/>
      <c r="BO34" s="213"/>
      <c r="BQ34" s="23"/>
      <c r="BR34" s="23"/>
      <c r="BS34" s="23"/>
      <c r="BT34" s="23"/>
      <c r="BU34" s="23"/>
      <c r="BV34" s="23"/>
      <c r="BW34" s="23"/>
      <c r="BX34" s="23"/>
      <c r="BY34" s="23"/>
      <c r="BZ34" s="32" t="s">
        <v>54</v>
      </c>
      <c r="CA34" s="211">
        <f>DC48/1000</f>
        <v>11.601704468160341</v>
      </c>
      <c r="CB34" s="211"/>
      <c r="CC34" s="211"/>
      <c r="CD34" s="24" t="s">
        <v>32</v>
      </c>
      <c r="CE34" s="24"/>
      <c r="CF34" s="8"/>
      <c r="CH34" s="2">
        <f t="shared" si="374"/>
        <v>11</v>
      </c>
      <c r="CI34" s="14">
        <f t="shared" si="380"/>
        <v>40.175503433865245</v>
      </c>
      <c r="CJ34" s="77">
        <f t="shared" si="381"/>
        <v>5.580273710273656E-3</v>
      </c>
      <c r="CK34" s="14">
        <f t="shared" si="382"/>
        <v>2.1095343137973188</v>
      </c>
      <c r="CL34" s="14">
        <f t="shared" si="383"/>
        <v>7.9000748305768829</v>
      </c>
      <c r="CM34" s="14">
        <f t="shared" si="384"/>
        <v>74.20120827391203</v>
      </c>
      <c r="CN34" s="14">
        <f t="shared" si="385"/>
        <v>43.948617385243445</v>
      </c>
      <c r="CO34" s="14">
        <f t="shared" si="386"/>
        <v>2.2035037373189414</v>
      </c>
      <c r="CP34" s="14">
        <f t="shared" si="375"/>
        <v>2.4319197585056941E-2</v>
      </c>
      <c r="CQ34" s="14">
        <f t="shared" si="387"/>
        <v>11.626221598993723</v>
      </c>
      <c r="CR34" s="14">
        <f t="shared" si="376"/>
        <v>0.6772979632897399</v>
      </c>
      <c r="CS34" s="14">
        <f t="shared" si="388"/>
        <v>75.566231215746853</v>
      </c>
      <c r="CT34" s="14">
        <f t="shared" si="377"/>
        <v>28.589884739600105</v>
      </c>
      <c r="CU34" s="14">
        <f t="shared" si="389"/>
        <v>39.454717662708582</v>
      </c>
      <c r="CV34" s="14">
        <f t="shared" si="378"/>
        <v>7.7946601490834269</v>
      </c>
      <c r="CW34" s="14">
        <f t="shared" si="390"/>
        <v>0.24064038900098841</v>
      </c>
      <c r="CX34" s="14">
        <f t="shared" si="391"/>
        <v>3.8188936300803116</v>
      </c>
      <c r="CY34" s="14">
        <f t="shared" si="392"/>
        <v>4.6269765610237581</v>
      </c>
      <c r="CZ34" s="2">
        <f t="shared" si="393"/>
        <v>89.999999999999787</v>
      </c>
      <c r="DA34" s="34">
        <f t="shared" si="394"/>
        <v>11.036603738483631</v>
      </c>
      <c r="DB34" s="34">
        <f t="shared" si="395"/>
        <v>58.25606862235977</v>
      </c>
      <c r="DC34" s="34">
        <f t="shared" si="396"/>
        <v>378.34207528457961</v>
      </c>
      <c r="DD34" s="34">
        <f t="shared" si="397"/>
        <v>197.55964839790812</v>
      </c>
      <c r="EA34" s="1">
        <f t="shared" si="182"/>
        <v>6.8</v>
      </c>
      <c r="EB34" s="1" t="str">
        <f t="shared" si="12"/>
        <v>0.0000981311527478174-0.0667291838685161i</v>
      </c>
      <c r="EC34" s="1" t="str">
        <f t="shared" si="13"/>
        <v>0.000192256952322255-0.130734727579134i</v>
      </c>
      <c r="ED34" s="1" t="str">
        <f t="shared" si="14"/>
        <v>0.00047513502019224-0.323091813730724i</v>
      </c>
      <c r="EE34" s="1" t="str">
        <f t="shared" si="15"/>
        <v>0.000663553509056674-0.451216386158538i</v>
      </c>
      <c r="EF34" s="1" t="str">
        <f t="shared" si="16"/>
        <v>0.123422565399943i</v>
      </c>
      <c r="EG34" s="1" t="str">
        <f t="shared" si="17"/>
        <v>0.123371160749631i</v>
      </c>
      <c r="EH34" s="1" t="str">
        <f t="shared" si="18"/>
        <v>0.123469403108182i</v>
      </c>
      <c r="EI34" s="1" t="str">
        <f t="shared" si="19"/>
        <v>0.123457342116032i</v>
      </c>
      <c r="EJ34" s="1" t="str">
        <f t="shared" si="1"/>
        <v>0.005</v>
      </c>
      <c r="EK34" s="1" t="str">
        <f t="shared" si="2"/>
        <v>0.01</v>
      </c>
      <c r="EL34" s="1" t="str">
        <f t="shared" si="3"/>
        <v>0.0125</v>
      </c>
      <c r="EM34" s="1" t="str">
        <f t="shared" si="329"/>
        <v>0.00509813115274782+0.0566933815314269i</v>
      </c>
      <c r="EN34" s="1" t="str">
        <f t="shared" si="330"/>
        <v>-0.005</v>
      </c>
      <c r="EO34" s="1" t="str">
        <f t="shared" si="331"/>
        <v>0.706500911761863-480.420619998069i</v>
      </c>
      <c r="EP34" s="1" t="str">
        <f t="shared" si="332"/>
        <v>-0.005</v>
      </c>
      <c r="EQ34" s="1" t="str">
        <f t="shared" si="333"/>
        <v>0.0151922569523223-0.00736356682950301i</v>
      </c>
      <c r="ER34" s="1" t="str">
        <f t="shared" si="334"/>
        <v>-0.01</v>
      </c>
      <c r="ES34" s="1" t="str">
        <f t="shared" si="335"/>
        <v>1.38416505161508-941.23223509826i</v>
      </c>
      <c r="ET34" s="1" t="str">
        <f t="shared" si="336"/>
        <v>-0.01</v>
      </c>
      <c r="EU34" s="1" t="str">
        <f t="shared" si="337"/>
        <v>0.0229751350201922-0.199622410622542i</v>
      </c>
      <c r="EV34" s="1" t="str">
        <f t="shared" si="338"/>
        <v>-0.0125</v>
      </c>
      <c r="EW34" s="1" t="str">
        <f t="shared" si="339"/>
        <v>3.42076206766332-2326.11820601106i</v>
      </c>
      <c r="EX34" s="1" t="str">
        <f t="shared" si="340"/>
        <v>-0.0125</v>
      </c>
      <c r="EY34" s="1" t="str">
        <f t="shared" si="341"/>
        <v>0.0131635535090567-0.327759044042506i</v>
      </c>
      <c r="EZ34" s="1" t="str">
        <f t="shared" si="342"/>
        <v>4.77729187953263-3248.55847808218i</v>
      </c>
      <c r="FB34" s="1" t="str">
        <f t="shared" si="343"/>
        <v>0.00509813115274782+0.0566933815314269i</v>
      </c>
      <c r="FC34" s="1" t="str">
        <f t="shared" si="344"/>
        <v>0.706500911761863-480.420619998069i</v>
      </c>
      <c r="FD34" s="1" t="str">
        <f t="shared" si="345"/>
        <v>-0.00786716959438658+0.0874862638923291i</v>
      </c>
      <c r="FE34" s="1" t="str">
        <f t="shared" si="346"/>
        <v>0.0151529211043504-0.00692613551004136i</v>
      </c>
      <c r="FF34" s="1" t="str">
        <f t="shared" si="347"/>
        <v>-40.6404819263609-945.073594717632i</v>
      </c>
      <c r="FG34" s="1" t="str">
        <f t="shared" si="348"/>
        <v>-0.545889173163448-0.249516404180906i</v>
      </c>
      <c r="FH34" s="1" t="str">
        <f t="shared" si="349"/>
        <v>0.0175162432885577-0.202117574664351i</v>
      </c>
      <c r="FI34" s="1" t="str">
        <f t="shared" si="350"/>
        <v>217.046928032184-2852.16411612452i</v>
      </c>
      <c r="FJ34" s="1" t="str">
        <f t="shared" si="351"/>
        <v>-0.00531977430538101-0.0613841599852475i</v>
      </c>
      <c r="FK34" s="1" t="str">
        <f t="shared" si="352"/>
        <v>0.0130970563302394-0.328526346042322i</v>
      </c>
      <c r="FL34" s="1" t="str">
        <f t="shared" si="353"/>
        <v>147.582301664065-3260.72292133976i</v>
      </c>
      <c r="FM34" s="1" t="str">
        <f t="shared" si="354"/>
        <v>9927.43229000353+53.4573922573284i</v>
      </c>
      <c r="FN34" s="1" t="str">
        <f t="shared" si="355"/>
        <v>14148.1173884302+461.701391189661i</v>
      </c>
      <c r="FO34" s="1" t="str">
        <f t="shared" si="356"/>
        <v>28970.7186285067-48822.3658439706i</v>
      </c>
      <c r="FP34" s="1" t="str">
        <f t="shared" si="357"/>
        <v>-12448.2982209469-3686.90569105199i</v>
      </c>
      <c r="FQ34" s="92" t="str">
        <f t="shared" si="358"/>
        <v>247.952274530019-1310.72360052822i</v>
      </c>
      <c r="FR34" s="1" t="str">
        <f t="shared" si="359"/>
        <v>455.047358777286-1536.40090129281i</v>
      </c>
      <c r="FS34" s="1" t="str">
        <f t="shared" si="360"/>
        <v>-207.095084247268+225.677300764593i</v>
      </c>
      <c r="FT34" s="1" t="str">
        <f t="shared" si="361"/>
        <v>6378.59304136183+2855.63321183363i</v>
      </c>
      <c r="FU34" s="1" t="str">
        <f t="shared" si="362"/>
        <v>-152.473443854837+2244.80333139222i</v>
      </c>
      <c r="FV34" s="1" t="str">
        <f t="shared" si="363"/>
        <v>-25.9309420002329+1230.82617180657i</v>
      </c>
      <c r="FW34" s="1" t="str">
        <f t="shared" si="364"/>
        <v>455.047358777286-1536.40090129281i</v>
      </c>
      <c r="FX34" s="1" t="str">
        <f t="shared" si="365"/>
        <v>6023.27194471379+3574.15118494983i</v>
      </c>
      <c r="FY34" s="1" t="str">
        <f t="shared" si="366"/>
        <v>-57.0059951844047+1746.85960905397i</v>
      </c>
      <c r="FZ34" s="1" t="str">
        <f t="shared" si="367"/>
        <v>-6.59970756454391+1225.61440456071i</v>
      </c>
      <c r="GA34" s="1" t="str">
        <f t="shared" si="368"/>
        <v>-207.095084247268+225.677300764593i</v>
      </c>
      <c r="GB34" s="1" t="str">
        <f t="shared" si="369"/>
        <v>148.226012400765-492.840672351603i</v>
      </c>
      <c r="GC34" s="1" t="str">
        <f t="shared" si="370"/>
        <v>52.7585637303334+5.10304998665416i</v>
      </c>
      <c r="GD34" s="92" t="str">
        <f t="shared" si="371"/>
        <v>6448.14093003678+5020.5391145042i</v>
      </c>
      <c r="GE34" s="1" t="str">
        <f t="shared" si="63"/>
        <v>0.695129540096311-0.5412296479818i</v>
      </c>
      <c r="GF34" s="1">
        <f t="shared" si="64"/>
        <v>6.8</v>
      </c>
      <c r="GG34" s="56">
        <f t="shared" si="65"/>
        <v>0.31327317746021333</v>
      </c>
      <c r="GH34" s="1">
        <f t="shared" si="66"/>
        <v>1.1596809485437698</v>
      </c>
      <c r="GJ34" s="1">
        <f t="shared" si="372"/>
        <v>8172.1682835023794</v>
      </c>
      <c r="GK34" s="1">
        <f t="shared" si="373"/>
        <v>0.88098502221604869</v>
      </c>
      <c r="GM34" s="1" t="str">
        <f t="shared" si="69"/>
        <v>0.0191834803010191+3.26119165117326i</v>
      </c>
      <c r="GP34" s="1">
        <f t="shared" si="4"/>
        <v>6.8</v>
      </c>
      <c r="GQ34" s="1">
        <f t="shared" si="5"/>
        <v>0.88098502221604869</v>
      </c>
      <c r="GR34" s="1">
        <f t="shared" si="70"/>
        <v>3.2612480726860742</v>
      </c>
      <c r="GS34" s="1">
        <f t="shared" si="71"/>
        <v>1.0216615462163638</v>
      </c>
      <c r="JG34" s="2">
        <f t="shared" si="379"/>
        <v>11</v>
      </c>
      <c r="JH34" s="14">
        <f>V21</f>
        <v>90</v>
      </c>
      <c r="JI34" s="1" t="str">
        <f t="shared" si="398"/>
        <v>35.3953591720043-19.006304881521i</v>
      </c>
    </row>
    <row r="35" spans="2:269" ht="18" customHeight="1" x14ac:dyDescent="0.25">
      <c r="B35" s="6"/>
      <c r="W35" s="252" t="s">
        <v>68</v>
      </c>
      <c r="X35" s="252"/>
      <c r="Y35" s="252"/>
      <c r="Z35" s="252"/>
      <c r="AA35" s="252"/>
      <c r="AB35" s="252"/>
      <c r="AC35" s="252"/>
      <c r="AD35" s="252"/>
      <c r="AE35" s="252"/>
      <c r="AL35" s="257" t="s">
        <v>404</v>
      </c>
      <c r="AM35" s="257"/>
      <c r="AN35" s="257"/>
      <c r="AO35" s="257"/>
      <c r="AP35" s="8"/>
      <c r="AR35" s="6"/>
      <c r="AY35" s="29" t="str">
        <f>"% "&amp;$AK$17&amp;"HZ KVAR:"</f>
        <v>% 60HZ KVAR:</v>
      </c>
      <c r="AZ35" s="202">
        <f>CA36/AE31</f>
        <v>0.55230550484477037</v>
      </c>
      <c r="BA35" s="202"/>
      <c r="BB35" s="202"/>
      <c r="BC35" s="202"/>
      <c r="BD35" s="202"/>
      <c r="BE35" s="81"/>
      <c r="BF35" s="202">
        <f>CT49/AE31</f>
        <v>0.66386870375786267</v>
      </c>
      <c r="BG35" s="202"/>
      <c r="BH35" s="202"/>
      <c r="BI35" s="202"/>
      <c r="BJ35" s="202"/>
      <c r="BK35" s="79"/>
      <c r="BL35" s="203">
        <v>1.35</v>
      </c>
      <c r="BM35" s="203"/>
      <c r="BN35" s="203"/>
      <c r="BO35" s="203"/>
      <c r="BQ35" s="23"/>
      <c r="BR35" s="23"/>
      <c r="BS35" s="23"/>
      <c r="BT35" s="23"/>
      <c r="BU35" s="23"/>
      <c r="BV35" s="23"/>
      <c r="BW35" s="23"/>
      <c r="BX35" s="23"/>
      <c r="BY35" s="23"/>
      <c r="BZ35" s="32" t="s">
        <v>56</v>
      </c>
      <c r="CA35" s="211">
        <f>CS46</f>
        <v>158.13915156514827</v>
      </c>
      <c r="CB35" s="211"/>
      <c r="CC35" s="211"/>
      <c r="CD35" s="24" t="s">
        <v>39</v>
      </c>
      <c r="CE35" s="24"/>
      <c r="CF35" s="8"/>
      <c r="CH35" s="2">
        <f t="shared" si="374"/>
        <v>13</v>
      </c>
      <c r="CI35" s="14">
        <f t="shared" si="380"/>
        <v>14.474906598455757</v>
      </c>
      <c r="CJ35" s="77">
        <f t="shared" si="381"/>
        <v>2.0105271582469414E-3</v>
      </c>
      <c r="CK35" s="14">
        <f t="shared" si="382"/>
        <v>0.58918556108471587</v>
      </c>
      <c r="CL35" s="14">
        <f t="shared" si="383"/>
        <v>1.5019452981818349</v>
      </c>
      <c r="CM35" s="14">
        <f t="shared" si="384"/>
        <v>16.823257395902136</v>
      </c>
      <c r="CN35" s="14">
        <f t="shared" si="385"/>
        <v>70.396260317004263</v>
      </c>
      <c r="CO35" s="14">
        <f t="shared" si="386"/>
        <v>0.56800475080456037</v>
      </c>
      <c r="CP35" s="14">
        <f t="shared" si="375"/>
        <v>1.3673349901363514E-3</v>
      </c>
      <c r="CQ35" s="14">
        <f t="shared" si="387"/>
        <v>1.964730096710019</v>
      </c>
      <c r="CR35" s="14">
        <f t="shared" si="376"/>
        <v>1.6366571247500385E-2</v>
      </c>
      <c r="CS35" s="14">
        <f t="shared" si="388"/>
        <v>20.109588535309591</v>
      </c>
      <c r="CT35" s="14">
        <f t="shared" si="377"/>
        <v>1.7132178112891405</v>
      </c>
      <c r="CU35" s="14">
        <f t="shared" si="389"/>
        <v>69.3595058511318</v>
      </c>
      <c r="CV35" s="14">
        <f t="shared" si="378"/>
        <v>20.382648646279371</v>
      </c>
      <c r="CW35" s="14">
        <f t="shared" si="390"/>
        <v>3.1771717842649101E-2</v>
      </c>
      <c r="CX35" s="14">
        <f t="shared" si="391"/>
        <v>0.79054563858387539</v>
      </c>
      <c r="CY35" s="14">
        <f t="shared" si="392"/>
        <v>3.374744189302461</v>
      </c>
      <c r="CZ35" s="2">
        <f t="shared" si="393"/>
        <v>80.000000000000313</v>
      </c>
      <c r="DA35" s="34">
        <f t="shared" si="394"/>
        <v>2.4072597776683424</v>
      </c>
      <c r="DB35" s="34">
        <f t="shared" si="395"/>
        <v>8.3301880878735233</v>
      </c>
      <c r="DC35" s="34">
        <f t="shared" si="396"/>
        <v>85.194075864902416</v>
      </c>
      <c r="DD35" s="34">
        <f t="shared" si="397"/>
        <v>293.86957701266226</v>
      </c>
      <c r="EA35" s="1">
        <f t="shared" si="182"/>
        <v>7</v>
      </c>
      <c r="EB35" s="1" t="str">
        <f t="shared" si="12"/>
        <v>0.0000926037766489122-0.0648226436542387i</v>
      </c>
      <c r="EC35" s="1" t="str">
        <f t="shared" si="13"/>
        <v>0.000181427807312155-0.126999465118508i</v>
      </c>
      <c r="ED35" s="1" t="str">
        <f t="shared" si="14"/>
        <v>0.000448372367550092-0.313860657285064i</v>
      </c>
      <c r="EE35" s="1" t="str">
        <f t="shared" si="15"/>
        <v>0.000626177918292644-0.438324542804851i</v>
      </c>
      <c r="EF35" s="1" t="str">
        <f t="shared" si="16"/>
        <v>0.127052640852882i</v>
      </c>
      <c r="EG35" s="1" t="str">
        <f t="shared" si="17"/>
        <v>0.12699972430109i</v>
      </c>
      <c r="EH35" s="1" t="str">
        <f t="shared" si="18"/>
        <v>0.127100856140776i</v>
      </c>
      <c r="EI35" s="1" t="str">
        <f t="shared" si="19"/>
        <v>0.127088440413562i</v>
      </c>
      <c r="EJ35" s="1" t="str">
        <f t="shared" si="1"/>
        <v>0.005</v>
      </c>
      <c r="EK35" s="1" t="str">
        <f t="shared" si="2"/>
        <v>0.01</v>
      </c>
      <c r="EL35" s="1" t="str">
        <f t="shared" si="3"/>
        <v>0.0125</v>
      </c>
      <c r="EM35" s="1" t="str">
        <f t="shared" si="329"/>
        <v>0.00509260377664891+0.0622299971986433i</v>
      </c>
      <c r="EN35" s="1" t="str">
        <f t="shared" si="330"/>
        <v>-0.005</v>
      </c>
      <c r="EO35" s="1" t="str">
        <f t="shared" si="331"/>
        <v>0.666706247741531-466.694373419073i</v>
      </c>
      <c r="EP35" s="1" t="str">
        <f t="shared" si="332"/>
        <v>-0.005</v>
      </c>
      <c r="EQ35" s="1" t="str">
        <f t="shared" si="333"/>
        <v>0.0151814278073122+2.59182582007522E-07i</v>
      </c>
      <c r="ER35" s="1" t="str">
        <f t="shared" si="334"/>
        <v>-0.01</v>
      </c>
      <c r="ES35" s="1" t="str">
        <f t="shared" si="335"/>
        <v>1.30619999557525-914.33999690267i</v>
      </c>
      <c r="ET35" s="1" t="str">
        <f t="shared" si="336"/>
        <v>-0.01</v>
      </c>
      <c r="EU35" s="1" t="str">
        <f t="shared" si="337"/>
        <v>0.0229483723675501-0.186759801144288i</v>
      </c>
      <c r="EV35" s="1" t="str">
        <f t="shared" si="338"/>
        <v>-0.0125</v>
      </c>
      <c r="EW35" s="1" t="str">
        <f t="shared" si="339"/>
        <v>3.22808280156488-2259.65796109541i</v>
      </c>
      <c r="EX35" s="1" t="str">
        <f t="shared" si="340"/>
        <v>-0.0125</v>
      </c>
      <c r="EY35" s="1" t="str">
        <f t="shared" si="341"/>
        <v>0.0131261779182926-0.311236102391289i</v>
      </c>
      <c r="EZ35" s="1" t="str">
        <f t="shared" si="342"/>
        <v>4.50820415139511-3155.74290597658i</v>
      </c>
      <c r="FB35" s="1" t="str">
        <f t="shared" si="343"/>
        <v>0.00509260377664891+0.0622299971986433i</v>
      </c>
      <c r="FC35" s="1" t="str">
        <f t="shared" si="344"/>
        <v>0.666706247741531-466.694373419073i</v>
      </c>
      <c r="FD35" s="1" t="str">
        <f t="shared" si="345"/>
        <v>-0.00653147930948051+0.079812598222481i</v>
      </c>
      <c r="FE35" s="1" t="str">
        <f t="shared" si="346"/>
        <v>0.0151487704107648+0.000399322173694413i</v>
      </c>
      <c r="FF35" s="1" t="str">
        <f t="shared" si="347"/>
        <v>-35.9375359447512-917.441413104391i</v>
      </c>
      <c r="FG35" s="1" t="str">
        <f t="shared" si="348"/>
        <v>-0.659661215893287+0.017388695154111i</v>
      </c>
      <c r="FH35" s="1" t="str">
        <f t="shared" si="349"/>
        <v>0.0163517602086172-0.186585914192747i</v>
      </c>
      <c r="FI35" s="1" t="str">
        <f t="shared" si="350"/>
        <v>-36.4316249101875-2864.23357231757i</v>
      </c>
      <c r="FJ35" s="1" t="str">
        <f t="shared" si="351"/>
        <v>-0.00582631682924807-0.0664826684156574i</v>
      </c>
      <c r="FK35" s="1" t="str">
        <f t="shared" si="352"/>
        <v>0.013053348957927-0.312067135746485i</v>
      </c>
      <c r="FL35" s="1" t="str">
        <f t="shared" si="353"/>
        <v>154.755102944855-3168.69377762514i</v>
      </c>
      <c r="FM35" s="1" t="str">
        <f t="shared" si="354"/>
        <v>10156.8570589603+71.055554713955i</v>
      </c>
      <c r="FN35" s="1" t="str">
        <f t="shared" si="355"/>
        <v>15271.2233974559-853.131360152775i</v>
      </c>
      <c r="FO35" s="1" t="str">
        <f t="shared" si="356"/>
        <v>6093.02818222043-61285.8854408602i</v>
      </c>
      <c r="FP35" s="1" t="str">
        <f t="shared" si="357"/>
        <v>-12300.3364519614-1506.8711433302i</v>
      </c>
      <c r="FQ35" s="92" t="str">
        <f t="shared" si="358"/>
        <v>99.4851350141943-1263.89515811301i</v>
      </c>
      <c r="FR35" s="1" t="str">
        <f t="shared" si="359"/>
        <v>191.451958185104-1562.79022960066i</v>
      </c>
      <c r="FS35" s="1" t="str">
        <f t="shared" si="360"/>
        <v>-91.966823170909+298.89507148765i</v>
      </c>
      <c r="FT35" s="1" t="str">
        <f t="shared" si="361"/>
        <v>7783.47542555598-129.409712993961i</v>
      </c>
      <c r="FU35" s="1" t="str">
        <f t="shared" si="362"/>
        <v>264.145257659512+2533.76077250493i</v>
      </c>
      <c r="FV35" s="1" t="str">
        <f t="shared" si="363"/>
        <v>-32.99718899192+1296.21232730708i</v>
      </c>
      <c r="FW35" s="1" t="str">
        <f t="shared" si="364"/>
        <v>191.451958185104-1562.79022960066i</v>
      </c>
      <c r="FX35" s="1" t="str">
        <f t="shared" si="365"/>
        <v>7783.29055453743+773.812899300766i</v>
      </c>
      <c r="FY35" s="1" t="str">
        <f t="shared" si="366"/>
        <v>108.433726275962+1940.98556813369i</v>
      </c>
      <c r="FZ35" s="1" t="str">
        <f t="shared" si="367"/>
        <v>-9.03033963131706+1290.81912312674i</v>
      </c>
      <c r="GA35" s="1" t="str">
        <f t="shared" si="368"/>
        <v>-91.966823170909+298.89507148765i</v>
      </c>
      <c r="GB35" s="1" t="str">
        <f t="shared" si="369"/>
        <v>-91.7819521523547-604.327540807074i</v>
      </c>
      <c r="GC35" s="1" t="str">
        <f t="shared" si="370"/>
        <v>63.929579231195-11.5523364358341i</v>
      </c>
      <c r="GD35" s="92" t="str">
        <f t="shared" si="371"/>
        <v>8114.10862923777+2436.66822870504i</v>
      </c>
      <c r="GE35" s="1" t="str">
        <f t="shared" si="63"/>
        <v>0.813891889611691-0.244411875615204i</v>
      </c>
      <c r="GF35" s="1">
        <f t="shared" si="64"/>
        <v>7</v>
      </c>
      <c r="GG35" s="56">
        <f t="shared" si="65"/>
        <v>0.26372819647234763</v>
      </c>
      <c r="GH35" s="1">
        <f t="shared" si="66"/>
        <v>1.0418692965183289</v>
      </c>
      <c r="GJ35" s="1">
        <f t="shared" si="372"/>
        <v>8472.0783107718853</v>
      </c>
      <c r="GK35" s="72">
        <f t="shared" si="373"/>
        <v>0.84979831308224607</v>
      </c>
      <c r="GM35" s="1" t="str">
        <f t="shared" si="69"/>
        <v>0.0191834803010191+3.35710905267836i</v>
      </c>
      <c r="GP35" s="1">
        <f t="shared" si="4"/>
        <v>7</v>
      </c>
      <c r="GQ35" s="1">
        <f t="shared" si="5"/>
        <v>0.84979831308224607</v>
      </c>
      <c r="GR35" s="1">
        <f t="shared" si="70"/>
        <v>3.357163862174656</v>
      </c>
      <c r="GS35" s="1">
        <f t="shared" si="71"/>
        <v>0.88537877063347059</v>
      </c>
      <c r="JG35" s="2">
        <f t="shared" si="379"/>
        <v>13</v>
      </c>
      <c r="JH35" s="14">
        <f>X21</f>
        <v>80</v>
      </c>
      <c r="JI35" s="1" t="str">
        <f t="shared" si="398"/>
        <v>12.361676591429+7.53072857583742i</v>
      </c>
    </row>
    <row r="36" spans="2:269" ht="18" customHeight="1" x14ac:dyDescent="0.25">
      <c r="B36" s="6"/>
      <c r="G36" s="240" t="s">
        <v>301</v>
      </c>
      <c r="H36" s="240"/>
      <c r="I36" s="240"/>
      <c r="J36" s="240"/>
      <c r="L36" s="240" t="s">
        <v>304</v>
      </c>
      <c r="M36" s="240"/>
      <c r="N36" s="240"/>
      <c r="O36" s="240"/>
      <c r="Q36" s="240" t="s">
        <v>392</v>
      </c>
      <c r="R36" s="240"/>
      <c r="S36" s="240"/>
      <c r="T36" s="240"/>
      <c r="U36" s="240"/>
      <c r="W36" s="240" t="s">
        <v>402</v>
      </c>
      <c r="X36" s="240"/>
      <c r="Y36" s="240"/>
      <c r="Z36" s="240"/>
      <c r="AA36" s="18"/>
      <c r="AB36" s="240" t="s">
        <v>303</v>
      </c>
      <c r="AC36" s="195"/>
      <c r="AD36" s="195"/>
      <c r="AE36" s="195"/>
      <c r="AF36" s="18"/>
      <c r="AG36" s="240" t="s">
        <v>302</v>
      </c>
      <c r="AH36" s="240"/>
      <c r="AI36" s="240"/>
      <c r="AJ36" s="240"/>
      <c r="AL36" s="240"/>
      <c r="AM36" s="240"/>
      <c r="AN36" s="240"/>
      <c r="AO36" s="240"/>
      <c r="AP36" s="8"/>
      <c r="AR36" s="6"/>
      <c r="BQ36" s="23"/>
      <c r="BR36" s="23"/>
      <c r="BS36" s="23"/>
      <c r="BT36" s="23"/>
      <c r="BU36" s="23"/>
      <c r="BV36" s="23"/>
      <c r="BW36" s="23"/>
      <c r="BX36" s="23"/>
      <c r="BY36" s="23"/>
      <c r="BZ36" s="32" t="s">
        <v>58</v>
      </c>
      <c r="CA36" s="248">
        <f>CT46</f>
        <v>994.82910961339576</v>
      </c>
      <c r="CB36" s="248"/>
      <c r="CC36" s="248"/>
      <c r="CD36" s="24" t="s">
        <v>37</v>
      </c>
      <c r="CE36" s="24"/>
      <c r="CF36" s="8"/>
      <c r="CH36" s="2">
        <f t="shared" si="374"/>
        <v>17</v>
      </c>
      <c r="CI36" s="14">
        <f t="shared" si="380"/>
        <v>93.496293420393727</v>
      </c>
      <c r="CJ36" s="77">
        <f t="shared" si="381"/>
        <v>1.2986393786967894E-2</v>
      </c>
      <c r="CK36" s="14">
        <f t="shared" si="382"/>
        <v>2.7311891766900271</v>
      </c>
      <c r="CL36" s="14">
        <f t="shared" si="383"/>
        <v>5.8899061960381038</v>
      </c>
      <c r="CM36" s="14">
        <f t="shared" si="384"/>
        <v>20.858224696500429</v>
      </c>
      <c r="CN36" s="14">
        <f t="shared" si="385"/>
        <v>40.533514788288528</v>
      </c>
      <c r="CO36" s="14">
        <f t="shared" si="386"/>
        <v>2.724171183585343</v>
      </c>
      <c r="CP36" s="14">
        <f t="shared" si="375"/>
        <v>2.4051059426383293E-2</v>
      </c>
      <c r="CQ36" s="14">
        <f t="shared" si="387"/>
        <v>5.920635361275254</v>
      </c>
      <c r="CR36" s="14">
        <f t="shared" si="376"/>
        <v>0.11365354064333191</v>
      </c>
      <c r="CS36" s="14">
        <f t="shared" si="388"/>
        <v>20.961995219374952</v>
      </c>
      <c r="CT36" s="14">
        <f t="shared" si="377"/>
        <v>1.4235275542462862</v>
      </c>
      <c r="CU36" s="14">
        <f t="shared" si="389"/>
        <v>40.477526512556928</v>
      </c>
      <c r="CV36" s="14">
        <f t="shared" si="378"/>
        <v>5.3084899593411361</v>
      </c>
      <c r="CW36" s="14">
        <f t="shared" si="390"/>
        <v>5.202610784236409E-2</v>
      </c>
      <c r="CX36" s="14">
        <f t="shared" si="391"/>
        <v>0.48769241228908278</v>
      </c>
      <c r="CY36" s="14">
        <f t="shared" si="392"/>
        <v>0.79503255740561052</v>
      </c>
      <c r="CZ36" s="2">
        <f t="shared" si="393"/>
        <v>69.999999999999801</v>
      </c>
      <c r="DA36" s="34">
        <f t="shared" si="394"/>
        <v>8.8287621465583488</v>
      </c>
      <c r="DB36" s="34">
        <f t="shared" si="395"/>
        <v>19.196172996347499</v>
      </c>
      <c r="DC36" s="34">
        <f t="shared" si="396"/>
        <v>67.90992648116513</v>
      </c>
      <c r="DD36" s="34">
        <f t="shared" si="397"/>
        <v>131.14659952589591</v>
      </c>
      <c r="EA36" s="1">
        <f t="shared" si="182"/>
        <v>7.2</v>
      </c>
      <c r="EB36" s="1" t="str">
        <f t="shared" si="12"/>
        <v>0.0000875305857082523-0.0630220217099418i</v>
      </c>
      <c r="EC36" s="1" t="str">
        <f t="shared" si="13"/>
        <v>0.000171488494448821-0.123471716003151i</v>
      </c>
      <c r="ED36" s="1" t="str">
        <f t="shared" si="14"/>
        <v>0.000423808805291486-0.305142339809871i</v>
      </c>
      <c r="EE36" s="1" t="str">
        <f t="shared" si="15"/>
        <v>0.000591873484312945-0.42614890870532i</v>
      </c>
      <c r="EF36" s="1" t="str">
        <f t="shared" si="16"/>
        <v>0.130682716305822i</v>
      </c>
      <c r="EG36" s="1" t="str">
        <f t="shared" si="17"/>
        <v>0.13062828785255i</v>
      </c>
      <c r="EH36" s="1" t="str">
        <f t="shared" si="18"/>
        <v>0.130732309173369i</v>
      </c>
      <c r="EI36" s="1" t="str">
        <f t="shared" si="19"/>
        <v>0.130719538711093i</v>
      </c>
      <c r="EJ36" s="1" t="str">
        <f t="shared" si="1"/>
        <v>0.005</v>
      </c>
      <c r="EK36" s="1" t="str">
        <f t="shared" si="2"/>
        <v>0.01</v>
      </c>
      <c r="EL36" s="1" t="str">
        <f t="shared" si="3"/>
        <v>0.0125</v>
      </c>
      <c r="EM36" s="1" t="str">
        <f t="shared" si="329"/>
        <v>0.00508753058570825+0.0676606945958802i</v>
      </c>
      <c r="EN36" s="1" t="str">
        <f t="shared" si="330"/>
        <v>-0.005</v>
      </c>
      <c r="EO36" s="1" t="str">
        <f t="shared" si="331"/>
        <v>0.630181516045684-453.730691552893i</v>
      </c>
      <c r="EP36" s="1" t="str">
        <f t="shared" si="332"/>
        <v>-0.005</v>
      </c>
      <c r="EQ36" s="1" t="str">
        <f t="shared" si="333"/>
        <v>0.0151714884944488+0.00715657184939901i</v>
      </c>
      <c r="ER36" s="1" t="str">
        <f t="shared" si="334"/>
        <v>-0.01</v>
      </c>
      <c r="ES36" s="1" t="str">
        <f t="shared" si="335"/>
        <v>1.23464133755889-888.941763042402i</v>
      </c>
      <c r="ET36" s="1" t="str">
        <f t="shared" si="336"/>
        <v>-0.01</v>
      </c>
      <c r="EU36" s="1" t="str">
        <f t="shared" si="337"/>
        <v>0.0229238088052915-0.174410030636502i</v>
      </c>
      <c r="EV36" s="1" t="str">
        <f t="shared" si="338"/>
        <v>-0.0125</v>
      </c>
      <c r="EW36" s="1" t="str">
        <f t="shared" si="339"/>
        <v>3.05123601391507-2196.88993001885i</v>
      </c>
      <c r="EX36" s="1" t="str">
        <f t="shared" si="340"/>
        <v>-0.0125</v>
      </c>
      <c r="EY36" s="1" t="str">
        <f t="shared" si="341"/>
        <v>0.0130918734843129-0.295429369994227i</v>
      </c>
      <c r="EZ36" s="1" t="str">
        <f t="shared" si="342"/>
        <v>4.26122739421368-3068.08372383385i</v>
      </c>
      <c r="FB36" s="1" t="str">
        <f t="shared" si="343"/>
        <v>0.00508753058570825+0.0676606945958802i</v>
      </c>
      <c r="FC36" s="1" t="str">
        <f t="shared" si="344"/>
        <v>0.630181516045684-453.730691552893i</v>
      </c>
      <c r="FD36" s="1" t="str">
        <f t="shared" si="345"/>
        <v>-0.00552529704055258+0.0734826905340963i</v>
      </c>
      <c r="FE36" s="1" t="str">
        <f t="shared" si="346"/>
        <v>0.015143862009246+0.00752398530206949i</v>
      </c>
      <c r="FF36" s="1" t="str">
        <f t="shared" si="347"/>
        <v>-32.1032287155782-891.495067322971i</v>
      </c>
      <c r="FG36" s="1" t="str">
        <f t="shared" si="348"/>
        <v>-0.529603972153994+0.263125251667733i</v>
      </c>
      <c r="FH36" s="1" t="str">
        <f t="shared" si="349"/>
        <v>0.0176277690837516-0.171778778119825i</v>
      </c>
      <c r="FI36" s="1" t="str">
        <f t="shared" si="350"/>
        <v>-248.525625382723-2660.58208869365i</v>
      </c>
      <c r="FJ36" s="1" t="str">
        <f t="shared" si="351"/>
        <v>-0.00738956462492225-0.0720097010617566i</v>
      </c>
      <c r="FK36" s="1" t="str">
        <f t="shared" si="352"/>
        <v>0.0129995039265014-0.296329491257499i</v>
      </c>
      <c r="FL36" s="1" t="str">
        <f t="shared" si="353"/>
        <v>162.481161826165-3084.09806535233i</v>
      </c>
      <c r="FM36" s="1" t="str">
        <f t="shared" si="354"/>
        <v>10411.6819354551+91.5685492847351i</v>
      </c>
      <c r="FN36" s="1" t="str">
        <f t="shared" si="355"/>
        <v>15250.4419476458-2254.1251865099i</v>
      </c>
      <c r="FO36" s="1" t="str">
        <f t="shared" si="356"/>
        <v>-17674.1087640776-51575.7858955069i</v>
      </c>
      <c r="FP36" s="1" t="str">
        <f t="shared" si="357"/>
        <v>-10555.1562254883+503.108671490261i</v>
      </c>
      <c r="FQ36" s="92" t="str">
        <f t="shared" si="358"/>
        <v>-30.1528450944144-1118.98201374413i</v>
      </c>
      <c r="FR36" s="1" t="str">
        <f t="shared" si="359"/>
        <v>-65.7476077873608-1379.37648657912i</v>
      </c>
      <c r="FS36" s="1" t="str">
        <f t="shared" si="360"/>
        <v>35.5947626929465+260.394472834986i</v>
      </c>
      <c r="FT36" s="1" t="str">
        <f t="shared" si="361"/>
        <v>6372.41633636958-3062.34964709615i</v>
      </c>
      <c r="FU36" s="1" t="str">
        <f t="shared" si="362"/>
        <v>684.416998067909+2457.62092712266i</v>
      </c>
      <c r="FV36" s="1" t="str">
        <f t="shared" si="363"/>
        <v>-40.9230084199014+1368.78897375092i</v>
      </c>
      <c r="FW36" s="1" t="str">
        <f t="shared" si="364"/>
        <v>-65.7476077873608-1379.37648657912i</v>
      </c>
      <c r="FX36" s="1" t="str">
        <f t="shared" si="365"/>
        <v>6737.25660617976-2308.73856717121i</v>
      </c>
      <c r="FY36" s="1" t="str">
        <f t="shared" si="366"/>
        <v>294.68699079829+1993.72549173015i</v>
      </c>
      <c r="FZ36" s="1" t="str">
        <f t="shared" si="367"/>
        <v>-11.9697985229446+1361.01025980931i</v>
      </c>
      <c r="GA36" s="1" t="str">
        <f t="shared" si="368"/>
        <v>35.5947626929465+260.394472834986i</v>
      </c>
      <c r="GB36" s="1" t="str">
        <f t="shared" si="369"/>
        <v>-329.245507117234-493.21660708997i</v>
      </c>
      <c r="GC36" s="1" t="str">
        <f t="shared" si="370"/>
        <v>60.4845001523838-29.3211716974329i</v>
      </c>
      <c r="GD36" s="92" t="str">
        <f t="shared" si="371"/>
        <v>6985.75748092317-354.9217599667i</v>
      </c>
      <c r="GE36" s="1" t="str">
        <f t="shared" si="63"/>
        <v>1.02795173118411+0.0522266108706178i</v>
      </c>
      <c r="GF36" s="1">
        <f t="shared" si="64"/>
        <v>7.2</v>
      </c>
      <c r="GG36" s="56">
        <f t="shared" si="65"/>
        <v>0.28135268113874901</v>
      </c>
      <c r="GH36" s="1">
        <f t="shared" si="66"/>
        <v>0.94389816911898416</v>
      </c>
      <c r="GJ36" s="1">
        <f t="shared" si="372"/>
        <v>6994.7678330286199</v>
      </c>
      <c r="GK36" s="1">
        <f t="shared" si="373"/>
        <v>1.0292776012949274</v>
      </c>
      <c r="GM36" s="1" t="str">
        <f t="shared" si="69"/>
        <v>0.0191834803010191+3.45302645418345i</v>
      </c>
      <c r="GP36" s="1">
        <f t="shared" si="4"/>
        <v>7.2</v>
      </c>
      <c r="GQ36" s="1">
        <f t="shared" si="5"/>
        <v>1.0292776012949274</v>
      </c>
      <c r="GR36" s="1">
        <f t="shared" si="70"/>
        <v>3.453079741217568</v>
      </c>
      <c r="GS36" s="1">
        <f t="shared" si="71"/>
        <v>0.97153324337746194</v>
      </c>
      <c r="JG36" s="2">
        <f t="shared" si="379"/>
        <v>17</v>
      </c>
      <c r="JH36" s="14">
        <f>Z21</f>
        <v>70</v>
      </c>
      <c r="JI36" s="1" t="str">
        <f t="shared" si="398"/>
        <v>1.18569523265082+93.4887747816155i</v>
      </c>
    </row>
    <row r="37" spans="2:269" ht="18" customHeight="1" x14ac:dyDescent="0.25">
      <c r="B37" s="6"/>
      <c r="G37" s="240"/>
      <c r="H37" s="240"/>
      <c r="I37" s="240"/>
      <c r="J37" s="240"/>
      <c r="L37" s="240"/>
      <c r="M37" s="240"/>
      <c r="N37" s="240"/>
      <c r="O37" s="240"/>
      <c r="Q37" s="240"/>
      <c r="R37" s="240"/>
      <c r="S37" s="240"/>
      <c r="T37" s="240"/>
      <c r="U37" s="240"/>
      <c r="W37" s="240"/>
      <c r="X37" s="240"/>
      <c r="Y37" s="240"/>
      <c r="Z37" s="240"/>
      <c r="AA37" s="18"/>
      <c r="AB37" s="195"/>
      <c r="AC37" s="195"/>
      <c r="AD37" s="195"/>
      <c r="AE37" s="195"/>
      <c r="AF37" s="18"/>
      <c r="AG37" s="240"/>
      <c r="AH37" s="240"/>
      <c r="AI37" s="240"/>
      <c r="AJ37" s="240"/>
      <c r="AL37" s="240"/>
      <c r="AM37" s="240"/>
      <c r="AN37" s="240"/>
      <c r="AO37" s="240"/>
      <c r="AP37" s="8"/>
      <c r="AR37" s="6"/>
      <c r="CF37" s="8"/>
      <c r="CH37" s="2">
        <f t="shared" si="374"/>
        <v>19</v>
      </c>
      <c r="CI37" s="14">
        <f t="shared" si="380"/>
        <v>107.66585157462423</v>
      </c>
      <c r="CJ37" s="77">
        <f t="shared" si="381"/>
        <v>1.4954508834596533E-2</v>
      </c>
      <c r="CK37" s="14">
        <f t="shared" si="382"/>
        <v>2.7622430137358358</v>
      </c>
      <c r="CL37" s="14">
        <f t="shared" si="383"/>
        <v>5.830690455981264</v>
      </c>
      <c r="CM37" s="14">
        <f t="shared" si="384"/>
        <v>18.744711852800755</v>
      </c>
      <c r="CN37" s="14">
        <f t="shared" si="385"/>
        <v>32.664898630359666</v>
      </c>
      <c r="CO37" s="14">
        <f t="shared" si="386"/>
        <v>2.7578191276077653</v>
      </c>
      <c r="CP37" s="14">
        <f t="shared" si="375"/>
        <v>2.2054250413475859E-2</v>
      </c>
      <c r="CQ37" s="14">
        <f t="shared" si="387"/>
        <v>5.8534312640243131</v>
      </c>
      <c r="CR37" s="14">
        <f t="shared" si="376"/>
        <v>9.9394580851709297E-2</v>
      </c>
      <c r="CS37" s="14">
        <f t="shared" si="388"/>
        <v>18.781430788260273</v>
      </c>
      <c r="CT37" s="14">
        <f t="shared" si="377"/>
        <v>1.0224764441126886</v>
      </c>
      <c r="CU37" s="14">
        <f t="shared" si="389"/>
        <v>32.643328320814717</v>
      </c>
      <c r="CV37" s="14">
        <f t="shared" si="378"/>
        <v>3.0890664811431265</v>
      </c>
      <c r="CW37" s="14">
        <f t="shared" si="390"/>
        <v>4.5004275720989431E-2</v>
      </c>
      <c r="CX37" s="14">
        <f t="shared" si="391"/>
        <v>0.37497997147208567</v>
      </c>
      <c r="CY37" s="14">
        <f t="shared" si="392"/>
        <v>0.50361460958476723</v>
      </c>
      <c r="CZ37" s="2">
        <f t="shared" si="393"/>
        <v>59.999999999999929</v>
      </c>
      <c r="DA37" s="34">
        <f t="shared" si="394"/>
        <v>7.996989430052472</v>
      </c>
      <c r="DB37" s="34">
        <f t="shared" si="395"/>
        <v>16.98056684505665</v>
      </c>
      <c r="DC37" s="34">
        <f t="shared" si="396"/>
        <v>54.440817403102578</v>
      </c>
      <c r="DD37" s="34">
        <f t="shared" si="397"/>
        <v>94.630867624286239</v>
      </c>
      <c r="EA37" s="1">
        <f t="shared" si="182"/>
        <v>7.4</v>
      </c>
      <c r="EB37" s="1" t="str">
        <f t="shared" si="12"/>
        <v>0.0000828631488286979-0.0613187301332365i</v>
      </c>
      <c r="EC37" s="1" t="str">
        <f t="shared" si="13"/>
        <v>0.000162344128317449-0.120134654954912i</v>
      </c>
      <c r="ED37" s="1" t="str">
        <f t="shared" si="14"/>
        <v>0.000401209837951195-0.296895280083884i</v>
      </c>
      <c r="EE37" s="1" t="str">
        <f t="shared" si="15"/>
        <v>0.000560312720651193-0.414631413281883i</v>
      </c>
      <c r="EF37" s="1" t="str">
        <f t="shared" si="16"/>
        <v>0.134312791758762i</v>
      </c>
      <c r="EG37" s="1" t="str">
        <f t="shared" si="17"/>
        <v>0.13425685140401i</v>
      </c>
      <c r="EH37" s="1" t="str">
        <f t="shared" si="18"/>
        <v>0.134363762205963i</v>
      </c>
      <c r="EI37" s="1" t="str">
        <f t="shared" si="19"/>
        <v>0.134350637008623i</v>
      </c>
      <c r="EJ37" s="1" t="str">
        <f t="shared" si="1"/>
        <v>0.005</v>
      </c>
      <c r="EK37" s="1" t="str">
        <f t="shared" si="2"/>
        <v>0.01</v>
      </c>
      <c r="EL37" s="1" t="str">
        <f t="shared" si="3"/>
        <v>0.0125</v>
      </c>
      <c r="EM37" s="1" t="str">
        <f t="shared" si="329"/>
        <v>0.0050828631488287+0.0729940616255255i</v>
      </c>
      <c r="EN37" s="1" t="str">
        <f t="shared" si="330"/>
        <v>-0.005</v>
      </c>
      <c r="EO37" s="1" t="str">
        <f t="shared" si="331"/>
        <v>0.596578034188395-441.467745299413i</v>
      </c>
      <c r="EP37" s="1" t="str">
        <f t="shared" si="332"/>
        <v>-0.005</v>
      </c>
      <c r="EQ37" s="1" t="str">
        <f t="shared" si="333"/>
        <v>0.0151623441283174+0.014122196449098i</v>
      </c>
      <c r="ER37" s="1" t="str">
        <f t="shared" si="334"/>
        <v>-0.01</v>
      </c>
      <c r="ES37" s="1" t="str">
        <f t="shared" si="335"/>
        <v>1.16880594453237-864.916398953949i</v>
      </c>
      <c r="ET37" s="1" t="str">
        <f t="shared" si="336"/>
        <v>-0.01</v>
      </c>
      <c r="EU37" s="1" t="str">
        <f t="shared" si="337"/>
        <v>0.0229012098379512-0.162531517877921i</v>
      </c>
      <c r="EV37" s="1" t="str">
        <f t="shared" si="338"/>
        <v>-0.0125</v>
      </c>
      <c r="EW37" s="1" t="str">
        <f t="shared" si="339"/>
        <v>2.88853344104483-2137.51474637317i</v>
      </c>
      <c r="EX37" s="1" t="str">
        <f t="shared" si="340"/>
        <v>-0.0125</v>
      </c>
      <c r="EY37" s="1" t="str">
        <f t="shared" si="341"/>
        <v>0.0130603127206512-0.28028077627326i</v>
      </c>
      <c r="EZ37" s="1" t="str">
        <f t="shared" si="342"/>
        <v>4.03400385022627-2985.16284916744i</v>
      </c>
      <c r="FB37" s="1" t="str">
        <f t="shared" si="343"/>
        <v>0.0050828631488287+0.0729940616255255i</v>
      </c>
      <c r="FC37" s="1" t="str">
        <f t="shared" si="344"/>
        <v>0.596578034188395-441.467745299413i</v>
      </c>
      <c r="FD37" s="1" t="str">
        <f t="shared" si="345"/>
        <v>-0.00474681829000893+0.0681681832936873i</v>
      </c>
      <c r="FE37" s="1" t="str">
        <f t="shared" si="346"/>
        <v>0.0151386100368674+0.0144630373655664i</v>
      </c>
      <c r="FF37" s="1" t="str">
        <f t="shared" si="347"/>
        <v>-28.9224163877647-867.052633762569i</v>
      </c>
      <c r="FG37" s="1" t="str">
        <f t="shared" si="348"/>
        <v>-0.345348911753743+0.329937438291108i</v>
      </c>
      <c r="FH37" s="1" t="str">
        <f t="shared" si="349"/>
        <v>0.0194477207204138-0.15923214349501i</v>
      </c>
      <c r="FI37" s="1" t="str">
        <f t="shared" si="350"/>
        <v>-293.172916430938-2427.40784190412i</v>
      </c>
      <c r="FJ37" s="1" t="str">
        <f t="shared" si="351"/>
        <v>-0.0094468450940247-0.0773479532749514i</v>
      </c>
      <c r="FK37" s="1" t="str">
        <f t="shared" si="352"/>
        <v>0.0129422271569759-0.281247625689197i</v>
      </c>
      <c r="FL37" s="1" t="str">
        <f t="shared" si="353"/>
        <v>169.393682105184-3005.13219771299i</v>
      </c>
      <c r="FM37" s="1" t="str">
        <f t="shared" si="354"/>
        <v>10690.0834204309+110.366066468583i</v>
      </c>
      <c r="FN37" s="1" t="str">
        <f t="shared" si="355"/>
        <v>14891.2885093678-2820.71498828325i</v>
      </c>
      <c r="FO37" s="1" t="str">
        <f t="shared" si="356"/>
        <v>-25394.1141832607-34876.6339883009i</v>
      </c>
      <c r="FP37" s="1" t="str">
        <f t="shared" si="357"/>
        <v>-8516.26249050444+1138.27062439178i</v>
      </c>
      <c r="FQ37" s="92" t="str">
        <f t="shared" si="358"/>
        <v>-68.4950468752669-963.768467386617i</v>
      </c>
      <c r="FR37" s="1" t="str">
        <f t="shared" si="359"/>
        <v>-152.884305339049-1143.84299045008i</v>
      </c>
      <c r="FS37" s="1" t="str">
        <f t="shared" si="360"/>
        <v>84.3892584637815+180.074523063463i</v>
      </c>
      <c r="FT37" s="1" t="str">
        <f t="shared" si="361"/>
        <v>4195.18378144929-3909.96752750213i</v>
      </c>
      <c r="FU37" s="1" t="str">
        <f t="shared" si="362"/>
        <v>834.370968474482+2284.77022502886i</v>
      </c>
      <c r="FV37" s="1" t="str">
        <f t="shared" si="363"/>
        <v>-47.7170239932944+1447.21970803608i</v>
      </c>
      <c r="FW37" s="1" t="str">
        <f t="shared" si="364"/>
        <v>-152.884305339049-1143.84299045008i</v>
      </c>
      <c r="FX37" s="1" t="str">
        <f t="shared" si="365"/>
        <v>4682.42706683936-3409.33381443849i</v>
      </c>
      <c r="FY37" s="1" t="str">
        <f t="shared" si="366"/>
        <v>379.001877936486+2000.84954821308i</v>
      </c>
      <c r="FZ37" s="1" t="str">
        <f t="shared" si="367"/>
        <v>-14.8277513341902+1436.21951721021i</v>
      </c>
      <c r="GA37" s="1" t="str">
        <f t="shared" si="368"/>
        <v>84.3892584637815+180.074523063463i</v>
      </c>
      <c r="GB37" s="1" t="str">
        <f t="shared" si="369"/>
        <v>-402.854026926285-320.559190000176i</v>
      </c>
      <c r="GC37" s="1" t="str">
        <f t="shared" si="370"/>
        <v>52.5150636117113-36.6385131843979i</v>
      </c>
      <c r="GD37" s="92" t="str">
        <f t="shared" si="371"/>
        <v>4913.34267905521-1141.74606182381i</v>
      </c>
      <c r="GE37" s="1" t="str">
        <f t="shared" si="63"/>
        <v>1.39023626303136+0.323058431297107i</v>
      </c>
      <c r="GF37" s="1">
        <f t="shared" si="64"/>
        <v>7.4</v>
      </c>
      <c r="GG37" s="56">
        <f t="shared" si="65"/>
        <v>0.34638123393112896</v>
      </c>
      <c r="GH37" s="1">
        <f t="shared" si="66"/>
        <v>0.86129343434273309</v>
      </c>
      <c r="GJ37" s="1">
        <f t="shared" si="372"/>
        <v>5044.2561742555872</v>
      </c>
      <c r="GK37" s="1">
        <f t="shared" si="373"/>
        <v>1.4272783950860983</v>
      </c>
      <c r="GM37" s="1" t="str">
        <f t="shared" si="69"/>
        <v>0.0191834803010191+3.54894385568855i</v>
      </c>
      <c r="GP37" s="1">
        <f t="shared" si="4"/>
        <v>7.4</v>
      </c>
      <c r="GQ37" s="1">
        <f t="shared" si="5"/>
        <v>1.4272783950860983</v>
      </c>
      <c r="GR37" s="1">
        <f t="shared" si="70"/>
        <v>3.5489957025538894</v>
      </c>
      <c r="GS37" s="1">
        <f t="shared" si="71"/>
        <v>1.2293055106668895</v>
      </c>
      <c r="JG37" s="2">
        <f t="shared" si="379"/>
        <v>19</v>
      </c>
      <c r="JH37" s="14">
        <f>AB21</f>
        <v>60</v>
      </c>
      <c r="JI37" s="1" t="str">
        <f t="shared" si="398"/>
        <v>0.674655642240972+107.663737790648i</v>
      </c>
    </row>
    <row r="38" spans="2:269" ht="18" customHeight="1" x14ac:dyDescent="0.25">
      <c r="B38" s="6"/>
      <c r="G38" s="252"/>
      <c r="H38" s="252"/>
      <c r="I38" s="252"/>
      <c r="J38" s="252"/>
      <c r="L38" s="252"/>
      <c r="M38" s="252"/>
      <c r="N38" s="252"/>
      <c r="O38" s="252"/>
      <c r="Q38" s="252"/>
      <c r="R38" s="252"/>
      <c r="S38" s="252"/>
      <c r="T38" s="252"/>
      <c r="U38" s="252"/>
      <c r="W38" s="252"/>
      <c r="X38" s="252"/>
      <c r="Y38" s="252"/>
      <c r="Z38" s="252"/>
      <c r="AA38" s="18"/>
      <c r="AB38" s="186"/>
      <c r="AC38" s="186"/>
      <c r="AD38" s="186"/>
      <c r="AE38" s="186"/>
      <c r="AF38" s="18"/>
      <c r="AG38" s="252"/>
      <c r="AH38" s="252"/>
      <c r="AI38" s="252"/>
      <c r="AJ38" s="252"/>
      <c r="AL38" s="252"/>
      <c r="AM38" s="252"/>
      <c r="AN38" s="252"/>
      <c r="AO38" s="252"/>
      <c r="AP38" s="8"/>
      <c r="AR38" s="6"/>
      <c r="AS38" s="172" t="s">
        <v>386</v>
      </c>
      <c r="AT38" s="172"/>
      <c r="AU38" s="172"/>
      <c r="AV38" s="172"/>
      <c r="AW38" s="172"/>
      <c r="AX38" s="172"/>
      <c r="AY38" s="172"/>
      <c r="AZ38" s="172"/>
      <c r="BA38" s="172"/>
      <c r="BB38" s="172"/>
      <c r="BC38" s="172"/>
      <c r="BD38" s="172"/>
      <c r="BE38" s="172"/>
      <c r="BF38" s="172"/>
      <c r="BG38" s="172"/>
      <c r="BH38" s="172"/>
      <c r="BI38" s="172"/>
      <c r="BJ38" s="172"/>
      <c r="BK38" s="172"/>
      <c r="BL38" s="172"/>
      <c r="BM38" s="172"/>
      <c r="BN38" s="172"/>
      <c r="BO38" s="172"/>
      <c r="BP38" s="172"/>
      <c r="BQ38" s="172"/>
      <c r="BR38" s="172"/>
      <c r="BS38" s="172"/>
      <c r="BT38" s="172"/>
      <c r="BU38" s="172"/>
      <c r="BV38" s="172"/>
      <c r="BW38" s="172"/>
      <c r="BX38" s="172"/>
      <c r="BY38" s="172"/>
      <c r="BZ38" s="172"/>
      <c r="CA38" s="172"/>
      <c r="CB38" s="172"/>
      <c r="CC38" s="172"/>
      <c r="CD38" s="172"/>
      <c r="CE38" s="172"/>
      <c r="CF38" s="8"/>
      <c r="CH38" s="2">
        <f t="shared" si="374"/>
        <v>23</v>
      </c>
      <c r="CI38" s="14">
        <f t="shared" si="380"/>
        <v>78.292100695270079</v>
      </c>
      <c r="CJ38" s="77">
        <f t="shared" si="381"/>
        <v>1.0874570668444779E-2</v>
      </c>
      <c r="CK38" s="14">
        <f t="shared" si="382"/>
        <v>1.6211433769584271</v>
      </c>
      <c r="CL38" s="14">
        <f t="shared" si="383"/>
        <v>3.335562196776146</v>
      </c>
      <c r="CM38" s="14">
        <f t="shared" si="384"/>
        <v>9.6981691791917566</v>
      </c>
      <c r="CN38" s="14">
        <f t="shared" si="385"/>
        <v>15.345304977975461</v>
      </c>
      <c r="CO38" s="14">
        <f t="shared" si="386"/>
        <v>1.6198088547416174</v>
      </c>
      <c r="CP38" s="14">
        <f t="shared" si="375"/>
        <v>6.2851268159075579E-3</v>
      </c>
      <c r="CQ38" s="14">
        <f t="shared" si="387"/>
        <v>3.3431527384554518</v>
      </c>
      <c r="CR38" s="14">
        <f t="shared" si="376"/>
        <v>2.6784273012522144E-2</v>
      </c>
      <c r="CS38" s="14">
        <f t="shared" si="388"/>
        <v>9.7033279089811906</v>
      </c>
      <c r="CT38" s="14">
        <f t="shared" si="377"/>
        <v>0.22545669895084694</v>
      </c>
      <c r="CU38" s="14">
        <f t="shared" si="389"/>
        <v>15.342086562492472</v>
      </c>
      <c r="CV38" s="14">
        <f t="shared" si="378"/>
        <v>0.56368050034099237</v>
      </c>
      <c r="CW38" s="14">
        <f t="shared" si="390"/>
        <v>2.0674541293798129E-2</v>
      </c>
      <c r="CX38" s="14">
        <f t="shared" si="391"/>
        <v>0.15233735105500235</v>
      </c>
      <c r="CY38" s="14">
        <f t="shared" si="392"/>
        <v>0.16895732259095753</v>
      </c>
      <c r="CZ38" s="2">
        <f t="shared" si="393"/>
        <v>30.000000000000085</v>
      </c>
      <c r="DA38" s="34">
        <f t="shared" si="394"/>
        <v>3.8801657353022176</v>
      </c>
      <c r="DB38" s="34">
        <f t="shared" si="395"/>
        <v>8.0116809215532871</v>
      </c>
      <c r="DC38" s="34">
        <f t="shared" si="396"/>
        <v>23.234987116344811</v>
      </c>
      <c r="DD38" s="34">
        <f t="shared" si="397"/>
        <v>36.740797807714657</v>
      </c>
      <c r="EA38" s="1">
        <f t="shared" si="182"/>
        <v>7.6</v>
      </c>
      <c r="EB38" s="1" t="str">
        <f t="shared" si="12"/>
        <v>0.0000785593223726134-0.0597050850031862i</v>
      </c>
      <c r="EC38" s="1" t="str">
        <f t="shared" si="13"/>
        <v>0.000153912141791242-0.116973227761344i</v>
      </c>
      <c r="ED38" s="1" t="str">
        <f t="shared" si="14"/>
        <v>0.000380371412916378-0.289082273816447i</v>
      </c>
      <c r="EE38" s="1" t="str">
        <f t="shared" si="15"/>
        <v>0.000531210656043385-0.403720098592972i</v>
      </c>
      <c r="EF38" s="1" t="str">
        <f t="shared" si="16"/>
        <v>0.137942867211701i</v>
      </c>
      <c r="EG38" s="1" t="str">
        <f t="shared" si="17"/>
        <v>0.13788541495547i</v>
      </c>
      <c r="EH38" s="1" t="str">
        <f t="shared" si="18"/>
        <v>0.137995215238557i</v>
      </c>
      <c r="EI38" s="1" t="str">
        <f t="shared" si="19"/>
        <v>0.137981735306153i</v>
      </c>
      <c r="EJ38" s="1" t="str">
        <f t="shared" si="1"/>
        <v>0.005</v>
      </c>
      <c r="EK38" s="1" t="str">
        <f t="shared" si="2"/>
        <v>0.01</v>
      </c>
      <c r="EL38" s="1" t="str">
        <f t="shared" si="3"/>
        <v>0.0125</v>
      </c>
      <c r="EM38" s="1" t="str">
        <f t="shared" si="329"/>
        <v>0.00507855932237261+0.0782377822085148i</v>
      </c>
      <c r="EN38" s="1" t="str">
        <f t="shared" si="330"/>
        <v>-0.005</v>
      </c>
      <c r="EO38" s="1" t="str">
        <f t="shared" si="331"/>
        <v>0.565592386612211-429.850213825281i</v>
      </c>
      <c r="EP38" s="1" t="str">
        <f t="shared" si="332"/>
        <v>-0.005</v>
      </c>
      <c r="EQ38" s="1" t="str">
        <f t="shared" si="333"/>
        <v>0.0151539121417912+0.020912187194126i</v>
      </c>
      <c r="ER38" s="1" t="str">
        <f t="shared" si="334"/>
        <v>-0.01</v>
      </c>
      <c r="ES38" s="1" t="str">
        <f t="shared" si="335"/>
        <v>1.10809936968923-842.155520963812i</v>
      </c>
      <c r="ET38" s="1" t="str">
        <f t="shared" si="336"/>
        <v>-0.01</v>
      </c>
      <c r="EU38" s="1" t="str">
        <f t="shared" si="337"/>
        <v>0.0228803714129164-0.15108705857789i</v>
      </c>
      <c r="EV38" s="1" t="str">
        <f t="shared" si="338"/>
        <v>-0.0125</v>
      </c>
      <c r="EW38" s="1" t="str">
        <f t="shared" si="339"/>
        <v>2.73850599436219-2081.26455571526i</v>
      </c>
      <c r="EX38" s="1" t="str">
        <f t="shared" si="340"/>
        <v>-0.0125</v>
      </c>
      <c r="EY38" s="1" t="str">
        <f t="shared" si="341"/>
        <v>0.0130312106560434-0.265738363286819i</v>
      </c>
      <c r="EZ38" s="1" t="str">
        <f t="shared" si="342"/>
        <v>3.82448185233018-2906.60620777094i</v>
      </c>
      <c r="FB38" s="1" t="str">
        <f t="shared" si="343"/>
        <v>0.00507855932237261+0.0782377822085148i</v>
      </c>
      <c r="FC38" s="1" t="str">
        <f t="shared" si="344"/>
        <v>0.565592386612211-429.850213825281i</v>
      </c>
      <c r="FD38" s="1" t="str">
        <f t="shared" si="345"/>
        <v>-0.00413096385973597+0.0636395934857913i</v>
      </c>
      <c r="FE38" s="1" t="str">
        <f t="shared" si="346"/>
        <v>0.0151332573224925+0.021230385161555i</v>
      </c>
      <c r="FF38" s="1" t="str">
        <f t="shared" si="347"/>
        <v>-26.2450570562237-843.967210731787i</v>
      </c>
      <c r="FG38" s="1" t="str">
        <f t="shared" si="348"/>
        <v>-0.222631476578315+0.312328793208207i</v>
      </c>
      <c r="FH38" s="1" t="str">
        <f t="shared" si="349"/>
        <v>0.0206540566471333-0.147963770645808i</v>
      </c>
      <c r="FI38" s="1" t="str">
        <f t="shared" si="350"/>
        <v>-266.699730246103-2260.96113502611i</v>
      </c>
      <c r="FJ38" s="1" t="str">
        <f t="shared" si="351"/>
        <v>-0.0115670806882649-0.0828655069190749i</v>
      </c>
      <c r="FK38" s="1" t="str">
        <f t="shared" si="352"/>
        <v>0.0128866221474401-0.266774182123307i</v>
      </c>
      <c r="FL38" s="1" t="str">
        <f t="shared" si="353"/>
        <v>176.32120081418-2930.4534351331i</v>
      </c>
      <c r="FM38" s="1" t="str">
        <f t="shared" si="354"/>
        <v>10991.0517534194+130.011343634722i</v>
      </c>
      <c r="FN38" s="1" t="str">
        <f t="shared" si="355"/>
        <v>14858.0211889028-2947.95133108906i</v>
      </c>
      <c r="FO38" s="1" t="str">
        <f t="shared" si="356"/>
        <v>-24556.6905094047-23266.5525161982i</v>
      </c>
      <c r="FP38" s="1" t="str">
        <f t="shared" si="357"/>
        <v>-7052.74803013832+1104.32656019491i</v>
      </c>
      <c r="FQ38" s="92" t="str">
        <f t="shared" si="358"/>
        <v>-64.8142596549886-851.021889616993i</v>
      </c>
      <c r="FR38" s="1" t="str">
        <f t="shared" si="359"/>
        <v>-152.333972051321-972.876284998956i</v>
      </c>
      <c r="FS38" s="1" t="str">
        <f t="shared" si="360"/>
        <v>87.519712396332+121.854395381966i</v>
      </c>
      <c r="FT38" s="1" t="str">
        <f t="shared" si="361"/>
        <v>2726.45141889982-3711.04986805537i</v>
      </c>
      <c r="FU38" s="1" t="str">
        <f t="shared" si="362"/>
        <v>849.287413373045+2215.04731039873i</v>
      </c>
      <c r="FV38" s="1" t="str">
        <f t="shared" si="363"/>
        <v>-54.5022744306253+1530.63322634886i</v>
      </c>
      <c r="FW38" s="1" t="str">
        <f t="shared" si="364"/>
        <v>-152.333972051321-972.876284998956i</v>
      </c>
      <c r="FX38" s="1" t="str">
        <f t="shared" si="365"/>
        <v>3208.11824827922-3386.00946082232i</v>
      </c>
      <c r="FY38" s="1" t="str">
        <f t="shared" si="366"/>
        <v>406.803178446426+2050.33583198168i</v>
      </c>
      <c r="FZ38" s="1" t="str">
        <f t="shared" si="367"/>
        <v>-17.9391908042035+1516.56439377654i</v>
      </c>
      <c r="GA38" s="1" t="str">
        <f t="shared" si="368"/>
        <v>87.519712396332+121.854395381966i</v>
      </c>
      <c r="GB38" s="1" t="str">
        <f t="shared" si="369"/>
        <v>-394.147116983075-203.186011851091i</v>
      </c>
      <c r="GC38" s="1" t="str">
        <f t="shared" si="370"/>
        <v>48.3371179435425-38.4745334340473i</v>
      </c>
      <c r="GD38" s="92" t="str">
        <f t="shared" si="371"/>
        <v>3456.42229818725-816.391220924773i</v>
      </c>
      <c r="GE38" s="1" t="str">
        <f t="shared" si="63"/>
        <v>1.97288688952171+0.465986907134531i</v>
      </c>
      <c r="GF38" s="1">
        <f t="shared" si="64"/>
        <v>7.6</v>
      </c>
      <c r="GG38" s="56">
        <f t="shared" si="65"/>
        <v>0.44376828398856738</v>
      </c>
      <c r="GH38" s="1">
        <f t="shared" si="66"/>
        <v>0.79790772403224264</v>
      </c>
      <c r="GJ38" s="1">
        <f t="shared" si="372"/>
        <v>3551.5278020887108</v>
      </c>
      <c r="GK38" s="1">
        <f t="shared" si="373"/>
        <v>2.0271720391884487</v>
      </c>
      <c r="GM38" s="1" t="str">
        <f t="shared" si="69"/>
        <v>0.0191834803010191+3.64486125719364i</v>
      </c>
      <c r="GP38" s="1">
        <f t="shared" si="4"/>
        <v>7.6</v>
      </c>
      <c r="GQ38" s="1">
        <f t="shared" si="5"/>
        <v>2.0271720391884487</v>
      </c>
      <c r="GR38" s="1">
        <f t="shared" si="70"/>
        <v>3.6449117396869379</v>
      </c>
      <c r="GS38" s="1">
        <f t="shared" si="71"/>
        <v>1.6174962280106562</v>
      </c>
      <c r="JG38" s="2">
        <f t="shared" si="379"/>
        <v>23</v>
      </c>
      <c r="JH38" s="14">
        <f>AD21</f>
        <v>30</v>
      </c>
      <c r="JI38" s="1" t="str">
        <f t="shared" si="398"/>
        <v>0.202610871618037+78.2918385281187i</v>
      </c>
    </row>
    <row r="39" spans="2:269" ht="18" customHeight="1" x14ac:dyDescent="0.25">
      <c r="B39" s="6"/>
      <c r="F39" s="35" t="s">
        <v>393</v>
      </c>
      <c r="G39" s="292">
        <f>($S$17*$S$17)*1000/F29</f>
        <v>52.89146258503402</v>
      </c>
      <c r="H39" s="292"/>
      <c r="I39" s="292"/>
      <c r="J39" s="292"/>
      <c r="L39" s="249">
        <f>(K29^2/(K29^2-1))*G39</f>
        <v>55.095273526077108</v>
      </c>
      <c r="M39" s="249"/>
      <c r="N39" s="249"/>
      <c r="O39" s="249"/>
      <c r="Q39" s="158">
        <f>ROUND(1000*1000/(2*3.1415*L39*$AK$17),2)</f>
        <v>48.15</v>
      </c>
      <c r="R39" s="158"/>
      <c r="S39" s="158"/>
      <c r="T39" s="158"/>
      <c r="U39" s="158"/>
      <c r="W39" s="249">
        <f>L39/K29^2</f>
        <v>2.2038109410430842</v>
      </c>
      <c r="X39" s="249"/>
      <c r="Y39" s="249"/>
      <c r="Z39" s="249"/>
      <c r="AB39" s="249">
        <f>1000*W39/(2*PI()*$AK$17)</f>
        <v>5.8457900817834743</v>
      </c>
      <c r="AC39" s="249"/>
      <c r="AD39" s="249"/>
      <c r="AE39" s="249"/>
      <c r="AG39" s="249">
        <f>F29/($S$17*SQRT(3))</f>
        <v>136.1194700414996</v>
      </c>
      <c r="AH39" s="249"/>
      <c r="AI39" s="249"/>
      <c r="AJ39" s="249"/>
      <c r="AL39" s="291" t="str">
        <f>"R12: "&amp;ROUND(((AL29*CW46^2)/1000),1)</f>
        <v>R12: 9.7</v>
      </c>
      <c r="AM39" s="254"/>
      <c r="AN39" s="254"/>
      <c r="AO39" s="254"/>
      <c r="AP39" s="8"/>
      <c r="AR39" s="6"/>
      <c r="AZ39" s="200" t="s">
        <v>15</v>
      </c>
      <c r="BA39" s="200"/>
      <c r="BB39" s="200"/>
      <c r="BC39" s="200"/>
      <c r="BD39" s="200"/>
      <c r="BE39" s="18"/>
      <c r="BF39" s="200" t="s">
        <v>387</v>
      </c>
      <c r="BG39" s="200"/>
      <c r="BH39" s="200"/>
      <c r="BI39" s="200"/>
      <c r="BJ39" s="200"/>
      <c r="BK39" s="48"/>
      <c r="BL39" s="48"/>
      <c r="BT39" s="245" t="s">
        <v>388</v>
      </c>
      <c r="BU39" s="245"/>
      <c r="BV39" s="245"/>
      <c r="BW39" s="245"/>
      <c r="BX39" s="245"/>
      <c r="BY39" s="245"/>
      <c r="BZ39" s="245"/>
      <c r="CA39" s="253">
        <f>CU28/U32</f>
        <v>43.830682051979409</v>
      </c>
      <c r="CB39" s="253"/>
      <c r="CC39" s="253"/>
      <c r="CD39" s="33" t="s">
        <v>39</v>
      </c>
      <c r="CE39" s="38"/>
      <c r="CF39" s="8"/>
      <c r="CH39" s="2">
        <f t="shared" si="374"/>
        <v>25</v>
      </c>
      <c r="CI39" s="14">
        <f t="shared" si="380"/>
        <v>59.757416344561783</v>
      </c>
      <c r="CJ39" s="77">
        <f t="shared" si="381"/>
        <v>8.3001508610928507E-3</v>
      </c>
      <c r="CK39" s="14">
        <f t="shared" si="382"/>
        <v>1.1297789538925078</v>
      </c>
      <c r="CL39" s="14">
        <f t="shared" si="383"/>
        <v>2.3059718123659199</v>
      </c>
      <c r="CM39" s="14">
        <f t="shared" si="384"/>
        <v>6.5128391000989039</v>
      </c>
      <c r="CN39" s="14">
        <f t="shared" si="385"/>
        <v>10.051468072501372</v>
      </c>
      <c r="CO39" s="14">
        <f t="shared" si="386"/>
        <v>1.1290575706112636</v>
      </c>
      <c r="CP39" s="14">
        <f t="shared" si="375"/>
        <v>2.8093542721760148E-3</v>
      </c>
      <c r="CQ39" s="14">
        <f t="shared" si="387"/>
        <v>2.3101648809895989</v>
      </c>
      <c r="CR39" s="14">
        <f t="shared" si="376"/>
        <v>1.1766334973432085E-2</v>
      </c>
      <c r="CS39" s="14">
        <f t="shared" si="388"/>
        <v>6.5149196003476648</v>
      </c>
      <c r="CT39" s="14">
        <f t="shared" si="377"/>
        <v>9.3503458848108401E-2</v>
      </c>
      <c r="CU39" s="14">
        <f t="shared" si="389"/>
        <v>10.050163402471167</v>
      </c>
      <c r="CV39" s="14">
        <f t="shared" si="378"/>
        <v>0.22253494924126654</v>
      </c>
      <c r="CW39" s="14">
        <f t="shared" si="390"/>
        <v>1.3033127035283792E-2</v>
      </c>
      <c r="CX39" s="14">
        <f t="shared" si="391"/>
        <v>9.2641926682656306E-2</v>
      </c>
      <c r="CY39" s="14">
        <f t="shared" si="392"/>
        <v>9.7429469884194098E-2</v>
      </c>
      <c r="CZ39" s="2">
        <f t="shared" si="393"/>
        <v>19.999999999999968</v>
      </c>
      <c r="DA39" s="34">
        <f t="shared" si="394"/>
        <v>2.4882294271806247</v>
      </c>
      <c r="DB39" s="34">
        <f t="shared" si="395"/>
        <v>5.0932879597718435</v>
      </c>
      <c r="DC39" s="34">
        <f t="shared" si="396"/>
        <v>14.352204567976319</v>
      </c>
      <c r="DD39" s="34">
        <f t="shared" si="397"/>
        <v>22.142421006463387</v>
      </c>
      <c r="EA39" s="1">
        <f t="shared" si="182"/>
        <v>7.8</v>
      </c>
      <c r="EB39" s="1" t="str">
        <f t="shared" si="12"/>
        <v>0.0000745822954954766-0.058174190486472i</v>
      </c>
      <c r="EC39" s="1" t="str">
        <f t="shared" si="13"/>
        <v>0.000146120415664608-0.113973924218394i</v>
      </c>
      <c r="ED39" s="1" t="str">
        <f t="shared" si="14"/>
        <v>0.000361115298087794-0.28166993250848i</v>
      </c>
      <c r="EE39" s="1" t="str">
        <f t="shared" si="15"/>
        <v>0.000504318379064653-0.39336833567043i</v>
      </c>
      <c r="EF39" s="1" t="str">
        <f t="shared" si="16"/>
        <v>0.141572942664641i</v>
      </c>
      <c r="EG39" s="1" t="str">
        <f t="shared" si="17"/>
        <v>0.141513978506929i</v>
      </c>
      <c r="EH39" s="1" t="str">
        <f t="shared" si="18"/>
        <v>0.14162666827115i</v>
      </c>
      <c r="EI39" s="1" t="str">
        <f t="shared" si="19"/>
        <v>0.141612833603684i</v>
      </c>
      <c r="EJ39" s="1" t="str">
        <f t="shared" si="1"/>
        <v>0.005</v>
      </c>
      <c r="EK39" s="1" t="str">
        <f t="shared" si="2"/>
        <v>0.01</v>
      </c>
      <c r="EL39" s="1" t="str">
        <f t="shared" si="3"/>
        <v>0.0125</v>
      </c>
      <c r="EM39" s="1" t="str">
        <f t="shared" si="329"/>
        <v>0.00507458229549548+0.083398752178169i</v>
      </c>
      <c r="EN39" s="1" t="str">
        <f t="shared" si="330"/>
        <v>-0.005</v>
      </c>
      <c r="EO39" s="1" t="str">
        <f t="shared" si="331"/>
        <v>0.536959551512238-418.828450179547i</v>
      </c>
      <c r="EP39" s="1" t="str">
        <f t="shared" si="332"/>
        <v>-0.005</v>
      </c>
      <c r="EQ39" s="1" t="str">
        <f t="shared" si="333"/>
        <v>0.0151461204156646+0.027540054288535i</v>
      </c>
      <c r="ER39" s="1" t="str">
        <f t="shared" si="334"/>
        <v>-0.01</v>
      </c>
      <c r="ES39" s="1" t="str">
        <f t="shared" si="335"/>
        <v>1.05200238663623-820.561861576255i</v>
      </c>
      <c r="ET39" s="1" t="str">
        <f t="shared" si="336"/>
        <v>-0.01</v>
      </c>
      <c r="EU39" s="1" t="str">
        <f t="shared" si="337"/>
        <v>0.0228611152980878-0.14004326423733i</v>
      </c>
      <c r="EV39" s="1" t="str">
        <f t="shared" si="338"/>
        <v>-0.0125</v>
      </c>
      <c r="EW39" s="1" t="str">
        <f t="shared" si="339"/>
        <v>2.59987048155671-2027.89897561424i</v>
      </c>
      <c r="EX39" s="1" t="str">
        <f t="shared" si="340"/>
        <v>-0.0125</v>
      </c>
      <c r="EY39" s="1" t="str">
        <f t="shared" si="341"/>
        <v>0.0130043183790647-0.251755502066746i</v>
      </c>
      <c r="EZ39" s="1" t="str">
        <f t="shared" si="342"/>
        <v>3.63086934832086-2832.07809169027i</v>
      </c>
      <c r="FB39" s="1" t="str">
        <f t="shared" si="343"/>
        <v>0.00507458229549548+0.083398752178169i</v>
      </c>
      <c r="FC39" s="1" t="str">
        <f t="shared" si="344"/>
        <v>0.536959551512238-418.828450179547i</v>
      </c>
      <c r="FD39" s="1" t="str">
        <f t="shared" si="345"/>
        <v>-0.00363451313747687+0.059731785354983i</v>
      </c>
      <c r="FE39" s="1" t="str">
        <f t="shared" si="346"/>
        <v>0.0151279478499772+0.0278387132153099i</v>
      </c>
      <c r="FF39" s="1" t="str">
        <f t="shared" si="347"/>
        <v>-23.9634171135044-822.116172633457i</v>
      </c>
      <c r="FG39" s="1" t="str">
        <f t="shared" si="348"/>
        <v>-0.150699472453043+0.277319794920174i</v>
      </c>
      <c r="FH39" s="1" t="str">
        <f t="shared" si="349"/>
        <v>0.0213541205735574-0.137270066288128i</v>
      </c>
      <c r="FI39" s="1" t="str">
        <f t="shared" si="350"/>
        <v>-229.000492230889-2145.14591920571i</v>
      </c>
      <c r="FJ39" s="1" t="str">
        <f t="shared" si="351"/>
        <v>-0.0138310557553709-0.0889097696079116i</v>
      </c>
      <c r="FK39" s="1" t="str">
        <f t="shared" si="352"/>
        <v>0.0128314301821226-0.252866874186845i</v>
      </c>
      <c r="FL39" s="1" t="str">
        <f t="shared" si="353"/>
        <v>183.96685901189-2859.89492160272i</v>
      </c>
      <c r="FM39" s="1" t="str">
        <f t="shared" si="354"/>
        <v>11317.6587703698+153.223354381222i</v>
      </c>
      <c r="FN39" s="1" t="str">
        <f t="shared" si="355"/>
        <v>15147.4809864069-2994.03143077095i</v>
      </c>
      <c r="FO39" s="1" t="str">
        <f t="shared" si="356"/>
        <v>-21707.6230599666-16376.58963698i</v>
      </c>
      <c r="FP39" s="1" t="str">
        <f t="shared" si="357"/>
        <v>-6060.1834782657+926.251939561761i</v>
      </c>
      <c r="FQ39" s="92" t="str">
        <f t="shared" si="358"/>
        <v>-52.895014824085-771.443800223004i</v>
      </c>
      <c r="FR39" s="1" t="str">
        <f t="shared" si="359"/>
        <v>-131.13221273259-857.958008105714i</v>
      </c>
      <c r="FS39" s="1" t="str">
        <f t="shared" si="360"/>
        <v>78.2371979085045+86.514207882709i</v>
      </c>
      <c r="FT39" s="1" t="str">
        <f t="shared" si="361"/>
        <v>1870.72811553214-3292.27189308942i</v>
      </c>
      <c r="FU39" s="1" t="str">
        <f t="shared" si="362"/>
        <v>840.458514403392+2239.77216205308i</v>
      </c>
      <c r="FV39" s="1" t="str">
        <f t="shared" si="363"/>
        <v>-62.3500498763407+1619.85322914223i</v>
      </c>
      <c r="FW39" s="1" t="str">
        <f t="shared" si="364"/>
        <v>-131.13221273259-857.958008105714i</v>
      </c>
      <c r="FX39" s="1" t="str">
        <f t="shared" si="365"/>
        <v>2317.51635390438-3071.93210314463i</v>
      </c>
      <c r="FY39" s="1" t="str">
        <f t="shared" si="366"/>
        <v>424.034696239194+2145.2872648054i</v>
      </c>
      <c r="FZ39" s="1" t="str">
        <f t="shared" si="367"/>
        <v>-21.6983933881863+1602.72572823165i</v>
      </c>
      <c r="GA39" s="1" t="str">
        <f t="shared" si="368"/>
        <v>78.2371979085045+86.514207882709i</v>
      </c>
      <c r="GB39" s="1" t="str">
        <f t="shared" si="369"/>
        <v>-368.551040463735-133.82558206209i</v>
      </c>
      <c r="GC39" s="1" t="str">
        <f t="shared" si="370"/>
        <v>47.8727777004638-39.3406848144021i</v>
      </c>
      <c r="GD39" s="92" t="str">
        <f t="shared" si="371"/>
        <v>2595.94156523511-204.090302117114i</v>
      </c>
      <c r="GE39" s="1" t="str">
        <f t="shared" si="63"/>
        <v>2.75635293218468+0.216701681657466i</v>
      </c>
      <c r="GF39" s="1">
        <f t="shared" si="64"/>
        <v>7.8</v>
      </c>
      <c r="GG39" s="56">
        <f t="shared" si="65"/>
        <v>0.57198893215614699</v>
      </c>
      <c r="GH39" s="1">
        <f t="shared" si="66"/>
        <v>0.77389577951820954</v>
      </c>
      <c r="GJ39" s="1">
        <f t="shared" si="372"/>
        <v>2603.9518930912623</v>
      </c>
      <c r="GK39" s="1">
        <f t="shared" si="373"/>
        <v>2.7648582433094573</v>
      </c>
      <c r="GM39" s="1" t="str">
        <f t="shared" si="69"/>
        <v>0.0191834803010191+3.74077865869874i</v>
      </c>
      <c r="GP39" s="1">
        <f t="shared" si="4"/>
        <v>7.8</v>
      </c>
      <c r="GQ39" s="1">
        <f t="shared" si="5"/>
        <v>2.7648582433094573</v>
      </c>
      <c r="GR39" s="1">
        <f t="shared" si="70"/>
        <v>3.7408278467863778</v>
      </c>
      <c r="GS39" s="1">
        <f t="shared" si="71"/>
        <v>2.13971212546332</v>
      </c>
      <c r="JG39" s="2">
        <f t="shared" si="379"/>
        <v>25</v>
      </c>
      <c r="JH39" s="14">
        <f>AF21</f>
        <v>20</v>
      </c>
      <c r="JI39" s="1" t="str">
        <f t="shared" si="398"/>
        <v>0.113245003625902+59.7573090403714i</v>
      </c>
    </row>
    <row r="40" spans="2:269" ht="18" customHeight="1" x14ac:dyDescent="0.25">
      <c r="B40" s="6"/>
      <c r="F40" s="35" t="s">
        <v>394</v>
      </c>
      <c r="G40" s="292">
        <f>($S$17*$S$17)*1000/F30</f>
        <v>53.993368055555564</v>
      </c>
      <c r="H40" s="292"/>
      <c r="I40" s="292"/>
      <c r="J40" s="292"/>
      <c r="L40" s="249">
        <f>(K30^2/(K30^2-1))*G40</f>
        <v>55.118229890046301</v>
      </c>
      <c r="M40" s="249"/>
      <c r="N40" s="249"/>
      <c r="O40" s="249"/>
      <c r="Q40" s="158">
        <f t="shared" ref="Q40:Q42" si="399">ROUND(1000*1000/(2*3.1415*L40*$AK$17),2)</f>
        <v>48.13</v>
      </c>
      <c r="R40" s="158"/>
      <c r="S40" s="158"/>
      <c r="T40" s="158"/>
      <c r="U40" s="158"/>
      <c r="W40" s="249">
        <f>L40/K30^2</f>
        <v>1.1248618344907408</v>
      </c>
      <c r="X40" s="249"/>
      <c r="Y40" s="249"/>
      <c r="Z40" s="249"/>
      <c r="AB40" s="249">
        <f>1000*W40/(2*PI()*$AK$17)</f>
        <v>2.9837886875769812</v>
      </c>
      <c r="AC40" s="249"/>
      <c r="AD40" s="249"/>
      <c r="AE40" s="249"/>
      <c r="AG40" s="249">
        <f>F30/($S$17*SQRT(3))</f>
        <v>133.34152167330572</v>
      </c>
      <c r="AH40" s="249"/>
      <c r="AI40" s="249"/>
      <c r="AJ40" s="249"/>
      <c r="AL40" s="292" t="str">
        <f>"R23: "&amp;ROUND(((AL30*CX46^2)/1000),1)</f>
        <v>R23: 7</v>
      </c>
      <c r="AM40" s="158"/>
      <c r="AN40" s="158"/>
      <c r="AO40" s="158"/>
      <c r="AP40" s="8"/>
      <c r="AR40" s="6"/>
      <c r="AS40" s="172" t="s">
        <v>20</v>
      </c>
      <c r="AT40" s="172"/>
      <c r="AU40" s="172"/>
      <c r="AV40" s="172"/>
      <c r="AW40" s="172"/>
      <c r="AX40" s="172"/>
      <c r="AY40" s="172"/>
      <c r="AZ40" s="201"/>
      <c r="BA40" s="201"/>
      <c r="BB40" s="201"/>
      <c r="BC40" s="201"/>
      <c r="BD40" s="201"/>
      <c r="BF40" s="201"/>
      <c r="BG40" s="201"/>
      <c r="BH40" s="201"/>
      <c r="BI40" s="201"/>
      <c r="BJ40" s="201"/>
      <c r="BK40" s="82"/>
      <c r="BL40" s="172" t="s">
        <v>21</v>
      </c>
      <c r="BM40" s="172"/>
      <c r="BN40" s="172"/>
      <c r="BO40" s="172"/>
      <c r="BQ40" s="208" t="s">
        <v>389</v>
      </c>
      <c r="BR40" s="208"/>
      <c r="BS40" s="208"/>
      <c r="BT40" s="208"/>
      <c r="BU40" s="208"/>
      <c r="BV40" s="208"/>
      <c r="BW40" s="208"/>
      <c r="BX40" s="208"/>
      <c r="BY40" s="208"/>
      <c r="BZ40" s="208"/>
      <c r="CA40" s="185">
        <f>1.8*CA39</f>
        <v>78.895227693562944</v>
      </c>
      <c r="CB40" s="185"/>
      <c r="CC40" s="185"/>
      <c r="CD40" s="33" t="s">
        <v>39</v>
      </c>
      <c r="CE40" s="38"/>
      <c r="CF40" s="8"/>
      <c r="CH40" s="2">
        <f t="shared" si="374"/>
        <v>29</v>
      </c>
      <c r="CI40" s="14">
        <f t="shared" si="380"/>
        <v>7.4189433965682641</v>
      </c>
      <c r="CJ40" s="77">
        <f t="shared" si="381"/>
        <v>1.0304720851109744E-3</v>
      </c>
      <c r="CK40" s="14">
        <f t="shared" si="382"/>
        <v>0.11963805131076884</v>
      </c>
      <c r="CL40" s="14">
        <f t="shared" si="383"/>
        <v>0.24151178961294464</v>
      </c>
      <c r="CM40" s="14">
        <f t="shared" si="384"/>
        <v>0.65652774566865191</v>
      </c>
      <c r="CN40" s="14">
        <f t="shared" si="385"/>
        <v>0.98232419113187674</v>
      </c>
      <c r="CO40" s="14">
        <f t="shared" si="386"/>
        <v>0.11958766410221763</v>
      </c>
      <c r="CP40" s="14">
        <f t="shared" si="375"/>
        <v>2.7169967032606468E-5</v>
      </c>
      <c r="CQ40" s="14">
        <f t="shared" si="387"/>
        <v>0.24181213731603388</v>
      </c>
      <c r="CR40" s="14">
        <f t="shared" si="376"/>
        <v>1.1113566571624023E-4</v>
      </c>
      <c r="CS40" s="14">
        <f t="shared" si="388"/>
        <v>0.65661556632417162</v>
      </c>
      <c r="CT40" s="14">
        <f t="shared" si="377"/>
        <v>8.1879261090208558E-4</v>
      </c>
      <c r="CU40" s="14">
        <f t="shared" si="389"/>
        <v>0.98227021526006464</v>
      </c>
      <c r="CV40" s="14">
        <f t="shared" si="378"/>
        <v>1.8325504633192316E-3</v>
      </c>
      <c r="CW40" s="14">
        <f t="shared" si="390"/>
        <v>1.1624158878649489E-3</v>
      </c>
      <c r="CX40" s="14">
        <f t="shared" si="391"/>
        <v>7.8771702354019507E-3</v>
      </c>
      <c r="CY40" s="14">
        <f t="shared" si="392"/>
        <v>7.735160634687651E-3</v>
      </c>
      <c r="CZ40" s="2">
        <f t="shared" si="393"/>
        <v>1.9999999999999996</v>
      </c>
      <c r="DA40" s="34">
        <f t="shared" si="394"/>
        <v>0.22719707117435542</v>
      </c>
      <c r="DB40" s="34">
        <f t="shared" si="395"/>
        <v>0.4595950680961588</v>
      </c>
      <c r="DC40" s="34">
        <f t="shared" si="396"/>
        <v>1.2469893388087125</v>
      </c>
      <c r="DD40" s="34">
        <f t="shared" si="397"/>
        <v>1.8656276397773621</v>
      </c>
      <c r="EA40" s="1">
        <f t="shared" si="182"/>
        <v>8</v>
      </c>
      <c r="EB40" s="1" t="str">
        <f t="shared" si="12"/>
        <v>0.0000708998004092861-0.0567198403274291i</v>
      </c>
      <c r="EC40" s="1" t="str">
        <f t="shared" si="13"/>
        <v>0.000138905731414112-0.11112458513129i</v>
      </c>
      <c r="ED40" s="1" t="str">
        <f t="shared" si="14"/>
        <v>0.000343285258104148-0.274628206483318i</v>
      </c>
      <c r="EE40" s="1" t="str">
        <f t="shared" si="15"/>
        <v>0.000479417698005652-0.383534158404521i</v>
      </c>
      <c r="EF40" s="1" t="str">
        <f t="shared" si="16"/>
        <v>0.14520301811758i</v>
      </c>
      <c r="EG40" s="1" t="str">
        <f t="shared" si="17"/>
        <v>0.145142542058389i</v>
      </c>
      <c r="EH40" s="1" t="str">
        <f t="shared" si="18"/>
        <v>0.145258121303744i</v>
      </c>
      <c r="EI40" s="1" t="str">
        <f t="shared" si="19"/>
        <v>0.145243931901214i</v>
      </c>
      <c r="EJ40" s="1" t="str">
        <f t="shared" si="1"/>
        <v>0.005</v>
      </c>
      <c r="EK40" s="1" t="str">
        <f t="shared" si="2"/>
        <v>0.01</v>
      </c>
      <c r="EL40" s="1" t="str">
        <f t="shared" si="3"/>
        <v>0.0125</v>
      </c>
      <c r="EM40" s="1" t="str">
        <f t="shared" si="329"/>
        <v>0.00507089980040929+0.0884831777901509i</v>
      </c>
      <c r="EN40" s="1" t="str">
        <f t="shared" si="330"/>
        <v>-0.005</v>
      </c>
      <c r="EO40" s="1" t="str">
        <f t="shared" si="331"/>
        <v>0.510447215081847-408.357772065479i</v>
      </c>
      <c r="EP40" s="1" t="str">
        <f t="shared" si="332"/>
        <v>-0.005</v>
      </c>
      <c r="EQ40" s="1" t="str">
        <f t="shared" si="333"/>
        <v>0.0151389057314141+0.034017956927099i</v>
      </c>
      <c r="ER40" s="1" t="str">
        <f t="shared" si="334"/>
        <v>-0.01</v>
      </c>
      <c r="ES40" s="1" t="str">
        <f t="shared" si="335"/>
        <v>1.00005984995628-800.047879965023i</v>
      </c>
      <c r="ET40" s="1" t="str">
        <f t="shared" si="336"/>
        <v>-0.01</v>
      </c>
      <c r="EU40" s="1" t="str">
        <f t="shared" si="337"/>
        <v>0.0228432852581041-0.129370085179574i</v>
      </c>
      <c r="EV40" s="1" t="str">
        <f t="shared" si="338"/>
        <v>-0.0125</v>
      </c>
      <c r="EW40" s="1" t="str">
        <f t="shared" si="339"/>
        <v>2.47150207710549-1977.20166168439i</v>
      </c>
      <c r="EX40" s="1" t="str">
        <f t="shared" si="340"/>
        <v>-0.0125</v>
      </c>
      <c r="EY40" s="1" t="str">
        <f t="shared" si="341"/>
        <v>0.0129794176980057-0.238290226503307i</v>
      </c>
      <c r="EZ40" s="1" t="str">
        <f t="shared" si="342"/>
        <v>3.45159545436299-2761.27636349039i</v>
      </c>
      <c r="FB40" s="1" t="str">
        <f t="shared" si="343"/>
        <v>0.00507089980040929+0.0884831777901509i</v>
      </c>
      <c r="FC40" s="1" t="str">
        <f t="shared" si="344"/>
        <v>0.510447215081847-408.357772065479i</v>
      </c>
      <c r="FD40" s="1" t="str">
        <f t="shared" si="345"/>
        <v>-0.00322782198405261+0.0563229323653432i</v>
      </c>
      <c r="FE40" s="1" t="str">
        <f t="shared" si="346"/>
        <v>0.0151227666214938+0.0342995715889257i</v>
      </c>
      <c r="FF40" s="1" t="str">
        <f t="shared" si="347"/>
        <v>-21.9981996942074-801.394736043026i</v>
      </c>
      <c r="FG40" s="1" t="str">
        <f t="shared" si="348"/>
        <v>-0.107623194596439+0.244097496184519i</v>
      </c>
      <c r="FH40" s="1" t="str">
        <f t="shared" si="349"/>
        <v>0.0217670533121397-0.126929110217729i</v>
      </c>
      <c r="FI40" s="1" t="str">
        <f t="shared" si="350"/>
        <v>-195.514462972912-2058.08061784419i</v>
      </c>
      <c r="FJ40" s="1" t="str">
        <f t="shared" si="351"/>
        <v>-0.0164058720538853-0.0956667267858532i</v>
      </c>
      <c r="FK40" s="1" t="str">
        <f t="shared" si="352"/>
        <v>0.0127743442973321-0.23948606058813i</v>
      </c>
      <c r="FL40" s="1" t="str">
        <f t="shared" si="353"/>
        <v>192.644553770116-2793.47764046275i</v>
      </c>
      <c r="FM40" s="1" t="str">
        <f t="shared" si="354"/>
        <v>11674.1606673354+181.70078841473i</v>
      </c>
      <c r="FN40" s="1" t="str">
        <f t="shared" si="355"/>
        <v>15668.7221390702-3077.69718148469i</v>
      </c>
      <c r="FO40" s="1" t="str">
        <f t="shared" si="356"/>
        <v>-18863.5367491656-12243.8230612096i</v>
      </c>
      <c r="FP40" s="1" t="str">
        <f t="shared" si="357"/>
        <v>-5350.14806561842+753.557607648032i</v>
      </c>
      <c r="FQ40" s="92" t="str">
        <f t="shared" si="358"/>
        <v>-41.8518955382215-711.870743159442i</v>
      </c>
      <c r="FR40" s="1" t="str">
        <f t="shared" si="359"/>
        <v>-109.418838955957-776.857646503727i</v>
      </c>
      <c r="FS40" s="1" t="str">
        <f t="shared" si="360"/>
        <v>67.566943417736+64.986903344288i</v>
      </c>
      <c r="FT40" s="1" t="str">
        <f t="shared" si="361"/>
        <v>1364.21007131699-2894.54983812727i</v>
      </c>
      <c r="FU40" s="1" t="str">
        <f t="shared" si="362"/>
        <v>842.315117803336+2326.92792532523i</v>
      </c>
      <c r="FV40" s="1" t="str">
        <f t="shared" si="363"/>
        <v>-71.8336627450005+1716.07591256155i</v>
      </c>
      <c r="FW40" s="1" t="str">
        <f t="shared" si="364"/>
        <v>-109.418838955957-776.857646503727i</v>
      </c>
      <c r="FX40" s="1" t="str">
        <f t="shared" si="365"/>
        <v>1777.09960361709-2737.90167598573i</v>
      </c>
      <c r="FY40" s="1" t="str">
        <f t="shared" si="366"/>
        <v>447.060510524294+2276.00914115172i</v>
      </c>
      <c r="FZ40" s="1" t="str">
        <f t="shared" si="367"/>
        <v>-26.3909369389059+1695.60099697029i</v>
      </c>
      <c r="GA40" s="1" t="str">
        <f t="shared" si="368"/>
        <v>67.566943417736+64.986903344288i</v>
      </c>
      <c r="GB40" s="1" t="str">
        <f t="shared" si="369"/>
        <v>-345.322588882358-91.6612587972491i</v>
      </c>
      <c r="GC40" s="1" t="str">
        <f t="shared" si="370"/>
        <v>49.932018396685-40.7424746237428i</v>
      </c>
      <c r="GD40" s="92" t="str">
        <f t="shared" si="371"/>
        <v>2092.8396308371+436.583256600068i</v>
      </c>
      <c r="GE40" s="1" t="str">
        <f t="shared" si="63"/>
        <v>3.29663002004741-0.687703658106938i</v>
      </c>
      <c r="GF40" s="1">
        <f t="shared" si="64"/>
        <v>8</v>
      </c>
      <c r="GG40" s="56">
        <f t="shared" si="65"/>
        <v>0.73643599180745745</v>
      </c>
      <c r="GH40" s="1">
        <f t="shared" si="66"/>
        <v>0.83903057671469672</v>
      </c>
      <c r="GJ40" s="1">
        <f t="shared" si="372"/>
        <v>2137.8921068065829</v>
      </c>
      <c r="GK40" s="72">
        <f t="shared" si="373"/>
        <v>3.3675964441202648</v>
      </c>
      <c r="GM40" s="1" t="str">
        <f t="shared" si="69"/>
        <v>0.0191834803010191+3.83669606020383i</v>
      </c>
      <c r="GP40" s="1">
        <f t="shared" si="4"/>
        <v>8</v>
      </c>
      <c r="GQ40" s="1">
        <f t="shared" si="5"/>
        <v>3.3675964441202648</v>
      </c>
      <c r="GR40" s="1">
        <f t="shared" si="70"/>
        <v>3.8367440186048443</v>
      </c>
      <c r="GS40" s="1">
        <f t="shared" si="71"/>
        <v>2.8255163866525854</v>
      </c>
      <c r="JG40" s="2">
        <f t="shared" si="379"/>
        <v>29</v>
      </c>
      <c r="JH40" s="14">
        <f>AH21</f>
        <v>2</v>
      </c>
      <c r="JI40" s="1" t="str">
        <f t="shared" si="398"/>
        <v>0.00867782925534832+7.41893832140174i</v>
      </c>
    </row>
    <row r="41" spans="2:269" ht="18" customHeight="1" x14ac:dyDescent="0.25">
      <c r="B41" s="6"/>
      <c r="F41" s="35" t="s">
        <v>395</v>
      </c>
      <c r="G41" s="219">
        <f>($S$17*$S$17)*1000/F31</f>
        <v>54.619213206884446</v>
      </c>
      <c r="H41" s="219"/>
      <c r="I41" s="219"/>
      <c r="J41" s="219"/>
      <c r="L41" s="219">
        <f>(K31^2/(K31^2-1))*G41</f>
        <v>55.074373316941816</v>
      </c>
      <c r="M41" s="219"/>
      <c r="N41" s="219"/>
      <c r="O41" s="219"/>
      <c r="Q41" s="158">
        <f t="shared" si="399"/>
        <v>48.17</v>
      </c>
      <c r="R41" s="158"/>
      <c r="S41" s="158"/>
      <c r="T41" s="158"/>
      <c r="U41" s="158"/>
      <c r="W41" s="219">
        <f>L41/K31^2</f>
        <v>0.45516011005737039</v>
      </c>
      <c r="X41" s="219"/>
      <c r="Y41" s="219"/>
      <c r="Z41" s="219"/>
      <c r="AB41" s="219">
        <f>1000*W41/(2*PI()*$AK$17)</f>
        <v>1.2073496902313601</v>
      </c>
      <c r="AC41" s="219"/>
      <c r="AD41" s="219"/>
      <c r="AE41" s="219"/>
      <c r="AG41" s="249">
        <f>F31/($S$17*SQRT(3))</f>
        <v>131.8136500707991</v>
      </c>
      <c r="AH41" s="249"/>
      <c r="AI41" s="249"/>
      <c r="AJ41" s="249"/>
      <c r="AL41" s="292" t="str">
        <f>"R34: "&amp;ROUND(((AL31*CY46^2)/1000),1)</f>
        <v>R34: 2.8</v>
      </c>
      <c r="AM41" s="158"/>
      <c r="AN41" s="158"/>
      <c r="AO41" s="158"/>
      <c r="AP41" s="8"/>
      <c r="AR41" s="6"/>
      <c r="AY41" s="29" t="s">
        <v>26</v>
      </c>
      <c r="AZ41" s="209">
        <f>CA42/$P$32</f>
        <v>0.7300813227010885</v>
      </c>
      <c r="BA41" s="209"/>
      <c r="BB41" s="209"/>
      <c r="BC41" s="209"/>
      <c r="BD41" s="209"/>
      <c r="BF41" s="209">
        <f>(DD50/1000)/P32</f>
        <v>0.8028585327896316</v>
      </c>
      <c r="BG41" s="209"/>
      <c r="BH41" s="209"/>
      <c r="BI41" s="209"/>
      <c r="BJ41" s="209"/>
      <c r="BK41" s="82"/>
      <c r="BL41" s="210">
        <f>IF(LEFT(C24,2)="SD",1.1,1.25)</f>
        <v>1.25</v>
      </c>
      <c r="BM41" s="210"/>
      <c r="BN41" s="210"/>
      <c r="BO41" s="210"/>
      <c r="BQ41" s="23"/>
      <c r="BR41" s="23"/>
      <c r="BS41" s="23"/>
      <c r="BT41" s="23"/>
      <c r="BU41" s="23"/>
      <c r="BV41" s="23"/>
      <c r="BW41" s="23"/>
      <c r="BX41" s="23"/>
      <c r="BY41" s="23"/>
      <c r="BZ41" s="32" t="s">
        <v>51</v>
      </c>
      <c r="CA41" s="211">
        <f>AG42*L42/1000</f>
        <v>7.2424123678469829</v>
      </c>
      <c r="CB41" s="211"/>
      <c r="CC41" s="211"/>
      <c r="CD41" s="24" t="s">
        <v>32</v>
      </c>
      <c r="CE41" s="24"/>
      <c r="CF41" s="8"/>
      <c r="CH41" s="72">
        <f>JJ18</f>
        <v>31</v>
      </c>
      <c r="CI41" s="14">
        <f t="shared" si="380"/>
        <v>8.1160869249518477</v>
      </c>
      <c r="CJ41" s="77">
        <f t="shared" si="381"/>
        <v>1.1273035214644789E-3</v>
      </c>
      <c r="CK41" s="14">
        <f t="shared" si="382"/>
        <v>0.14241996702673532</v>
      </c>
      <c r="CL41" s="14">
        <f t="shared" ref="CL41:CL43" si="400">IMABS(LC18)</f>
        <v>0.28429064485515981</v>
      </c>
      <c r="CM41" s="14">
        <f t="shared" ref="CM41:CM43" si="401">IMABS(LD18)</f>
        <v>0.76839498979264786</v>
      </c>
      <c r="CN41" s="14">
        <f t="shared" ref="CN41:CN43" si="402">IMABS(LE18)</f>
        <v>1.1381241927227579</v>
      </c>
      <c r="CO41" s="14">
        <f t="shared" ref="CO41:CO43" si="403">IMABS(LF18)</f>
        <v>0.14235308045904477</v>
      </c>
      <c r="CP41" s="14">
        <f t="shared" ref="CP41:CP43" si="404">CO41^2*$L$39/(CH41*1000)</f>
        <v>3.6015246264051658E-5</v>
      </c>
      <c r="CQ41" s="14">
        <f t="shared" ref="CQ41:CQ43" si="405">IMABS(LG18)</f>
        <v>0.24567390248741444</v>
      </c>
      <c r="CR41" s="14">
        <f t="shared" ref="CR41:CR43" si="406">CQ41^2*$L$40/(CH41*1000)</f>
        <v>1.0731282238014757E-4</v>
      </c>
      <c r="CS41" s="14">
        <f t="shared" ref="CS41:CS43" si="407">IMABS(LH18)</f>
        <v>0.76841191111590867</v>
      </c>
      <c r="CT41" s="14">
        <f t="shared" ref="CT41:CT43" si="408">CS41^2*$L$41/(CH41*1000)</f>
        <v>1.0490013489850342E-3</v>
      </c>
      <c r="CU41" s="14">
        <f t="shared" ref="CU41:CU43" si="409">IMABS(LI18)</f>
        <v>1.1380823175823422</v>
      </c>
      <c r="CV41" s="14">
        <f t="shared" ref="CV41:CV43" si="410">CU41^2*$L$42/(CH41*1000)</f>
        <v>2.3013233684153977E-3</v>
      </c>
      <c r="CW41" s="14">
        <f t="shared" ref="CW41:CW43" si="411">IMABS(LJ18)</f>
        <v>9.2034013400345922E-4</v>
      </c>
      <c r="CX41" s="14">
        <f t="shared" ref="CX41:CX43" si="412">IMABS(LK18)</f>
        <v>9.2879720880553029E-3</v>
      </c>
      <c r="CY41" s="14">
        <f t="shared" ref="CY41:CY43" si="413">IMABS(LL18)</f>
        <v>8.2132460426785313E-3</v>
      </c>
      <c r="CZ41" s="2">
        <f t="shared" ref="CZ41:CZ43" si="414">IMABS(LM18)</f>
        <v>2.3332284629818245</v>
      </c>
      <c r="DA41" s="34">
        <f t="shared" ref="DA41:DA43" si="415">CO41/IMABS(JO18)</f>
        <v>0.25299941629582989</v>
      </c>
      <c r="DB41" s="34">
        <f t="shared" ref="DB41:DB43" si="416">CQ41/IMABS(JP18)</f>
        <v>0.43681002049310197</v>
      </c>
      <c r="DC41" s="34">
        <f t="shared" ref="DC41:DC43" si="417">CS41/IMABS(JQ18)</f>
        <v>1.3651549823865221</v>
      </c>
      <c r="DD41" s="34">
        <f t="shared" ref="DD41:DD43" si="418">CU41/IMABS(JR18)</f>
        <v>2.0221062508941903</v>
      </c>
      <c r="EA41" s="1">
        <f t="shared" si="182"/>
        <v>8.1999999999999993</v>
      </c>
      <c r="EB41" s="1" t="str">
        <f t="shared" si="12"/>
        <v>0.0000674834557975726-0.0553364337540097i</v>
      </c>
      <c r="EC41" s="1" t="str">
        <f t="shared" si="13"/>
        <v>0.000132212484827898-0.108414237558876i</v>
      </c>
      <c r="ED41" s="1" t="str">
        <f t="shared" si="14"/>
        <v>0.000326743875264778-0.267929977717118i</v>
      </c>
      <c r="EE41" s="1" t="str">
        <f t="shared" si="15"/>
        <v>0.000456316701107396-0.374179694908065i</v>
      </c>
      <c r="EF41" s="1" t="str">
        <f t="shared" si="16"/>
        <v>0.14883309357052i</v>
      </c>
      <c r="EG41" s="1" t="str">
        <f t="shared" si="17"/>
        <v>0.148771105609849i</v>
      </c>
      <c r="EH41" s="1" t="str">
        <f t="shared" si="18"/>
        <v>0.148889574336337i</v>
      </c>
      <c r="EI41" s="1" t="str">
        <f t="shared" si="19"/>
        <v>0.148875030198744i</v>
      </c>
      <c r="EJ41" s="1" t="str">
        <f t="shared" si="1"/>
        <v>0.005</v>
      </c>
      <c r="EK41" s="1" t="str">
        <f t="shared" si="2"/>
        <v>0.01</v>
      </c>
      <c r="EL41" s="1" t="str">
        <f t="shared" si="3"/>
        <v>0.0125</v>
      </c>
      <c r="EM41" s="1" t="str">
        <f t="shared" si="329"/>
        <v>0.00506748345579757+0.0934966598165103i</v>
      </c>
      <c r="EN41" s="1" t="str">
        <f t="shared" si="330"/>
        <v>-0.005</v>
      </c>
      <c r="EO41" s="1" t="str">
        <f t="shared" si="331"/>
        <v>0.485851044391067-398.397856400676i</v>
      </c>
      <c r="EP41" s="1" t="str">
        <f t="shared" si="332"/>
        <v>-0.005</v>
      </c>
      <c r="EQ41" s="1" t="str">
        <f t="shared" si="333"/>
        <v>0.0151322124848279+0.040356868050973i</v>
      </c>
      <c r="ER41" s="1" t="str">
        <f t="shared" si="334"/>
        <v>-0.01</v>
      </c>
      <c r="ES41" s="1" t="str">
        <f t="shared" si="335"/>
        <v>0.951871433909034-780.534575805406i</v>
      </c>
      <c r="ET41" s="1" t="str">
        <f t="shared" si="336"/>
        <v>-0.01</v>
      </c>
      <c r="EU41" s="1" t="str">
        <f t="shared" si="337"/>
        <v>0.0228267438752648-0.119040403380781i</v>
      </c>
      <c r="EV41" s="1" t="str">
        <f t="shared" si="338"/>
        <v>-0.0125</v>
      </c>
      <c r="EW41" s="1" t="str">
        <f t="shared" si="339"/>
        <v>2.35241143432206-1928.97737614409i</v>
      </c>
      <c r="EX41" s="1" t="str">
        <f t="shared" si="340"/>
        <v>-0.0125</v>
      </c>
      <c r="EY41" s="1" t="str">
        <f t="shared" si="341"/>
        <v>0.0129563167011074-0.225304664709321i</v>
      </c>
      <c r="EZ41" s="1" t="str">
        <f t="shared" si="342"/>
        <v>3.28527849064436-2693.92836232838i</v>
      </c>
      <c r="FB41" s="1" t="str">
        <f t="shared" si="343"/>
        <v>0.00506748345579757+0.0934966598165103i</v>
      </c>
      <c r="FC41" s="1" t="str">
        <f t="shared" si="344"/>
        <v>0.485851044391067-398.397856400676i</v>
      </c>
      <c r="FD41" s="1" t="str">
        <f t="shared" si="345"/>
        <v>-0.00288998932957443+0.0533212099412839i</v>
      </c>
      <c r="FE41" s="1" t="str">
        <f t="shared" si="346"/>
        <v>0.01511776253818+0.0406234741006794i</v>
      </c>
      <c r="FF41" s="1" t="str">
        <f t="shared" si="347"/>
        <v>-20.2897802030549-781.711847524867i</v>
      </c>
      <c r="FG41" s="1" t="str">
        <f t="shared" si="348"/>
        <v>-0.0804644176009641+0.21621878080065i</v>
      </c>
      <c r="FH41" s="1" t="str">
        <f t="shared" si="349"/>
        <v>0.0220220996992552-0.116878215572775i</v>
      </c>
      <c r="FI41" s="1" t="str">
        <f t="shared" si="350"/>
        <v>-168.300976522219-1987.49033314873i</v>
      </c>
      <c r="FJ41" s="1" t="str">
        <f t="shared" si="351"/>
        <v>-0.0194603540286821-0.103282224871761i</v>
      </c>
      <c r="FK41" s="1" t="str">
        <f t="shared" si="352"/>
        <v>0.0127130622757489-0.226595692520218i</v>
      </c>
      <c r="FL41" s="1" t="str">
        <f t="shared" si="353"/>
        <v>202.56013238543-2731.22398269471i</v>
      </c>
      <c r="FM41" s="1" t="str">
        <f t="shared" si="354"/>
        <v>12065.4663728202+216.999301508901i</v>
      </c>
      <c r="FN41" s="1" t="str">
        <f t="shared" si="355"/>
        <v>16372.1642310587-3234.41009086537i</v>
      </c>
      <c r="FO41" s="1" t="str">
        <f t="shared" si="356"/>
        <v>-16447.3023423908-9651.52001381612i</v>
      </c>
      <c r="FP41" s="1" t="str">
        <f t="shared" si="357"/>
        <v>-4810.49358057177+613.642927419998i</v>
      </c>
      <c r="FQ41" s="92" t="str">
        <f t="shared" si="358"/>
        <v>-33.1463314264932-664.634826491443i</v>
      </c>
      <c r="FR41" s="1" t="str">
        <f t="shared" si="359"/>
        <v>-91.3303752355884-715.960641197624i</v>
      </c>
      <c r="FS41" s="1" t="str">
        <f t="shared" si="360"/>
        <v>58.184043809095+51.3258147061805i</v>
      </c>
      <c r="FT41" s="1" t="str">
        <f t="shared" si="361"/>
        <v>1049.48859372742-2562.38026771262i</v>
      </c>
      <c r="FU41" s="1" t="str">
        <f t="shared" si="362"/>
        <v>863.598330620575+2458.67304515175i</v>
      </c>
      <c r="FV41" s="1" t="str">
        <f t="shared" si="363"/>
        <v>-83.417127755787+1820.6251435716i</v>
      </c>
      <c r="FW41" s="1" t="str">
        <f t="shared" si="364"/>
        <v>-91.3303752355884-715.960641197624i</v>
      </c>
      <c r="FX41" s="1" t="str">
        <f t="shared" si="365"/>
        <v>1435.86730327101-2446.88335377694i</v>
      </c>
      <c r="FY41" s="1" t="str">
        <f t="shared" si="366"/>
        <v>481.569941658098+2437.64456332693i</v>
      </c>
      <c r="FZ41" s="1" t="str">
        <f t="shared" si="367"/>
        <v>-32.305777565244+1796.24667061554i</v>
      </c>
      <c r="GA41" s="1" t="str">
        <f t="shared" si="368"/>
        <v>58.184043809095+51.3258147061805i</v>
      </c>
      <c r="GB41" s="1" t="str">
        <f t="shared" si="369"/>
        <v>-328.194665734495-64.1710992295075i</v>
      </c>
      <c r="GC41" s="1" t="str">
        <f t="shared" si="370"/>
        <v>53.8337232279813-43.1426174046784i</v>
      </c>
      <c r="GD41" s="92" t="str">
        <f t="shared" si="371"/>
        <v>1796.52346516571+1052.28309451929i</v>
      </c>
      <c r="GE41" s="1" t="str">
        <f t="shared" si="63"/>
        <v>2.98380219443951-1.74771143682704i</v>
      </c>
      <c r="GF41" s="1">
        <f t="shared" si="64"/>
        <v>8.1999999999999993</v>
      </c>
      <c r="GG41" s="56">
        <f t="shared" si="65"/>
        <v>0.93113417700164702</v>
      </c>
      <c r="GH41" s="1">
        <f t="shared" si="66"/>
        <v>1.0589542937054428</v>
      </c>
      <c r="GJ41" s="1">
        <f t="shared" si="372"/>
        <v>2082.0173562922337</v>
      </c>
      <c r="GK41" s="1">
        <f t="shared" si="373"/>
        <v>3.4579720649476151</v>
      </c>
      <c r="GM41" s="1" t="str">
        <f t="shared" si="69"/>
        <v>0.0191834803010191+3.93261346170893i</v>
      </c>
      <c r="GP41" s="1">
        <f t="shared" si="4"/>
        <v>8.1999999999999993</v>
      </c>
      <c r="GQ41" s="1">
        <f t="shared" si="5"/>
        <v>3.4579720649476151</v>
      </c>
      <c r="GR41" s="1">
        <f t="shared" si="70"/>
        <v>3.9326602504069372</v>
      </c>
      <c r="GS41" s="1">
        <f t="shared" si="71"/>
        <v>3.6618343656897632</v>
      </c>
      <c r="JG41" s="2">
        <f t="shared" si="379"/>
        <v>31</v>
      </c>
      <c r="JH41" s="15">
        <f>AJ21</f>
        <v>2</v>
      </c>
      <c r="JI41" s="1" t="str">
        <f t="shared" si="398"/>
        <v>0.00782726677755444+8.11608315058866i</v>
      </c>
    </row>
    <row r="42" spans="2:269" ht="18" customHeight="1" thickBot="1" x14ac:dyDescent="0.3">
      <c r="B42" s="6"/>
      <c r="F42" s="35" t="s">
        <v>396</v>
      </c>
      <c r="G42" s="219">
        <f>($S$17*$S$17)*1000/F32</f>
        <v>54.753838028169021</v>
      </c>
      <c r="H42" s="219"/>
      <c r="I42" s="219"/>
      <c r="J42" s="219"/>
      <c r="L42" s="219">
        <f>(K32^2/(K32^2-1))*G42</f>
        <v>55.079753730717648</v>
      </c>
      <c r="M42" s="219"/>
      <c r="N42" s="219"/>
      <c r="O42" s="219"/>
      <c r="Q42" s="158">
        <f t="shared" si="399"/>
        <v>48.16</v>
      </c>
      <c r="R42" s="158"/>
      <c r="S42" s="158"/>
      <c r="T42" s="158"/>
      <c r="U42" s="158"/>
      <c r="W42" s="219">
        <f>L42/K32^2</f>
        <v>0.32591570254862512</v>
      </c>
      <c r="X42" s="219"/>
      <c r="Y42" s="219"/>
      <c r="Z42" s="219"/>
      <c r="AB42" s="219">
        <f>1000*W42/(2*PI()*$AK$17)</f>
        <v>0.86451825153135875</v>
      </c>
      <c r="AC42" s="219"/>
      <c r="AD42" s="219"/>
      <c r="AE42" s="219"/>
      <c r="AG42" s="220">
        <f>F32/($S$17*SQRT(3))</f>
        <v>131.48955609450979</v>
      </c>
      <c r="AH42" s="220"/>
      <c r="AI42" s="220"/>
      <c r="AJ42" s="220"/>
      <c r="AP42" s="8"/>
      <c r="AR42" s="6"/>
      <c r="AY42" s="29" t="s">
        <v>27</v>
      </c>
      <c r="AZ42" s="204">
        <f>CA43/(1.414*$P$32)</f>
        <v>0.83248391643600417</v>
      </c>
      <c r="BA42" s="204"/>
      <c r="BB42" s="204"/>
      <c r="BC42" s="204"/>
      <c r="BD42" s="204"/>
      <c r="BE42" s="79"/>
      <c r="BF42" s="204">
        <f>(DD49/1000)/(P32*1.414)</f>
        <v>0.9053710065190157</v>
      </c>
      <c r="BG42" s="204"/>
      <c r="BH42" s="204"/>
      <c r="BI42" s="204"/>
      <c r="BJ42" s="204"/>
      <c r="BK42" s="82"/>
      <c r="BL42" s="203">
        <f>IF(LEFT(C24,2)="SD",1.2,1.35)</f>
        <v>1.35</v>
      </c>
      <c r="BM42" s="203"/>
      <c r="BN42" s="203"/>
      <c r="BO42" s="203"/>
      <c r="BQ42" s="23"/>
      <c r="BR42" s="23"/>
      <c r="BS42" s="23"/>
      <c r="BT42" s="32"/>
      <c r="BU42" s="23"/>
      <c r="BV42" s="23"/>
      <c r="BW42" s="23"/>
      <c r="BX42" s="23"/>
      <c r="BY42" s="23"/>
      <c r="BZ42" s="32" t="s">
        <v>53</v>
      </c>
      <c r="CA42" s="211">
        <f>DD46/1000</f>
        <v>7.2716099741028417</v>
      </c>
      <c r="CB42" s="211"/>
      <c r="CC42" s="211"/>
      <c r="CD42" s="24" t="s">
        <v>32</v>
      </c>
      <c r="CE42" s="24"/>
      <c r="CF42" s="8"/>
      <c r="CH42" s="2">
        <f>JJ19</f>
        <v>35</v>
      </c>
      <c r="CI42" s="14">
        <f t="shared" si="380"/>
        <v>9.4768730890152337</v>
      </c>
      <c r="CJ42" s="77">
        <f t="shared" si="381"/>
        <v>1.3163132066605129E-3</v>
      </c>
      <c r="CK42" s="14">
        <f t="shared" si="382"/>
        <v>0.125422336445314</v>
      </c>
      <c r="CL42" s="14">
        <f t="shared" si="400"/>
        <v>0.25074748167032956</v>
      </c>
      <c r="CM42" s="14">
        <f t="shared" si="401"/>
        <v>0.66008810376105664</v>
      </c>
      <c r="CN42" s="14">
        <f t="shared" si="402"/>
        <v>0.96374253171718882</v>
      </c>
      <c r="CO42" s="14">
        <f t="shared" si="403"/>
        <v>0.12538966684804906</v>
      </c>
      <c r="CP42" s="14">
        <f t="shared" si="404"/>
        <v>2.4749691854843533E-5</v>
      </c>
      <c r="CQ42" s="14">
        <f t="shared" si="405"/>
        <v>0.2509459430647501</v>
      </c>
      <c r="CR42" s="14">
        <f t="shared" si="406"/>
        <v>9.9171658343696293E-5</v>
      </c>
      <c r="CS42" s="14">
        <f t="shared" si="407"/>
        <v>0.66011735547807882</v>
      </c>
      <c r="CT42" s="14">
        <f t="shared" si="408"/>
        <v>6.8568369440522752E-4</v>
      </c>
      <c r="CU42" s="14">
        <f t="shared" si="409"/>
        <v>0.96372641879851972</v>
      </c>
      <c r="CV42" s="14">
        <f t="shared" si="410"/>
        <v>1.4616098950744622E-3</v>
      </c>
      <c r="CW42" s="14">
        <f t="shared" si="411"/>
        <v>9.8925446059150131E-4</v>
      </c>
      <c r="CX42" s="14">
        <f t="shared" si="412"/>
        <v>6.4371348063982413E-3</v>
      </c>
      <c r="CY42" s="14">
        <f t="shared" si="413"/>
        <v>5.9745180424939648E-3</v>
      </c>
      <c r="CZ42" s="2">
        <f t="shared" si="414"/>
        <v>1.999999999999994</v>
      </c>
      <c r="DA42" s="34">
        <f t="shared" si="415"/>
        <v>0.19738222835248401</v>
      </c>
      <c r="DB42" s="34">
        <f t="shared" si="416"/>
        <v>0.39519131942335389</v>
      </c>
      <c r="DC42" s="34">
        <f t="shared" si="417"/>
        <v>1.0387299905311991</v>
      </c>
      <c r="DD42" s="34">
        <f t="shared" si="418"/>
        <v>1.5166232517488309</v>
      </c>
      <c r="EA42" s="1">
        <f>ROUND(EA41+0.2,1)</f>
        <v>8.4</v>
      </c>
      <c r="EB42" s="1" t="str">
        <f t="shared" si="12"/>
        <v>0.0000643082183298262-0.0540189033970541i</v>
      </c>
      <c r="EC42" s="1" t="str">
        <f t="shared" si="13"/>
        <v>0.0001259916114217-0.105832953594228i</v>
      </c>
      <c r="ED42" s="1" t="str">
        <f t="shared" si="14"/>
        <v>0.000311369893852067-0.261550710835736i</v>
      </c>
      <c r="EE42" s="1" t="str">
        <f t="shared" si="15"/>
        <v>0.000434846047754064-0.365270680113413i</v>
      </c>
      <c r="EF42" s="1" t="str">
        <f t="shared" si="16"/>
        <v>0.152463169023459i</v>
      </c>
      <c r="EG42" s="1" t="str">
        <f t="shared" si="17"/>
        <v>0.152399669161309i</v>
      </c>
      <c r="EH42" s="1" t="str">
        <f t="shared" si="18"/>
        <v>0.152521027368931i</v>
      </c>
      <c r="EI42" s="1" t="str">
        <f t="shared" si="19"/>
        <v>0.152506128496275i</v>
      </c>
      <c r="EJ42" s="1" t="str">
        <f t="shared" si="1"/>
        <v>0.005</v>
      </c>
      <c r="EK42" s="1" t="str">
        <f t="shared" si="2"/>
        <v>0.01</v>
      </c>
      <c r="EL42" s="1" t="str">
        <f t="shared" si="3"/>
        <v>0.0125</v>
      </c>
      <c r="EM42" s="1" t="str">
        <f t="shared" si="329"/>
        <v>0.00506430821832983+0.0984442656264049i</v>
      </c>
      <c r="EN42" s="1" t="str">
        <f t="shared" si="330"/>
        <v>-0.005</v>
      </c>
      <c r="EO42" s="1" t="str">
        <f t="shared" si="331"/>
        <v>0.462990738532965-388.912220367691i</v>
      </c>
      <c r="EP42" s="1" t="str">
        <f t="shared" si="332"/>
        <v>-0.005</v>
      </c>
      <c r="EQ42" s="1" t="str">
        <f t="shared" si="333"/>
        <v>0.0151259916114217+0.046566715567081i</v>
      </c>
      <c r="ER42" s="1" t="str">
        <f t="shared" si="334"/>
        <v>-0.01</v>
      </c>
      <c r="ES42" s="1" t="str">
        <f t="shared" si="335"/>
        <v>0.907083895901317-761.950472557106i</v>
      </c>
      <c r="ET42" s="1" t="str">
        <f t="shared" si="336"/>
        <v>-0.01</v>
      </c>
      <c r="EU42" s="1" t="str">
        <f t="shared" si="337"/>
        <v>0.0228113698938521-0.109029683466805i</v>
      </c>
      <c r="EV42" s="1" t="str">
        <f t="shared" si="338"/>
        <v>-0.0125</v>
      </c>
      <c r="EW42" s="1" t="str">
        <f t="shared" si="339"/>
        <v>2.24172556565196-1883.04947514764i</v>
      </c>
      <c r="EX42" s="1" t="str">
        <f t="shared" si="340"/>
        <v>-0.0125</v>
      </c>
      <c r="EY42" s="1" t="str">
        <f t="shared" si="341"/>
        <v>0.0129348460477541-0.212764551617138i</v>
      </c>
      <c r="EZ42" s="1" t="str">
        <f t="shared" si="342"/>
        <v>3.13069927960387-2629.78739486724i</v>
      </c>
      <c r="FB42" s="1" t="str">
        <f t="shared" si="343"/>
        <v>0.00506430821832983+0.0984442656264049i</v>
      </c>
      <c r="FC42" s="1" t="str">
        <f t="shared" si="344"/>
        <v>0.462990738532965-388.912220367691i</v>
      </c>
      <c r="FD42" s="1" t="str">
        <f t="shared" si="345"/>
        <v>-0.00260592239016158+0.0506561024564706i</v>
      </c>
      <c r="FE42" s="1" t="str">
        <f t="shared" si="346"/>
        <v>0.0151129619994709+0.0468199960793634i</v>
      </c>
      <c r="FF42" s="1" t="str">
        <f t="shared" si="347"/>
        <v>-18.7924868676859-762.987400926257i</v>
      </c>
      <c r="FG42" s="1" t="str">
        <f t="shared" si="348"/>
        <v>-0.0624370037287742+0.193430002000319i</v>
      </c>
      <c r="FH42" s="1" t="str">
        <f t="shared" si="349"/>
        <v>0.0221869998565644-0.107095383446802i</v>
      </c>
      <c r="FI42" s="1" t="str">
        <f t="shared" si="350"/>
        <v>-146.516275494363-1927.05309157187i</v>
      </c>
      <c r="FJ42" s="1" t="str">
        <f t="shared" si="351"/>
        <v>-0.0231854892225298-0.11191503469334i</v>
      </c>
      <c r="FK42" s="1" t="str">
        <f t="shared" si="352"/>
        <v>0.0126450274324725-0.214163489550805i</v>
      </c>
      <c r="FL42" s="1" t="str">
        <f t="shared" si="353"/>
        <v>213.92422212397-2673.19593538431i</v>
      </c>
      <c r="FM42" s="1" t="str">
        <f t="shared" si="354"/>
        <v>12497.4435096892+260.986157002802i</v>
      </c>
      <c r="FN42" s="1" t="str">
        <f t="shared" si="355"/>
        <v>17242.0840328095-3481.46050358249i</v>
      </c>
      <c r="FO42" s="1" t="str">
        <f t="shared" si="356"/>
        <v>-14472.6749531251-7952.86995382308i</v>
      </c>
      <c r="FP42" s="1" t="str">
        <f t="shared" si="357"/>
        <v>-4380.49021562717+505.019069535762i</v>
      </c>
      <c r="FQ42" s="92" t="str">
        <f t="shared" si="358"/>
        <v>-26.5358840712113-625.57397503398i</v>
      </c>
      <c r="FR42" s="1" t="str">
        <f t="shared" si="359"/>
        <v>-76.9968077587009-667.863420150774i</v>
      </c>
      <c r="FS42" s="1" t="str">
        <f t="shared" si="360"/>
        <v>50.4609236874895+42.2894451167942i</v>
      </c>
      <c r="FT42" s="1" t="str">
        <f t="shared" si="361"/>
        <v>844.406236298716-2292.63441435463i</v>
      </c>
      <c r="FU42" s="1" t="str">
        <f t="shared" si="362"/>
        <v>907.451529149107+2627.71388191063i</v>
      </c>
      <c r="FV42" s="1" t="str">
        <f t="shared" si="363"/>
        <v>-97.6343557062136+1935.048806797i</v>
      </c>
      <c r="FW42" s="1" t="str">
        <f t="shared" si="364"/>
        <v>-76.9968077587009-667.863420150774i</v>
      </c>
      <c r="FX42" s="1" t="str">
        <f t="shared" si="365"/>
        <v>1212.01474984555-2205.63087473543i</v>
      </c>
      <c r="FY42" s="1" t="str">
        <f t="shared" si="366"/>
        <v>530.995932750757+2629.78037066555i</v>
      </c>
      <c r="FZ42" s="1" t="str">
        <f t="shared" si="367"/>
        <v>-39.8019883956183+1905.9367257636i</v>
      </c>
      <c r="GA42" s="1" t="str">
        <f t="shared" si="368"/>
        <v>50.4609236874895+42.2894451167942i</v>
      </c>
      <c r="GB42" s="1" t="str">
        <f t="shared" si="369"/>
        <v>-317.147589859346-44.7140945024059i</v>
      </c>
      <c r="GC42" s="1" t="str">
        <f t="shared" si="370"/>
        <v>59.3080065390037-46.7805832573161i</v>
      </c>
      <c r="GD42" s="92" t="str">
        <f t="shared" si="371"/>
        <v>1627.6875256704+1644.55429931902i</v>
      </c>
      <c r="GE42" s="1" t="str">
        <f t="shared" si="63"/>
        <v>2.1887922160914-2.21147338940657i</v>
      </c>
      <c r="GF42" s="1">
        <f t="shared" si="64"/>
        <v>8.4</v>
      </c>
      <c r="GG42" s="56">
        <f t="shared" si="65"/>
        <v>1.0881193346301932</v>
      </c>
      <c r="GH42" s="1">
        <f t="shared" si="66"/>
        <v>1.4088296498813888</v>
      </c>
      <c r="GJ42" s="1">
        <f t="shared" si="372"/>
        <v>2313.8551217895429</v>
      </c>
      <c r="GK42" s="1">
        <f t="shared" si="373"/>
        <v>3.111498982367773</v>
      </c>
      <c r="GM42" s="1" t="str">
        <f t="shared" si="69"/>
        <v>0.0191834803010191+4.02853086321403i</v>
      </c>
      <c r="GP42" s="1">
        <f t="shared" si="4"/>
        <v>8.4</v>
      </c>
      <c r="GQ42" s="1">
        <f t="shared" si="5"/>
        <v>3.111498982367773</v>
      </c>
      <c r="GR42" s="1">
        <f t="shared" si="70"/>
        <v>4.0285765379082026</v>
      </c>
      <c r="GS42" s="1">
        <f t="shared" si="71"/>
        <v>4.3835720219354846</v>
      </c>
      <c r="JG42" s="2">
        <f t="shared" si="379"/>
        <v>35</v>
      </c>
      <c r="JH42" s="14">
        <f>AL21</f>
        <v>2</v>
      </c>
      <c r="JI42" s="1" t="str">
        <f t="shared" si="398"/>
        <v>0.00663303803400644+9.4768707677222i</v>
      </c>
    </row>
    <row r="43" spans="2:269" ht="18" customHeight="1" thickTop="1" x14ac:dyDescent="0.25">
      <c r="B43" s="6"/>
      <c r="AE43" s="18"/>
      <c r="AF43" s="35" t="s">
        <v>401</v>
      </c>
      <c r="AG43" s="250">
        <f>SUM(AG39:AJ42)</f>
        <v>532.76419788011424</v>
      </c>
      <c r="AH43" s="195"/>
      <c r="AI43" s="195"/>
      <c r="AJ43" s="195"/>
      <c r="AK43" s="18" t="s">
        <v>39</v>
      </c>
      <c r="AL43" s="18"/>
      <c r="AP43" s="8"/>
      <c r="AR43" s="6"/>
      <c r="AY43" s="29" t="str">
        <f>"% "&amp;$AK$17&amp;"HZ AMPS:"</f>
        <v>% 60HZ AMPS:</v>
      </c>
      <c r="AZ43" s="212">
        <f>(CA44/U32)/(Z32/P32)</f>
        <v>0.90845988704689107</v>
      </c>
      <c r="BA43" s="212"/>
      <c r="BB43" s="212"/>
      <c r="BC43" s="212"/>
      <c r="BD43" s="212"/>
      <c r="BE43" s="80"/>
      <c r="BF43" s="212">
        <f>(CU48/U32)/(Z32/P32)</f>
        <v>0.9676468454838022</v>
      </c>
      <c r="BG43" s="212"/>
      <c r="BH43" s="212"/>
      <c r="BI43" s="212"/>
      <c r="BJ43" s="212"/>
      <c r="BK43" s="83"/>
      <c r="BL43" s="213">
        <v>1.35</v>
      </c>
      <c r="BM43" s="213"/>
      <c r="BN43" s="213"/>
      <c r="BO43" s="213"/>
      <c r="BQ43" s="23"/>
      <c r="BR43" s="23"/>
      <c r="BS43" s="23"/>
      <c r="BT43" s="23"/>
      <c r="BU43" s="23"/>
      <c r="BV43" s="23"/>
      <c r="BW43" s="23"/>
      <c r="BX43" s="23"/>
      <c r="BY43" s="23"/>
      <c r="BZ43" s="32" t="s">
        <v>54</v>
      </c>
      <c r="CA43" s="211">
        <f>DD48/1000</f>
        <v>11.72423728809148</v>
      </c>
      <c r="CB43" s="211"/>
      <c r="CC43" s="211"/>
      <c r="CD43" s="24" t="s">
        <v>32</v>
      </c>
      <c r="CE43" s="24"/>
      <c r="CF43" s="8"/>
      <c r="CH43" s="2">
        <f>JJ20</f>
        <v>37</v>
      </c>
      <c r="CI43" s="14">
        <f t="shared" si="380"/>
        <v>5.0722178678842393</v>
      </c>
      <c r="CJ43" s="77">
        <f t="shared" si="381"/>
        <v>7.0451796746064034E-4</v>
      </c>
      <c r="CK43" s="14">
        <f t="shared" si="382"/>
        <v>6.3361281800792826E-2</v>
      </c>
      <c r="CL43" s="14">
        <f t="shared" si="400"/>
        <v>0.12639630206749447</v>
      </c>
      <c r="CM43" s="14">
        <f t="shared" si="401"/>
        <v>0.33038637306861762</v>
      </c>
      <c r="CN43" s="14">
        <f t="shared" si="402"/>
        <v>0.47985619739509733</v>
      </c>
      <c r="CO43" s="14">
        <f t="shared" si="403"/>
        <v>6.3346857925429656E-2</v>
      </c>
      <c r="CP43" s="14">
        <f t="shared" si="404"/>
        <v>5.9753421196574977E-6</v>
      </c>
      <c r="CQ43" s="14">
        <f t="shared" si="405"/>
        <v>0.12648427317420347</v>
      </c>
      <c r="CR43" s="14">
        <f t="shared" si="406"/>
        <v>2.3832335099627854E-5</v>
      </c>
      <c r="CS43" s="14">
        <f t="shared" si="407"/>
        <v>0.33039676108705412</v>
      </c>
      <c r="CT43" s="14">
        <f t="shared" si="408"/>
        <v>1.6248729262207488E-4</v>
      </c>
      <c r="CU43" s="14">
        <f t="shared" si="409"/>
        <v>0.47985086071866545</v>
      </c>
      <c r="CV43" s="14">
        <f t="shared" si="410"/>
        <v>3.4277001383724797E-4</v>
      </c>
      <c r="CW43" s="14">
        <f t="shared" si="411"/>
        <v>4.7055534504980069E-4</v>
      </c>
      <c r="CX43" s="14">
        <f t="shared" si="412"/>
        <v>3.034462151785408E-3</v>
      </c>
      <c r="CY43" s="14">
        <f t="shared" si="413"/>
        <v>2.7819770218609945E-3</v>
      </c>
      <c r="CZ43" s="2">
        <f t="shared" si="414"/>
        <v>0.99999999999999756</v>
      </c>
      <c r="DA43" s="34">
        <f t="shared" si="415"/>
        <v>9.4327363903218497E-2</v>
      </c>
      <c r="DB43" s="34">
        <f t="shared" si="416"/>
        <v>0.18842133098084229</v>
      </c>
      <c r="DC43" s="34">
        <f t="shared" si="417"/>
        <v>0.49179444764369779</v>
      </c>
      <c r="DD43" s="34">
        <f t="shared" si="418"/>
        <v>0.71432614150964879</v>
      </c>
      <c r="EA43" s="1">
        <f>ROUND(EA42+0.2,1)</f>
        <v>8.6</v>
      </c>
      <c r="EB43" s="1" t="str">
        <f t="shared" si="12"/>
        <v>0.0000613519224037606-0.0527626532672342i</v>
      </c>
      <c r="EC43" s="1" t="str">
        <f t="shared" si="13"/>
        <v>0.000120199684709408-0.103371728850091i</v>
      </c>
      <c r="ED43" s="1" t="str">
        <f t="shared" si="14"/>
        <v>0.000297055991638615-0.25546815280921i</v>
      </c>
      <c r="EE43" s="1" t="str">
        <f t="shared" si="15"/>
        <v>0.000414855856253999-0.35677603637844i</v>
      </c>
      <c r="EF43" s="1" t="str">
        <f t="shared" si="16"/>
        <v>0.156093244476399i</v>
      </c>
      <c r="EG43" s="1" t="str">
        <f t="shared" si="17"/>
        <v>0.156028232712768i</v>
      </c>
      <c r="EH43" s="1" t="str">
        <f t="shared" si="18"/>
        <v>0.156152480401524i</v>
      </c>
      <c r="EI43" s="1" t="str">
        <f t="shared" si="19"/>
        <v>0.156137226793805i</v>
      </c>
      <c r="EJ43" s="1" t="str">
        <f t="shared" si="1"/>
        <v>0.005</v>
      </c>
      <c r="EK43" s="1" t="str">
        <f t="shared" si="2"/>
        <v>0.01</v>
      </c>
      <c r="EL43" s="1" t="str">
        <f t="shared" si="3"/>
        <v>0.0125</v>
      </c>
      <c r="EM43" s="1" t="str">
        <f t="shared" si="329"/>
        <v>0.00506135192240376+0.103330591209165i</v>
      </c>
      <c r="EN43" s="1" t="str">
        <f t="shared" si="330"/>
        <v>-0.005</v>
      </c>
      <c r="EO43" s="1" t="str">
        <f t="shared" si="331"/>
        <v>0.441706714971449-379.867774875447i</v>
      </c>
      <c r="EP43" s="1" t="str">
        <f t="shared" si="332"/>
        <v>-0.005</v>
      </c>
      <c r="EQ43" s="1" t="str">
        <f t="shared" si="333"/>
        <v>0.0151201996847094+0.052656503862677i</v>
      </c>
      <c r="ER43" s="1" t="str">
        <f t="shared" si="334"/>
        <v>-0.01</v>
      </c>
      <c r="ES43" s="1" t="str">
        <f t="shared" si="335"/>
        <v>0.865384584433856-744.230742613117i</v>
      </c>
      <c r="ET43" s="1" t="str">
        <f t="shared" si="336"/>
        <v>-0.01</v>
      </c>
      <c r="EU43" s="1" t="str">
        <f t="shared" si="337"/>
        <v>0.0227970559916386-0.099315672407686i</v>
      </c>
      <c r="EV43" s="1" t="str">
        <f t="shared" si="338"/>
        <v>-0.0125</v>
      </c>
      <c r="EW43" s="1" t="str">
        <f t="shared" si="339"/>
        <v>2.13867179850971-1839.25774671836i</v>
      </c>
      <c r="EX43" s="1" t="str">
        <f t="shared" si="340"/>
        <v>-0.0125</v>
      </c>
      <c r="EY43" s="1" t="str">
        <f t="shared" si="341"/>
        <v>0.012914855856254-0.200638809584635i</v>
      </c>
      <c r="EZ43" s="1" t="str">
        <f t="shared" si="342"/>
        <v>2.98677873933074-2568.62971582445i</v>
      </c>
      <c r="FB43" s="1" t="str">
        <f t="shared" si="343"/>
        <v>0.00506135192240376+0.103330591209165i</v>
      </c>
      <c r="FC43" s="1" t="str">
        <f t="shared" si="344"/>
        <v>0.441706714971449-379.867774875447i</v>
      </c>
      <c r="FD43" s="1" t="str">
        <f t="shared" si="345"/>
        <v>-0.00236449270733883+0.048272562964372i</v>
      </c>
      <c r="FE43" s="1" t="str">
        <f t="shared" si="346"/>
        <v>0.0151083772211727+0.0528978666774989i</v>
      </c>
      <c r="FF43" s="1" t="str">
        <f t="shared" si="347"/>
        <v>-17.4707620840707-745.150259511773i</v>
      </c>
      <c r="FG43" s="1" t="str">
        <f t="shared" si="348"/>
        <v>-0.0499211630588029+0.174785351809297i</v>
      </c>
      <c r="FH43" s="1" t="str">
        <f t="shared" si="349"/>
        <v>0.0222978443610506-0.097567818889593i</v>
      </c>
      <c r="FI43" s="1" t="str">
        <f t="shared" si="350"/>
        <v>-128.974839223805-1873.40288102952i</v>
      </c>
      <c r="FJ43" s="1" t="str">
        <f t="shared" si="351"/>
        <v>-0.0278259109037438-0.121756766776827i</v>
      </c>
      <c r="FK43" s="1" t="str">
        <f t="shared" si="352"/>
        <v>0.0125670319699572-0.202160769169345i</v>
      </c>
      <c r="FL43" s="1" t="str">
        <f t="shared" si="353"/>
        <v>226.988365739908-2619.54834025027i</v>
      </c>
      <c r="FM43" s="1" t="str">
        <f t="shared" si="354"/>
        <v>12977.3974650327+316.089996949272i</v>
      </c>
      <c r="FN43" s="1" t="str">
        <f t="shared" si="355"/>
        <v>18283.4726319438-3837.73463729081i</v>
      </c>
      <c r="FO43" s="1" t="str">
        <f t="shared" si="356"/>
        <v>-12869.3986824206-6801.78080399012i</v>
      </c>
      <c r="FP43" s="1" t="str">
        <f t="shared" si="357"/>
        <v>-4025.99832516381+421.252717371549i</v>
      </c>
      <c r="FQ43" s="92" t="str">
        <f t="shared" si="358"/>
        <v>-21.5377016127407-592.315973224557i</v>
      </c>
      <c r="FR43" s="1" t="str">
        <f t="shared" si="359"/>
        <v>-65.7547033990246-628.431140831368i</v>
      </c>
      <c r="FS43" s="1" t="str">
        <f t="shared" si="360"/>
        <v>44.217001786284+36.1151676068083i</v>
      </c>
      <c r="FT43" s="1" t="str">
        <f t="shared" si="361"/>
        <v>705.524123216281-2073.74516176791i</v>
      </c>
      <c r="FU43" s="1" t="str">
        <f t="shared" si="362"/>
        <v>977.126435465837+2832.7272555704i</v>
      </c>
      <c r="FV43" s="1" t="str">
        <f t="shared" si="363"/>
        <v>-115.170306848408+2061.2635824712i</v>
      </c>
      <c r="FW43" s="1" t="str">
        <f t="shared" si="364"/>
        <v>-65.7547033990246-628.431140831368i</v>
      </c>
      <c r="FX43" s="1" t="str">
        <f t="shared" si="365"/>
        <v>1061.26983814621-2007.98953249411i</v>
      </c>
      <c r="FY43" s="1" t="str">
        <f t="shared" si="366"/>
        <v>599.271782735803+2855.0096018314i</v>
      </c>
      <c r="FZ43" s="1" t="str">
        <f t="shared" si="367"/>
        <v>-49.3534155409216+2026.25485119116i</v>
      </c>
      <c r="GA43" s="1" t="str">
        <f t="shared" si="368"/>
        <v>44.217001786284+36.1151676068083i</v>
      </c>
      <c r="GB43" s="1" t="str">
        <f t="shared" si="369"/>
        <v>-311.528713143644-29.6404616669931i</v>
      </c>
      <c r="GC43" s="1" t="str">
        <f t="shared" si="370"/>
        <v>66.3259395863887-51.922807928001i</v>
      </c>
      <c r="GD43" s="92" t="str">
        <f t="shared" si="371"/>
        <v>1545.94255022097+2227.92970304913i</v>
      </c>
      <c r="GE43" s="1" t="str">
        <f t="shared" si="63"/>
        <v>1.5135564912904-2.18125664741339i</v>
      </c>
      <c r="GF43" s="1">
        <f t="shared" si="64"/>
        <v>8.6</v>
      </c>
      <c r="GG43" s="56">
        <f t="shared" si="65"/>
        <v>1.0727348450621115</v>
      </c>
      <c r="GH43" s="1">
        <f t="shared" si="66"/>
        <v>1.6665079530174081</v>
      </c>
      <c r="GJ43" s="1">
        <f t="shared" si="372"/>
        <v>2711.75388453899</v>
      </c>
      <c r="GK43" s="1">
        <f t="shared" si="373"/>
        <v>2.6549451621855407</v>
      </c>
      <c r="GM43" s="1" t="str">
        <f t="shared" si="69"/>
        <v>0.0191834803010191+4.12444826471912i</v>
      </c>
      <c r="GP43" s="1">
        <f t="shared" si="4"/>
        <v>8.6</v>
      </c>
      <c r="GQ43" s="1">
        <f t="shared" si="5"/>
        <v>2.6549451621855407</v>
      </c>
      <c r="GR43" s="1">
        <f t="shared" si="70"/>
        <v>4.1244928772227283</v>
      </c>
      <c r="GS43" s="1">
        <f t="shared" si="71"/>
        <v>4.4244872276072886</v>
      </c>
      <c r="JG43" s="2">
        <f t="shared" si="379"/>
        <v>37</v>
      </c>
      <c r="JH43" s="14">
        <f>AN21</f>
        <v>1</v>
      </c>
      <c r="JI43" s="1" t="str">
        <f t="shared" si="398"/>
        <v>0.00310105989406262+5.07221691991891i</v>
      </c>
    </row>
    <row r="44" spans="2:269" ht="18" customHeight="1" x14ac:dyDescent="0.25">
      <c r="B44" s="28"/>
      <c r="C44" s="24"/>
      <c r="D44" s="24"/>
      <c r="E44" s="24"/>
      <c r="F44" s="24"/>
      <c r="G44" s="24"/>
      <c r="H44" s="24"/>
      <c r="I44" s="24"/>
      <c r="J44" s="24"/>
      <c r="K44" s="24"/>
      <c r="L44" s="24"/>
      <c r="M44" s="24"/>
      <c r="N44" s="24"/>
      <c r="O44" s="24"/>
      <c r="P44" s="41"/>
      <c r="X44" s="32" t="s">
        <v>465</v>
      </c>
      <c r="Y44" s="247">
        <v>1.5</v>
      </c>
      <c r="Z44" s="247"/>
      <c r="AA44" s="247"/>
      <c r="AP44" s="42"/>
      <c r="AR44" s="6"/>
      <c r="AY44" s="29" t="str">
        <f>"% "&amp;$AK$17&amp;"HZ KVAR:"</f>
        <v>% 60HZ KVAR:</v>
      </c>
      <c r="AZ44" s="202">
        <f>CA45/AE32</f>
        <v>0.55086705952098547</v>
      </c>
      <c r="BA44" s="202"/>
      <c r="BB44" s="202"/>
      <c r="BC44" s="202"/>
      <c r="BD44" s="202"/>
      <c r="BE44" s="81"/>
      <c r="BF44" s="202">
        <f>CV49/AE32</f>
        <v>0.66190811072248856</v>
      </c>
      <c r="BG44" s="202"/>
      <c r="BH44" s="202"/>
      <c r="BI44" s="202"/>
      <c r="BJ44" s="202"/>
      <c r="BK44" s="79"/>
      <c r="BL44" s="203">
        <v>1.35</v>
      </c>
      <c r="BM44" s="203"/>
      <c r="BN44" s="203"/>
      <c r="BO44" s="203"/>
      <c r="BQ44" s="23"/>
      <c r="BR44" s="23"/>
      <c r="BS44" s="23"/>
      <c r="BT44" s="23"/>
      <c r="BU44" s="23"/>
      <c r="BV44" s="23"/>
      <c r="BW44" s="23"/>
      <c r="BX44" s="23"/>
      <c r="BY44" s="23"/>
      <c r="BZ44" s="32" t="s">
        <v>56</v>
      </c>
      <c r="CA44" s="211">
        <f>CU46</f>
        <v>164.27561603168309</v>
      </c>
      <c r="CB44" s="211"/>
      <c r="CC44" s="211"/>
      <c r="CD44" s="24" t="s">
        <v>39</v>
      </c>
      <c r="CE44" s="24"/>
      <c r="CF44" s="8"/>
      <c r="DE44" s="2"/>
      <c r="EA44" s="1">
        <f>ROUND(EA43+0.2,1)</f>
        <v>8.8000000000000007</v>
      </c>
      <c r="EB44" s="1" t="str">
        <f t="shared" si="12"/>
        <v>0.0000585948922609137-0.0515635051896041i</v>
      </c>
      <c r="EC44" s="1" t="str">
        <f t="shared" si="13"/>
        <v>0.00011479815626628-0.101022377514326i</v>
      </c>
      <c r="ED44" s="1" t="str">
        <f t="shared" si="14"/>
        <v>0.000283706901814321-0.249662073596603i</v>
      </c>
      <c r="EE44" s="1" t="str">
        <f t="shared" si="15"/>
        <v>0.000396213081002368-0.348667511282084i</v>
      </c>
      <c r="EF44" s="1" t="str">
        <f t="shared" si="16"/>
        <v>0.159723319929338i</v>
      </c>
      <c r="EG44" s="1" t="str">
        <f t="shared" si="17"/>
        <v>0.159656796264228i</v>
      </c>
      <c r="EH44" s="1" t="str">
        <f t="shared" si="18"/>
        <v>0.159783933434118i</v>
      </c>
      <c r="EI44" s="1" t="str">
        <f t="shared" si="19"/>
        <v>0.159768325091336i</v>
      </c>
      <c r="EJ44" s="1" t="str">
        <f t="shared" si="1"/>
        <v>0.005</v>
      </c>
      <c r="EK44" s="1" t="str">
        <f t="shared" si="2"/>
        <v>0.01</v>
      </c>
      <c r="EL44" s="1" t="str">
        <f t="shared" si="3"/>
        <v>0.0125</v>
      </c>
      <c r="EM44" s="1" t="str">
        <f t="shared" si="329"/>
        <v>0.00505859489226091+0.108159814739734i</v>
      </c>
      <c r="EN44" s="1" t="str">
        <f t="shared" si="330"/>
        <v>-0.005</v>
      </c>
      <c r="EO44" s="1" t="str">
        <f t="shared" si="331"/>
        <v>0.421857316945096-371.234438911685i</v>
      </c>
      <c r="EP44" s="1" t="str">
        <f t="shared" si="332"/>
        <v>-0.005</v>
      </c>
      <c r="EQ44" s="1" t="str">
        <f t="shared" si="333"/>
        <v>0.0151147981562663+0.058634418749902i</v>
      </c>
      <c r="ER44" s="1" t="str">
        <f t="shared" si="334"/>
        <v>-0.01</v>
      </c>
      <c r="ES44" s="1" t="str">
        <f t="shared" si="335"/>
        <v>0.826495967892434-727.316451745339i</v>
      </c>
      <c r="ET44" s="1" t="str">
        <f t="shared" si="336"/>
        <v>-0.01</v>
      </c>
      <c r="EU44" s="1" t="str">
        <f t="shared" si="337"/>
        <v>0.0227837069018143-0.089878140162485i</v>
      </c>
      <c r="EV44" s="1" t="str">
        <f t="shared" si="338"/>
        <v>-0.0125</v>
      </c>
      <c r="EW44" s="1" t="str">
        <f t="shared" si="339"/>
        <v>2.04256425398416-1797.45654350606i</v>
      </c>
      <c r="EX44" s="1" t="str">
        <f t="shared" si="340"/>
        <v>-0.0125</v>
      </c>
      <c r="EY44" s="1" t="str">
        <f t="shared" si="341"/>
        <v>0.0128962130810024-0.188899186190748i</v>
      </c>
      <c r="EZ44" s="1" t="str">
        <f t="shared" si="342"/>
        <v>2.85255900029541-2510.25192025996i</v>
      </c>
      <c r="FB44" s="1" t="str">
        <f t="shared" si="343"/>
        <v>0.00505859489226091+0.108159814739734i</v>
      </c>
      <c r="FC44" s="1" t="str">
        <f t="shared" si="344"/>
        <v>0.421857316945096-371.234438911685i</v>
      </c>
      <c r="FD44" s="1" t="str">
        <f t="shared" si="345"/>
        <v>-0.00215734249582856+0.046126991713836i</v>
      </c>
      <c r="FE44" s="1" t="str">
        <f t="shared" si="346"/>
        <v>0.0151040114437872+0.0588650537084712i</v>
      </c>
      <c r="FF44" s="1" t="str">
        <f t="shared" si="347"/>
        <v>-16.2965218289604-728.136790585281i</v>
      </c>
      <c r="FG44" s="1" t="str">
        <f t="shared" si="348"/>
        <v>-0.0408965295668987+0.159386558889017i</v>
      </c>
      <c r="FH44" s="1" t="str">
        <f t="shared" si="349"/>
        <v>0.0223747416061453-0.0882842745735948i</v>
      </c>
      <c r="FI44" s="1" t="str">
        <f t="shared" si="350"/>
        <v>-114.679124384712-1824.6373647548i</v>
      </c>
      <c r="FJ44" s="1" t="str">
        <f t="shared" si="351"/>
        <v>-0.0337182595154041-0.133042523288138i</v>
      </c>
      <c r="FK44" s="1" t="str">
        <f t="shared" si="352"/>
        <v>0.0124747348370598-0.19056221773185i</v>
      </c>
      <c r="FL44" s="1" t="str">
        <f t="shared" si="353"/>
        <v>242.059584760709-2570.58727855923i</v>
      </c>
      <c r="FM44" s="1" t="str">
        <f t="shared" si="354"/>
        <v>13514.728468335+385.527265571318i</v>
      </c>
      <c r="FN44" s="1" t="str">
        <f t="shared" si="355"/>
        <v>19515.4078908312-4331.43081566162i</v>
      </c>
      <c r="FO44" s="1" t="str">
        <f t="shared" si="356"/>
        <v>-11564.4282608263-6005.71632232883i</v>
      </c>
      <c r="FP44" s="1" t="str">
        <f t="shared" si="357"/>
        <v>-3726.57761893332+356.408131533855i</v>
      </c>
      <c r="FQ44" s="92" t="str">
        <f t="shared" si="358"/>
        <v>-17.7374368089346-563.410727001086i</v>
      </c>
      <c r="FR44" s="1" t="str">
        <f t="shared" si="359"/>
        <v>-56.9266900183995-595.221349270397i</v>
      </c>
      <c r="FS44" s="1" t="str">
        <f t="shared" si="360"/>
        <v>39.1892532094649+31.8106222693134i</v>
      </c>
      <c r="FT44" s="1" t="str">
        <f t="shared" si="361"/>
        <v>608.865812568761-1894.89304408701i</v>
      </c>
      <c r="FU44" s="1" t="str">
        <f t="shared" si="362"/>
        <v>1077.89990742194+3076.02951441951i</v>
      </c>
      <c r="FV44" s="1" t="str">
        <f t="shared" si="363"/>
        <v>-136.922985423193+2201.74206950183i</v>
      </c>
      <c r="FW44" s="1" t="str">
        <f t="shared" si="364"/>
        <v>-56.9266900183995-595.221349270397i</v>
      </c>
      <c r="FX44" s="1" t="str">
        <f t="shared" si="365"/>
        <v>958.853427294803-1846.33956675103i</v>
      </c>
      <c r="FY44" s="1" t="str">
        <f t="shared" si="366"/>
        <v>692.093053124164+3118.24863536823i</v>
      </c>
      <c r="FZ44" s="1" t="str">
        <f t="shared" si="367"/>
        <v>-61.5950454973722+2159.22553145008i</v>
      </c>
      <c r="GA44" s="1" t="str">
        <f t="shared" si="368"/>
        <v>39.1892532094649+31.8106222693134i</v>
      </c>
      <c r="GB44" s="1" t="str">
        <f t="shared" si="369"/>
        <v>-310.798361516575-16.7428550666721i</v>
      </c>
      <c r="GC44" s="1" t="str">
        <f t="shared" si="370"/>
        <v>75.0084927812025-58.9619760154118i</v>
      </c>
      <c r="GD44" s="92" t="str">
        <f t="shared" si="371"/>
        <v>1532.10529775857+2819.46781283324i</v>
      </c>
      <c r="GE44" s="1" t="str">
        <f t="shared" si="63"/>
        <v>1.07125895756649-1.97139201495273i</v>
      </c>
      <c r="GF44" s="1">
        <f t="shared" si="64"/>
        <v>8.8000000000000007</v>
      </c>
      <c r="GG44" s="56">
        <f t="shared" si="65"/>
        <v>0.89768076957834031</v>
      </c>
      <c r="GH44" s="1">
        <f t="shared" si="66"/>
        <v>1.6885761478729895</v>
      </c>
      <c r="GJ44" s="1">
        <f t="shared" si="372"/>
        <v>3208.8542177890427</v>
      </c>
      <c r="GK44" s="1">
        <f t="shared" si="373"/>
        <v>2.2436537680279076</v>
      </c>
      <c r="GM44" s="1" t="str">
        <f t="shared" si="69"/>
        <v>0.0191834803010191+4.22036566622422i</v>
      </c>
      <c r="GP44" s="1">
        <f t="shared" si="4"/>
        <v>8.8000000000000007</v>
      </c>
      <c r="GQ44" s="1">
        <f t="shared" si="5"/>
        <v>2.2436537680279076</v>
      </c>
      <c r="GR44" s="1">
        <f t="shared" si="70"/>
        <v>4.2204092648178877</v>
      </c>
      <c r="GS44" s="1">
        <f t="shared" si="71"/>
        <v>3.788580236777277</v>
      </c>
    </row>
    <row r="45" spans="2:269" ht="18" customHeight="1" x14ac:dyDescent="0.25">
      <c r="B45" s="28"/>
      <c r="C45" s="24"/>
      <c r="D45" s="24"/>
      <c r="E45" s="24"/>
      <c r="F45" s="24"/>
      <c r="G45" s="24"/>
      <c r="H45" s="24"/>
      <c r="I45" s="24"/>
      <c r="J45" s="24"/>
      <c r="K45" s="24"/>
      <c r="L45" s="24"/>
      <c r="M45" s="24"/>
      <c r="N45" s="24"/>
      <c r="O45" s="24"/>
      <c r="P45" s="24"/>
      <c r="X45" s="32" t="s">
        <v>466</v>
      </c>
      <c r="Y45" s="247">
        <v>1.5</v>
      </c>
      <c r="Z45" s="247"/>
      <c r="AA45" s="247"/>
      <c r="AP45" s="42"/>
      <c r="AR45" s="6"/>
      <c r="BQ45" s="23"/>
      <c r="BR45" s="23"/>
      <c r="BS45" s="23"/>
      <c r="BT45" s="23"/>
      <c r="BU45" s="23"/>
      <c r="BV45" s="23"/>
      <c r="BW45" s="23"/>
      <c r="BX45" s="23"/>
      <c r="BY45" s="23"/>
      <c r="BZ45" s="32" t="s">
        <v>58</v>
      </c>
      <c r="CA45" s="248">
        <f>CV46</f>
        <v>992.14121324766847</v>
      </c>
      <c r="CB45" s="248"/>
      <c r="CC45" s="248"/>
      <c r="CD45" s="24" t="s">
        <v>37</v>
      </c>
      <c r="CE45" s="24"/>
      <c r="CF45" s="8"/>
      <c r="EA45" s="1">
        <f>ROUND(EA44+0.2,1)</f>
        <v>9</v>
      </c>
      <c r="EB45" s="1" t="str">
        <f t="shared" si="12"/>
        <v>0.0000560196137557157-0.0504176523801443i</v>
      </c>
      <c r="EC45" s="1" t="str">
        <f t="shared" si="13"/>
        <v>0.000109752712664259-0.0987774413978337i</v>
      </c>
      <c r="ED45" s="1" t="str">
        <f t="shared" si="14"/>
        <v>0.000271237823745789-0.24411404137121i</v>
      </c>
      <c r="EE45" s="1" t="str">
        <f t="shared" si="15"/>
        <v>0.000378799293014841-0.340919363713357i</v>
      </c>
      <c r="EF45" s="1" t="str">
        <f t="shared" si="16"/>
        <v>0.163353395382278i</v>
      </c>
      <c r="EG45" s="1" t="str">
        <f t="shared" si="17"/>
        <v>0.163285359815688i</v>
      </c>
      <c r="EH45" s="1" t="str">
        <f t="shared" si="18"/>
        <v>0.163415386466712i</v>
      </c>
      <c r="EI45" s="1" t="str">
        <f t="shared" si="19"/>
        <v>0.163399423388866i</v>
      </c>
      <c r="EJ45" s="1" t="str">
        <f t="shared" si="1"/>
        <v>0.005</v>
      </c>
      <c r="EK45" s="1" t="str">
        <f t="shared" si="2"/>
        <v>0.01</v>
      </c>
      <c r="EL45" s="1" t="str">
        <f t="shared" si="3"/>
        <v>0.0125</v>
      </c>
      <c r="EM45" s="1" t="str">
        <f t="shared" si="329"/>
        <v>0.00505601961375572+0.112935743002134i</v>
      </c>
      <c r="EN45" s="1" t="str">
        <f t="shared" si="330"/>
        <v>-0.005</v>
      </c>
      <c r="EO45" s="1" t="str">
        <f t="shared" si="331"/>
        <v>0.403316450349564-362.984805314609i</v>
      </c>
      <c r="EP45" s="1" t="str">
        <f t="shared" si="332"/>
        <v>-0.005</v>
      </c>
      <c r="EQ45" s="1" t="str">
        <f t="shared" si="333"/>
        <v>0.0151097527126643+0.0645079184178543i</v>
      </c>
      <c r="ER45" s="1" t="str">
        <f t="shared" si="334"/>
        <v>-0.01</v>
      </c>
      <c r="ES45" s="1" t="str">
        <f t="shared" si="335"/>
        <v>0.79017100476649-711.153904289845i</v>
      </c>
      <c r="ET45" s="1" t="str">
        <f t="shared" si="336"/>
        <v>-0.01</v>
      </c>
      <c r="EU45" s="1" t="str">
        <f t="shared" si="337"/>
        <v>0.0227712378237458-0.080698654904498i</v>
      </c>
      <c r="EV45" s="1" t="str">
        <f t="shared" si="338"/>
        <v>-0.0125</v>
      </c>
      <c r="EW45" s="1" t="str">
        <f t="shared" si="339"/>
        <v>1.95279240500887-1757.51316450799i</v>
      </c>
      <c r="EX45" s="1" t="str">
        <f t="shared" si="340"/>
        <v>-0.0125</v>
      </c>
      <c r="EY45" s="1" t="str">
        <f t="shared" si="341"/>
        <v>0.0128787992930148-0.177519940324491i</v>
      </c>
      <c r="EZ45" s="1" t="str">
        <f t="shared" si="342"/>
        <v>2.72718742617325-2454.46868355593i</v>
      </c>
      <c r="FB45" s="1" t="str">
        <f t="shared" si="343"/>
        <v>0.00505601961375572+0.112935743002134i</v>
      </c>
      <c r="FC45" s="1" t="str">
        <f t="shared" si="344"/>
        <v>0.403316450349564-362.984805314609i</v>
      </c>
      <c r="FD45" s="1" t="str">
        <f t="shared" si="345"/>
        <v>-0.00197809141623409+0.0441844060910586i</v>
      </c>
      <c r="FE45" s="1" t="str">
        <f t="shared" si="346"/>
        <v>0.0150998622555831+0.0647288404483096i</v>
      </c>
      <c r="FF45" s="1" t="str">
        <f t="shared" si="347"/>
        <v>-15.2472992413296-711.889741715287i</v>
      </c>
      <c r="FG45" s="1" t="str">
        <f t="shared" si="348"/>
        <v>-0.0341793752862869+0.146517318640502i</v>
      </c>
      <c r="FH45" s="1" t="str">
        <f t="shared" si="349"/>
        <v>0.0224294440708829-0.079233481718093i</v>
      </c>
      <c r="FI45" s="1" t="str">
        <f t="shared" si="350"/>
        <v>-102.872526881666-1779.61111775119i</v>
      </c>
      <c r="FJ45" s="1" t="str">
        <f t="shared" si="351"/>
        <v>-0.041345971734743-0.146057355911657i</v>
      </c>
      <c r="FK45" s="1" t="str">
        <f t="shared" si="352"/>
        <v>0.0123619746463305-0.179345657273387i</v>
      </c>
      <c r="FL45" s="1" t="str">
        <f t="shared" si="353"/>
        <v>259.50565331372-2526.8495534838i</v>
      </c>
      <c r="FM45" s="1" t="str">
        <f t="shared" si="354"/>
        <v>14121.9125604786+473.559993448421i</v>
      </c>
      <c r="FN45" s="1" t="str">
        <f t="shared" si="355"/>
        <v>20968.4716627371-5006.21421255i</v>
      </c>
      <c r="FO45" s="1" t="str">
        <f t="shared" si="356"/>
        <v>-10499.3397494897-5453.14884266743i</v>
      </c>
      <c r="FP45" s="1" t="str">
        <f t="shared" si="357"/>
        <v>-3469.20684599321+305.952779173983i</v>
      </c>
      <c r="FQ45" s="92" t="str">
        <f t="shared" si="358"/>
        <v>-14.8277607872321-537.911209467226i</v>
      </c>
      <c r="FR45" s="1" t="str">
        <f t="shared" si="359"/>
        <v>-49.9784253047144-566.706717576434i</v>
      </c>
      <c r="FS45" s="1" t="str">
        <f t="shared" si="360"/>
        <v>35.1506645174825+28.795508109207i</v>
      </c>
      <c r="FT45" s="1" t="str">
        <f t="shared" si="361"/>
        <v>540.590592263703-1747.65332323296i</v>
      </c>
      <c r="FU45" s="1" t="str">
        <f t="shared" si="362"/>
        <v>1218.3525331795+3362.54306910869i</v>
      </c>
      <c r="FV45" s="1" t="str">
        <f t="shared" si="363"/>
        <v>-164.067954714291+2359.78537678738i</v>
      </c>
      <c r="FW45" s="1" t="str">
        <f t="shared" si="364"/>
        <v>-49.9784253047144-566.706717576434i</v>
      </c>
      <c r="FX45" s="1" t="str">
        <f t="shared" si="365"/>
        <v>890.419370903454-1714.38846882258i</v>
      </c>
      <c r="FY45" s="1" t="str">
        <f t="shared" si="366"/>
        <v>818.092430279005+3426.57090038248i</v>
      </c>
      <c r="FZ45" s="1" t="str">
        <f t="shared" si="367"/>
        <v>-77.3794298695071+2307.51236953019i</v>
      </c>
      <c r="GA45" s="1" t="str">
        <f t="shared" si="368"/>
        <v>35.1506645174825+28.795508109207i</v>
      </c>
      <c r="GB45" s="1" t="str">
        <f t="shared" si="369"/>
        <v>-314.678114122268-4.46934630117429i</v>
      </c>
      <c r="GC45" s="1" t="str">
        <f t="shared" si="370"/>
        <v>85.5819887782313-68.4971775749803i</v>
      </c>
      <c r="GD45" s="92" t="str">
        <f t="shared" si="371"/>
        <v>1580.04740994168+3436.76391319588i</v>
      </c>
      <c r="GE45" s="1" t="str">
        <f t="shared" si="63"/>
        <v>0.795060485081057-1.72933746591531i</v>
      </c>
      <c r="GF45" s="1">
        <f t="shared" si="64"/>
        <v>9</v>
      </c>
      <c r="GG45" s="56">
        <f t="shared" si="65"/>
        <v>0.70180799348063039</v>
      </c>
      <c r="GH45" s="1">
        <f t="shared" si="66"/>
        <v>1.5915290851324975</v>
      </c>
      <c r="GJ45" s="1">
        <f t="shared" si="372"/>
        <v>3782.5779585765135</v>
      </c>
      <c r="GK45" s="72">
        <f t="shared" si="373"/>
        <v>1.9033468538224219</v>
      </c>
      <c r="GM45" s="1" t="str">
        <f t="shared" si="69"/>
        <v>0.0191834803010191+4.31628306772931i</v>
      </c>
      <c r="GP45" s="1">
        <f t="shared" si="4"/>
        <v>9</v>
      </c>
      <c r="GQ45" s="1">
        <f t="shared" si="5"/>
        <v>1.9033468538224219</v>
      </c>
      <c r="GR45" s="1">
        <f t="shared" si="70"/>
        <v>4.3163256974750173</v>
      </c>
      <c r="GS45" s="1">
        <f t="shared" si="71"/>
        <v>3.02923187695382</v>
      </c>
    </row>
    <row r="46" spans="2:269" ht="18" customHeight="1" x14ac:dyDescent="0.25">
      <c r="B46" s="6"/>
      <c r="AP46" s="42"/>
      <c r="AR46" s="6"/>
      <c r="CF46" s="8"/>
      <c r="CH46" s="2"/>
      <c r="CI46" s="1" t="s">
        <v>406</v>
      </c>
      <c r="CJ46" s="73">
        <f>SQRT(CJ29^2+CJ30^2+CJ31^2+CJ32^2+CJ33^2+CJ34^2+CJ35^2+CJ36^2+CJ37^2+CJ38^2+CJ39^2+CJ40^2+CJ41^2+CJ42^2+CJ43^2)</f>
        <v>2.9451988442676404E-2</v>
      </c>
      <c r="CK46" s="78">
        <f>SQRT(CK28^2+CK29^2+CK30^2+CK31^2+CK32^2+CK33^2+CK34^2+CK35^2+CK36^2+CK37^2+CK38^2+CK39^2+CK40^2+CK41^2+CK42^2+CK43^2)</f>
        <v>174.59739966605167</v>
      </c>
      <c r="CL46" s="78">
        <f>SQRT(CL28^2+CL29^2+CL30^2+CL31^2+CL32^2+CL33^2+CL34^2+CL35^2+CL36^2+CL37^2+CL38^2+CL39^2+CL40^2+CL41^2+CL42^2+CL43^2)</f>
        <v>164.20061875994426</v>
      </c>
      <c r="CM46" s="78">
        <f>SQRT(CM28^2+CM29^2+CM30^2+CM31^2+CM32^2+CM33^2+CM34^2+CM35^2+CM36^2+CM37^2+CM38^2+CM39^2+CM40^2+CM41^2+CM42^2+CM43^2)</f>
        <v>158.30870967337708</v>
      </c>
      <c r="CN46" s="78">
        <f>SQRT(CN28^2+CN29^2+CN30^2+CN31^2+CN32^2+CN33^2+CN34^2+CN35^2+CN36^2+CN37^2+CN38^2+CN39^2+CN40^2+CN41^2+CN42^2+CN43^2)</f>
        <v>166.20789147092734</v>
      </c>
      <c r="CO46" s="78">
        <f>SQRT(CO28^2+CO29^2+CO30^2+CO31^2+CO32^2+CO33^2+CO34^2+CO35^2+CO36^2+CO37^2+CO38^2+CO39^2+CO40^2+CO41^2+CO42^2+CO43^2)</f>
        <v>175.47610426836656</v>
      </c>
      <c r="CP46" s="78">
        <f>SUM(CP28:CP43)</f>
        <v>1154.7179636888341</v>
      </c>
      <c r="CQ46" s="78">
        <f>SQRT(CQ28^2+CQ29^2+CQ30^2+CQ31^2+CQ32^2+CQ33^2+CQ34^2+CQ35^2+CQ36^2+CQ37^2+CQ38^2+CQ39^2+CQ40^2+CQ41^2+CQ42^2+CQ43^2)</f>
        <v>163.91414333049207</v>
      </c>
      <c r="CR46" s="78">
        <f>SUM(CR28:CR43)</f>
        <v>1051.8364375489209</v>
      </c>
      <c r="CS46" s="78">
        <f>SQRT(CS28^2+CS29^2+CS30^2+CS31^2+CS32^2+CS33^2+CS34^2+CS35^2+CS36^2+CS37^2+CS38^2+CS39^2+CS40^2+CS41^2+CS42^2+CS43^2)</f>
        <v>158.13915156514827</v>
      </c>
      <c r="CT46" s="78">
        <f>SUM(CT28:CT43)</f>
        <v>994.82910961339576</v>
      </c>
      <c r="CU46" s="78">
        <f>SQRT(CU28^2+CU29^2+CU30^2+CU31^2+CU32^2+CU33^2+CU34^2+CU35^2+CU36^2+CU37^2+CU38^2+CU39^2+CU40^2+CU41^2+CU42^2+CU43^2)</f>
        <v>164.27561603168309</v>
      </c>
      <c r="CV46" s="78">
        <f>SUM(CV28:CV43)</f>
        <v>992.14121324766847</v>
      </c>
      <c r="CW46" s="78">
        <f>SQRT(CW28^2+CW29^2+CW30^2+CW31^2+CW32^2+CW33^2+CW34^2+CW35^2+CW36^2+CW37^2+CW38^2+CW39^2+CW40^2+CW41^2+CW42^2+CW43^2)</f>
        <v>6.9668586950970672</v>
      </c>
      <c r="CX46" s="78">
        <f>SQRT(CX28^2+CX29^2+CX30^2+CX31^2+CX32^2+CX33^2+CX34^2+CX35^2+CX36^2+CX37^2+CX38^2+CX39^2+CX40^2+CX41^2+CX42^2+CX43^2)</f>
        <v>8.3595059244512466</v>
      </c>
      <c r="CY46" s="78">
        <f>SQRT(CY28^2+CY29^2+CY30^2+CY31^2+CY32^2+CY33^2+CY34^2+CY35^2+CY36^2+CY37^2+CY38^2+CY39^2+CY40^2+CY41^2+CY42^2+CY43^2)</f>
        <v>5.8662127400718385</v>
      </c>
      <c r="CZ46" s="78">
        <f>SQRT(CZ28^2+CZ29^2+CZ30^2+CZ31^2+CZ32^2+CZ33^2+CZ34^2+CZ35^2+CZ36^2+CZ37^2+CZ38^2+CZ39^2+CZ40^2+CZ41^2+CZ42^2+CZ43^2)</f>
        <v>577.10146740253754</v>
      </c>
      <c r="DA46" s="78">
        <f>SQRT(DA28^2+DA29^2+DA30^2+DA31^2+DA32^2+DA33^2+DA34^2+DA35^2+DA36^2+DA37^2+DA38^2+DA39^2+DA40^2+DA41^2+DA42^2+DA43^2)</f>
        <v>7596.7405491803147</v>
      </c>
      <c r="DB46" s="78">
        <f t="shared" ref="DB46:DD46" si="419">SQRT(DB28^2+DB29^2+DB30^2+DB31^2+DB32^2+DB33^2+DB34^2+DB35^2+DB36^2+DB37^2+DB38^2+DB39^2+DB40^2+DB41^2+DB42^2+DB43^2)</f>
        <v>7388.5664312724266</v>
      </c>
      <c r="DC46" s="78">
        <f t="shared" si="419"/>
        <v>7273.3034421279872</v>
      </c>
      <c r="DD46" s="78">
        <f t="shared" si="419"/>
        <v>7271.609974102842</v>
      </c>
      <c r="EA46" s="1">
        <f>ROUND(EA45+0.2,1)</f>
        <v>9.1999999999999993</v>
      </c>
      <c r="EB46" s="1" t="str">
        <f t="shared" si="12"/>
        <v>0.0000536104555190076-0.0493216190774872i</v>
      </c>
      <c r="EC46" s="1" t="str">
        <f t="shared" si="13"/>
        <v>0.000105032729180097-0.0966301108456894i</v>
      </c>
      <c r="ED46" s="1" t="str">
        <f t="shared" si="14"/>
        <v>0.000259573072895604-0.238807227063956i</v>
      </c>
      <c r="EE46" s="1" t="str">
        <f t="shared" si="15"/>
        <v>0.000362508794461863-0.333508090904914i</v>
      </c>
      <c r="EF46" s="1" t="str">
        <f t="shared" si="16"/>
        <v>0.166983470835217i</v>
      </c>
      <c r="EG46" s="1" t="str">
        <f t="shared" si="17"/>
        <v>0.166913923367147i</v>
      </c>
      <c r="EH46" s="1" t="str">
        <f t="shared" si="18"/>
        <v>0.167046839499305i</v>
      </c>
      <c r="EI46" s="1" t="str">
        <f t="shared" si="19"/>
        <v>0.167030521686396i</v>
      </c>
      <c r="EJ46" s="1" t="str">
        <f t="shared" si="1"/>
        <v>0.005</v>
      </c>
      <c r="EK46" s="1" t="str">
        <f t="shared" si="2"/>
        <v>0.01</v>
      </c>
      <c r="EL46" s="1" t="str">
        <f t="shared" si="3"/>
        <v>0.0125</v>
      </c>
      <c r="EM46" s="1" t="str">
        <f t="shared" si="329"/>
        <v>0.00505361045551901+0.11766185175773i</v>
      </c>
      <c r="EN46" s="1" t="str">
        <f t="shared" si="330"/>
        <v>-0.005</v>
      </c>
      <c r="EO46" s="1" t="str">
        <f t="shared" si="331"/>
        <v>0.38597157623821-355.093850139155i</v>
      </c>
      <c r="EP46" s="1" t="str">
        <f t="shared" si="332"/>
        <v>-0.005</v>
      </c>
      <c r="EQ46" s="1" t="str">
        <f t="shared" si="333"/>
        <v>0.0151050327291801+0.0702838125214576i</v>
      </c>
      <c r="ER46" s="1" t="str">
        <f t="shared" si="334"/>
        <v>-0.01</v>
      </c>
      <c r="ES46" s="1" t="str">
        <f t="shared" si="335"/>
        <v>0.75618921058915-695.694073742019i</v>
      </c>
      <c r="ET46" s="1" t="str">
        <f t="shared" si="336"/>
        <v>-0.01</v>
      </c>
      <c r="EU46" s="1" t="str">
        <f t="shared" si="337"/>
        <v>0.0227595730728956-0.071760387564651i</v>
      </c>
      <c r="EV46" s="1" t="str">
        <f t="shared" si="338"/>
        <v>-0.0125</v>
      </c>
      <c r="EW46" s="1" t="str">
        <f t="shared" si="339"/>
        <v>1.86881135637787-1719.30644786764i</v>
      </c>
      <c r="EX46" s="1" t="str">
        <f t="shared" si="340"/>
        <v>-0.0125</v>
      </c>
      <c r="EY46" s="1" t="str">
        <f t="shared" si="341"/>
        <v>0.0128625087944619-0.166477569218518i</v>
      </c>
      <c r="EZ46" s="1" t="str">
        <f t="shared" si="342"/>
        <v>2.60990303932506-2401.11079617905i</v>
      </c>
      <c r="FB46" s="1" t="str">
        <f t="shared" si="343"/>
        <v>0.00505361045551901+0.11766185175773i</v>
      </c>
      <c r="FC46" s="1" t="str">
        <f t="shared" si="344"/>
        <v>0.38597157623821-355.093850139155i</v>
      </c>
      <c r="FD46" s="1" t="str">
        <f t="shared" si="345"/>
        <v>-0.00182179703907287+0.0424164100163214i</v>
      </c>
      <c r="FE46" s="1" t="str">
        <f t="shared" si="346"/>
        <v>0.0150959237439847+0.0704958945715392i</v>
      </c>
      <c r="FF46" s="1" t="str">
        <f t="shared" si="347"/>
        <v>-14.3049139693126-696.357354195428i</v>
      </c>
      <c r="FG46" s="1" t="str">
        <f t="shared" si="348"/>
        <v>-0.0290442618530312+0.135632721536192i</v>
      </c>
      <c r="FH46" s="1" t="str">
        <f t="shared" si="349"/>
        <v>0.0224691304543653-0.0704040603492891i</v>
      </c>
      <c r="FI46" s="1" t="str">
        <f t="shared" si="350"/>
        <v>-92.9955074219998-1737.59141879318i</v>
      </c>
      <c r="FJ46" s="1" t="str">
        <f t="shared" si="351"/>
        <v>-0.0514253081586334-0.161134428696942i</v>
      </c>
      <c r="FK46" s="1" t="str">
        <f t="shared" si="352"/>
        <v>0.012219692442479-0.16849174957723i</v>
      </c>
      <c r="FL46" s="1" t="str">
        <f t="shared" si="353"/>
        <v>279.745469471338-2489.22553022952i</v>
      </c>
      <c r="FM46" s="1" t="str">
        <f t="shared" si="354"/>
        <v>14816.057723465+585.772307120242i</v>
      </c>
      <c r="FN46" s="1" t="str">
        <f t="shared" si="355"/>
        <v>22683.8104840233-5929.7756517891i</v>
      </c>
      <c r="FO46" s="1" t="str">
        <f t="shared" si="356"/>
        <v>-9631.86895606646-5077.39000007327i</v>
      </c>
      <c r="FP46" s="1" t="str">
        <f t="shared" si="357"/>
        <v>-3245.13260238114+266.643238113869i</v>
      </c>
      <c r="FQ46" s="92" t="str">
        <f t="shared" si="358"/>
        <v>-12.5913316065685-515.16333907519i</v>
      </c>
      <c r="FR46" s="1" t="str">
        <f t="shared" si="359"/>
        <v>-44.5250133749951-541.883505266123i</v>
      </c>
      <c r="FS46" s="1" t="str">
        <f t="shared" si="360"/>
        <v>31.9336817684266+26.7201661909357i</v>
      </c>
      <c r="FT46" s="1" t="str">
        <f t="shared" si="361"/>
        <v>492.396609208025-1625.88934648906i</v>
      </c>
      <c r="FU46" s="1" t="str">
        <f t="shared" si="362"/>
        <v>1412.05398547918+3699.29064315378i</v>
      </c>
      <c r="FV46" s="1" t="str">
        <f t="shared" si="363"/>
        <v>-198.120852037324+2539.95198229788i</v>
      </c>
      <c r="FW46" s="1" t="str">
        <f t="shared" si="364"/>
        <v>-44.5250133749951-541.883505266123i</v>
      </c>
      <c r="FX46" s="1" t="str">
        <f t="shared" si="365"/>
        <v>847.487085377348-1607.69303681528i</v>
      </c>
      <c r="FY46" s="1" t="str">
        <f t="shared" si="366"/>
        <v>990.550281571301+3789.25884915729i</v>
      </c>
      <c r="FZ46" s="1" t="str">
        <f t="shared" si="367"/>
        <v>-97.8418540477378+2474.73385088612i</v>
      </c>
      <c r="GA46" s="1" t="str">
        <f t="shared" si="368"/>
        <v>31.9336817684266+26.7201661909357i</v>
      </c>
      <c r="GB46" s="1" t="str">
        <f t="shared" si="369"/>
        <v>-323.156794400898+8.5238565171583i</v>
      </c>
      <c r="GC46" s="1" t="str">
        <f t="shared" si="370"/>
        <v>98.3469095069788-81.4443494863668i</v>
      </c>
      <c r="GD46" s="92" t="str">
        <f t="shared" si="371"/>
        <v>1693.73841104331+4098.18993988741i</v>
      </c>
      <c r="GE46" s="1" t="str">
        <f t="shared" si="63"/>
        <v>0.620129329297893-1.50047242371524i</v>
      </c>
      <c r="GF46" s="1">
        <f t="shared" si="64"/>
        <v>9.1999999999999993</v>
      </c>
      <c r="GG46" s="56">
        <f t="shared" si="65"/>
        <v>0.54462327372737485</v>
      </c>
      <c r="GH46" s="1">
        <f t="shared" si="66"/>
        <v>1.480078182948503</v>
      </c>
      <c r="GJ46" s="1">
        <f t="shared" si="372"/>
        <v>4434.400815041181</v>
      </c>
      <c r="GK46" s="1">
        <f t="shared" si="373"/>
        <v>1.6235694870825028</v>
      </c>
      <c r="GM46" s="1" t="str">
        <f t="shared" si="69"/>
        <v>0.0191834803010191+4.41220046923441i</v>
      </c>
      <c r="GP46" s="1">
        <f t="shared" si="4"/>
        <v>9.1999999999999993</v>
      </c>
      <c r="GQ46" s="1">
        <f t="shared" si="5"/>
        <v>1.6235694870825028</v>
      </c>
      <c r="GR46" s="1">
        <f t="shared" si="70"/>
        <v>4.4122421722553726</v>
      </c>
      <c r="GS46" s="1">
        <f t="shared" si="71"/>
        <v>2.4030097763317046</v>
      </c>
    </row>
    <row r="47" spans="2:269"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EA47" s="1">
        <f t="shared" ref="EA47:EA110" si="420">ROUND(EA46+0.2,1)</f>
        <v>9.4</v>
      </c>
      <c r="EB47" s="1" t="str">
        <f t="shared" si="12"/>
        <v>0.0000513534311999914-0.0482722253279921i</v>
      </c>
      <c r="EC47" s="1" t="str">
        <f t="shared" si="13"/>
        <v>0.000100610803983656-0.0945741557446372i</v>
      </c>
      <c r="ED47" s="1" t="str">
        <f t="shared" si="14"/>
        <v>0.000248644929636694-0.233726233858492i</v>
      </c>
      <c r="EE47" s="1" t="str">
        <f t="shared" si="15"/>
        <v>0.000347247010971371-0.326412190313089i</v>
      </c>
      <c r="EF47" s="1" t="str">
        <f t="shared" si="16"/>
        <v>0.170613546288156i</v>
      </c>
      <c r="EG47" s="1" t="str">
        <f t="shared" si="17"/>
        <v>0.170542486918607i</v>
      </c>
      <c r="EH47" s="1" t="str">
        <f t="shared" si="18"/>
        <v>0.170678292531899i</v>
      </c>
      <c r="EI47" s="1" t="str">
        <f t="shared" si="19"/>
        <v>0.170661619983927i</v>
      </c>
      <c r="EJ47" s="1" t="str">
        <f t="shared" si="1"/>
        <v>0.005</v>
      </c>
      <c r="EK47" s="1" t="str">
        <f t="shared" si="2"/>
        <v>0.01</v>
      </c>
      <c r="EL47" s="1" t="str">
        <f t="shared" si="3"/>
        <v>0.0125</v>
      </c>
      <c r="EM47" s="1" t="str">
        <f t="shared" si="329"/>
        <v>0.00505135343119999+0.122341320960164i</v>
      </c>
      <c r="EN47" s="1" t="str">
        <f t="shared" si="330"/>
        <v>-0.005</v>
      </c>
      <c r="EO47" s="1" t="str">
        <f t="shared" si="331"/>
        <v>0.369721999069261-347.538679125106i</v>
      </c>
      <c r="EP47" s="1" t="str">
        <f t="shared" si="332"/>
        <v>-0.005</v>
      </c>
      <c r="EQ47" s="1" t="str">
        <f t="shared" si="333"/>
        <v>0.0151006108039837+0.0759683311739698i</v>
      </c>
      <c r="ER47" s="1" t="str">
        <f t="shared" si="334"/>
        <v>-0.01</v>
      </c>
      <c r="ES47" s="1" t="str">
        <f t="shared" si="335"/>
        <v>0.724353304298956-680.892106041022i</v>
      </c>
      <c r="ET47" s="1" t="str">
        <f t="shared" si="336"/>
        <v>-0.01</v>
      </c>
      <c r="EU47" s="1" t="str">
        <f t="shared" si="337"/>
        <v>0.0227486449296367-0.063047941326593i</v>
      </c>
      <c r="EV47" s="1" t="str">
        <f t="shared" si="338"/>
        <v>-0.0125</v>
      </c>
      <c r="EW47" s="1" t="str">
        <f t="shared" si="339"/>
        <v>1.79013355671801-1682.72554331493i</v>
      </c>
      <c r="EX47" s="1" t="str">
        <f t="shared" si="340"/>
        <v>-0.0125</v>
      </c>
      <c r="EY47" s="1" t="str">
        <f t="shared" si="341"/>
        <v>0.0128472470109714-0.155750570329162i</v>
      </c>
      <c r="EZ47" s="1" t="str">
        <f t="shared" si="342"/>
        <v>2.50002494608739-2350.02344932215i</v>
      </c>
      <c r="FB47" s="1" t="str">
        <f t="shared" si="343"/>
        <v>0.00505135343119999+0.122341320960164i</v>
      </c>
      <c r="FC47" s="1" t="str">
        <f t="shared" si="344"/>
        <v>0.369721999069261-347.538679125106i</v>
      </c>
      <c r="FD47" s="1" t="str">
        <f t="shared" si="345"/>
        <v>-0.00168458016202856+0.0407997114224695i</v>
      </c>
      <c r="FE47" s="1" t="str">
        <f t="shared" si="346"/>
        <v>0.0150921879031736+0.0761723297310822i</v>
      </c>
      <c r="FF47" s="1" t="str">
        <f t="shared" si="347"/>
        <v>-13.4545016858065-681.492647356282i</v>
      </c>
      <c r="FG47" s="1" t="str">
        <f t="shared" si="348"/>
        <v>-0.0250285124844086+0.126322314423344i</v>
      </c>
      <c r="FH47" s="1" t="str">
        <f t="shared" si="349"/>
        <v>0.0224983598047926-0.0617847181823596i</v>
      </c>
      <c r="FI47" s="1" t="str">
        <f t="shared" si="350"/>
        <v>-84.634341083234-1698.08268675496i</v>
      </c>
      <c r="FJ47" s="1" t="str">
        <f t="shared" si="351"/>
        <v>-0.0650463056832299-0.178629362331821i</v>
      </c>
      <c r="FK47" s="1" t="str">
        <f t="shared" si="352"/>
        <v>0.012034168189931-0.15798343735831i</v>
      </c>
      <c r="FL47" s="1" t="str">
        <f t="shared" si="353"/>
        <v>303.200657302444-2459.15875897787i</v>
      </c>
      <c r="FM47" s="1" t="str">
        <f t="shared" si="354"/>
        <v>15621.4771530464+729.248431316393i</v>
      </c>
      <c r="FN47" s="1" t="str">
        <f t="shared" si="355"/>
        <v>24711.6362998808-7207.88529285865i</v>
      </c>
      <c r="FO47" s="1" t="str">
        <f t="shared" si="356"/>
        <v>-8934.46871864533-4837.74808162991i</v>
      </c>
      <c r="FP47" s="1" t="str">
        <f t="shared" si="357"/>
        <v>-3048.20055244789+236.265907934539i</v>
      </c>
      <c r="FQ47" s="92" t="str">
        <f t="shared" si="358"/>
        <v>-10.8788235887155-494.694236102828i</v>
      </c>
      <c r="FR47" s="1" t="str">
        <f t="shared" si="359"/>
        <v>-40.3101644197027-520.064306050651i</v>
      </c>
      <c r="FS47" s="1" t="str">
        <f t="shared" si="360"/>
        <v>29.4313408309872+25.3700699478222i</v>
      </c>
      <c r="FT47" s="1" t="str">
        <f t="shared" si="361"/>
        <v>459.149197910636-1525.37521240982i</v>
      </c>
      <c r="FU47" s="1" t="str">
        <f t="shared" si="362"/>
        <v>1680.31759407159+4094.82434566849i</v>
      </c>
      <c r="FV47" s="1" t="str">
        <f t="shared" si="363"/>
        <v>-240.960064050634+2748.76389479158i</v>
      </c>
      <c r="FW47" s="1" t="str">
        <f t="shared" si="364"/>
        <v>-40.3101644197027-520.064306050651i</v>
      </c>
      <c r="FX47" s="1" t="str">
        <f t="shared" si="365"/>
        <v>825.041588926885-1523.70651457427i</v>
      </c>
      <c r="FY47" s="1" t="str">
        <f t="shared" si="366"/>
        <v>1230.2295545509+4217.73988933295i</v>
      </c>
      <c r="FZ47" s="1" t="str">
        <f t="shared" si="367"/>
        <v>-124.454718659193+2665.9865974808i</v>
      </c>
      <c r="GA47" s="1" t="str">
        <f t="shared" si="368"/>
        <v>29.4313408309872+25.3700699478222i</v>
      </c>
      <c r="GB47" s="1" t="str">
        <f t="shared" si="369"/>
        <v>-336.461050185261+23.7013721122874i</v>
      </c>
      <c r="GC47" s="1" t="str">
        <f t="shared" si="370"/>
        <v>113.62698933543-99.214171552188i</v>
      </c>
      <c r="GD47" s="92" t="str">
        <f t="shared" si="371"/>
        <v>1887.62790434288+4823.51879194742i</v>
      </c>
      <c r="GE47" s="1" t="str">
        <f t="shared" si="63"/>
        <v>0.506535722524165-1.29436769331852i</v>
      </c>
      <c r="GF47" s="1">
        <f t="shared" si="64"/>
        <v>9.4</v>
      </c>
      <c r="GG47" s="56">
        <f t="shared" si="65"/>
        <v>0.4268283015289453</v>
      </c>
      <c r="GH47" s="1">
        <f t="shared" si="66"/>
        <v>1.3843714845340052</v>
      </c>
      <c r="GJ47" s="1">
        <f t="shared" si="372"/>
        <v>5179.7174287333273</v>
      </c>
      <c r="GK47" s="1">
        <f t="shared" si="373"/>
        <v>1.3899518566122298</v>
      </c>
      <c r="GM47" s="1" t="str">
        <f t="shared" si="69"/>
        <v>0.0191834803010191+4.50811787073951i</v>
      </c>
      <c r="GP47" s="1">
        <f t="shared" si="4"/>
        <v>9.4</v>
      </c>
      <c r="GQ47" s="1">
        <f t="shared" si="5"/>
        <v>1.3899518566122298</v>
      </c>
      <c r="GR47" s="1">
        <f t="shared" si="70"/>
        <v>4.5081586864702743</v>
      </c>
      <c r="GS47" s="1">
        <f t="shared" si="71"/>
        <v>1.924209715169064</v>
      </c>
    </row>
    <row r="48" spans="2:269" ht="18" customHeight="1" x14ac:dyDescent="0.25">
      <c r="B48" s="6"/>
      <c r="D48" s="43" t="s">
        <v>84</v>
      </c>
      <c r="AO48" s="44" t="s">
        <v>442</v>
      </c>
      <c r="AP48" s="8"/>
      <c r="AR48" s="6"/>
      <c r="AT48" s="43" t="s">
        <v>84</v>
      </c>
      <c r="CE48" s="29" t="s">
        <v>86</v>
      </c>
      <c r="CF48" s="8"/>
      <c r="CN48" s="29" t="s">
        <v>417</v>
      </c>
      <c r="CO48" s="1">
        <f>SQRT((1.1*CO28)^2+CO29^2+CO30^2+CO31^2+CO32^2+CO33^2+CO34^2+CO35^2+CO36^2+CO37^2+CO38^2+CO39^2+CO40^2++CO41+CO42^2+CO43^2)</f>
        <v>186.23345139039776</v>
      </c>
      <c r="CQ48" s="1">
        <f>SQRT((1.1*CQ28)^2+CQ29^2+CQ30^2+CQ31^2+CQ32^2+CQ33^2+CQ34^2+CQ35^2+CQ36^2+CQ37^2+CQ38^2+CQ39^2+CQ40^2+CQ41^2+CQ42^2+CQ43^2)</f>
        <v>174.93330110227265</v>
      </c>
      <c r="CS48" s="1">
        <f>SQRT((1.1*CS28)^2+CS29^2+CS30^2+CS31^2+CS32^2+CS33^2+CS34^2+CS35^2+CS36^2+CS37^2+CS38^2+CS39^2+CS40^2+CS41^2+CS42^2+CS43^2)</f>
        <v>169.28293182067458</v>
      </c>
      <c r="CU48" s="1">
        <f>SQRT((1.1*CU28)^2+CU29^2+CU30^2+CU31^2+CU32^2+CU33^2+CU34^2+CU35^2+CU36^2+CU37^2+CU38^2+CU39^2+CU40^2+CU41^2+CU42^2+CU43^2)</f>
        <v>174.97831649969322</v>
      </c>
      <c r="CX48" s="281" t="s">
        <v>414</v>
      </c>
      <c r="CY48" s="281"/>
      <c r="CZ48" s="281"/>
      <c r="DA48" s="72">
        <f>1.414*DA28+1.414*DA29+1.414*DA30+1.414*DA31+1.414*DA32+1.414*DA33+1.414*DA34+1.414*DA35+1.414*DA36+1.414*DA37+1.414*DA38+1.414*DA39+1.414*DA40+1.414*DA41+1.414*DA42+1.414*DA43</f>
        <v>12665.872825102701</v>
      </c>
      <c r="DB48" s="72">
        <f t="shared" ref="DB48:DD48" si="421">1.414*DB28+1.414*DB29+1.414*DB30+1.414*DB31+1.414*DB32+1.414*DB33+1.414*DB34+1.414*DB35+1.414*DB36+1.414*DB37+1.414*DB38+1.414*DB39+1.414*DB40+1.414*DB41+1.414*DB42+1.414*DB43</f>
        <v>11953.699847480751</v>
      </c>
      <c r="DC48" s="72">
        <f t="shared" si="421"/>
        <v>11601.70446816034</v>
      </c>
      <c r="DD48" s="72">
        <f t="shared" si="421"/>
        <v>11724.237288091481</v>
      </c>
      <c r="EA48" s="1">
        <f t="shared" si="420"/>
        <v>9.6</v>
      </c>
      <c r="EB48" s="1" t="str">
        <f t="shared" si="12"/>
        <v>0.0000492359960131811-0.0472665561726539i</v>
      </c>
      <c r="EC48" s="1" t="str">
        <f t="shared" si="13"/>
        <v>0.0000964623595360285-0.0926038651545873i</v>
      </c>
      <c r="ED48" s="1" t="str">
        <f t="shared" si="14"/>
        <v>0.000238392654165861-0.228856947999227i</v>
      </c>
      <c r="EE48" s="1" t="str">
        <f t="shared" si="15"/>
        <v>0.000332929115898654-0.319611951262707i</v>
      </c>
      <c r="EF48" s="1" t="str">
        <f t="shared" si="16"/>
        <v>0.174243621741096i</v>
      </c>
      <c r="EG48" s="1" t="str">
        <f t="shared" si="17"/>
        <v>0.174171050470067i</v>
      </c>
      <c r="EH48" s="1" t="str">
        <f t="shared" si="18"/>
        <v>0.174309745564492i</v>
      </c>
      <c r="EI48" s="1" t="str">
        <f t="shared" si="19"/>
        <v>0.174292718281457i</v>
      </c>
      <c r="EJ48" s="1" t="str">
        <f t="shared" si="1"/>
        <v>0.005</v>
      </c>
      <c r="EK48" s="1" t="str">
        <f t="shared" si="2"/>
        <v>0.01</v>
      </c>
      <c r="EL48" s="1" t="str">
        <f t="shared" si="3"/>
        <v>0.0125</v>
      </c>
      <c r="EM48" s="1" t="str">
        <f t="shared" si="329"/>
        <v>0.00504923599601318+0.126977065568442i</v>
      </c>
      <c r="EN48" s="1" t="str">
        <f t="shared" si="330"/>
        <v>-0.005</v>
      </c>
      <c r="EO48" s="1" t="str">
        <f t="shared" si="331"/>
        <v>0.354477401933807-340.298305856455i</v>
      </c>
      <c r="EP48" s="1" t="str">
        <f t="shared" si="332"/>
        <v>-0.005</v>
      </c>
      <c r="EQ48" s="1" t="str">
        <f t="shared" si="333"/>
        <v>0.015096462359536+0.0815671853154797i</v>
      </c>
      <c r="ER48" s="1" t="str">
        <f t="shared" si="334"/>
        <v>-0.01</v>
      </c>
      <c r="ES48" s="1" t="str">
        <f t="shared" si="335"/>
        <v>0.694486338482563-666.70688494326i</v>
      </c>
      <c r="ET48" s="1" t="str">
        <f t="shared" si="336"/>
        <v>-0.01</v>
      </c>
      <c r="EU48" s="1" t="str">
        <f t="shared" si="337"/>
        <v>0.0227383926541659-0.054547202434735i</v>
      </c>
      <c r="EV48" s="1" t="str">
        <f t="shared" si="338"/>
        <v>-0.0125</v>
      </c>
      <c r="EW48" s="1" t="str">
        <f t="shared" si="339"/>
        <v>1.71632170630195-1647.66883804988i</v>
      </c>
      <c r="EX48" s="1" t="str">
        <f t="shared" si="340"/>
        <v>-0.0125</v>
      </c>
      <c r="EY48" s="1" t="str">
        <f t="shared" si="341"/>
        <v>0.0128329291158987-0.14531923298125i</v>
      </c>
      <c r="EZ48" s="1" t="str">
        <f t="shared" si="342"/>
        <v>2.39694243212385-2301.06473483889i</v>
      </c>
      <c r="FB48" s="1" t="str">
        <f t="shared" si="343"/>
        <v>0.00504923599601318+0.126977065568442i</v>
      </c>
      <c r="FC48" s="1" t="str">
        <f t="shared" si="344"/>
        <v>0.354477401933807-340.298305856455i</v>
      </c>
      <c r="FD48" s="1" t="str">
        <f t="shared" si="345"/>
        <v>-0.00156335970922314+0.039315022799851i</v>
      </c>
      <c r="FE48" s="1" t="str">
        <f t="shared" si="346"/>
        <v>0.0150886455609899+0.081763760429479i</v>
      </c>
      <c r="FF48" s="1" t="str">
        <f t="shared" si="347"/>
        <v>-12.6837951393266-667.252829890892i</v>
      </c>
      <c r="FG48" s="1" t="str">
        <f t="shared" si="348"/>
        <v>-0.0218265438621278+0.118275712431107i</v>
      </c>
      <c r="FH48" s="1" t="str">
        <f t="shared" si="349"/>
        <v>0.0225201272155446-0.0533644453104239i</v>
      </c>
      <c r="FI48" s="1" t="str">
        <f t="shared" si="350"/>
        <v>-77.4803255316623-1660.73247630219i</v>
      </c>
      <c r="FJ48" s="1" t="str">
        <f t="shared" si="351"/>
        <v>-0.0839070908840373-0.198829043894i</v>
      </c>
      <c r="FK48" s="1" t="str">
        <f t="shared" si="352"/>
        <v>0.0117840904798482-0.147804596029925i</v>
      </c>
      <c r="FL48" s="1" t="str">
        <f t="shared" si="353"/>
        <v>330.145373716917-2438.97457917606i</v>
      </c>
      <c r="FM48" s="1" t="str">
        <f t="shared" si="354"/>
        <v>16574.0761713675+912.251473332579i</v>
      </c>
      <c r="FN48" s="1" t="str">
        <f t="shared" si="355"/>
        <v>27105.3565642578-9008.25350367595i</v>
      </c>
      <c r="FO48" s="1" t="str">
        <f t="shared" si="356"/>
        <v>-8393.50607075531-4708.88822378675i</v>
      </c>
      <c r="FP48" s="1" t="str">
        <f t="shared" si="357"/>
        <v>-2873.9084126521+213.440206891742i</v>
      </c>
      <c r="FQ48" s="92" t="str">
        <f t="shared" si="358"/>
        <v>-9.59260638347-476.148568219312i</v>
      </c>
      <c r="FR48" s="1" t="str">
        <f t="shared" si="359"/>
        <v>-37.190594673986-500.760210372706i</v>
      </c>
      <c r="FS48" s="1" t="str">
        <f t="shared" si="360"/>
        <v>27.597988290516+24.6116421533924i</v>
      </c>
      <c r="FT48" s="1" t="str">
        <f t="shared" si="361"/>
        <v>437.56539384242-1443.52375882483i</v>
      </c>
      <c r="FU48" s="1" t="str">
        <f t="shared" si="362"/>
        <v>2056.85600746746+4557.72784113913i</v>
      </c>
      <c r="FV48" s="1" t="str">
        <f t="shared" si="363"/>
        <v>-294.687523528551+2995.90437559212i</v>
      </c>
      <c r="FW48" s="1" t="str">
        <f t="shared" si="364"/>
        <v>-37.190594673986-500.760210372706i</v>
      </c>
      <c r="FX48" s="1" t="str">
        <f t="shared" si="365"/>
        <v>820.152008483066-1461.90576947034i</v>
      </c>
      <c r="FY48" s="1" t="str">
        <f t="shared" si="366"/>
        <v>1570.2263762062+4724.72780615061i</v>
      </c>
      <c r="FZ48" s="1" t="str">
        <f t="shared" si="367"/>
        <v>-158.998789043399+2888.74078891156i</v>
      </c>
      <c r="GA48" s="1" t="str">
        <f t="shared" si="368"/>
        <v>27.597988290516+24.6116421533924i</v>
      </c>
      <c r="GB48" s="1" t="str">
        <f t="shared" si="369"/>
        <v>-354.988626350131+42.993652798892i</v>
      </c>
      <c r="GC48" s="1" t="str">
        <f t="shared" si="370"/>
        <v>131.641004911129-124.006312212607i</v>
      </c>
      <c r="GD48" s="92" t="str">
        <f t="shared" si="371"/>
        <v>2190.14127139786+5633.95988968711i</v>
      </c>
      <c r="GE48" s="1" t="str">
        <f t="shared" si="63"/>
        <v>0.431549418057862-1.11012569988419i</v>
      </c>
      <c r="GF48" s="1">
        <f t="shared" si="64"/>
        <v>9.6</v>
      </c>
      <c r="GG48" s="56">
        <f t="shared" si="65"/>
        <v>0.33809313506139771</v>
      </c>
      <c r="GH48" s="1">
        <f t="shared" si="66"/>
        <v>1.3069129113399198</v>
      </c>
      <c r="GJ48" s="1">
        <f t="shared" si="372"/>
        <v>6044.6855027605388</v>
      </c>
      <c r="GK48" s="1">
        <f t="shared" si="373"/>
        <v>1.1910558214330016</v>
      </c>
      <c r="GM48" s="1" t="str">
        <f t="shared" si="69"/>
        <v>0.0191834803010191+4.6040352722446i</v>
      </c>
      <c r="GP48" s="1">
        <f t="shared" si="4"/>
        <v>9.6</v>
      </c>
      <c r="GQ48" s="1">
        <f t="shared" si="5"/>
        <v>1.1910558214330016</v>
      </c>
      <c r="GR48" s="1">
        <f t="shared" si="70"/>
        <v>4.6040752376551</v>
      </c>
      <c r="GS48" s="1">
        <f t="shared" si="71"/>
        <v>1.5566062311573612</v>
      </c>
    </row>
    <row r="49" spans="2:375"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CP49" s="1">
        <f>(1.1*1.1*CP28)+SUM(CP29:CP43)</f>
        <v>1369.0888884444239</v>
      </c>
      <c r="CR49" s="1">
        <f>(1.1*1.1*CR28)+SUM(CR29:CR43)</f>
        <v>1257.63762569497</v>
      </c>
      <c r="CT49" s="1">
        <f>(1.1*1.1*CT28)+SUM(CT29:CT43)</f>
        <v>1195.7800631468524</v>
      </c>
      <c r="CV49" s="1">
        <f>(1.1*1.1*CV28)+SUM(CV29:CV43)</f>
        <v>1192.1321209544287</v>
      </c>
      <c r="CZ49" s="29" t="s">
        <v>415</v>
      </c>
      <c r="DA49" s="72">
        <f>1.414*1.1*DA28+1.414*DA29+1.414*DA30+1.414*DA31+1.414*DA32+1.414*DA33+1.414*DA34+1.414*DA35+1.414*DA36+1.414*DA37+1.414*DA38+1.414*DA39+1.414*DA40+1.414*DA41+1.414*DA42+1.414*DA43</f>
        <v>13726.307701093079</v>
      </c>
      <c r="DB49" s="72">
        <f t="shared" ref="DB49:DD49" si="422">1.414*1.1*DB28+1.414*DB29+1.414*DB30+1.414*DB31+1.414*DB32+1.414*DB33+1.414*DB34+1.414*DB35+1.414*DB36+1.414*DB37+1.414*DB38+1.414*DB39+1.414*DB40+1.414*DB41+1.414*DB42+1.414*DB43</f>
        <v>12992.926025951321</v>
      </c>
      <c r="DC49" s="72">
        <f t="shared" si="422"/>
        <v>12628.205428119027</v>
      </c>
      <c r="DD49" s="72">
        <f t="shared" si="422"/>
        <v>12750.738248050167</v>
      </c>
      <c r="EA49" s="1">
        <f t="shared" si="420"/>
        <v>9.8000000000000007</v>
      </c>
      <c r="EB49" s="1" t="str">
        <f t="shared" si="12"/>
        <v>0.0000472468720479714-0.046301934607012i</v>
      </c>
      <c r="EC49" s="1" t="str">
        <f t="shared" si="13"/>
        <v>0.0000925653003388819-0.0907139943321047i</v>
      </c>
      <c r="ED49" s="1" t="str">
        <f t="shared" si="14"/>
        <v>0.000228761640681249-0.224186407867624i</v>
      </c>
      <c r="EE49" s="1" t="str">
        <f t="shared" si="15"/>
        <v>0.000319478849086282-0.313089272104557i</v>
      </c>
      <c r="EF49" s="1" t="str">
        <f t="shared" si="16"/>
        <v>0.177873697194035i</v>
      </c>
      <c r="EG49" s="1" t="str">
        <f t="shared" si="17"/>
        <v>0.177799614021527i</v>
      </c>
      <c r="EH49" s="1" t="str">
        <f t="shared" si="18"/>
        <v>0.177941198597086i</v>
      </c>
      <c r="EI49" s="1" t="str">
        <f t="shared" si="19"/>
        <v>0.177923816578987i</v>
      </c>
      <c r="EJ49" s="1" t="str">
        <f t="shared" si="1"/>
        <v>0.005</v>
      </c>
      <c r="EK49" s="1" t="str">
        <f t="shared" si="2"/>
        <v>0.01</v>
      </c>
      <c r="EL49" s="1" t="str">
        <f t="shared" si="3"/>
        <v>0.0125</v>
      </c>
      <c r="EM49" s="1" t="str">
        <f t="shared" si="329"/>
        <v>0.00504724687204797+0.131571762587023i</v>
      </c>
      <c r="EN49" s="1" t="str">
        <f t="shared" si="330"/>
        <v>-0.005</v>
      </c>
      <c r="EO49" s="1" t="str">
        <f t="shared" si="331"/>
        <v>0.340156588861943-333.353457084705i</v>
      </c>
      <c r="EP49" s="1" t="str">
        <f t="shared" si="332"/>
        <v>-0.005</v>
      </c>
      <c r="EQ49" s="1" t="str">
        <f t="shared" si="333"/>
        <v>0.0150925653003389+0.0870856196894223i</v>
      </c>
      <c r="ER49" s="1" t="str">
        <f t="shared" si="334"/>
        <v>-0.01</v>
      </c>
      <c r="ES49" s="1" t="str">
        <f t="shared" si="335"/>
        <v>0.666429235321352-653.100650614928i</v>
      </c>
      <c r="ET49" s="1" t="str">
        <f t="shared" si="336"/>
        <v>-0.01</v>
      </c>
      <c r="EU49" s="1" t="str">
        <f t="shared" si="337"/>
        <v>0.0227287616406813-0.046245209270538i</v>
      </c>
      <c r="EV49" s="1" t="str">
        <f t="shared" si="338"/>
        <v>-0.0125</v>
      </c>
      <c r="EW49" s="1" t="str">
        <f t="shared" si="339"/>
        <v>1.64698266749992-1614.04301414992i</v>
      </c>
      <c r="EX49" s="1" t="str">
        <f t="shared" si="340"/>
        <v>-0.0125</v>
      </c>
      <c r="EY49" s="1" t="str">
        <f t="shared" si="341"/>
        <v>0.0128194788490863-0.13516545552557i</v>
      </c>
      <c r="EZ49" s="1" t="str">
        <f t="shared" si="342"/>
        <v>2.30010645801885-2254.10432885848i</v>
      </c>
      <c r="FB49" s="1" t="str">
        <f t="shared" si="343"/>
        <v>0.00504724687204797+0.131571762587023i</v>
      </c>
      <c r="FC49" s="1" t="str">
        <f t="shared" si="344"/>
        <v>0.340156588861943-333.353457084705i</v>
      </c>
      <c r="FD49" s="1" t="str">
        <f t="shared" si="345"/>
        <v>-0.00145566197493295+0.0379462341803627i</v>
      </c>
      <c r="FE49" s="1" t="str">
        <f t="shared" si="346"/>
        <v>0.0150852869904642+0.0872753508603241i</v>
      </c>
      <c r="FF49" s="1" t="str">
        <f t="shared" si="347"/>
        <v>-11.9825839590364-653.598808228198i</v>
      </c>
      <c r="FG49" s="1" t="str">
        <f t="shared" si="348"/>
        <v>-0.0192302703144109+0.111255993332444i</v>
      </c>
      <c r="FH49" s="1" t="str">
        <f t="shared" si="349"/>
        <v>0.0225364589375372-0.0451326493372136i</v>
      </c>
      <c r="FI49" s="1" t="str">
        <f t="shared" si="350"/>
        <v>-71.3002303114272-1625.27876162827i</v>
      </c>
      <c r="FJ49" s="1" t="str">
        <f t="shared" si="351"/>
        <v>-0.110696487478474-0.22168636901096i</v>
      </c>
      <c r="FK49" s="1" t="str">
        <f t="shared" si="352"/>
        <v>0.0114357727556054-0.137936535138207i</v>
      </c>
      <c r="FL49" s="1" t="str">
        <f t="shared" si="353"/>
        <v>360.29375688865-2432.40810755666i</v>
      </c>
      <c r="FM49" s="1" t="str">
        <f t="shared" si="354"/>
        <v>17728.9498571726+1142.18843447563i</v>
      </c>
      <c r="FN49" s="1" t="str">
        <f t="shared" si="355"/>
        <v>29902.0818486352-11600.8123722909i</v>
      </c>
      <c r="FO49" s="1" t="str">
        <f t="shared" si="356"/>
        <v>-8010.35608492233-4673.44732439917i</v>
      </c>
      <c r="FP49" s="1" t="str">
        <f t="shared" si="357"/>
        <v>-2718.80273623129+197.528365650656i</v>
      </c>
      <c r="FQ49" s="92" t="str">
        <f t="shared" si="358"/>
        <v>-8.67733395552229-459.248616184469i</v>
      </c>
      <c r="FR49" s="1" t="str">
        <f t="shared" si="359"/>
        <v>-35.1351006989774-483.603494634718i</v>
      </c>
      <c r="FS49" s="1" t="str">
        <f t="shared" si="360"/>
        <v>26.4577667434552+24.3548784502491i</v>
      </c>
      <c r="FT49" s="1" t="str">
        <f t="shared" si="361"/>
        <v>425.35498434908-1379.31944804552i</v>
      </c>
      <c r="FU49" s="1" t="str">
        <f t="shared" si="362"/>
        <v>2595.55098745421+5092.25112413082i</v>
      </c>
      <c r="FV49" s="1" t="str">
        <f t="shared" si="363"/>
        <v>-360.970863594078+3296.27477205541i</v>
      </c>
      <c r="FW49" s="1" t="str">
        <f t="shared" si="364"/>
        <v>-35.1351006989774-483.603494634718i</v>
      </c>
      <c r="FX49" s="1" t="str">
        <f t="shared" si="365"/>
        <v>830.93713042811-1424.23822007418i</v>
      </c>
      <c r="FY49" s="1" t="str">
        <f t="shared" si="366"/>
        <v>2064.26245822535+5320.81228469432i</v>
      </c>
      <c r="FZ49" s="1" t="str">
        <f t="shared" si="367"/>
        <v>-203.222525514282+3154.40242252564i</v>
      </c>
      <c r="GA49" s="1" t="str">
        <f t="shared" si="368"/>
        <v>26.4577667434552+24.3548784502491i</v>
      </c>
      <c r="GB49" s="1" t="str">
        <f t="shared" si="369"/>
        <v>-379.124379335575+69.2736504789173i</v>
      </c>
      <c r="GC49" s="1" t="str">
        <f t="shared" si="370"/>
        <v>152.164149893283-159.287510084581i</v>
      </c>
      <c r="GD49" s="92" t="str">
        <f t="shared" si="371"/>
        <v>2651.25777425369+6549.95783195624i</v>
      </c>
      <c r="GE49" s="1" t="str">
        <f t="shared" si="63"/>
        <v>0.382284344971569-0.944437151187848i</v>
      </c>
      <c r="GF49" s="1">
        <f t="shared" si="64"/>
        <v>9.8000000000000007</v>
      </c>
      <c r="GG49" s="56">
        <f t="shared" si="65"/>
        <v>0.26976350094815221</v>
      </c>
      <c r="GH49" s="1">
        <f t="shared" si="66"/>
        <v>1.2444002775389766</v>
      </c>
      <c r="GJ49" s="1">
        <f t="shared" si="372"/>
        <v>7066.1952552944304</v>
      </c>
      <c r="GK49" s="1">
        <f t="shared" si="373"/>
        <v>1.0188733252736375</v>
      </c>
      <c r="GM49" s="1" t="str">
        <f t="shared" si="69"/>
        <v>0.0191834803010191+4.6999526737497i</v>
      </c>
      <c r="GP49" s="1">
        <f t="shared" si="4"/>
        <v>9.8000000000000007</v>
      </c>
      <c r="GQ49" s="1">
        <f t="shared" si="5"/>
        <v>1.0188733252736375</v>
      </c>
      <c r="GR49" s="1">
        <f t="shared" si="70"/>
        <v>4.6999918235464433</v>
      </c>
      <c r="GS49" s="1">
        <f t="shared" si="71"/>
        <v>1.2678862487475795</v>
      </c>
    </row>
    <row r="50" spans="2:375" ht="18" customHeight="1" x14ac:dyDescent="0.25">
      <c r="CZ50" s="29" t="s">
        <v>416</v>
      </c>
      <c r="DA50" s="72">
        <f>SQRT((1.1*DA28)^2+DA29^2+DA30^2+DA31^2+DA32^2+DA33^2+DA34^2+DA35^2+DA36^2+DA37^2+DA38^2+DA39^2+DA40^2+DA41^2+DA42^2+DA43^2)</f>
        <v>8337.9563583478448</v>
      </c>
      <c r="DB50" s="72">
        <f t="shared" ref="DB50:DD50" si="423">SQRT((1.1*DB28)^2+DB29^2+DB30^2+DB31^2+DB32^2+DB33^2+DB34^2+DB35^2+DB36^2+DB37^2+DB38^2+DB39^2+DB40^2+DB41^2+DB42^2+DB43^2)</f>
        <v>8119.9904938797372</v>
      </c>
      <c r="DC50" s="72">
        <f t="shared" si="423"/>
        <v>7998.0109768048133</v>
      </c>
      <c r="DD50" s="72">
        <f t="shared" si="423"/>
        <v>7996.4709865847317</v>
      </c>
      <c r="EA50" s="1">
        <f t="shared" si="420"/>
        <v>10</v>
      </c>
      <c r="EB50" s="1" t="str">
        <f t="shared" si="12"/>
        <v>0.0000453758977858461-0.0453758977858461i</v>
      </c>
      <c r="EC50" s="1" t="str">
        <f t="shared" si="13"/>
        <v>0.0000888997181110452-0.0888997181110452i</v>
      </c>
      <c r="ED50" s="1" t="str">
        <f t="shared" si="14"/>
        <v>0.000219702688769224-0.219702688769224i</v>
      </c>
      <c r="EE50" s="1" t="str">
        <f t="shared" si="15"/>
        <v>0.000306827499313816-0.306827499313816i</v>
      </c>
      <c r="EF50" s="1" t="str">
        <f t="shared" si="16"/>
        <v>0.181503772646975i</v>
      </c>
      <c r="EG50" s="1" t="str">
        <f t="shared" si="17"/>
        <v>0.181428177572986i</v>
      </c>
      <c r="EH50" s="1" t="str">
        <f t="shared" si="18"/>
        <v>0.18157265162968i</v>
      </c>
      <c r="EI50" s="1" t="str">
        <f t="shared" si="19"/>
        <v>0.181554914876518i</v>
      </c>
      <c r="EJ50" s="1" t="str">
        <f t="shared" si="1"/>
        <v>0.005</v>
      </c>
      <c r="EK50" s="1" t="str">
        <f t="shared" si="2"/>
        <v>0.01</v>
      </c>
      <c r="EL50" s="1" t="str">
        <f t="shared" si="3"/>
        <v>0.0125</v>
      </c>
      <c r="EM50" s="1" t="str">
        <f t="shared" si="329"/>
        <v>0.00504537589778585+0.136127874861129i</v>
      </c>
      <c r="EN50" s="1" t="str">
        <f t="shared" si="330"/>
        <v>-0.005</v>
      </c>
      <c r="EO50" s="1" t="str">
        <f t="shared" si="331"/>
        <v>0.326686401413198-326.686401413199i</v>
      </c>
      <c r="EP50" s="1" t="str">
        <f t="shared" si="332"/>
        <v>-0.005</v>
      </c>
      <c r="EQ50" s="1" t="str">
        <f t="shared" si="333"/>
        <v>0.015088899718111+0.0925284594619408i</v>
      </c>
      <c r="ER50" s="1" t="str">
        <f t="shared" si="334"/>
        <v>-0.01</v>
      </c>
      <c r="ES50" s="1" t="str">
        <f t="shared" si="335"/>
        <v>0.640038663993204-640.038663993204i</v>
      </c>
      <c r="ET50" s="1" t="str">
        <f t="shared" si="336"/>
        <v>-0.01</v>
      </c>
      <c r="EU50" s="1" t="str">
        <f t="shared" si="337"/>
        <v>0.0227197026887692-0.038130037139544i</v>
      </c>
      <c r="EV50" s="1" t="str">
        <f t="shared" si="338"/>
        <v>-0.0125</v>
      </c>
      <c r="EW50" s="1" t="str">
        <f t="shared" si="339"/>
        <v>1.58176221908737-1581.76221908737i</v>
      </c>
      <c r="EX50" s="1" t="str">
        <f t="shared" si="340"/>
        <v>-0.0125</v>
      </c>
      <c r="EY50" s="1" t="str">
        <f t="shared" si="341"/>
        <v>0.0128068274993138-0.125272584437298i</v>
      </c>
      <c r="EZ50" s="1" t="str">
        <f t="shared" si="342"/>
        <v>2.20902233336543-2209.02233336543i</v>
      </c>
      <c r="FB50" s="1" t="str">
        <f t="shared" si="343"/>
        <v>0.00504537589778585+0.136127874861129i</v>
      </c>
      <c r="FC50" s="1" t="str">
        <f t="shared" si="344"/>
        <v>0.326686401413198-326.686401413199i</v>
      </c>
      <c r="FD50" s="1" t="str">
        <f t="shared" si="345"/>
        <v>-0.00135948124601356+0.0366797829701053i</v>
      </c>
      <c r="FE50" s="1" t="str">
        <f t="shared" si="346"/>
        <v>0.0150821023118809+0.0927118583767913i</v>
      </c>
      <c r="FF50" s="1" t="str">
        <f t="shared" si="347"/>
        <v>-11.3423035150916-640.494770815556i</v>
      </c>
      <c r="FG50" s="1" t="str">
        <f t="shared" si="348"/>
        <v>-0.0170941553475944+0.10508023860895i</v>
      </c>
      <c r="FH50" s="1" t="str">
        <f t="shared" si="349"/>
        <v>0.0225487611352933-0.0370792347534545i</v>
      </c>
      <c r="FI50" s="1" t="str">
        <f t="shared" si="350"/>
        <v>-65.9154682242825-1591.51908423927i</v>
      </c>
      <c r="FJ50" s="1" t="str">
        <f t="shared" si="351"/>
        <v>-0.149661274310739-0.246103344231326i</v>
      </c>
      <c r="FK50" s="1" t="str">
        <f t="shared" si="352"/>
        <v>0.0109360615704296-0.12834887624019i</v>
      </c>
      <c r="FL50" s="1" t="str">
        <f t="shared" si="353"/>
        <v>391.722722778895-2445.36160575873i</v>
      </c>
      <c r="FM50" s="1" t="str">
        <f t="shared" si="354"/>
        <v>19173.3088916398+1418.33915156675i</v>
      </c>
      <c r="FN50" s="1" t="str">
        <f t="shared" si="355"/>
        <v>33065.4979184636-15421.9774292533i</v>
      </c>
      <c r="FO50" s="1" t="str">
        <f t="shared" si="356"/>
        <v>-7805.04135436098-4713.84260412884i</v>
      </c>
      <c r="FP50" s="1" t="str">
        <f t="shared" si="357"/>
        <v>-2579.98196683726+188.657477863281i</v>
      </c>
      <c r="FQ50" s="92" t="str">
        <f t="shared" si="358"/>
        <v>-8.11674703263003-443.763959932164i</v>
      </c>
      <c r="FR50" s="1" t="str">
        <f t="shared" si="359"/>
        <v>-34.2420439702487-468.276460342126i</v>
      </c>
      <c r="FS50" s="1" t="str">
        <f t="shared" si="360"/>
        <v>26.1252969376186+24.5125004099606i</v>
      </c>
      <c r="FT50" s="1" t="str">
        <f t="shared" si="361"/>
        <v>420.39318336713-1333.48558096222i</v>
      </c>
      <c r="FU50" s="1" t="str">
        <f t="shared" si="362"/>
        <v>3382.56709076614+5686.20482899961i</v>
      </c>
      <c r="FV50" s="1" t="str">
        <f t="shared" si="363"/>
        <v>-438.859331141533+3673.44090197271i</v>
      </c>
      <c r="FW50" s="1" t="str">
        <f t="shared" si="364"/>
        <v>-34.2420439702487-468.276460342126i</v>
      </c>
      <c r="FX50" s="1" t="str">
        <f t="shared" si="365"/>
        <v>855.223873032994-1416.0544288035i</v>
      </c>
      <c r="FY50" s="1" t="str">
        <f t="shared" si="366"/>
        <v>2800.2093352026+6003.7901345111i</v>
      </c>
      <c r="FZ50" s="1" t="str">
        <f t="shared" si="367"/>
        <v>-257.506443928734+3481.00846372285i</v>
      </c>
      <c r="GA50" s="1" t="str">
        <f t="shared" si="368"/>
        <v>26.1252969376186+24.5125004099606i</v>
      </c>
      <c r="GB50" s="1" t="str">
        <f t="shared" si="369"/>
        <v>-408.705392728246+107.081348251245i</v>
      </c>
      <c r="GC50" s="1" t="str">
        <f t="shared" si="370"/>
        <v>173.652362835298-210.503957260251i</v>
      </c>
      <c r="GD50" s="92" t="str">
        <f t="shared" si="371"/>
        <v>3355.98419595911+7582.39619007794i</v>
      </c>
      <c r="GE50" s="1" t="str">
        <f t="shared" si="63"/>
        <v>0.351414081974221-0.793972986973368i</v>
      </c>
      <c r="GF50" s="1">
        <f t="shared" si="64"/>
        <v>10</v>
      </c>
      <c r="GG50" s="56">
        <f t="shared" si="65"/>
        <v>0.21603909919550782</v>
      </c>
      <c r="GH50" s="1">
        <f t="shared" si="66"/>
        <v>1.1933029144075393</v>
      </c>
      <c r="GJ50" s="1">
        <f t="shared" si="372"/>
        <v>8291.8853047323173</v>
      </c>
      <c r="GK50" s="72">
        <f t="shared" si="373"/>
        <v>0.86826548995868569</v>
      </c>
      <c r="GM50" s="1" t="str">
        <f t="shared" si="69"/>
        <v>0.0191834803010191+4.79587007525479i</v>
      </c>
      <c r="GP50" s="1">
        <f t="shared" si="4"/>
        <v>10</v>
      </c>
      <c r="GQ50" s="1">
        <f t="shared" si="5"/>
        <v>0.86826548995868569</v>
      </c>
      <c r="GR50" s="1">
        <f t="shared" si="70"/>
        <v>4.7959084420619256</v>
      </c>
      <c r="GS50" s="1">
        <f t="shared" si="71"/>
        <v>1.0361037396471895</v>
      </c>
    </row>
    <row r="51" spans="2:375"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EA51" s="1">
        <f t="shared" si="420"/>
        <v>10.199999999999999</v>
      </c>
      <c r="EB51" s="1" t="str">
        <f t="shared" si="12"/>
        <v>0.0000436138980659798-0.0444861760272996i</v>
      </c>
      <c r="EC51" s="1" t="str">
        <f t="shared" si="13"/>
        <v>0.0000854476370272256-0.0871565897677705i</v>
      </c>
      <c r="ED51" s="1" t="str">
        <f t="shared" si="14"/>
        <v>0.000211171373799056-0.215394801275038i</v>
      </c>
      <c r="EE51" s="1" t="str">
        <f t="shared" si="15"/>
        <v>0.000294913025017579-0.300811285517931i</v>
      </c>
      <c r="EF51" s="1" t="str">
        <f t="shared" si="16"/>
        <v>0.185133848099915i</v>
      </c>
      <c r="EG51" s="1" t="str">
        <f t="shared" si="17"/>
        <v>0.185056741124446i</v>
      </c>
      <c r="EH51" s="1" t="str">
        <f t="shared" si="18"/>
        <v>0.185204104662273i</v>
      </c>
      <c r="EI51" s="1" t="str">
        <f t="shared" si="19"/>
        <v>0.185186013174048i</v>
      </c>
      <c r="EJ51" s="1" t="str">
        <f t="shared" si="1"/>
        <v>0.005</v>
      </c>
      <c r="EK51" s="1" t="str">
        <f t="shared" si="2"/>
        <v>0.01</v>
      </c>
      <c r="EL51" s="1" t="str">
        <f t="shared" si="3"/>
        <v>0.0125</v>
      </c>
      <c r="EM51" s="1" t="str">
        <f t="shared" si="329"/>
        <v>0.00504361389806598+0.140647672072615i</v>
      </c>
      <c r="EN51" s="1" t="str">
        <f t="shared" si="330"/>
        <v>-0.005</v>
      </c>
      <c r="EO51" s="1" t="str">
        <f t="shared" si="331"/>
        <v>0.314000782486365-320.280798136094i</v>
      </c>
      <c r="EP51" s="1" t="str">
        <f t="shared" si="332"/>
        <v>-0.005</v>
      </c>
      <c r="EQ51" s="1" t="str">
        <f t="shared" si="333"/>
        <v>0.0150854476370272+0.0979001513566755i</v>
      </c>
      <c r="ER51" s="1" t="str">
        <f t="shared" si="334"/>
        <v>-0.01</v>
      </c>
      <c r="ES51" s="1" t="str">
        <f t="shared" si="335"/>
        <v>0.615185206503898-627.488910633979i</v>
      </c>
      <c r="ET51" s="1" t="str">
        <f t="shared" si="336"/>
        <v>-0.01</v>
      </c>
      <c r="EU51" s="1" t="str">
        <f t="shared" si="337"/>
        <v>0.0227111713737991-0.030190696612765i</v>
      </c>
      <c r="EV51" s="1" t="str">
        <f t="shared" si="338"/>
        <v>-0.0125</v>
      </c>
      <c r="EW51" s="1" t="str">
        <f t="shared" si="339"/>
        <v>1.52034052336511-1550.74733383242i</v>
      </c>
      <c r="EX51" s="1" t="str">
        <f t="shared" si="340"/>
        <v>-0.0125</v>
      </c>
      <c r="EY51" s="1" t="str">
        <f t="shared" si="341"/>
        <v>0.0127949130250176-0.115625272343883i</v>
      </c>
      <c r="EZ51" s="1" t="str">
        <f t="shared" si="342"/>
        <v>2.12324338633638-2165.70825406311i</v>
      </c>
      <c r="FB51" s="1" t="str">
        <f t="shared" si="343"/>
        <v>0.00504361389806598+0.140647672072615i</v>
      </c>
      <c r="FC51" s="1" t="str">
        <f t="shared" si="344"/>
        <v>0.314000782486365-320.280798136094i</v>
      </c>
      <c r="FD51" s="1" t="str">
        <f t="shared" si="345"/>
        <v>-0.0012731765334051+0.0355041680786817i</v>
      </c>
      <c r="FE51" s="1" t="str">
        <f t="shared" si="346"/>
        <v>0.0150790817543602+0.0980776721970689i</v>
      </c>
      <c r="FF51" s="1" t="str">
        <f t="shared" si="347"/>
        <v>-10.7557183044666-627.907832966824i</v>
      </c>
      <c r="FG51" s="1" t="str">
        <f t="shared" si="348"/>
        <v>-0.0153139852868568+0.0996055365613212i</v>
      </c>
      <c r="FH51" s="1" t="str">
        <f t="shared" si="349"/>
        <v>0.0225580315209305-0.0291946412471518i</v>
      </c>
      <c r="FI51" s="1" t="str">
        <f t="shared" si="350"/>
        <v>-61.187469002216-1559.29177605516i</v>
      </c>
      <c r="FJ51" s="1" t="str">
        <f t="shared" si="351"/>
        <v>-0.207153305527179-0.268098146436944i</v>
      </c>
      <c r="FK51" s="1" t="str">
        <f t="shared" si="352"/>
        <v>0.0102054967059279-0.118976499174345i</v>
      </c>
      <c r="FL51" s="1" t="str">
        <f t="shared" si="353"/>
        <v>418.190672743783-2486.54308982769i</v>
      </c>
      <c r="FM51" s="1" t="str">
        <f t="shared" si="354"/>
        <v>21046.0943769951+1709.62187758313i</v>
      </c>
      <c r="FN51" s="1" t="str">
        <f t="shared" si="355"/>
        <v>36330.865438472-21156.7627019144i</v>
      </c>
      <c r="FO51" s="1" t="str">
        <f t="shared" si="356"/>
        <v>-7821.74131459931-4797.19392074452i</v>
      </c>
      <c r="FP51" s="1" t="str">
        <f t="shared" si="357"/>
        <v>-2454.45953895435+187.812277006343i</v>
      </c>
      <c r="FQ51" s="92" t="str">
        <f t="shared" si="358"/>
        <v>-7.93400068436674-429.478508463407i</v>
      </c>
      <c r="FR51" s="1" t="str">
        <f t="shared" si="359"/>
        <v>-34.7704095625915-454.403539452162i</v>
      </c>
      <c r="FS51" s="1" t="str">
        <f t="shared" si="360"/>
        <v>26.8364088782248+24.9250309887543i</v>
      </c>
      <c r="FT51" s="1" t="str">
        <f t="shared" si="361"/>
        <v>419.390597106047-1308.79530077524i</v>
      </c>
      <c r="FU51" s="1" t="str">
        <f t="shared" si="362"/>
        <v>4550.9049995594+6279.19991008232i</v>
      </c>
      <c r="FV51" s="1" t="str">
        <f t="shared" si="363"/>
        <v>-518.357078716549+4164.69026085294i</v>
      </c>
      <c r="FW51" s="1" t="str">
        <f t="shared" si="364"/>
        <v>-34.7704095625915-454.403539452162i</v>
      </c>
      <c r="FX51" s="1" t="str">
        <f t="shared" si="365"/>
        <v>887.753073514985-1447.46595759819i</v>
      </c>
      <c r="FY51" s="1" t="str">
        <f t="shared" si="366"/>
        <v>3918.31929376023+6728.62540513772i</v>
      </c>
      <c r="FZ51" s="1" t="str">
        <f t="shared" si="367"/>
        <v>-316.59805954475+3897.44231056047i</v>
      </c>
      <c r="GA51" s="1" t="str">
        <f t="shared" si="368"/>
        <v>26.8364088782248+24.9250309887543i</v>
      </c>
      <c r="GB51" s="1" t="str">
        <f t="shared" si="369"/>
        <v>-441.526067530713+163.595687811699i</v>
      </c>
      <c r="GC51" s="1" t="str">
        <f t="shared" si="370"/>
        <v>191.059638268461-285.829807243719i</v>
      </c>
      <c r="GD51" s="92" t="str">
        <f t="shared" si="371"/>
        <v>4444.00451726453+8705.61636169661i</v>
      </c>
      <c r="GE51" s="1" t="str">
        <f t="shared" si="63"/>
        <v>0.334895279120573-0.656045647577696i</v>
      </c>
      <c r="GF51" s="1">
        <f t="shared" si="64"/>
        <v>10.199999999999999</v>
      </c>
      <c r="GG51" s="56">
        <f t="shared" si="65"/>
        <v>0.17329203135400587</v>
      </c>
      <c r="GH51" s="1">
        <f t="shared" si="66"/>
        <v>1.1508781185268742</v>
      </c>
      <c r="GJ51" s="1">
        <f t="shared" si="372"/>
        <v>9774.2995854693982</v>
      </c>
      <c r="GK51" s="1">
        <f t="shared" si="373"/>
        <v>0.73658043666858619</v>
      </c>
      <c r="GM51" s="1" t="str">
        <f t="shared" si="69"/>
        <v>0.0191834803010191+4.89178747675989i</v>
      </c>
      <c r="GP51" s="1">
        <f t="shared" si="4"/>
        <v>10.199999999999999</v>
      </c>
      <c r="GQ51" s="1">
        <f t="shared" si="5"/>
        <v>0.73658043666858619</v>
      </c>
      <c r="GR51" s="1">
        <f t="shared" si="70"/>
        <v>4.8918250912825316</v>
      </c>
      <c r="GS51" s="1">
        <f t="shared" si="71"/>
        <v>0.84771430709684092</v>
      </c>
    </row>
    <row r="52" spans="2:375" ht="18" customHeight="1" x14ac:dyDescent="0.25">
      <c r="B52" s="6"/>
      <c r="AN52" s="7"/>
      <c r="AP52" s="8"/>
      <c r="AR52" s="6"/>
      <c r="CD52" s="7"/>
      <c r="CF52" s="8"/>
      <c r="EA52" s="1">
        <f t="shared" si="420"/>
        <v>10.4</v>
      </c>
      <c r="EB52" s="1" t="str">
        <f t="shared" si="12"/>
        <v>0.0000419525713842199-0.0436306742395888i</v>
      </c>
      <c r="EC52" s="1" t="str">
        <f t="shared" si="13"/>
        <v>0.0000821927929160229-0.0854805046326639i</v>
      </c>
      <c r="ED52" s="1" t="str">
        <f t="shared" si="14"/>
        <v>0.000203127501242984-0.211252601292703i</v>
      </c>
      <c r="EE52" s="1" t="str">
        <f t="shared" si="15"/>
        <v>0.000283679292217107-0.295026463905791i</v>
      </c>
      <c r="EF52" s="1" t="str">
        <f t="shared" si="16"/>
        <v>0.188763923552854i</v>
      </c>
      <c r="EG52" s="1" t="str">
        <f t="shared" si="17"/>
        <v>0.188685304675906i</v>
      </c>
      <c r="EH52" s="1" t="str">
        <f t="shared" si="18"/>
        <v>0.188835557694867i</v>
      </c>
      <c r="EI52" s="1" t="str">
        <f t="shared" si="19"/>
        <v>0.188817111471578i</v>
      </c>
      <c r="EJ52" s="1" t="str">
        <f t="shared" si="1"/>
        <v>0.005</v>
      </c>
      <c r="EK52" s="1" t="str">
        <f t="shared" si="2"/>
        <v>0.01</v>
      </c>
      <c r="EL52" s="1" t="str">
        <f t="shared" si="3"/>
        <v>0.0125</v>
      </c>
      <c r="EM52" s="1" t="str">
        <f t="shared" si="329"/>
        <v>0.00504195257138422+0.145133249313265i</v>
      </c>
      <c r="EN52" s="1" t="str">
        <f t="shared" si="330"/>
        <v>-0.005</v>
      </c>
      <c r="EO52" s="1" t="str">
        <f t="shared" si="331"/>
        <v>0.302039964921998-314.121563518879i</v>
      </c>
      <c r="EP52" s="1" t="str">
        <f t="shared" si="332"/>
        <v>-0.005</v>
      </c>
      <c r="EQ52" s="1" t="str">
        <f t="shared" si="333"/>
        <v>0.015082192792916+0.103204800043242i</v>
      </c>
      <c r="ER52" s="1" t="str">
        <f t="shared" si="334"/>
        <v>-0.01</v>
      </c>
      <c r="ES52" s="1" t="str">
        <f t="shared" si="335"/>
        <v>0.591751768010447-615.421838730865i</v>
      </c>
      <c r="ET52" s="1" t="str">
        <f t="shared" si="336"/>
        <v>-0.01</v>
      </c>
      <c r="EU52" s="1" t="str">
        <f t="shared" si="337"/>
        <v>0.022703127501243-0.022417043597836i</v>
      </c>
      <c r="EV52" s="1" t="str">
        <f t="shared" si="338"/>
        <v>-0.0125</v>
      </c>
      <c r="EW52" s="1" t="str">
        <f t="shared" si="339"/>
        <v>1.46242819750499-1520.92532540518i</v>
      </c>
      <c r="EX52" s="1" t="str">
        <f t="shared" si="340"/>
        <v>-0.0125</v>
      </c>
      <c r="EY52" s="1" t="str">
        <f t="shared" si="341"/>
        <v>0.0127836792922171-0.106209352434213i</v>
      </c>
      <c r="EZ52" s="1" t="str">
        <f t="shared" si="342"/>
        <v>2.04236547709161-2124.06009617528i</v>
      </c>
      <c r="FB52" s="1" t="str">
        <f t="shared" si="343"/>
        <v>0.00504195257138422+0.145133249313265i</v>
      </c>
      <c r="FC52" s="1" t="str">
        <f t="shared" si="344"/>
        <v>0.302039964921998-314.121563518879i</v>
      </c>
      <c r="FD52" s="1" t="str">
        <f t="shared" si="345"/>
        <v>-0.00119539407374584+0.0344095712278635i</v>
      </c>
      <c r="FE52" s="1" t="str">
        <f t="shared" si="346"/>
        <v>0.0150762158225473+0.103376847899381i</v>
      </c>
      <c r="FF52" s="1" t="str">
        <f t="shared" si="347"/>
        <v>-10.2166754893162-615.807730852018i</v>
      </c>
      <c r="FG52" s="1" t="str">
        <f t="shared" si="348"/>
        <v>-0.0138135661375498+0.094718922994845i</v>
      </c>
      <c r="FH52" s="1" t="str">
        <f t="shared" si="349"/>
        <v>0.0225649918398675-0.0214698543678876i</v>
      </c>
      <c r="FI52" s="1" t="str">
        <f t="shared" si="350"/>
        <v>-57.0073455632751-1528.46411372438i</v>
      </c>
      <c r="FJ52" s="1" t="str">
        <f t="shared" si="351"/>
        <v>-0.290745961288331-0.27663530708144i</v>
      </c>
      <c r="FK52" s="1" t="str">
        <f t="shared" si="352"/>
        <v>0.00914935477611296-0.109667293772731i</v>
      </c>
      <c r="FL52" s="1" t="str">
        <f t="shared" si="353"/>
        <v>423.209205010592-2565.85843268447i</v>
      </c>
      <c r="FM52" s="1" t="str">
        <f t="shared" si="354"/>
        <v>23554.7560708055+1893.89541684521i</v>
      </c>
      <c r="FN52" s="1" t="str">
        <f t="shared" si="355"/>
        <v>38824.7305746445-29746.4813843984i</v>
      </c>
      <c r="FO52" s="1" t="str">
        <f t="shared" si="356"/>
        <v>-8128.22407212902-4842.22048547843i</v>
      </c>
      <c r="FP52" s="1" t="str">
        <f t="shared" si="357"/>
        <v>-2338.02061304731+196.721919263268i</v>
      </c>
      <c r="FQ52" s="92" t="str">
        <f t="shared" si="358"/>
        <v>-8.18298403357369-416.13923224255i</v>
      </c>
      <c r="FR52" s="1" t="str">
        <f t="shared" si="359"/>
        <v>-37.1340013289822-441.333944266259i</v>
      </c>
      <c r="FS52" s="1" t="str">
        <f t="shared" si="360"/>
        <v>28.9510172954086+25.1947120237085i</v>
      </c>
      <c r="FT52" s="1" t="str">
        <f t="shared" si="361"/>
        <v>415.175283847265-1309.82853855821i</v>
      </c>
      <c r="FU52" s="1" t="str">
        <f t="shared" si="362"/>
        <v>6277.59762944857+6686.9423314112i</v>
      </c>
      <c r="FV52" s="1" t="str">
        <f t="shared" si="363"/>
        <v>-563.388898892647+4824.67903664656i</v>
      </c>
      <c r="FW52" s="1" t="str">
        <f t="shared" si="364"/>
        <v>-37.1340013289822-441.333944266259i</v>
      </c>
      <c r="FX52" s="1" t="str">
        <f t="shared" si="365"/>
        <v>913.655847610411-1533.6764355237i</v>
      </c>
      <c r="FY52" s="1" t="str">
        <f t="shared" si="366"/>
        <v>5617.19340168285+7331.48965041595i</v>
      </c>
      <c r="FZ52" s="1" t="str">
        <f t="shared" si="367"/>
        <v>-357.599862037973+4447.54100270711i</v>
      </c>
      <c r="GA52" s="1" t="str">
        <f t="shared" si="368"/>
        <v>28.9510172954086+25.1947120237085i</v>
      </c>
      <c r="GB52" s="1" t="str">
        <f t="shared" si="369"/>
        <v>-469.529546467735+249.0426089892i</v>
      </c>
      <c r="GC52" s="1" t="str">
        <f t="shared" si="370"/>
        <v>190.874681297988-395.504710015545i</v>
      </c>
      <c r="GD52" s="92" t="str">
        <f t="shared" si="371"/>
        <v>6121.20103036961+9785.653597257i</v>
      </c>
      <c r="GE52" s="1" t="str">
        <f t="shared" si="63"/>
        <v>0.330785584208398-0.528810134803597i</v>
      </c>
      <c r="GF52" s="1">
        <f t="shared" si="64"/>
        <v>10.4</v>
      </c>
      <c r="GG52" s="56">
        <f t="shared" si="65"/>
        <v>0.13945916499000488</v>
      </c>
      <c r="GH52" s="1">
        <f t="shared" si="66"/>
        <v>1.1151753013399954</v>
      </c>
      <c r="GJ52" s="1">
        <f t="shared" si="372"/>
        <v>11542.448543515662</v>
      </c>
      <c r="GK52" s="1">
        <f t="shared" si="373"/>
        <v>0.62374615140382994</v>
      </c>
      <c r="GM52" s="1" t="str">
        <f t="shared" si="69"/>
        <v>0.0191834803010191+4.98770487826499i</v>
      </c>
      <c r="GP52" s="1">
        <f t="shared" si="4"/>
        <v>10.4</v>
      </c>
      <c r="GQ52" s="1">
        <f t="shared" si="5"/>
        <v>0.62374615140382994</v>
      </c>
      <c r="GR52" s="1">
        <f t="shared" si="70"/>
        <v>4.9877417694368305</v>
      </c>
      <c r="GS52" s="1">
        <f t="shared" si="71"/>
        <v>0.69558630235142604</v>
      </c>
    </row>
    <row r="53" spans="2:375" ht="18" customHeight="1" x14ac:dyDescent="0.25">
      <c r="B53" s="6"/>
      <c r="AN53" s="9"/>
      <c r="AP53" s="8"/>
      <c r="AR53" s="6"/>
      <c r="CD53" s="9"/>
      <c r="CF53" s="8"/>
      <c r="EA53" s="1">
        <f t="shared" si="420"/>
        <v>10.6</v>
      </c>
      <c r="EB53" s="1" t="str">
        <f t="shared" si="12"/>
        <v>0.0000403843919342753-0.0428074554503319i</v>
      </c>
      <c r="EC53" s="1" t="str">
        <f t="shared" si="13"/>
        <v>0.0000791204413406205-0.0838676678210581i</v>
      </c>
      <c r="ED53" s="1" t="str">
        <f t="shared" si="14"/>
        <v>0.000195534632375649-0.207266710318188i</v>
      </c>
      <c r="EE53" s="1" t="str">
        <f t="shared" si="15"/>
        <v>0.000273075412127004-0.289459936854625i</v>
      </c>
      <c r="EF53" s="1" t="str">
        <f t="shared" si="16"/>
        <v>0.192393999005793i</v>
      </c>
      <c r="EG53" s="1" t="str">
        <f t="shared" si="17"/>
        <v>0.192313868227366i</v>
      </c>
      <c r="EH53" s="1" t="str">
        <f t="shared" si="18"/>
        <v>0.19246701072746i</v>
      </c>
      <c r="EI53" s="1" t="str">
        <f t="shared" si="19"/>
        <v>0.192448209769109i</v>
      </c>
      <c r="EJ53" s="1" t="str">
        <f t="shared" si="1"/>
        <v>0.005</v>
      </c>
      <c r="EK53" s="1" t="str">
        <f t="shared" si="2"/>
        <v>0.01</v>
      </c>
      <c r="EL53" s="1" t="str">
        <f t="shared" si="3"/>
        <v>0.0125</v>
      </c>
      <c r="EM53" s="1" t="str">
        <f t="shared" si="329"/>
        <v>0.00504038439193428+0.149586543555461i</v>
      </c>
      <c r="EN53" s="1" t="str">
        <f t="shared" si="330"/>
        <v>-0.005</v>
      </c>
      <c r="EO53" s="1" t="str">
        <f t="shared" si="331"/>
        <v>0.290749766242286-308.194752216823i</v>
      </c>
      <c r="EP53" s="1" t="str">
        <f t="shared" si="332"/>
        <v>-0.005</v>
      </c>
      <c r="EQ53" s="1" t="str">
        <f t="shared" si="333"/>
        <v>0.0150791204413406+0.108446200406308i</v>
      </c>
      <c r="ER53" s="1" t="str">
        <f t="shared" si="334"/>
        <v>-0.01</v>
      </c>
      <c r="ES53" s="1" t="str">
        <f t="shared" si="335"/>
        <v>0.569632195086923-603.810126792141i</v>
      </c>
      <c r="ET53" s="1" t="str">
        <f t="shared" si="336"/>
        <v>-0.01</v>
      </c>
      <c r="EU53" s="1" t="str">
        <f t="shared" si="337"/>
        <v>0.0226955346323756-0.014799699590728i</v>
      </c>
      <c r="EV53" s="1" t="str">
        <f t="shared" si="338"/>
        <v>-0.0125</v>
      </c>
      <c r="EW53" s="1" t="str">
        <f t="shared" si="339"/>
        <v>1.40776289879555-1492.22867272329i</v>
      </c>
      <c r="EX53" s="1" t="str">
        <f t="shared" si="340"/>
        <v>-0.0125</v>
      </c>
      <c r="EY53" s="1" t="str">
        <f t="shared" si="341"/>
        <v>0.012773075412127-0.097011727085516i</v>
      </c>
      <c r="EZ53" s="1" t="str">
        <f t="shared" si="342"/>
        <v>1.9660222288764-2083.98356260899i</v>
      </c>
      <c r="FB53" s="1" t="str">
        <f t="shared" si="343"/>
        <v>0.00504038439193428+0.149586543555461i</v>
      </c>
      <c r="FC53" s="1" t="str">
        <f t="shared" si="344"/>
        <v>0.290749766242286-308.194752216823i</v>
      </c>
      <c r="FD53" s="1" t="str">
        <f t="shared" si="345"/>
        <v>-0.00112500848316796+0.0333875588411396i</v>
      </c>
      <c r="FE53" s="1" t="str">
        <f t="shared" si="346"/>
        <v>0.0150734953989248+0.108613138200514i</v>
      </c>
      <c r="FF53" s="1" t="str">
        <f t="shared" si="347"/>
        <v>-9.71991113312918-604.166555927781i</v>
      </c>
      <c r="FG53" s="1" t="str">
        <f t="shared" si="348"/>
        <v>-0.0125361487403056+0.0903301072245083i</v>
      </c>
      <c r="FH53" s="1" t="str">
        <f t="shared" si="349"/>
        <v>0.0225701731449725-0.0138963985184829i</v>
      </c>
      <c r="FI53" s="1" t="str">
        <f t="shared" si="350"/>
        <v>-53.2885171313303-1498.92459391745i</v>
      </c>
      <c r="FJ53" s="1" t="str">
        <f t="shared" si="351"/>
        <v>-0.401591580496744-0.24725892036381i</v>
      </c>
      <c r="FK53" s="1" t="str">
        <f t="shared" si="352"/>
        <v>0.0077531806559177-0.100102463590064i</v>
      </c>
      <c r="FL53" s="1" t="str">
        <f t="shared" si="353"/>
        <v>371.49821850985-2682.90195181601i</v>
      </c>
      <c r="FM53" s="1" t="str">
        <f t="shared" si="354"/>
        <v>26927.4629593081+1625.58170643219i</v>
      </c>
      <c r="FN53" s="1" t="str">
        <f t="shared" si="355"/>
        <v>38349.6833894359-41899.6492882668i</v>
      </c>
      <c r="FO53" s="1" t="str">
        <f t="shared" si="356"/>
        <v>-8773.67048077743-4658.9833676541i</v>
      </c>
      <c r="FP53" s="1" t="str">
        <f t="shared" si="357"/>
        <v>-2223.33120069006+216.40421649013i</v>
      </c>
      <c r="FQ53" s="92" t="str">
        <f t="shared" si="358"/>
        <v>-8.88317621181456-403.378642894391i</v>
      </c>
      <c r="FR53" s="1" t="str">
        <f t="shared" si="359"/>
        <v>-41.6348726122515-427.755580815112i</v>
      </c>
      <c r="FS53" s="1" t="str">
        <f t="shared" si="360"/>
        <v>32.7516964004368+24.3769379207211i</v>
      </c>
      <c r="FT53" s="1" t="str">
        <f t="shared" si="361"/>
        <v>392.001878337952-1339.26878742516i</v>
      </c>
      <c r="FU53" s="1" t="str">
        <f t="shared" si="362"/>
        <v>8678.31154312039+6464.57687766941i</v>
      </c>
      <c r="FV53" s="1" t="str">
        <f t="shared" si="363"/>
        <v>-475.927983912167+5709.99425885316i</v>
      </c>
      <c r="FW53" s="1" t="str">
        <f t="shared" si="364"/>
        <v>-41.6348726122515-427.755580815112i</v>
      </c>
      <c r="FX53" s="1" t="str">
        <f t="shared" si="365"/>
        <v>895.987113440521-1687.29850871056i</v>
      </c>
      <c r="FY53" s="1" t="str">
        <f t="shared" si="366"/>
        <v>8064.30024904166+7381.04892430925i</v>
      </c>
      <c r="FZ53" s="1" t="str">
        <f t="shared" si="367"/>
        <v>-312.840289236288+5182.14204014284i</v>
      </c>
      <c r="GA53" s="1" t="str">
        <f t="shared" si="368"/>
        <v>32.7516964004368+24.3769379207211i</v>
      </c>
      <c r="GB53" s="1" t="str">
        <f t="shared" si="369"/>
        <v>-471.233538702133+372.406659206127i</v>
      </c>
      <c r="GC53" s="1" t="str">
        <f t="shared" si="370"/>
        <v>142.777755376597-544.065387433738i</v>
      </c>
      <c r="GD53" s="92" t="str">
        <f t="shared" si="371"/>
        <v>8585.50226133436+10431.923706203i</v>
      </c>
      <c r="GE53" s="1" t="str">
        <f t="shared" si="63"/>
        <v>0.33862832788166-0.411454656197545i</v>
      </c>
      <c r="GF53" s="1">
        <f t="shared" si="64"/>
        <v>10.6</v>
      </c>
      <c r="GG53" s="56">
        <f t="shared" si="65"/>
        <v>0.11372172156608784</v>
      </c>
      <c r="GH53" s="1">
        <f t="shared" si="66"/>
        <v>1.0848959538630214</v>
      </c>
      <c r="GJ53" s="1">
        <f t="shared" si="372"/>
        <v>13510.58404701357</v>
      </c>
      <c r="GK53" s="1">
        <f t="shared" si="373"/>
        <v>0.53288280001382005</v>
      </c>
      <c r="GM53" s="1" t="str">
        <f t="shared" si="69"/>
        <v>0.0191834803010191+5.08362227977008i</v>
      </c>
      <c r="GP53" s="1">
        <f t="shared" si="4"/>
        <v>10.6</v>
      </c>
      <c r="GQ53" s="1">
        <f t="shared" si="5"/>
        <v>0.53288280001382005</v>
      </c>
      <c r="GR53" s="1">
        <f t="shared" si="70"/>
        <v>5.0836584748870779</v>
      </c>
      <c r="GS53" s="1">
        <f t="shared" si="71"/>
        <v>0.57812239361818796</v>
      </c>
    </row>
    <row r="54" spans="2:375" ht="18" customHeight="1" thickBot="1" x14ac:dyDescent="0.3">
      <c r="B54" s="6"/>
      <c r="C54" s="10" t="str">
        <f>"Harmonic Filter Design - H - Type | "&amp; H12 &amp; " | " &amp; AE13</f>
        <v xml:space="preserve">Harmonic Filter Design - H - Type | Enter Customer PO #  | </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1"/>
      <c r="AO54" s="10"/>
      <c r="AP54" s="8"/>
      <c r="AR54" s="6"/>
      <c r="AS54" s="251" t="str">
        <f>"Harmonic Filter Design - H - Type | "&amp; H12 &amp; " | " &amp; AE13</f>
        <v xml:space="preserve">Harmonic Filter Design - H - Type | Enter Customer PO #  | </v>
      </c>
      <c r="AT54" s="251"/>
      <c r="AU54" s="251"/>
      <c r="AV54" s="251"/>
      <c r="AW54" s="251"/>
      <c r="AX54" s="251"/>
      <c r="AY54" s="251"/>
      <c r="AZ54" s="251"/>
      <c r="BA54" s="251"/>
      <c r="BB54" s="251"/>
      <c r="BC54" s="251"/>
      <c r="BD54" s="251"/>
      <c r="BE54" s="251"/>
      <c r="BF54" s="251"/>
      <c r="BG54" s="251"/>
      <c r="BH54" s="10"/>
      <c r="BI54" s="10"/>
      <c r="BJ54" s="10"/>
      <c r="BK54" s="10"/>
      <c r="BL54" s="10"/>
      <c r="BM54" s="10"/>
      <c r="BN54" s="10"/>
      <c r="BO54" s="10"/>
      <c r="BP54" s="10"/>
      <c r="BQ54" s="10"/>
      <c r="BR54" s="10"/>
      <c r="BS54" s="10"/>
      <c r="BT54" s="10"/>
      <c r="BU54" s="10"/>
      <c r="BV54" s="10"/>
      <c r="BW54" s="10"/>
      <c r="BX54" s="10"/>
      <c r="BY54" s="10"/>
      <c r="BZ54" s="10"/>
      <c r="CA54" s="10"/>
      <c r="CB54" s="10"/>
      <c r="CC54" s="10"/>
      <c r="CD54" s="11"/>
      <c r="CE54" s="10"/>
      <c r="CF54" s="8"/>
      <c r="EA54" s="1">
        <f t="shared" si="420"/>
        <v>10.8</v>
      </c>
      <c r="EB54" s="1" t="str">
        <f t="shared" si="12"/>
        <v>0.0000389025242277259-0.042014726165944i</v>
      </c>
      <c r="EC54" s="1" t="str">
        <f t="shared" si="13"/>
        <v>0.0000762171903237079-0.0823145655496046i</v>
      </c>
      <c r="ED54" s="1" t="str">
        <f t="shared" si="14"/>
        <v>0.000188359670878122-0.203428444548372i</v>
      </c>
      <c r="EE54" s="1" t="str">
        <f t="shared" si="15"/>
        <v>0.000263055163825575-0.284099576931621i</v>
      </c>
      <c r="EF54" s="1" t="str">
        <f t="shared" si="16"/>
        <v>0.196024074458733i</v>
      </c>
      <c r="EG54" s="1" t="str">
        <f t="shared" si="17"/>
        <v>0.195942431778825i</v>
      </c>
      <c r="EH54" s="1" t="str">
        <f t="shared" si="18"/>
        <v>0.196098463760054i</v>
      </c>
      <c r="EI54" s="1" t="str">
        <f t="shared" si="19"/>
        <v>0.196079308066639i</v>
      </c>
      <c r="EJ54" s="1" t="str">
        <f t="shared" si="1"/>
        <v>0.005</v>
      </c>
      <c r="EK54" s="1" t="str">
        <f t="shared" si="2"/>
        <v>0.01</v>
      </c>
      <c r="EL54" s="1" t="str">
        <f t="shared" si="3"/>
        <v>0.0125</v>
      </c>
      <c r="EM54" s="1" t="str">
        <f t="shared" si="329"/>
        <v>0.00503890252422773+0.154009348292789i</v>
      </c>
      <c r="EN54" s="1" t="str">
        <f t="shared" si="330"/>
        <v>-0.005</v>
      </c>
      <c r="EO54" s="1" t="str">
        <f t="shared" si="331"/>
        <v>0.280080973952868-302.487451869097i</v>
      </c>
      <c r="EP54" s="1" t="str">
        <f t="shared" si="332"/>
        <v>-0.005</v>
      </c>
      <c r="EQ54" s="1" t="str">
        <f t="shared" si="333"/>
        <v>0.0150762171903237+0.11362786622922i</v>
      </c>
      <c r="ER54" s="1" t="str">
        <f t="shared" si="334"/>
        <v>-0.01</v>
      </c>
      <c r="ES54" s="1" t="str">
        <f t="shared" si="335"/>
        <v>0.548730071417863-592.628477131293i</v>
      </c>
      <c r="ET54" s="1" t="str">
        <f t="shared" si="336"/>
        <v>-0.01</v>
      </c>
      <c r="EU54" s="1" t="str">
        <f t="shared" si="337"/>
        <v>0.0226883596708781-0.00732998078831801i</v>
      </c>
      <c r="EV54" s="1" t="str">
        <f t="shared" si="338"/>
        <v>-0.0125</v>
      </c>
      <c r="EW54" s="1" t="str">
        <f t="shared" si="339"/>
        <v>1.35610634837383-1464.59485624374i</v>
      </c>
      <c r="EX54" s="1" t="str">
        <f t="shared" si="340"/>
        <v>-0.0125</v>
      </c>
      <c r="EY54" s="1" t="str">
        <f t="shared" si="341"/>
        <v>0.0127630551638256-0.088020268864982i</v>
      </c>
      <c r="EZ54" s="1" t="str">
        <f t="shared" si="342"/>
        <v>1.89388087149082-2045.39134121008i</v>
      </c>
      <c r="FB54" s="1" t="str">
        <f t="shared" si="343"/>
        <v>0.00503890252422773+0.154009348292789i</v>
      </c>
      <c r="FC54" s="1" t="str">
        <f t="shared" si="344"/>
        <v>0.280080973952868-302.487451869097i</v>
      </c>
      <c r="FD54" s="1" t="str">
        <f t="shared" si="345"/>
        <v>-0.0010610775874354+0.0324308451975972i</v>
      </c>
      <c r="FE54" s="1" t="str">
        <f t="shared" si="346"/>
        <v>0.0150709118023865+0.113790020455208i</v>
      </c>
      <c r="FF54" s="1" t="str">
        <f t="shared" si="347"/>
        <v>-9.26089646672033-592.958523049661i</v>
      </c>
      <c r="FG54" s="1" t="str">
        <f t="shared" si="348"/>
        <v>-0.0114387607879435+0.086366162917642i</v>
      </c>
      <c r="FH54" s="1" t="str">
        <f t="shared" si="349"/>
        <v>0.0225739720629987-0.00646631915914159i</v>
      </c>
      <c r="FI54" s="1" t="str">
        <f t="shared" si="350"/>
        <v>-49.9613792361023-1470.57773885307i</v>
      </c>
      <c r="FJ54" s="1" t="str">
        <f t="shared" si="351"/>
        <v>-0.511744525001519-0.146589329399726i</v>
      </c>
      <c r="FK54" s="1" t="str">
        <f t="shared" si="352"/>
        <v>0.00636624860130661-0.0898526354824786i</v>
      </c>
      <c r="FL54" s="1" t="str">
        <f t="shared" si="353"/>
        <v>217.281838689649-2794.690949518i</v>
      </c>
      <c r="FM54" s="1" t="str">
        <f t="shared" si="354"/>
        <v>31118.1701303518+213.414236756753i</v>
      </c>
      <c r="FN54" s="1" t="str">
        <f t="shared" si="355"/>
        <v>31093.5523250658-56119.9076632497i</v>
      </c>
      <c r="FO54" s="1" t="str">
        <f t="shared" si="356"/>
        <v>-9622.93793952104-3925.66126592917i</v>
      </c>
      <c r="FP54" s="1" t="str">
        <f t="shared" si="357"/>
        <v>-2099.4485042141+241.90539580399i</v>
      </c>
      <c r="FQ54" s="92" t="str">
        <f t="shared" si="358"/>
        <v>-9.80183414251602-390.704616603674i</v>
      </c>
      <c r="FR54" s="1" t="str">
        <f t="shared" si="359"/>
        <v>-47.4192813190506-411.54244991234i</v>
      </c>
      <c r="FS54" s="1" t="str">
        <f t="shared" si="360"/>
        <v>37.6174471765347+20.8378333086658i</v>
      </c>
      <c r="FT54" s="1" t="str">
        <f t="shared" si="361"/>
        <v>324.421264963698-1384.43723006192i</v>
      </c>
      <c r="FU54" s="1" t="str">
        <f t="shared" si="362"/>
        <v>11411.8848591991+4871.28885606498i</v>
      </c>
      <c r="FV54" s="1" t="str">
        <f t="shared" si="363"/>
        <v>-66.9228088438793+6795.21148799207i</v>
      </c>
      <c r="FW54" s="1" t="str">
        <f t="shared" si="364"/>
        <v>-47.4192813190506-411.54244991234i</v>
      </c>
      <c r="FX54" s="1" t="str">
        <f t="shared" si="365"/>
        <v>769.203614786102-1885.54186072647i</v>
      </c>
      <c r="FY54" s="1" t="str">
        <f t="shared" si="366"/>
        <v>11005.0276791193+6097.39784378826i</v>
      </c>
      <c r="FZ54" s="1" t="str">
        <f t="shared" si="367"/>
        <v>-41.846115874834+6101.62926745933i</v>
      </c>
      <c r="GA54" s="1" t="str">
        <f t="shared" si="368"/>
        <v>37.6174471765347+20.8378333086658i</v>
      </c>
      <c r="GB54" s="1" t="str">
        <f t="shared" si="369"/>
        <v>-407.164902645868+521.942463973205i</v>
      </c>
      <c r="GC54" s="1" t="str">
        <f t="shared" si="370"/>
        <v>-0.307722566074971-704.166523750081i</v>
      </c>
      <c r="GD54" s="92" t="str">
        <f t="shared" si="371"/>
        <v>11659.5814811764+9891.35849739145i</v>
      </c>
      <c r="GE54" s="1" t="str">
        <f t="shared" si="63"/>
        <v>0.359064518761216-0.304610923170304i</v>
      </c>
      <c r="GF54" s="1">
        <f t="shared" si="64"/>
        <v>10.8</v>
      </c>
      <c r="GG54" s="56">
        <f t="shared" si="65"/>
        <v>9.6299944531848522E-2</v>
      </c>
      <c r="GH54" s="1">
        <f t="shared" si="66"/>
        <v>1.0593086095817954</v>
      </c>
      <c r="GJ54" s="1">
        <f t="shared" si="372"/>
        <v>15290.023323726804</v>
      </c>
      <c r="GK54" s="1">
        <f t="shared" si="373"/>
        <v>0.47086637504486184</v>
      </c>
      <c r="GM54" s="1" t="str">
        <f t="shared" si="69"/>
        <v>0.0191834803010191+5.17953968127518i</v>
      </c>
      <c r="GP54" s="1">
        <f t="shared" si="4"/>
        <v>10.8</v>
      </c>
      <c r="GQ54" s="1">
        <f t="shared" si="5"/>
        <v>0.47086637504486184</v>
      </c>
      <c r="GR54" s="1">
        <f t="shared" si="70"/>
        <v>5.1795752061168736</v>
      </c>
      <c r="GS54" s="1">
        <f t="shared" si="71"/>
        <v>0.49879280504759377</v>
      </c>
      <c r="NH54" s="1" t="str">
        <f>K29&amp;" Tuned "&amp;ROUND(F29,0)&amp;" kvar"</f>
        <v>5 Tuned 2940 kvar</v>
      </c>
    </row>
    <row r="55" spans="2:375" ht="18" customHeight="1" x14ac:dyDescent="0.25">
      <c r="B55" s="6"/>
      <c r="AN55" s="9"/>
      <c r="AP55" s="8"/>
      <c r="AR55" s="6"/>
      <c r="CD55" s="9"/>
      <c r="CF55" s="8"/>
      <c r="EA55" s="1">
        <f t="shared" si="420"/>
        <v>11</v>
      </c>
      <c r="EB55" s="1" t="str">
        <f t="shared" si="12"/>
        <v>0.0000375007484801614-0.0412508233281776i</v>
      </c>
      <c r="EC55" s="1" t="str">
        <f t="shared" si="13"/>
        <v>0.0000734708541652147-0.0808179395817359i</v>
      </c>
      <c r="ED55" s="1" t="str">
        <f t="shared" si="14"/>
        <v>0.000181572501569761-0.199729751726737i</v>
      </c>
      <c r="EE55" s="1" t="str">
        <f t="shared" si="15"/>
        <v>0.000253576489722995-0.278934138695295i</v>
      </c>
      <c r="EF55" s="1" t="str">
        <f t="shared" si="16"/>
        <v>0.199654149911673i</v>
      </c>
      <c r="EG55" s="1" t="str">
        <f t="shared" si="17"/>
        <v>0.199570995330285i</v>
      </c>
      <c r="EH55" s="1" t="str">
        <f t="shared" si="18"/>
        <v>0.199729916792648i</v>
      </c>
      <c r="EI55" s="1" t="str">
        <f t="shared" si="19"/>
        <v>0.199710406364169i</v>
      </c>
      <c r="EJ55" s="1" t="str">
        <f t="shared" si="1"/>
        <v>0.005</v>
      </c>
      <c r="EK55" s="1" t="str">
        <f t="shared" si="2"/>
        <v>0.01</v>
      </c>
      <c r="EL55" s="1" t="str">
        <f t="shared" si="3"/>
        <v>0.0125</v>
      </c>
      <c r="EM55" s="1" t="str">
        <f t="shared" si="329"/>
        <v>0.00503750074848016+0.158403326583495i</v>
      </c>
      <c r="EN55" s="1" t="str">
        <f t="shared" si="330"/>
        <v>-0.005</v>
      </c>
      <c r="EO55" s="1" t="str">
        <f t="shared" si="331"/>
        <v>0.269988808356025-296.987689191628i</v>
      </c>
      <c r="EP55" s="1" t="str">
        <f t="shared" si="332"/>
        <v>-0.005</v>
      </c>
      <c r="EQ55" s="1" t="str">
        <f t="shared" si="333"/>
        <v>0.0150734708541652+0.118753055748549i</v>
      </c>
      <c r="ER55" s="1" t="str">
        <f t="shared" si="334"/>
        <v>-0.01</v>
      </c>
      <c r="ES55" s="1" t="str">
        <f t="shared" si="335"/>
        <v>0.528957665350584-581.853431885641i</v>
      </c>
      <c r="ET55" s="1" t="str">
        <f t="shared" si="336"/>
        <v>-0.01</v>
      </c>
      <c r="EU55" s="1" t="str">
        <f t="shared" si="337"/>
        <v>0.0226815725015698+1.65065911023055E-07i</v>
      </c>
      <c r="EV55" s="1" t="str">
        <f t="shared" si="338"/>
        <v>-0.0125</v>
      </c>
      <c r="EW55" s="1" t="str">
        <f t="shared" si="339"/>
        <v>1.30724173025443-1437.96590327987i</v>
      </c>
      <c r="EX55" s="1" t="str">
        <f t="shared" si="340"/>
        <v>-0.0125</v>
      </c>
      <c r="EY55" s="1" t="str">
        <f t="shared" si="341"/>
        <v>0.012753576489723-0.079223732331126i</v>
      </c>
      <c r="EZ55" s="1" t="str">
        <f t="shared" si="342"/>
        <v>1.82563860888359-2008.20246977196i</v>
      </c>
      <c r="FB55" s="1" t="str">
        <f t="shared" si="343"/>
        <v>0.00503750074848016+0.158403326583495i</v>
      </c>
      <c r="FC55" s="1" t="str">
        <f t="shared" si="344"/>
        <v>0.269988808356025-296.987689191628i</v>
      </c>
      <c r="FD55" s="1" t="str">
        <f t="shared" si="345"/>
        <v>-0.00100280740069125+0.0315331026481668i</v>
      </c>
      <c r="FE55" s="1" t="str">
        <f t="shared" si="346"/>
        <v>0.0150684568171617+0.11891072126179i</v>
      </c>
      <c r="FF55" s="1" t="str">
        <f t="shared" si="347"/>
        <v>-8.83571487639576-582.159766923084i</v>
      </c>
      <c r="FG55" s="1" t="str">
        <f t="shared" si="348"/>
        <v>-0.0104883745268053+0.0827676115065595i</v>
      </c>
      <c r="FH55" s="1" t="str">
        <f t="shared" si="349"/>
        <v>0.0225766887563017+0.000827841180976618i</v>
      </c>
      <c r="FI55" s="1" t="str">
        <f t="shared" si="350"/>
        <v>-46.9694039800203-1443.34050193352i</v>
      </c>
      <c r="FJ55" s="1" t="str">
        <f t="shared" si="351"/>
        <v>-0.552925008540327+0.0202746335834464i</v>
      </c>
      <c r="FK55" s="1" t="str">
        <f t="shared" si="352"/>
        <v>0.00584201388296891-0.0789702994113329i</v>
      </c>
      <c r="FL55" s="1" t="str">
        <f t="shared" si="353"/>
        <v>-26.6057865407401-2803.31628297077i</v>
      </c>
      <c r="FM55" s="1" t="str">
        <f t="shared" si="354"/>
        <v>35280.3614344216-2946.85659762607i</v>
      </c>
      <c r="FN55" s="1" t="str">
        <f t="shared" si="355"/>
        <v>15028.9470769226-66113.2288624132i</v>
      </c>
      <c r="FO55" s="1" t="str">
        <f t="shared" si="356"/>
        <v>-10142.0693872697-2474.79022386623i</v>
      </c>
      <c r="FP55" s="1" t="str">
        <f t="shared" si="357"/>
        <v>-1961.142864751+256.062169613294i</v>
      </c>
      <c r="FQ55" s="92" t="str">
        <f t="shared" si="358"/>
        <v>-10.2192421860871-377.896049549806i</v>
      </c>
      <c r="FR55" s="1" t="str">
        <f t="shared" si="359"/>
        <v>-51.1238747986808-391.550311517204i</v>
      </c>
      <c r="FS55" s="1" t="str">
        <f t="shared" si="360"/>
        <v>40.9046326125935+13.6542619673976i</v>
      </c>
      <c r="FT55" s="1" t="str">
        <f t="shared" si="361"/>
        <v>201.281550956128-1401.33275790815i</v>
      </c>
      <c r="FU55" s="1" t="str">
        <f t="shared" si="362"/>
        <v>13203.3571847563+1575.76630945955i</v>
      </c>
      <c r="FV55" s="1" t="str">
        <f t="shared" si="363"/>
        <v>814.85827531756+7833.44201334889i</v>
      </c>
      <c r="FW55" s="1" t="str">
        <f t="shared" si="364"/>
        <v>-51.1238747986808-391.550311517204i</v>
      </c>
      <c r="FX55" s="1" t="str">
        <f t="shared" si="365"/>
        <v>493.896348210642-2024.06288232623i</v>
      </c>
      <c r="FY55" s="1" t="str">
        <f t="shared" si="366"/>
        <v>13204.7896995831+3001.73034915486i</v>
      </c>
      <c r="FZ55" s="1" t="str">
        <f t="shared" si="367"/>
        <v>588.517928608835+7045.85531874309i</v>
      </c>
      <c r="GA55" s="1" t="str">
        <f t="shared" si="368"/>
        <v>40.9046326125935+13.6542619673976i</v>
      </c>
      <c r="GB55" s="1" t="str">
        <f t="shared" si="369"/>
        <v>-251.710164641923+636.38438638547i</v>
      </c>
      <c r="GC55" s="1" t="str">
        <f t="shared" si="370"/>
        <v>-253.142679468738-789.579653309839i</v>
      </c>
      <c r="GD55" s="92" t="str">
        <f t="shared" si="371"/>
        <v>14209.2777688439+7629.97951535048i</v>
      </c>
      <c r="GE55" s="1" t="str">
        <f t="shared" si="63"/>
        <v>0.393281768577826-0.211181165350233i</v>
      </c>
      <c r="GF55" s="1">
        <f t="shared" si="64"/>
        <v>11</v>
      </c>
      <c r="GG55" s="56">
        <f t="shared" si="65"/>
        <v>8.7854857382997628E-2</v>
      </c>
      <c r="GH55" s="1">
        <f t="shared" si="66"/>
        <v>1.0382690915535562</v>
      </c>
      <c r="GJ55" s="1">
        <f t="shared" si="372"/>
        <v>16128.241135251836</v>
      </c>
      <c r="GK55" s="72">
        <f t="shared" si="373"/>
        <v>0.44639448259850295</v>
      </c>
      <c r="GM55" s="1" t="str">
        <f t="shared" si="69"/>
        <v>0.0191834803010191+5.27545708278027i</v>
      </c>
      <c r="GP55" s="1">
        <f t="shared" si="4"/>
        <v>11</v>
      </c>
      <c r="GQ55" s="1">
        <f t="shared" si="5"/>
        <v>0.44639448259850295</v>
      </c>
      <c r="GR55" s="1">
        <f t="shared" si="70"/>
        <v>5.2754919617200606</v>
      </c>
      <c r="GS55" s="1">
        <f t="shared" si="71"/>
        <v>0.46347759392206578</v>
      </c>
      <c r="NH55" s="1" t="str">
        <f>K30&amp;" Tuned "&amp;ROUND(F30,0)&amp;" kvar"</f>
        <v>7 Tuned 2880 kvar</v>
      </c>
    </row>
    <row r="56" spans="2:375" ht="18" customHeight="1" x14ac:dyDescent="0.3">
      <c r="B56" s="6"/>
      <c r="AP56" s="8"/>
      <c r="AR56" s="6"/>
      <c r="AS56" s="30" t="s">
        <v>88</v>
      </c>
      <c r="CF56" s="8"/>
      <c r="EA56" s="1">
        <f t="shared" si="420"/>
        <v>11.2</v>
      </c>
      <c r="EB56" s="1" t="str">
        <f t="shared" si="12"/>
        <v>0.0000361733952394361-0.0405142026681684i</v>
      </c>
      <c r="EC56" s="1" t="str">
        <f t="shared" si="13"/>
        <v>0.0000708703253670582-0.0793747644111052i</v>
      </c>
      <c r="ED56" s="1" t="str">
        <f t="shared" si="14"/>
        <v>0.000175145673888902-0.19616315475557i</v>
      </c>
      <c r="EE56" s="1" t="str">
        <f t="shared" si="15"/>
        <v>0.000244601053523805-0.273953179946662i</v>
      </c>
      <c r="EF56" s="1" t="str">
        <f t="shared" si="16"/>
        <v>0.203284225364612i</v>
      </c>
      <c r="EG56" s="1" t="str">
        <f t="shared" si="17"/>
        <v>0.203199558881745i</v>
      </c>
      <c r="EH56" s="1" t="str">
        <f t="shared" si="18"/>
        <v>0.203361369825241i</v>
      </c>
      <c r="EI56" s="1" t="str">
        <f t="shared" si="19"/>
        <v>0.2033415046617i</v>
      </c>
      <c r="EJ56" s="1" t="str">
        <f t="shared" si="1"/>
        <v>0.005</v>
      </c>
      <c r="EK56" s="1" t="str">
        <f t="shared" si="2"/>
        <v>0.01</v>
      </c>
      <c r="EL56" s="1" t="str">
        <f t="shared" si="3"/>
        <v>0.0125</v>
      </c>
      <c r="EM56" s="1" t="str">
        <f t="shared" si="329"/>
        <v>0.00503617339523944+0.162770022696444i</v>
      </c>
      <c r="EN56" s="1" t="str">
        <f t="shared" si="330"/>
        <v>-0.005</v>
      </c>
      <c r="EO56" s="1" t="str">
        <f t="shared" si="331"/>
        <v>0.26043245190302-291.684346131382i</v>
      </c>
      <c r="EP56" s="1" t="str">
        <f t="shared" si="332"/>
        <v>-0.005</v>
      </c>
      <c r="EQ56" s="1" t="str">
        <f t="shared" si="333"/>
        <v>0.0150708703253671+0.12382479447064i</v>
      </c>
      <c r="ER56" s="1" t="str">
        <f t="shared" si="334"/>
        <v>-0.01</v>
      </c>
      <c r="ES56" s="1" t="str">
        <f t="shared" si="335"/>
        <v>0.510235007809996-571.463208747196i</v>
      </c>
      <c r="ET56" s="1" t="str">
        <f t="shared" si="336"/>
        <v>-0.01</v>
      </c>
      <c r="EU56" s="1" t="str">
        <f t="shared" si="337"/>
        <v>0.0226751456738889+0.007198215069671i</v>
      </c>
      <c r="EV56" s="1" t="str">
        <f t="shared" si="338"/>
        <v>-0.0125</v>
      </c>
      <c r="EW56" s="1" t="str">
        <f t="shared" si="339"/>
        <v>1.26097141253043-1412.28798203409i</v>
      </c>
      <c r="EX56" s="1" t="str">
        <f t="shared" si="340"/>
        <v>-0.0125</v>
      </c>
      <c r="EY56" s="1" t="str">
        <f t="shared" si="341"/>
        <v>0.0127446010535238-0.070611675284962i</v>
      </c>
      <c r="EZ56" s="1" t="str">
        <f t="shared" si="342"/>
        <v>1.76101943667756-1972.34176907886i</v>
      </c>
      <c r="FB56" s="1" t="str">
        <f t="shared" si="343"/>
        <v>0.00503617339523944+0.162770022696444i</v>
      </c>
      <c r="FC56" s="1" t="str">
        <f t="shared" si="344"/>
        <v>0.26043245190302-291.684346131382i</v>
      </c>
      <c r="FD56" s="1" t="str">
        <f t="shared" si="345"/>
        <v>-0.000949524718970912+0.0306888083328954i</v>
      </c>
      <c r="FE56" s="1" t="str">
        <f t="shared" si="346"/>
        <v>0.0150661227017722+0.123978238512304i</v>
      </c>
      <c r="FF56" s="1" t="str">
        <f t="shared" si="347"/>
        <v>-8.4409626972712-571.748162605585i</v>
      </c>
      <c r="FG56" s="1" t="str">
        <f t="shared" si="348"/>
        <v>-0.00965926215592619+0.0794855007572336i</v>
      </c>
      <c r="FH56" s="1" t="str">
        <f t="shared" si="349"/>
        <v>0.0225785530523296+0.00799307007724334i</v>
      </c>
      <c r="FI56" s="1" t="str">
        <f t="shared" si="350"/>
        <v>-44.2662510707441-1417.139713277i</v>
      </c>
      <c r="FJ56" s="1" t="str">
        <f t="shared" si="351"/>
        <v>-0.491967301249528+0.174162139862813i</v>
      </c>
      <c r="FK56" s="1" t="str">
        <f t="shared" si="352"/>
        <v>0.0065950097879047-0.0684346485366768i</v>
      </c>
      <c r="FL56" s="1" t="str">
        <f t="shared" si="353"/>
        <v>-243.585720914138-2667.36088966682i</v>
      </c>
      <c r="FM56" s="1" t="str">
        <f t="shared" si="354"/>
        <v>38278.2507568196-7248.24588020483i</v>
      </c>
      <c r="FN56" s="1" t="str">
        <f t="shared" si="355"/>
        <v>-3917.89293333128-65390.6736444288i</v>
      </c>
      <c r="FO56" s="1" t="str">
        <f t="shared" si="356"/>
        <v>-9788.17664274959-805.383101856158i</v>
      </c>
      <c r="FP56" s="1" t="str">
        <f t="shared" si="357"/>
        <v>-1824.2499043396+242.631974076665i</v>
      </c>
      <c r="FQ56" s="92" t="str">
        <f t="shared" si="358"/>
        <v>-9.50361920681159-365.601153295479i</v>
      </c>
      <c r="FR56" s="1" t="str">
        <f t="shared" si="359"/>
        <v>-49.3232528988615-370.841228675143i</v>
      </c>
      <c r="FS56" s="1" t="str">
        <f t="shared" si="360"/>
        <v>39.81963369205+5.2400753796641i</v>
      </c>
      <c r="FT56" s="1" t="str">
        <f t="shared" si="361"/>
        <v>65.1310202417496-1348.34034601725i</v>
      </c>
      <c r="FU56" s="1" t="str">
        <f t="shared" si="362"/>
        <v>12829.1880070936-2169.3813262294i</v>
      </c>
      <c r="FV56" s="1" t="str">
        <f t="shared" si="363"/>
        <v>1978.07812689192+8515.87967712609i</v>
      </c>
      <c r="FW56" s="1" t="str">
        <f t="shared" si="364"/>
        <v>-49.3232528988615-370.841228675143i</v>
      </c>
      <c r="FX56" s="1" t="str">
        <f t="shared" si="365"/>
        <v>163.653491027983-1988.95317606332i</v>
      </c>
      <c r="FY56" s="1" t="str">
        <f t="shared" si="366"/>
        <v>13297.9369661263-796.748073750881i</v>
      </c>
      <c r="FZ56" s="1" t="str">
        <f t="shared" si="367"/>
        <v>1473.86922343882+7783.55710470955i</v>
      </c>
      <c r="GA56" s="1" t="str">
        <f t="shared" si="368"/>
        <v>39.81963369205+5.2400753796641i</v>
      </c>
      <c r="GB56" s="1" t="str">
        <f t="shared" si="369"/>
        <v>-58.7028370941831+645.852905425726i</v>
      </c>
      <c r="GC56" s="1" t="str">
        <f t="shared" si="370"/>
        <v>-527.451796126886-726.7803470528i</v>
      </c>
      <c r="GD56" s="92" t="str">
        <f t="shared" si="371"/>
        <v>14862.8935350205+4632.55685158396i</v>
      </c>
      <c r="GE56" s="1" t="str">
        <f t="shared" si="63"/>
        <v>0.441506561429576-0.137611444322779i</v>
      </c>
      <c r="GF56" s="1">
        <f t="shared" si="64"/>
        <v>11.2</v>
      </c>
      <c r="GG56" s="56">
        <f t="shared" si="65"/>
        <v>8.8019679446386265E-2</v>
      </c>
      <c r="GH56" s="1">
        <f t="shared" si="66"/>
        <v>1.0223466386001983</v>
      </c>
      <c r="GJ56" s="1">
        <f t="shared" si="372"/>
        <v>15568.114439986353</v>
      </c>
      <c r="GK56" s="1">
        <f t="shared" si="373"/>
        <v>0.46245535286551642</v>
      </c>
      <c r="GM56" s="1" t="str">
        <f t="shared" si="69"/>
        <v>0.0191834803010191+5.37137448428537i</v>
      </c>
      <c r="GP56" s="1">
        <f t="shared" si="4"/>
        <v>11.2</v>
      </c>
      <c r="GQ56" s="1">
        <f t="shared" si="5"/>
        <v>0.46245535286551642</v>
      </c>
      <c r="GR56" s="1">
        <f t="shared" si="70"/>
        <v>5.3714087403909589</v>
      </c>
      <c r="GS56" s="1">
        <f t="shared" si="71"/>
        <v>0.47278967550472822</v>
      </c>
      <c r="NH56" s="1" t="str">
        <f>IF(F31&lt;1,"n/a",K31&amp;" Tuned "&amp;ROUND(F31,0)&amp;" kvar")</f>
        <v>11 Tuned 2847 kvar</v>
      </c>
    </row>
    <row r="57" spans="2:375" ht="18" customHeight="1" x14ac:dyDescent="0.25">
      <c r="B57" s="6"/>
      <c r="AP57" s="8"/>
      <c r="AR57" s="6"/>
      <c r="CF57" s="8"/>
      <c r="EA57" s="1">
        <f t="shared" si="420"/>
        <v>11.4</v>
      </c>
      <c r="EB57" s="1" t="str">
        <f t="shared" si="12"/>
        <v>0.0000349152879704952-0.0398034282863647i</v>
      </c>
      <c r="EC57" s="1" t="str">
        <f t="shared" si="13"/>
        <v>0.0000684054621462771-0.0779822268467557i</v>
      </c>
      <c r="ED57" s="1" t="str">
        <f t="shared" si="14"/>
        <v>0.00016905412389796-0.192721701243674i</v>
      </c>
      <c r="EE57" s="1" t="str">
        <f t="shared" si="15"/>
        <v>0.000236093851990968-0.269146991269704i</v>
      </c>
      <c r="EF57" s="1" t="str">
        <f t="shared" si="16"/>
        <v>0.206914300817552i</v>
      </c>
      <c r="EG57" s="1" t="str">
        <f t="shared" si="17"/>
        <v>0.206828122433204i</v>
      </c>
      <c r="EH57" s="1" t="str">
        <f t="shared" si="18"/>
        <v>0.206992822857835i</v>
      </c>
      <c r="EI57" s="1" t="str">
        <f t="shared" si="19"/>
        <v>0.20697260295923i</v>
      </c>
      <c r="EJ57" s="1" t="str">
        <f t="shared" si="1"/>
        <v>0.005</v>
      </c>
      <c r="EK57" s="1" t="str">
        <f t="shared" si="2"/>
        <v>0.01</v>
      </c>
      <c r="EL57" s="1" t="str">
        <f t="shared" si="3"/>
        <v>0.0125</v>
      </c>
      <c r="EM57" s="1" t="str">
        <f t="shared" si="329"/>
        <v>0.0050349152879705+0.167110872531187i</v>
      </c>
      <c r="EN57" s="1" t="str">
        <f t="shared" si="330"/>
        <v>-0.005</v>
      </c>
      <c r="EO57" s="1" t="str">
        <f t="shared" si="331"/>
        <v>0.251374635830226-286.567084846459i</v>
      </c>
      <c r="EP57" s="1" t="str">
        <f t="shared" si="332"/>
        <v>-0.005</v>
      </c>
      <c r="EQ57" s="1" t="str">
        <f t="shared" si="333"/>
        <v>0.0150684054621463+0.128845895586448i</v>
      </c>
      <c r="ER57" s="1" t="str">
        <f t="shared" si="334"/>
        <v>-0.01</v>
      </c>
      <c r="ES57" s="1" t="str">
        <f t="shared" si="335"/>
        <v>0.492489082442897-561.437553984901i</v>
      </c>
      <c r="ET57" s="1" t="str">
        <f t="shared" si="336"/>
        <v>-0.01</v>
      </c>
      <c r="EU57" s="1" t="str">
        <f t="shared" si="337"/>
        <v>0.022669054123898+0.014271121614161i</v>
      </c>
      <c r="EV57" s="1" t="str">
        <f t="shared" si="338"/>
        <v>-0.0125</v>
      </c>
      <c r="EW57" s="1" t="str">
        <f t="shared" si="339"/>
        <v>1.21711494593309-1387.51103836372i</v>
      </c>
      <c r="EX57" s="1" t="str">
        <f t="shared" si="340"/>
        <v>-0.0125</v>
      </c>
      <c r="EY57" s="1" t="str">
        <f t="shared" si="341"/>
        <v>0.012736093851991-0.062174388310474i</v>
      </c>
      <c r="EZ57" s="1" t="str">
        <f t="shared" si="342"/>
        <v>1.69977134704248-1937.73933562843i</v>
      </c>
      <c r="FB57" s="1" t="str">
        <f t="shared" si="343"/>
        <v>0.0050349152879705+0.167110872531187i</v>
      </c>
      <c r="FC57" s="1" t="str">
        <f t="shared" si="344"/>
        <v>0.251374635830226-286.567084846459i</v>
      </c>
      <c r="FD57" s="1" t="str">
        <f t="shared" si="345"/>
        <v>-0.000900655486402966+0.0298931194616918i</v>
      </c>
      <c r="FE57" s="1" t="str">
        <f t="shared" si="346"/>
        <v>0.0150639021847143+0.128995361183756i</v>
      </c>
      <c r="FF57" s="1" t="str">
        <f t="shared" si="347"/>
        <v>-8.07366861671617-561.703166574109i</v>
      </c>
      <c r="FG57" s="1" t="str">
        <f t="shared" si="348"/>
        <v>-0.00893113675590059+0.076479201569561i</v>
      </c>
      <c r="FH57" s="1" t="str">
        <f t="shared" si="349"/>
        <v>0.022579742756339+0.0150359136298566i</v>
      </c>
      <c r="FI57" s="1" t="str">
        <f t="shared" si="350"/>
        <v>-41.8136017912866-1391.91021843107i</v>
      </c>
      <c r="FJ57" s="1" t="str">
        <f t="shared" si="351"/>
        <v>-0.383527352368561+0.255391932810321i</v>
      </c>
      <c r="FK57" s="1" t="str">
        <f t="shared" si="352"/>
        <v>0.00794200194738399-0.058981989150345i</v>
      </c>
      <c r="FL57" s="1" t="str">
        <f t="shared" si="353"/>
        <v>-352.192557663582-2470.19861189271i</v>
      </c>
      <c r="FM57" s="1" t="str">
        <f t="shared" si="354"/>
        <v>40345.034806532-11403.6998811594i</v>
      </c>
      <c r="FN57" s="1" t="str">
        <f t="shared" si="355"/>
        <v>-17160.5326509956-56529.9699795965i</v>
      </c>
      <c r="FO57" s="1" t="str">
        <f t="shared" si="356"/>
        <v>-8779.70170642288+367.628936226587i</v>
      </c>
      <c r="FP57" s="1" t="str">
        <f t="shared" si="357"/>
        <v>-1710.14945063448+209.661261124895i</v>
      </c>
      <c r="FQ57" s="92" t="str">
        <f t="shared" si="358"/>
        <v>-8.03415197524183-354.644216247062i</v>
      </c>
      <c r="FR57" s="1" t="str">
        <f t="shared" si="359"/>
        <v>-43.3819132541838-353.854377871554i</v>
      </c>
      <c r="FS57" s="1" t="str">
        <f t="shared" si="360"/>
        <v>35.347761278942-0.78983837550846i</v>
      </c>
      <c r="FT57" s="1" t="str">
        <f t="shared" si="361"/>
        <v>-27.575454465076-1246.1233919293i</v>
      </c>
      <c r="FU57" s="1" t="str">
        <f t="shared" si="362"/>
        <v>10898.6701594805-4685.16146056232i</v>
      </c>
      <c r="FV57" s="1" t="str">
        <f t="shared" si="363"/>
        <v>3061.44606902759+8923.69773865304i</v>
      </c>
      <c r="FW57" s="1" t="str">
        <f t="shared" si="364"/>
        <v>-43.3819132541838-353.854377871554i</v>
      </c>
      <c r="FX57" s="1" t="str">
        <f t="shared" si="365"/>
        <v>-76.0360026318611-1815.88921946304i</v>
      </c>
      <c r="FY57" s="1" t="str">
        <f t="shared" si="366"/>
        <v>11701.2980621453-3552.10709517363i</v>
      </c>
      <c r="FZ57" s="1" t="str">
        <f t="shared" si="367"/>
        <v>2360.25344776942+8350.31687038866i</v>
      </c>
      <c r="GA57" s="1" t="str">
        <f t="shared" si="368"/>
        <v>35.347761278942-0.78983837550846i</v>
      </c>
      <c r="GB57" s="1" t="str">
        <f t="shared" si="369"/>
        <v>83.8083094457272+568.975989158231i</v>
      </c>
      <c r="GC57" s="1" t="str">
        <f t="shared" si="370"/>
        <v>-718.819593219095-564.078376230464i</v>
      </c>
      <c r="GD57" s="92" t="str">
        <f t="shared" si="371"/>
        <v>13924.5066220678+2637.76866991436i</v>
      </c>
      <c r="GE57" s="1" t="str">
        <f t="shared" si="63"/>
        <v>0.499130877208425-0.0945521321380749i</v>
      </c>
      <c r="GF57" s="1">
        <f t="shared" si="64"/>
        <v>11.4</v>
      </c>
      <c r="GG57" s="56">
        <f t="shared" si="65"/>
        <v>9.411586643740058E-2</v>
      </c>
      <c r="GH57" s="1">
        <f t="shared" si="66"/>
        <v>1.0129022947935318</v>
      </c>
      <c r="GJ57" s="1">
        <f t="shared" si="372"/>
        <v>14172.145505321054</v>
      </c>
      <c r="GK57" s="1">
        <f t="shared" si="373"/>
        <v>0.50800761635501857</v>
      </c>
      <c r="GM57" s="1" t="str">
        <f t="shared" si="69"/>
        <v>0.0191834803010191+5.46729188579046i</v>
      </c>
      <c r="GP57" s="1">
        <f t="shared" si="4"/>
        <v>11.4</v>
      </c>
      <c r="GQ57" s="1">
        <f t="shared" si="5"/>
        <v>0.50800761635501857</v>
      </c>
      <c r="GR57" s="1">
        <f t="shared" si="70"/>
        <v>5.4673255409154731</v>
      </c>
      <c r="GS57" s="1">
        <f t="shared" si="71"/>
        <v>0.51456208037858897</v>
      </c>
      <c r="NH57" s="1" t="str">
        <f>IF(F32&lt;1,"n/a",K32&amp;" Tuned "&amp;ROUND(F32,0)&amp;" kvar")</f>
        <v>13 Tuned 2840 kvar</v>
      </c>
    </row>
    <row r="58" spans="2:375" ht="18" customHeight="1" x14ac:dyDescent="0.25">
      <c r="B58" s="6"/>
      <c r="AP58" s="8"/>
      <c r="AR58" s="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c r="CC58" s="86"/>
      <c r="CD58" s="86"/>
      <c r="CE58" s="86"/>
      <c r="CF58" s="8"/>
      <c r="EA58" s="1">
        <f t="shared" si="420"/>
        <v>11.6</v>
      </c>
      <c r="EB58" s="1" t="str">
        <f t="shared" si="12"/>
        <v>0.0000337216925089559-0.039117163310389i</v>
      </c>
      <c r="EC58" s="1" t="str">
        <f t="shared" si="13"/>
        <v>0.0000660669894053015-0.0766377077101499i</v>
      </c>
      <c r="ED58" s="1" t="str">
        <f t="shared" si="14"/>
        <v>0.000163274929545914-0.189398918273261i</v>
      </c>
      <c r="EE58" s="1" t="str">
        <f t="shared" si="15"/>
        <v>0.000228022873155798-0.264506532860726i</v>
      </c>
      <c r="EF58" s="1" t="str">
        <f t="shared" si="16"/>
        <v>0.210544376270491i</v>
      </c>
      <c r="EG58" s="1" t="str">
        <f t="shared" si="17"/>
        <v>0.210456685984664i</v>
      </c>
      <c r="EH58" s="1" t="str">
        <f t="shared" si="18"/>
        <v>0.210624275890428i</v>
      </c>
      <c r="EI58" s="1" t="str">
        <f t="shared" si="19"/>
        <v>0.21060370125676i</v>
      </c>
      <c r="EJ58" s="1" t="str">
        <f t="shared" si="1"/>
        <v>0.005</v>
      </c>
      <c r="EK58" s="1" t="str">
        <f t="shared" si="2"/>
        <v>0.01</v>
      </c>
      <c r="EL58" s="1" t="str">
        <f t="shared" si="3"/>
        <v>0.0125</v>
      </c>
      <c r="EM58" s="1" t="str">
        <f t="shared" si="329"/>
        <v>0.00503372169250896+0.171427212960102i</v>
      </c>
      <c r="EN58" s="1" t="str">
        <f t="shared" si="330"/>
        <v>-0.005</v>
      </c>
      <c r="EO58" s="1" t="str">
        <f t="shared" si="331"/>
        <v>0.242781276247266-281.62628044683i</v>
      </c>
      <c r="EP58" s="1" t="str">
        <f t="shared" si="332"/>
        <v>-0.005</v>
      </c>
      <c r="EQ58" s="1" t="str">
        <f t="shared" si="333"/>
        <v>0.0150660669894053+0.133818978274514i</v>
      </c>
      <c r="ER58" s="1" t="str">
        <f t="shared" si="334"/>
        <v>-0.01</v>
      </c>
      <c r="ES58" s="1" t="str">
        <f t="shared" si="335"/>
        <v>0.475653112647706-551.75761067134i</v>
      </c>
      <c r="ET58" s="1" t="str">
        <f t="shared" si="336"/>
        <v>-0.01</v>
      </c>
      <c r="EU58" s="1" t="str">
        <f t="shared" si="337"/>
        <v>0.0226632749295459+0.021225357617167i</v>
      </c>
      <c r="EV58" s="1" t="str">
        <f t="shared" si="338"/>
        <v>-0.0125</v>
      </c>
      <c r="EW58" s="1" t="str">
        <f t="shared" si="339"/>
        <v>1.17550730182988-1363.58847012266i</v>
      </c>
      <c r="EX58" s="1" t="str">
        <f t="shared" si="340"/>
        <v>-0.0125</v>
      </c>
      <c r="EY58" s="1" t="str">
        <f t="shared" si="341"/>
        <v>0.0127280228731558-0.053902831603966i</v>
      </c>
      <c r="EZ58" s="1" t="str">
        <f t="shared" si="342"/>
        <v>1.64166386795771-1904.33008683095i</v>
      </c>
      <c r="FB58" s="1" t="str">
        <f t="shared" si="343"/>
        <v>0.00503372169250896+0.171427212960102i</v>
      </c>
      <c r="FC58" s="1" t="str">
        <f t="shared" si="344"/>
        <v>0.242781276247266-281.62628044683i</v>
      </c>
      <c r="FD58" s="1" t="str">
        <f t="shared" si="345"/>
        <v>-0.00085570757980308+0.0291417711338269i</v>
      </c>
      <c r="FE58" s="1" t="str">
        <f t="shared" si="346"/>
        <v>0.0150617884515063+0.133964687130183i</v>
      </c>
      <c r="FF58" s="1" t="str">
        <f t="shared" si="347"/>
        <v>-7.73122774762644-552.005675490578i</v>
      </c>
      <c r="FG58" s="1" t="str">
        <f t="shared" si="348"/>
        <v>-0.00828782324924601+0.0737147286426309i</v>
      </c>
      <c r="FH58" s="1" t="str">
        <f t="shared" si="349"/>
        <v>0.0225803966970534+0.0219625049035933i</v>
      </c>
      <c r="FI58" s="1" t="str">
        <f t="shared" si="350"/>
        <v>-39.5795163252222-1367.59349023822i</v>
      </c>
      <c r="FJ58" s="1" t="str">
        <f t="shared" si="351"/>
        <v>-0.284466418676703+0.276682256689936i</v>
      </c>
      <c r="FK58" s="1" t="str">
        <f t="shared" si="352"/>
        <v>0.00917219263969701-0.0504443033953418i</v>
      </c>
      <c r="FL58" s="1" t="str">
        <f t="shared" si="353"/>
        <v>-375.304678889677-2292.55045748861i</v>
      </c>
      <c r="FM58" s="1" t="str">
        <f t="shared" si="354"/>
        <v>42683.195847642-15200.9864755705i</v>
      </c>
      <c r="FN58" s="1" t="str">
        <f t="shared" si="355"/>
        <v>-23235.7390915645-46380.530931169i</v>
      </c>
      <c r="FO58" s="1" t="str">
        <f t="shared" si="356"/>
        <v>-7687.00431325398+927.920547826336i</v>
      </c>
      <c r="FP58" s="1" t="str">
        <f t="shared" si="357"/>
        <v>-1620.91275167653+175.193985200202i</v>
      </c>
      <c r="FQ58" s="92" t="str">
        <f t="shared" si="358"/>
        <v>-6.55565053243103-345.037697103751i</v>
      </c>
      <c r="FR58" s="1" t="str">
        <f t="shared" si="359"/>
        <v>-36.8861083403182-341.27406429062i</v>
      </c>
      <c r="FS58" s="1" t="str">
        <f t="shared" si="360"/>
        <v>30.3304578078873-3.76363281313067i</v>
      </c>
      <c r="FT58" s="1" t="str">
        <f t="shared" si="361"/>
        <v>-70.1301933773869-1140.93330531416i</v>
      </c>
      <c r="FU58" s="1" t="str">
        <f t="shared" si="362"/>
        <v>8789.39170826788-5756.83954142461i</v>
      </c>
      <c r="FV58" s="1" t="str">
        <f t="shared" si="363"/>
        <v>4012.66914763125+9389.12023085515i</v>
      </c>
      <c r="FW58" s="1" t="str">
        <f t="shared" si="364"/>
        <v>-36.8861083403182-341.27406429062i</v>
      </c>
      <c r="FX58" s="1" t="str">
        <f t="shared" si="365"/>
        <v>-195.287083352605-1617.78145291725i</v>
      </c>
      <c r="FY58" s="1" t="str">
        <f t="shared" si="366"/>
        <v>9768.86574279107-4894.01072093968i</v>
      </c>
      <c r="FZ58" s="1" t="str">
        <f t="shared" si="367"/>
        <v>3201.3840145091+8989.23902698057i</v>
      </c>
      <c r="GA58" s="1" t="str">
        <f t="shared" si="368"/>
        <v>30.3304578078873-3.76363281313067i</v>
      </c>
      <c r="GB58" s="1" t="str">
        <f t="shared" si="369"/>
        <v>155.487347783105+473.084514789953i</v>
      </c>
      <c r="GC58" s="1" t="str">
        <f t="shared" si="370"/>
        <v>-823.986686740081-389.744305694981i</v>
      </c>
      <c r="GD58" s="92" t="str">
        <f t="shared" si="371"/>
        <v>12725.3750119893+2146.30968701263i</v>
      </c>
      <c r="GE58" s="1" t="str">
        <f t="shared" si="63"/>
        <v>0.550114539947264-0.0927843906323302i</v>
      </c>
      <c r="GF58" s="1">
        <f t="shared" si="64"/>
        <v>11.6</v>
      </c>
      <c r="GG58" s="56">
        <f t="shared" si="65"/>
        <v>0.10143410739161066</v>
      </c>
      <c r="GH58" s="1">
        <f t="shared" si="66"/>
        <v>1.0115044832970701</v>
      </c>
      <c r="GJ58" s="1">
        <f t="shared" si="372"/>
        <v>12905.108076584476</v>
      </c>
      <c r="GK58" s="1">
        <f t="shared" si="373"/>
        <v>0.55788435199994879</v>
      </c>
      <c r="GM58" s="1" t="str">
        <f t="shared" si="69"/>
        <v>0.0191834803010191+5.56320928729556i</v>
      </c>
      <c r="GP58" s="1">
        <f t="shared" si="4"/>
        <v>11.6</v>
      </c>
      <c r="GQ58" s="1">
        <f t="shared" si="5"/>
        <v>0.55788435199994879</v>
      </c>
      <c r="GR58" s="1">
        <f t="shared" si="70"/>
        <v>5.5632423621632769</v>
      </c>
      <c r="GS58" s="1">
        <f t="shared" si="71"/>
        <v>0.56430252320922936</v>
      </c>
    </row>
    <row r="59" spans="2:375" ht="18" customHeight="1" x14ac:dyDescent="0.25">
      <c r="B59" s="6"/>
      <c r="AP59" s="8"/>
      <c r="AR59" s="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c r="CC59" s="86"/>
      <c r="CD59" s="86"/>
      <c r="CE59" s="86"/>
      <c r="CF59" s="8"/>
      <c r="EA59" s="1">
        <f>ROUND(EA58+0.2,1)</f>
        <v>11.8</v>
      </c>
      <c r="EB59" s="1" t="str">
        <f t="shared" si="12"/>
        <v>0.0000325882724601201-0.0384541615029418i</v>
      </c>
      <c r="EC59" s="1" t="str">
        <f t="shared" si="13"/>
        <v>0.0000638464113504398-0.0753387653935188i</v>
      </c>
      <c r="ED59" s="1" t="str">
        <f t="shared" si="14"/>
        <v>0.000157787094717622-0.186188771766795i</v>
      </c>
      <c r="EE59" s="1" t="str">
        <f t="shared" si="15"/>
        <v>0.000220358794730336-0.260023377781797i</v>
      </c>
      <c r="EF59" s="1" t="str">
        <f t="shared" si="16"/>
        <v>0.21417445172343i</v>
      </c>
      <c r="EG59" s="1" t="str">
        <f t="shared" si="17"/>
        <v>0.214085249536124i</v>
      </c>
      <c r="EH59" s="1" t="str">
        <f t="shared" si="18"/>
        <v>0.214255728923022i</v>
      </c>
      <c r="EI59" s="1" t="str">
        <f t="shared" si="19"/>
        <v>0.214234799554291i</v>
      </c>
      <c r="EJ59" s="1" t="str">
        <f t="shared" si="1"/>
        <v>0.005</v>
      </c>
      <c r="EK59" s="1" t="str">
        <f t="shared" si="2"/>
        <v>0.01</v>
      </c>
      <c r="EL59" s="1" t="str">
        <f t="shared" si="3"/>
        <v>0.0125</v>
      </c>
      <c r="EM59" s="1" t="str">
        <f t="shared" si="329"/>
        <v>0.00503258827246012+0.175720290220488i</v>
      </c>
      <c r="EN59" s="1" t="str">
        <f t="shared" si="330"/>
        <v>-0.005</v>
      </c>
      <c r="EO59" s="1" t="str">
        <f t="shared" si="331"/>
        <v>0.234621153029622-276.852960574954i</v>
      </c>
      <c r="EP59" s="1" t="str">
        <f t="shared" si="332"/>
        <v>-0.005</v>
      </c>
      <c r="EQ59" s="1" t="str">
        <f t="shared" si="333"/>
        <v>0.0150638464113504+0.138746484142605i</v>
      </c>
      <c r="ER59" s="1" t="str">
        <f t="shared" si="334"/>
        <v>-0.01</v>
      </c>
      <c r="ES59" s="1" t="str">
        <f t="shared" si="335"/>
        <v>0.459665932466201-542.405800310116i</v>
      </c>
      <c r="ET59" s="1" t="str">
        <f t="shared" si="336"/>
        <v>-0.01</v>
      </c>
      <c r="EU59" s="1" t="str">
        <f t="shared" si="337"/>
        <v>0.0226577870947176+0.028066957156227i</v>
      </c>
      <c r="EV59" s="1" t="str">
        <f t="shared" si="338"/>
        <v>-0.0125</v>
      </c>
      <c r="EW59" s="1" t="str">
        <f t="shared" si="339"/>
        <v>1.13599731747505-1340.47683462057i</v>
      </c>
      <c r="EX59" s="1" t="str">
        <f t="shared" si="340"/>
        <v>-0.0125</v>
      </c>
      <c r="EY59" s="1" t="str">
        <f t="shared" si="341"/>
        <v>0.0127203587947303-0.045788578227506i</v>
      </c>
      <c r="EZ59" s="1" t="str">
        <f t="shared" si="342"/>
        <v>1.58648589191459-1872.05335245922i</v>
      </c>
      <c r="FB59" s="1" t="str">
        <f t="shared" si="343"/>
        <v>0.00503258827246012+0.175720290220488i</v>
      </c>
      <c r="FC59" s="1" t="str">
        <f t="shared" si="344"/>
        <v>0.234621153029622-276.852960574954i</v>
      </c>
      <c r="FD59" s="1" t="str">
        <f t="shared" si="345"/>
        <v>-0.000814257005506324+0.0284309920810774i</v>
      </c>
      <c r="FE59" s="1" t="str">
        <f t="shared" si="346"/>
        <v>0.0150597751263229+0.13888863910301i</v>
      </c>
      <c r="FF59" s="1" t="str">
        <f t="shared" si="347"/>
        <v>-7.41134735534566-542.637900284903i</v>
      </c>
      <c r="FG59" s="1" t="str">
        <f t="shared" si="348"/>
        <v>-0.00771629357853727+0.071163447332564i</v>
      </c>
      <c r="FH59" s="1" t="str">
        <f t="shared" si="349"/>
        <v>0.0225806241589322+0.0287785916295526i</v>
      </c>
      <c r="FI59" s="1" t="str">
        <f t="shared" si="350"/>
        <v>-37.5371744521091-1344.13657093882i</v>
      </c>
      <c r="FJ59" s="1" t="str">
        <f t="shared" si="351"/>
        <v>-0.210940516874134+0.268839822607211i</v>
      </c>
      <c r="FK59" s="1" t="str">
        <f t="shared" si="352"/>
        <v>0.0100836023338036-0.0424280804449159i</v>
      </c>
      <c r="FL59" s="1" t="str">
        <f t="shared" si="353"/>
        <v>-358.547440675239-2155.1196301292i</v>
      </c>
      <c r="FM59" s="1" t="str">
        <f t="shared" si="354"/>
        <v>46177.919525273-19425.5127530578i</v>
      </c>
      <c r="FN59" s="1" t="str">
        <f t="shared" si="355"/>
        <v>-25023.6010515113-38387.4014504099i</v>
      </c>
      <c r="FO59" s="1" t="str">
        <f t="shared" si="356"/>
        <v>-6792.18645041431+1118.5836243664i</v>
      </c>
      <c r="FP59" s="1" t="str">
        <f t="shared" si="357"/>
        <v>-1547.93080079594+147.599418779884i</v>
      </c>
      <c r="FQ59" s="92" t="str">
        <f t="shared" si="358"/>
        <v>-5.39074634378663-336.382151594213i</v>
      </c>
      <c r="FR59" s="1" t="str">
        <f t="shared" si="359"/>
        <v>-31.6120245918786-331.52723056628i</v>
      </c>
      <c r="FS59" s="1" t="str">
        <f t="shared" si="360"/>
        <v>26.2212782480918-4.85492102793258i</v>
      </c>
      <c r="FT59" s="1" t="str">
        <f t="shared" si="361"/>
        <v>-83.379386586624-1054.19215935712i</v>
      </c>
      <c r="FU59" s="1" t="str">
        <f t="shared" si="362"/>
        <v>7152.38752599747-5993.53334303511i</v>
      </c>
      <c r="FV59" s="1" t="str">
        <f t="shared" si="363"/>
        <v>5042.49821639563+10139.5658440156i</v>
      </c>
      <c r="FW59" s="1" t="str">
        <f t="shared" si="364"/>
        <v>-31.6120245918786-331.52723056628i</v>
      </c>
      <c r="FX59" s="1" t="str">
        <f t="shared" si="365"/>
        <v>-239.472254349503-1454.10693113283i</v>
      </c>
      <c r="FY59" s="1" t="str">
        <f t="shared" si="366"/>
        <v>8224.72067921825-5361.44988357045i</v>
      </c>
      <c r="FZ59" s="1" t="str">
        <f t="shared" si="367"/>
        <v>4161.62083089066+9892.91733333104i</v>
      </c>
      <c r="GA59" s="1" t="str">
        <f t="shared" si="368"/>
        <v>26.2212782480918-4.85492102793258i</v>
      </c>
      <c r="GB59" s="1" t="str">
        <f t="shared" si="369"/>
        <v>182.31414601097+395.059850747763i</v>
      </c>
      <c r="GC59" s="1" t="str">
        <f t="shared" si="370"/>
        <v>-890.019007209804-237.023608716901i</v>
      </c>
      <c r="GD59" s="92" t="str">
        <f t="shared" si="371"/>
        <v>12106.1156094627+2755.45819002916i</v>
      </c>
      <c r="GE59" s="1" t="str">
        <f t="shared" si="63"/>
        <v>0.565412578608802-0.128692866542208i</v>
      </c>
      <c r="GF59" s="1">
        <f t="shared" si="64"/>
        <v>11.8</v>
      </c>
      <c r="GG59" s="56">
        <f t="shared" si="65"/>
        <v>0.10427043253524144</v>
      </c>
      <c r="GH59" s="1">
        <f t="shared" si="66"/>
        <v>1.0176064456840113</v>
      </c>
      <c r="GJ59" s="1">
        <f t="shared" si="372"/>
        <v>12415.739405555967</v>
      </c>
      <c r="GK59" s="1">
        <f t="shared" si="373"/>
        <v>0.57987346718737298</v>
      </c>
      <c r="GM59" s="1" t="str">
        <f t="shared" si="69"/>
        <v>0.0191834803010191+5.65912668880066i</v>
      </c>
      <c r="GP59" s="1">
        <f t="shared" si="4"/>
        <v>11.8</v>
      </c>
      <c r="GQ59" s="1">
        <f t="shared" si="5"/>
        <v>0.57987346718737298</v>
      </c>
      <c r="GR59" s="1">
        <f t="shared" si="70"/>
        <v>5.6591592030806463</v>
      </c>
      <c r="GS59" s="1">
        <f t="shared" si="71"/>
        <v>0.59008297789100916</v>
      </c>
      <c r="NH59" s="1" t="str">
        <f>"Total Filter kvar output: "&amp;F33&amp;" kvar"</f>
        <v>Total Filter kvar output: 11507 kvar</v>
      </c>
    </row>
    <row r="60" spans="2:375" ht="18" customHeight="1" x14ac:dyDescent="0.25">
      <c r="B60" s="6"/>
      <c r="AP60" s="8"/>
      <c r="AR60" s="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c r="CC60" s="86"/>
      <c r="CD60" s="86"/>
      <c r="CE60" s="86"/>
      <c r="CF60" s="8"/>
      <c r="EA60" s="1">
        <f t="shared" si="420"/>
        <v>12</v>
      </c>
      <c r="EB60" s="1" t="str">
        <f t="shared" si="12"/>
        <v>0.0000315110497574264-0.0378132597089117i</v>
      </c>
      <c r="EC60" s="1" t="str">
        <f t="shared" si="13"/>
        <v>0.0000617359342186312-0.0740831210623575i</v>
      </c>
      <c r="ED60" s="1" t="str">
        <f t="shared" si="14"/>
        <v>0.000152571358264274-0.183085629917129i</v>
      </c>
      <c r="EE60" s="1" t="str">
        <f t="shared" si="15"/>
        <v>0.000213074717407359-0.255689660888831i</v>
      </c>
      <c r="EF60" s="1" t="str">
        <f t="shared" si="16"/>
        <v>0.21780452717637i</v>
      </c>
      <c r="EG60" s="1" t="str">
        <f t="shared" si="17"/>
        <v>0.217713813087584i</v>
      </c>
      <c r="EH60" s="1" t="str">
        <f t="shared" si="18"/>
        <v>0.217887181955616i</v>
      </c>
      <c r="EI60" s="1" t="str">
        <f t="shared" si="19"/>
        <v>0.217865897851821i</v>
      </c>
      <c r="EJ60" s="1" t="str">
        <f t="shared" si="1"/>
        <v>0.005</v>
      </c>
      <c r="EK60" s="1" t="str">
        <f t="shared" si="2"/>
        <v>0.01</v>
      </c>
      <c r="EL60" s="1" t="str">
        <f t="shared" si="3"/>
        <v>0.0125</v>
      </c>
      <c r="EM60" s="1" t="str">
        <f t="shared" si="329"/>
        <v>0.00503151104975743+0.179991267467458i</v>
      </c>
      <c r="EN60" s="1" t="str">
        <f t="shared" si="330"/>
        <v>-0.005</v>
      </c>
      <c r="EO60" s="1" t="str">
        <f t="shared" si="331"/>
        <v>0.226865625856926-272.238751028311i</v>
      </c>
      <c r="EP60" s="1" t="str">
        <f t="shared" si="332"/>
        <v>-0.005</v>
      </c>
      <c r="EQ60" s="1" t="str">
        <f t="shared" si="333"/>
        <v>0.0150617359342186+0.143630692025226i</v>
      </c>
      <c r="ER60" s="1" t="str">
        <f t="shared" si="334"/>
        <v>-0.01</v>
      </c>
      <c r="ES60" s="1" t="str">
        <f t="shared" si="335"/>
        <v>0.444471430250303-533.365716300364i</v>
      </c>
      <c r="ET60" s="1" t="str">
        <f t="shared" si="336"/>
        <v>-0.01</v>
      </c>
      <c r="EU60" s="1" t="str">
        <f t="shared" si="337"/>
        <v>0.0226525713582643+0.034801552038487i</v>
      </c>
      <c r="EV60" s="1" t="str">
        <f t="shared" si="338"/>
        <v>-0.0125</v>
      </c>
      <c r="EW60" s="1" t="str">
        <f t="shared" si="339"/>
        <v>1.09844632111338-1318.13558533606i</v>
      </c>
      <c r="EX60" s="1" t="str">
        <f t="shared" si="340"/>
        <v>-0.0125</v>
      </c>
      <c r="EY60" s="1" t="str">
        <f t="shared" si="341"/>
        <v>0.0127130747174074-0.03782376303701i</v>
      </c>
      <c r="EZ60" s="1" t="str">
        <f t="shared" si="342"/>
        <v>1.53404375579445-1840.85250695334i</v>
      </c>
      <c r="FB60" s="1" t="str">
        <f t="shared" si="343"/>
        <v>0.00503151104975743+0.179991267467458i</v>
      </c>
      <c r="FC60" s="1" t="str">
        <f t="shared" si="344"/>
        <v>0.226865625856926-272.238751028311i</v>
      </c>
      <c r="FD60" s="1" t="str">
        <f t="shared" si="345"/>
        <v>-0.000775936753578993+0.027757434768627i</v>
      </c>
      <c r="FE60" s="1" t="str">
        <f t="shared" si="346"/>
        <v>0.0150578562504507+0.143769479199069i</v>
      </c>
      <c r="FF60" s="1" t="str">
        <f t="shared" si="347"/>
        <v>-7.1120019095333-533.583253560846i</v>
      </c>
      <c r="FG60" s="1" t="str">
        <f t="shared" si="348"/>
        <v>-0.00720595637365654+0.068801068209215i</v>
      </c>
      <c r="FH60" s="1" t="str">
        <f t="shared" si="349"/>
        <v>0.0225805117945277+0.0354895627205791i</v>
      </c>
      <c r="FI60" s="1" t="str">
        <f t="shared" si="350"/>
        <v>-35.6639002779107-1321.49124965445i</v>
      </c>
      <c r="FJ60" s="1" t="str">
        <f t="shared" si="351"/>
        <v>-0.159521996140097+0.250719112960847i</v>
      </c>
      <c r="FK60" s="1" t="str">
        <f t="shared" si="352"/>
        <v>0.0107190497656562-0.0346897741249994i</v>
      </c>
      <c r="FL60" s="1" t="str">
        <f t="shared" si="353"/>
        <v>-328.772514611993-2051.39952819671i</v>
      </c>
      <c r="FM60" s="1" t="str">
        <f t="shared" si="354"/>
        <v>51308.1716405742-25331.5964712167i</v>
      </c>
      <c r="FN60" s="1" t="str">
        <f t="shared" si="355"/>
        <v>-25127.3166756512-33054.1101626033i</v>
      </c>
      <c r="FO60" s="1" t="str">
        <f t="shared" si="356"/>
        <v>-6131.45909554638+1155.03332087513i</v>
      </c>
      <c r="FP60" s="1" t="str">
        <f t="shared" si="357"/>
        <v>-1483.99153036224+127.582356589954i</v>
      </c>
      <c r="FQ60" s="92" t="str">
        <f t="shared" si="358"/>
        <v>-4.55067702720114-328.35732842571i</v>
      </c>
      <c r="FR60" s="1" t="str">
        <f t="shared" si="359"/>
        <v>-27.788014853122-323.220073604285i</v>
      </c>
      <c r="FS60" s="1" t="str">
        <f t="shared" si="360"/>
        <v>23.2373378259207-5.1372548214259i</v>
      </c>
      <c r="FT60" s="1" t="str">
        <f t="shared" si="361"/>
        <v>-84.7454705558119-987.674649825736i</v>
      </c>
      <c r="FU60" s="1" t="str">
        <f t="shared" si="362"/>
        <v>6056.66473562625-5913.54307654111i</v>
      </c>
      <c r="FV60" s="1" t="str">
        <f t="shared" si="363"/>
        <v>6467.6288810809+11283.5140234106i</v>
      </c>
      <c r="FW60" s="1" t="str">
        <f t="shared" si="364"/>
        <v>-27.788014853122-323.220073604285i</v>
      </c>
      <c r="FX60" s="1" t="str">
        <f t="shared" si="365"/>
        <v>-251.466708530939-1334.90333948195i</v>
      </c>
      <c r="FY60" s="1" t="str">
        <f t="shared" si="366"/>
        <v>7202.06691538012-5474.920220564i</v>
      </c>
      <c r="FZ60" s="1" t="str">
        <f t="shared" si="367"/>
        <v>5518.89100922165+11178.300881609i</v>
      </c>
      <c r="GA60" s="1" t="str">
        <f t="shared" si="368"/>
        <v>23.2373378259207-5.1372548214259i</v>
      </c>
      <c r="GB60" s="1" t="str">
        <f t="shared" si="369"/>
        <v>189.958575801048+342.091434834784i</v>
      </c>
      <c r="GC60" s="1" t="str">
        <f t="shared" si="370"/>
        <v>-955.443603952818-96.5314211423325i</v>
      </c>
      <c r="GD60" s="92" t="str">
        <f t="shared" si="371"/>
        <v>12434.9974691241+4053.93896861804i</v>
      </c>
      <c r="GE60" s="1" t="str">
        <f t="shared" si="63"/>
        <v>0.523352089578016-0.170618243832859i</v>
      </c>
      <c r="GF60" s="1">
        <f t="shared" si="64"/>
        <v>12</v>
      </c>
      <c r="GG60" s="56">
        <f t="shared" si="65"/>
        <v>9.8108943667833459E-2</v>
      </c>
      <c r="GH60" s="1">
        <f t="shared" si="66"/>
        <v>1.0257289754666377</v>
      </c>
      <c r="GJ60" s="1">
        <f t="shared" si="372"/>
        <v>13079.127769786588</v>
      </c>
      <c r="GK60" s="72">
        <f t="shared" si="373"/>
        <v>0.55046161972864616</v>
      </c>
      <c r="GM60" s="1" t="str">
        <f t="shared" si="69"/>
        <v>0.0191834803010191+5.75504409030575i</v>
      </c>
      <c r="GP60" s="1">
        <f t="shared" si="4"/>
        <v>12</v>
      </c>
      <c r="GQ60" s="1">
        <f t="shared" si="5"/>
        <v>0.55046161972864616</v>
      </c>
      <c r="GR60" s="1">
        <f t="shared" si="70"/>
        <v>5.7550760626841067</v>
      </c>
      <c r="GS60" s="1">
        <f t="shared" si="71"/>
        <v>0.56462443323797207</v>
      </c>
      <c r="HR60" s="185"/>
      <c r="HS60" s="185"/>
      <c r="HT60" s="185"/>
      <c r="HU60" s="185"/>
    </row>
    <row r="61" spans="2:375" ht="18" customHeight="1" x14ac:dyDescent="0.25">
      <c r="B61" s="6"/>
      <c r="AP61" s="8"/>
      <c r="AR61" s="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c r="CC61" s="86"/>
      <c r="CD61" s="86"/>
      <c r="CE61" s="86"/>
      <c r="CF61" s="8"/>
      <c r="EA61" s="1">
        <f t="shared" si="420"/>
        <v>12.2</v>
      </c>
      <c r="EB61" s="1" t="str">
        <f t="shared" si="12"/>
        <v>0.0000304863697093349-0.0371933710453886i</v>
      </c>
      <c r="EC61" s="1" t="str">
        <f t="shared" si="13"/>
        <v>0.0000597283977978809-0.0728686453134145i</v>
      </c>
      <c r="ED61" s="1" t="str">
        <f t="shared" si="14"/>
        <v>0.000147610024766116-0.180084230214662i</v>
      </c>
      <c r="EE61" s="1" t="str">
        <f t="shared" si="15"/>
        <v>0.00020614592851074-0.251498032783103i</v>
      </c>
      <c r="EF61" s="1" t="str">
        <f t="shared" si="16"/>
        <v>0.22143460262931i</v>
      </c>
      <c r="EG61" s="1" t="str">
        <f t="shared" si="17"/>
        <v>0.221342376639043i</v>
      </c>
      <c r="EH61" s="1" t="str">
        <f t="shared" si="18"/>
        <v>0.221518634988209i</v>
      </c>
      <c r="EI61" s="1" t="str">
        <f t="shared" si="19"/>
        <v>0.221496996149351i</v>
      </c>
      <c r="EJ61" s="1" t="str">
        <f t="shared" si="1"/>
        <v>0.005</v>
      </c>
      <c r="EK61" s="1" t="str">
        <f t="shared" si="2"/>
        <v>0.01</v>
      </c>
      <c r="EL61" s="1" t="str">
        <f t="shared" si="3"/>
        <v>0.0125</v>
      </c>
      <c r="EM61" s="1" t="str">
        <f t="shared" si="329"/>
        <v>0.00503048636970934+0.184241231583921i</v>
      </c>
      <c r="EN61" s="1" t="str">
        <f t="shared" si="330"/>
        <v>-0.005</v>
      </c>
      <c r="EO61" s="1" t="str">
        <f t="shared" si="331"/>
        <v>0.219488382565988-267.775826730506i</v>
      </c>
      <c r="EP61" s="1" t="str">
        <f t="shared" si="332"/>
        <v>-0.005</v>
      </c>
      <c r="EQ61" s="1" t="str">
        <f t="shared" si="333"/>
        <v>0.0150597283977979+0.148473731325628i</v>
      </c>
      <c r="ER61" s="1" t="str">
        <f t="shared" si="334"/>
        <v>-0.01</v>
      </c>
      <c r="ES61" s="1" t="str">
        <f t="shared" si="335"/>
        <v>0.430018055639489-524.622027880175i</v>
      </c>
      <c r="ET61" s="1" t="str">
        <f t="shared" si="336"/>
        <v>-0.01</v>
      </c>
      <c r="EU61" s="1" t="str">
        <f t="shared" si="337"/>
        <v>0.0226476100247661+0.041434404773547i</v>
      </c>
      <c r="EV61" s="1" t="str">
        <f t="shared" si="338"/>
        <v>-0.0125</v>
      </c>
      <c r="EW61" s="1" t="str">
        <f t="shared" si="339"/>
        <v>1.06272691354654-1296.52683452678i</v>
      </c>
      <c r="EX61" s="1" t="str">
        <f t="shared" si="340"/>
        <v>-0.0125</v>
      </c>
      <c r="EY61" s="1" t="str">
        <f t="shared" si="341"/>
        <v>0.0127061459285107-0.030001036633752i</v>
      </c>
      <c r="EZ61" s="1" t="str">
        <f t="shared" si="342"/>
        <v>1.48415953925572-1810.67463789198i</v>
      </c>
      <c r="FB61" s="1" t="str">
        <f t="shared" si="343"/>
        <v>0.00503048636970934+0.184241231583921i</v>
      </c>
      <c r="FC61" s="1" t="str">
        <f t="shared" si="344"/>
        <v>0.219488382565988-267.775826730506i</v>
      </c>
      <c r="FD61" s="1" t="str">
        <f t="shared" si="345"/>
        <v>-0.000740427737869804+0.0271181170762046i</v>
      </c>
      <c r="FE61" s="1" t="str">
        <f t="shared" si="346"/>
        <v>0.0150560262591086+0.148609321911009i</v>
      </c>
      <c r="FF61" s="1" t="str">
        <f t="shared" si="347"/>
        <v>-6.83139564852926-524.826248641473i</v>
      </c>
      <c r="FG61" s="1" t="str">
        <f t="shared" si="348"/>
        <v>-0.00674812718344218+0.0666068581206077i</v>
      </c>
      <c r="FH61" s="1" t="str">
        <f t="shared" si="349"/>
        <v>0.0225801287529317+0.0421004733547531i</v>
      </c>
      <c r="FI61" s="1" t="str">
        <f t="shared" si="350"/>
        <v>-33.9403996943636-1299.61341100109i</v>
      </c>
      <c r="FJ61" s="1" t="str">
        <f t="shared" si="351"/>
        <v>-0.123669156805571+0.230580175067503i</v>
      </c>
      <c r="FK61" s="1" t="str">
        <f t="shared" si="352"/>
        <v>0.0111602814684411-0.0271187844454082i</v>
      </c>
      <c r="FL61" s="1" t="str">
        <f t="shared" si="353"/>
        <v>-297.337798404332-1971.26006205148i</v>
      </c>
      <c r="FM61" s="1" t="str">
        <f t="shared" si="354"/>
        <v>58303.4287422452-34958.0740114444i</v>
      </c>
      <c r="FN61" s="1" t="str">
        <f t="shared" si="355"/>
        <v>-25159.3004293986-29998.5392556311i</v>
      </c>
      <c r="FO61" s="1" t="str">
        <f t="shared" si="356"/>
        <v>-5668.19926796032+1164.69034846879i</v>
      </c>
      <c r="FP61" s="1" t="str">
        <f t="shared" si="357"/>
        <v>-1424.89542356822+113.729108140325i</v>
      </c>
      <c r="FQ61" s="92" t="str">
        <f t="shared" si="358"/>
        <v>-3.9670406464782-320.775958107792i</v>
      </c>
      <c r="FR61" s="1" t="str">
        <f t="shared" si="359"/>
        <v>-25.1835598684387-315.521151906151i</v>
      </c>
      <c r="FS61" s="1" t="str">
        <f t="shared" si="360"/>
        <v>21.2165192219605-5.25480620164235i</v>
      </c>
      <c r="FT61" s="1" t="str">
        <f t="shared" si="361"/>
        <v>-84.1008373862155-937.725594991379i</v>
      </c>
      <c r="FU61" s="1" t="str">
        <f t="shared" si="362"/>
        <v>5407.04034128767-5822.89199997197i</v>
      </c>
      <c r="FV61" s="1" t="str">
        <f t="shared" si="363"/>
        <v>8781.35198885021+12859.7294599186i</v>
      </c>
      <c r="FW61" s="1" t="str">
        <f t="shared" si="364"/>
        <v>-25.1835598684387-315.521151906151i</v>
      </c>
      <c r="FX61" s="1" t="str">
        <f t="shared" si="365"/>
        <v>-257.795329778637-1254.61269723402i</v>
      </c>
      <c r="FY61" s="1" t="str">
        <f t="shared" si="366"/>
        <v>6645.23546754761-5573.25388837864i</v>
      </c>
      <c r="FZ61" s="1" t="str">
        <f t="shared" si="367"/>
        <v>7743.10838470163+12914.034331615i</v>
      </c>
      <c r="GA61" s="1" t="str">
        <f t="shared" si="368"/>
        <v>21.2165192219605-5.25480620164235i</v>
      </c>
      <c r="GB61" s="1" t="str">
        <f t="shared" si="369"/>
        <v>194.911011614383+311.632296040999i</v>
      </c>
      <c r="GC61" s="1" t="str">
        <f t="shared" si="370"/>
        <v>-1043.28411464555+61.9941844476662i</v>
      </c>
      <c r="GD61" s="92" t="str">
        <f t="shared" si="371"/>
        <v>14100.3244521052+5778.33590684746i</v>
      </c>
      <c r="GE61" s="1" t="str">
        <f t="shared" si="63"/>
        <v>0.437176857645513-0.179155787709456i</v>
      </c>
      <c r="GF61" s="1">
        <f t="shared" si="64"/>
        <v>12.2</v>
      </c>
      <c r="GG61" s="56">
        <f t="shared" si="65"/>
        <v>8.3031773760776945E-2</v>
      </c>
      <c r="GH61" s="1">
        <f t="shared" si="66"/>
        <v>1.0282694843677804</v>
      </c>
      <c r="GJ61" s="1">
        <f t="shared" si="372"/>
        <v>15238.382968904489</v>
      </c>
      <c r="GK61" s="1">
        <f t="shared" si="373"/>
        <v>0.47246206316549988</v>
      </c>
      <c r="GM61" s="1" t="str">
        <f t="shared" si="69"/>
        <v>0.0191834803010191+5.85096149181085i</v>
      </c>
      <c r="GP61" s="1">
        <f t="shared" si="4"/>
        <v>12.2</v>
      </c>
      <c r="GQ61" s="1">
        <f t="shared" si="5"/>
        <v>0.47246206316549988</v>
      </c>
      <c r="GR61" s="1">
        <f t="shared" si="70"/>
        <v>5.8509929400546969</v>
      </c>
      <c r="GS61" s="1">
        <f t="shared" si="71"/>
        <v>0.4858183220745238</v>
      </c>
      <c r="NH61" s="1" t="str">
        <f>AL29&amp;" Ohms "&amp;ROUND(NK61,1)&amp;" kW"</f>
        <v>200 Ohms 9.7 kW</v>
      </c>
      <c r="NK61" s="1">
        <f>(AL29*CW46^2)/1000</f>
        <v>9.7074240154899218</v>
      </c>
    </row>
    <row r="62" spans="2:375" ht="18" customHeight="1" x14ac:dyDescent="0.25">
      <c r="B62" s="6"/>
      <c r="C62" s="178" t="s">
        <v>421</v>
      </c>
      <c r="D62" s="178"/>
      <c r="E62" s="178"/>
      <c r="F62" s="178"/>
      <c r="G62" s="178"/>
      <c r="H62" s="178"/>
      <c r="I62" s="178"/>
      <c r="J62" s="178"/>
      <c r="K62" s="178"/>
      <c r="L62" s="178"/>
      <c r="M62" s="178"/>
      <c r="N62" s="178"/>
      <c r="O62" s="178"/>
      <c r="P62" s="178"/>
      <c r="Q62" s="178"/>
      <c r="R62" s="178"/>
      <c r="S62" s="178"/>
      <c r="T62" s="178"/>
      <c r="U62" s="178"/>
      <c r="V62" s="178"/>
      <c r="W62" s="178"/>
      <c r="X62" s="178"/>
      <c r="Y62" s="178"/>
      <c r="Z62" s="178"/>
      <c r="AA62" s="178"/>
      <c r="AB62" s="178"/>
      <c r="AC62" s="178"/>
      <c r="AD62" s="178"/>
      <c r="AE62" s="178"/>
      <c r="AF62" s="178"/>
      <c r="AG62" s="178"/>
      <c r="AH62" s="178"/>
      <c r="AI62" s="178"/>
      <c r="AJ62" s="178"/>
      <c r="AK62" s="178"/>
      <c r="AL62" s="178"/>
      <c r="AM62" s="178"/>
      <c r="AN62" s="178"/>
      <c r="AO62" s="178"/>
      <c r="AP62" s="8"/>
      <c r="AR62" s="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c r="CC62" s="86"/>
      <c r="CD62" s="86"/>
      <c r="CE62" s="86"/>
      <c r="CF62" s="8"/>
      <c r="EA62" s="1">
        <f t="shared" si="420"/>
        <v>12.4</v>
      </c>
      <c r="EB62" s="1" t="str">
        <f t="shared" si="12"/>
        <v>0.0000295108699602457-0.0365934787507047i</v>
      </c>
      <c r="EC62" s="1" t="str">
        <f t="shared" si="13"/>
        <v>0.0000578172146159914-0.0716933461238295i</v>
      </c>
      <c r="ED62" s="1" t="str">
        <f t="shared" si="14"/>
        <v>0.000142886814246292-0.177179649665402i</v>
      </c>
      <c r="EE62" s="1" t="str">
        <f t="shared" si="15"/>
        <v>0.000199549692112138-0.247441618219051i</v>
      </c>
      <c r="EF62" s="1" t="str">
        <f t="shared" si="16"/>
        <v>0.225064678082249i</v>
      </c>
      <c r="EG62" s="1" t="str">
        <f t="shared" si="17"/>
        <v>0.224970940190503i</v>
      </c>
      <c r="EH62" s="1" t="str">
        <f t="shared" si="18"/>
        <v>0.225150088020803i</v>
      </c>
      <c r="EI62" s="1" t="str">
        <f t="shared" si="19"/>
        <v>0.225128094446882i</v>
      </c>
      <c r="EJ62" s="1" t="str">
        <f t="shared" si="1"/>
        <v>0.005</v>
      </c>
      <c r="EK62" s="1" t="str">
        <f t="shared" si="2"/>
        <v>0.01</v>
      </c>
      <c r="EL62" s="1" t="str">
        <f t="shared" si="3"/>
        <v>0.0125</v>
      </c>
      <c r="EM62" s="1" t="str">
        <f t="shared" si="329"/>
        <v>0.00502951086996025+0.188471199331544i</v>
      </c>
      <c r="EN62" s="1" t="str">
        <f t="shared" si="330"/>
        <v>-0.005</v>
      </c>
      <c r="EO62" s="1" t="str">
        <f t="shared" si="331"/>
        <v>0.212465215683132-263.456867447083i</v>
      </c>
      <c r="EP62" s="1" t="str">
        <f t="shared" si="332"/>
        <v>-0.005</v>
      </c>
      <c r="EQ62" s="1" t="str">
        <f t="shared" si="333"/>
        <v>0.015057817214616+0.153277594066674i</v>
      </c>
      <c r="ER62" s="1" t="str">
        <f t="shared" si="334"/>
        <v>-0.01</v>
      </c>
      <c r="ES62" s="1" t="str">
        <f t="shared" si="335"/>
        <v>0.416258381746542-516.160393365714i</v>
      </c>
      <c r="ET62" s="1" t="str">
        <f t="shared" si="336"/>
        <v>-0.01</v>
      </c>
      <c r="EU62" s="1" t="str">
        <f t="shared" si="337"/>
        <v>0.0226428868142463+0.047970438355401i</v>
      </c>
      <c r="EV62" s="1" t="str">
        <f t="shared" si="338"/>
        <v>-0.0125</v>
      </c>
      <c r="EW62" s="1" t="str">
        <f t="shared" si="339"/>
        <v>1.02872188613925-1275.61513881267i</v>
      </c>
      <c r="EX62" s="1" t="str">
        <f t="shared" si="340"/>
        <v>-0.0125</v>
      </c>
      <c r="EY62" s="1" t="str">
        <f t="shared" si="341"/>
        <v>0.0126995496921121-0.022313523772169i</v>
      </c>
      <c r="EZ62" s="1" t="str">
        <f t="shared" si="342"/>
        <v>1.43666955366689-1781.47024654695i</v>
      </c>
      <c r="FB62" s="1" t="str">
        <f t="shared" si="343"/>
        <v>0.00502951086996025+0.188471199331544i</v>
      </c>
      <c r="FC62" s="1" t="str">
        <f t="shared" si="344"/>
        <v>0.212465215683132-263.456867447083i</v>
      </c>
      <c r="FD62" s="1" t="str">
        <f t="shared" si="345"/>
        <v>-0.000707451385420961+0.02651037337953i</v>
      </c>
      <c r="FE62" s="1" t="str">
        <f t="shared" si="346"/>
        <v>0.0150542799576889+0.153410145933572i</v>
      </c>
      <c r="FF62" s="1" t="str">
        <f t="shared" si="347"/>
        <v>-6.56793123486579-516.352408823786i</v>
      </c>
      <c r="FG62" s="1" t="str">
        <f t="shared" si="348"/>
        <v>-0.00633562864144531+0.0645630157800158i</v>
      </c>
      <c r="FH62" s="1" t="str">
        <f t="shared" si="349"/>
        <v>0.0225795305278318+0.0486160685132012i</v>
      </c>
      <c r="FI62" s="1" t="str">
        <f t="shared" si="350"/>
        <v>-32.3501588060467-1278.46251047513i</v>
      </c>
      <c r="FJ62" s="1" t="str">
        <f t="shared" si="351"/>
        <v>-0.0982279962096764+0.211495052466118i</v>
      </c>
      <c r="FK62" s="1" t="str">
        <f t="shared" si="352"/>
        <v>0.0114716997394911-0.0196698356163425i</v>
      </c>
      <c r="FL62" s="1" t="str">
        <f t="shared" si="353"/>
        <v>-268.24857186656-1906.98893515653i</v>
      </c>
      <c r="FM62" s="1" t="str">
        <f t="shared" si="354"/>
        <v>66408.3648992537-52367.7683063878i</v>
      </c>
      <c r="FN62" s="1" t="str">
        <f t="shared" si="355"/>
        <v>-26437.6582503171-28688.1345332012i</v>
      </c>
      <c r="FO62" s="1" t="str">
        <f t="shared" si="356"/>
        <v>-5357.57973660833+1240.40041373725i</v>
      </c>
      <c r="FP62" s="1" t="str">
        <f t="shared" si="357"/>
        <v>-1367.74467242134+104.505870604861i</v>
      </c>
      <c r="FQ62" s="92" t="str">
        <f t="shared" si="358"/>
        <v>-3.5714048044531-313.510487112881i</v>
      </c>
      <c r="FR62" s="1" t="str">
        <f t="shared" si="359"/>
        <v>-23.5205801253882-307.83101439722i</v>
      </c>
      <c r="FS62" s="1" t="str">
        <f t="shared" si="360"/>
        <v>19.949175320935-5.67947271566195i</v>
      </c>
      <c r="FT62" s="1" t="str">
        <f t="shared" si="361"/>
        <v>-88.2024374750057-900.334928305323i</v>
      </c>
      <c r="FU62" s="1" t="str">
        <f t="shared" si="362"/>
        <v>5087.75994079617-5955.73100942735i</v>
      </c>
      <c r="FV62" s="1" t="str">
        <f t="shared" si="363"/>
        <v>12946.1502330373+14661.1729994478i</v>
      </c>
      <c r="FW62" s="1" t="str">
        <f t="shared" si="364"/>
        <v>-23.5205801253882-307.83101439722i</v>
      </c>
      <c r="FX62" s="1" t="str">
        <f t="shared" si="365"/>
        <v>-279.054047291158-1205.29975049036i</v>
      </c>
      <c r="FY62" s="1" t="str">
        <f t="shared" si="366"/>
        <v>6459.13601530289-5952.4410821228i</v>
      </c>
      <c r="FZ62" s="1" t="str">
        <f t="shared" si="367"/>
        <v>11789.4558892529+14950.3886451022i</v>
      </c>
      <c r="GA62" s="1" t="str">
        <f t="shared" si="368"/>
        <v>19.949175320935-5.67947271566195i</v>
      </c>
      <c r="GB62" s="1" t="str">
        <f t="shared" si="369"/>
        <v>210.800785137088+299.285349469384i</v>
      </c>
      <c r="GC62" s="1" t="str">
        <f t="shared" si="370"/>
        <v>-1160.57528936964+295.995422164833i</v>
      </c>
      <c r="GD62" s="92" t="str">
        <f t="shared" si="371"/>
        <v>17942.136331554+7491.59657460224i</v>
      </c>
      <c r="GE62" s="1" t="str">
        <f t="shared" si="63"/>
        <v>0.341693968159727-0.142671603543988i</v>
      </c>
      <c r="GF62" s="1">
        <f t="shared" si="64"/>
        <v>12.4</v>
      </c>
      <c r="GG62" s="56">
        <f t="shared" si="65"/>
        <v>6.3672772451136186E-2</v>
      </c>
      <c r="GH62" s="1">
        <f t="shared" si="66"/>
        <v>1.0226113794690406</v>
      </c>
      <c r="GJ62" s="1">
        <f t="shared" si="372"/>
        <v>19443.360701706431</v>
      </c>
      <c r="GK62" s="1">
        <f t="shared" si="373"/>
        <v>0.37028361337568461</v>
      </c>
      <c r="GM62" s="1" t="str">
        <f t="shared" si="69"/>
        <v>0.0191834803010191+5.94687889331594i</v>
      </c>
      <c r="GP62" s="1">
        <f t="shared" si="4"/>
        <v>12.4</v>
      </c>
      <c r="GQ62" s="1">
        <f t="shared" si="5"/>
        <v>0.37028361337568461</v>
      </c>
      <c r="GR62" s="1">
        <f t="shared" si="70"/>
        <v>5.9469098343327085</v>
      </c>
      <c r="GS62" s="1">
        <f t="shared" si="71"/>
        <v>0.37865623666889098</v>
      </c>
      <c r="NH62" s="1" t="str">
        <f>IF(F31&lt;1,"",AL30&amp;" Ohms "&amp;ROUND(NK62,1)&amp;" kW")</f>
        <v>100 Ohms 7 kW</v>
      </c>
      <c r="NK62" s="1">
        <f>(AL30*CX46^2)/1000</f>
        <v>6.9881339300935501</v>
      </c>
    </row>
    <row r="63" spans="2:375" ht="18" customHeight="1" x14ac:dyDescent="0.25">
      <c r="B63" s="6"/>
      <c r="AP63" s="8"/>
      <c r="AR63" s="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c r="CC63" s="86"/>
      <c r="CD63" s="86"/>
      <c r="CE63" s="86"/>
      <c r="CF63" s="8"/>
      <c r="EA63" s="1">
        <f t="shared" si="420"/>
        <v>12.6</v>
      </c>
      <c r="EB63" s="1" t="str">
        <f t="shared" si="12"/>
        <v>0.0000285814528724431-0.0360126306192784i</v>
      </c>
      <c r="EC63" s="1" t="str">
        <f t="shared" si="13"/>
        <v>0.0000559963158317258-0.0705553579479743i</v>
      </c>
      <c r="ED63" s="1" t="str">
        <f t="shared" si="14"/>
        <v>0.000138386728448717-0.174367277845384i</v>
      </c>
      <c r="EE63" s="1" t="str">
        <f t="shared" si="15"/>
        <v>0.00019326506228033-0.243513978473216i</v>
      </c>
      <c r="EF63" s="1" t="str">
        <f t="shared" si="16"/>
        <v>0.228694753535188i</v>
      </c>
      <c r="EG63" s="1" t="str">
        <f t="shared" si="17"/>
        <v>0.228599503741963i</v>
      </c>
      <c r="EH63" s="1" t="str">
        <f t="shared" si="18"/>
        <v>0.228781541053396i</v>
      </c>
      <c r="EI63" s="1" t="str">
        <f t="shared" si="19"/>
        <v>0.228759192744412i</v>
      </c>
      <c r="EJ63" s="1" t="str">
        <f t="shared" si="1"/>
        <v>0.005</v>
      </c>
      <c r="EK63" s="1" t="str">
        <f t="shared" si="2"/>
        <v>0.01</v>
      </c>
      <c r="EL63" s="1" t="str">
        <f t="shared" si="3"/>
        <v>0.0125</v>
      </c>
      <c r="EM63" s="1" t="str">
        <f t="shared" si="329"/>
        <v>0.00502858145287244+0.19268212291591i</v>
      </c>
      <c r="EN63" s="1" t="str">
        <f t="shared" si="330"/>
        <v>-0.005</v>
      </c>
      <c r="EO63" s="1" t="str">
        <f t="shared" si="331"/>
        <v>0.205773823586403-259.275017718869i</v>
      </c>
      <c r="EP63" s="1" t="str">
        <f t="shared" si="332"/>
        <v>-0.005</v>
      </c>
      <c r="EQ63" s="1" t="str">
        <f t="shared" si="333"/>
        <v>0.0150559963158317+0.158044145793989i</v>
      </c>
      <c r="ER63" s="1" t="str">
        <f t="shared" si="334"/>
        <v>-0.01</v>
      </c>
      <c r="ES63" s="1" t="str">
        <f t="shared" si="335"/>
        <v>0.403148715597855-507.967381653296i</v>
      </c>
      <c r="ET63" s="1" t="str">
        <f t="shared" si="336"/>
        <v>-0.01</v>
      </c>
      <c r="EU63" s="1" t="str">
        <f t="shared" si="337"/>
        <v>0.0226383867284487+0.054414263208012i</v>
      </c>
      <c r="EV63" s="1" t="str">
        <f t="shared" si="338"/>
        <v>-0.0125</v>
      </c>
      <c r="EW63" s="1" t="str">
        <f t="shared" si="339"/>
        <v>0.996323258079066-1255.36730517963i</v>
      </c>
      <c r="EX63" s="1" t="str">
        <f t="shared" si="340"/>
        <v>-0.0125</v>
      </c>
      <c r="EY63" s="1" t="str">
        <f t="shared" si="341"/>
        <v>0.0126932650622803-0.014754785728804i</v>
      </c>
      <c r="EZ63" s="1" t="str">
        <f t="shared" si="342"/>
        <v>1.39142299758425-1753.19297695616i</v>
      </c>
      <c r="FB63" s="1" t="str">
        <f t="shared" si="343"/>
        <v>0.00502858145287244+0.19268212291591i</v>
      </c>
      <c r="FC63" s="1" t="str">
        <f t="shared" si="344"/>
        <v>0.205773823586403-259.275017718869i</v>
      </c>
      <c r="FD63" s="1" t="str">
        <f t="shared" si="345"/>
        <v>-0.000676763539196722+0.0259318133089047i</v>
      </c>
      <c r="FE63" s="1" t="str">
        <f t="shared" si="346"/>
        <v>0.0150526124981357+0.158173804860534i</v>
      </c>
      <c r="FF63" s="1" t="str">
        <f t="shared" si="347"/>
        <v>-6.32018337932969-508.14818562029i</v>
      </c>
      <c r="FG63" s="1" t="str">
        <f t="shared" si="348"/>
        <v>-0.00596248535868379+0.0626541735346637i</v>
      </c>
      <c r="FH63" s="1" t="str">
        <f t="shared" si="349"/>
        <v>0.0225787618748619+0.0550408049433586i</v>
      </c>
      <c r="FI63" s="1" t="str">
        <f t="shared" si="350"/>
        <v>-30.8789653459625-1258.00114543021i</v>
      </c>
      <c r="FJ63" s="1" t="str">
        <f t="shared" si="351"/>
        <v>-0.0797432445166879+0.194392074787777i</v>
      </c>
      <c r="FK63" s="1" t="str">
        <f t="shared" si="352"/>
        <v>0.0116964745058217-0.0123248847939568i</v>
      </c>
      <c r="FL63" s="1" t="str">
        <f t="shared" si="353"/>
        <v>-242.562582027838-1853.49371627665i</v>
      </c>
      <c r="FM63" s="1" t="str">
        <f t="shared" si="354"/>
        <v>69297.7333678074-85445.1600384929i</v>
      </c>
      <c r="FN63" s="1" t="str">
        <f t="shared" si="355"/>
        <v>-30844.4631744217-27829.7618012884i</v>
      </c>
      <c r="FO63" s="1" t="str">
        <f t="shared" si="356"/>
        <v>-5115.08924580439+1503.21577597959i</v>
      </c>
      <c r="FP63" s="1" t="str">
        <f t="shared" si="357"/>
        <v>-1309.14701402111+97.5000676105505i</v>
      </c>
      <c r="FQ63" s="92" t="str">
        <f t="shared" si="358"/>
        <v>-3.26804277294268-306.42363225473i</v>
      </c>
      <c r="FR63" s="1" t="str">
        <f t="shared" si="359"/>
        <v>-22.297753931859-299.395053712885i</v>
      </c>
      <c r="FS63" s="1" t="str">
        <f t="shared" si="360"/>
        <v>19.0297111589164-7.0285785418452i</v>
      </c>
      <c r="FT63" s="1" t="str">
        <f t="shared" si="361"/>
        <v>-105.370352278769-868.948508872212i</v>
      </c>
      <c r="FU63" s="1" t="str">
        <f t="shared" si="362"/>
        <v>4857.86459598365-6629.78111581654i</v>
      </c>
      <c r="FV63" s="1" t="str">
        <f t="shared" si="363"/>
        <v>20795.0894544964+15138.2873387912i</v>
      </c>
      <c r="FW63" s="1" t="str">
        <f t="shared" si="364"/>
        <v>-22.297753931859-299.395053712885i</v>
      </c>
      <c r="FX63" s="1" t="str">
        <f t="shared" si="365"/>
        <v>-343.634380406024-1169.30686318674i</v>
      </c>
      <c r="FY63" s="1" t="str">
        <f t="shared" si="366"/>
        <v>6366.93579204769-7056.64381800892i</v>
      </c>
      <c r="FZ63" s="1" t="str">
        <f t="shared" si="367"/>
        <v>19546.3658343227+15852.4935442371i</v>
      </c>
      <c r="GA63" s="1" t="str">
        <f t="shared" si="368"/>
        <v>19.0297111589164-7.0285785418452i</v>
      </c>
      <c r="GB63" s="1" t="str">
        <f t="shared" si="369"/>
        <v>257.293739286173+293.32977577268i</v>
      </c>
      <c r="GC63" s="1" t="str">
        <f t="shared" si="370"/>
        <v>-1251.77745677786+720.192477965056i</v>
      </c>
      <c r="GD63" s="92" t="str">
        <f t="shared" si="371"/>
        <v>25544.3156554283+7333.13408184772i</v>
      </c>
      <c r="GE63" s="1" t="str">
        <f t="shared" si="63"/>
        <v>0.26038678311507-0.0747505323485948i</v>
      </c>
      <c r="GF63" s="1">
        <f t="shared" si="64"/>
        <v>12.6</v>
      </c>
      <c r="GG63" s="56">
        <f t="shared" si="65"/>
        <v>4.5342672362890586E-2</v>
      </c>
      <c r="GH63" s="1">
        <f t="shared" si="66"/>
        <v>1.0114211014932351</v>
      </c>
      <c r="GJ63" s="1">
        <f t="shared" si="372"/>
        <v>26576.059109027359</v>
      </c>
      <c r="GK63" s="1">
        <f t="shared" si="373"/>
        <v>0.27090389238143636</v>
      </c>
      <c r="GM63" s="1" t="str">
        <f t="shared" si="69"/>
        <v>0.0191834803010191+6.04279629482104i</v>
      </c>
      <c r="GP63" s="1">
        <f t="shared" si="4"/>
        <v>12.6</v>
      </c>
      <c r="GQ63" s="1">
        <f t="shared" si="5"/>
        <v>0.27090389238143636</v>
      </c>
      <c r="GR63" s="1">
        <f t="shared" si="70"/>
        <v>6.0428267447130528</v>
      </c>
      <c r="GS63" s="1">
        <f t="shared" si="71"/>
        <v>0.27399791323123646</v>
      </c>
      <c r="NH63" s="1" t="str">
        <f>IF(F32&lt;1,"",AL31&amp;" Ohms "&amp;ROUND(NK63,1)&amp;" kW")</f>
        <v>80 Ohms 2.8 kW</v>
      </c>
      <c r="NK63" s="1">
        <f>(AL31*CY46^2)/1000</f>
        <v>2.752996152942492</v>
      </c>
    </row>
    <row r="64" spans="2:375" ht="18" customHeight="1" x14ac:dyDescent="0.35">
      <c r="B64" s="6"/>
      <c r="C64" s="18"/>
      <c r="D64" s="18"/>
      <c r="E64" s="18"/>
      <c r="F64" s="214" t="s">
        <v>490</v>
      </c>
      <c r="G64" s="214"/>
      <c r="H64" s="214" t="s">
        <v>447</v>
      </c>
      <c r="I64" s="214"/>
      <c r="J64" s="214" t="s">
        <v>448</v>
      </c>
      <c r="K64" s="214"/>
      <c r="L64" s="214" t="s">
        <v>449</v>
      </c>
      <c r="M64" s="214"/>
      <c r="N64" s="214" t="s">
        <v>450</v>
      </c>
      <c r="O64" s="214"/>
      <c r="P64" s="214" t="s">
        <v>451</v>
      </c>
      <c r="Q64" s="214"/>
      <c r="R64" s="214" t="s">
        <v>452</v>
      </c>
      <c r="S64" s="214"/>
      <c r="T64" s="214" t="s">
        <v>453</v>
      </c>
      <c r="U64" s="214"/>
      <c r="V64" s="214" t="s">
        <v>454</v>
      </c>
      <c r="W64" s="214"/>
      <c r="X64" s="90" t="s">
        <v>455</v>
      </c>
      <c r="Y64" s="90"/>
      <c r="Z64" s="214" t="s">
        <v>456</v>
      </c>
      <c r="AA64" s="214"/>
      <c r="AB64" s="214" t="s">
        <v>457</v>
      </c>
      <c r="AC64" s="214"/>
      <c r="AD64" s="214" t="s">
        <v>462</v>
      </c>
      <c r="AE64" s="214"/>
      <c r="AF64" s="214" t="s">
        <v>458</v>
      </c>
      <c r="AG64" s="214"/>
      <c r="AH64" s="214" t="s">
        <v>459</v>
      </c>
      <c r="AI64" s="214"/>
      <c r="AJ64" s="214" t="s">
        <v>460</v>
      </c>
      <c r="AK64" s="214"/>
      <c r="AL64" s="214"/>
      <c r="AM64" s="214" t="s">
        <v>461</v>
      </c>
      <c r="AN64" s="214"/>
      <c r="AO64" s="214"/>
      <c r="AP64" s="8"/>
      <c r="AR64" s="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c r="CC64" s="86"/>
      <c r="CD64" s="86"/>
      <c r="CE64" s="86"/>
      <c r="CF64" s="8"/>
      <c r="EA64" s="1">
        <f t="shared" si="420"/>
        <v>12.8</v>
      </c>
      <c r="EB64" s="1" t="str">
        <f t="shared" si="12"/>
        <v>0.0000276952609048356-0.0354499339581897i</v>
      </c>
      <c r="EC64" s="1" t="str">
        <f t="shared" si="13"/>
        <v>0.000054260102997229-0.0694529318364533i</v>
      </c>
      <c r="ED64" s="1" t="str">
        <f t="shared" si="14"/>
        <v>0.000134095931625965-0.171642792481235i</v>
      </c>
      <c r="EE64" s="1" t="str">
        <f t="shared" si="15"/>
        <v>0.000187272716594604-0.239709077241093i</v>
      </c>
      <c r="EF64" s="1" t="str">
        <f t="shared" si="16"/>
        <v>0.232324828988128i</v>
      </c>
      <c r="EG64" s="1" t="str">
        <f t="shared" si="17"/>
        <v>0.232228067293422i</v>
      </c>
      <c r="EH64" s="1" t="str">
        <f t="shared" si="18"/>
        <v>0.23241299408599i</v>
      </c>
      <c r="EI64" s="1" t="str">
        <f t="shared" si="19"/>
        <v>0.232390291041942i</v>
      </c>
      <c r="EJ64" s="1" t="str">
        <f t="shared" si="1"/>
        <v>0.005</v>
      </c>
      <c r="EK64" s="1" t="str">
        <f t="shared" si="2"/>
        <v>0.01</v>
      </c>
      <c r="EL64" s="1" t="str">
        <f t="shared" si="3"/>
        <v>0.0125</v>
      </c>
      <c r="EM64" s="1" t="str">
        <f t="shared" si="329"/>
        <v>0.00502769526090484+0.196874895029938i</v>
      </c>
      <c r="EN64" s="1" t="str">
        <f t="shared" si="330"/>
        <v>-0.005</v>
      </c>
      <c r="EO64" s="1" t="str">
        <f t="shared" si="331"/>
        <v>0.199393633243386-255.223850551536i</v>
      </c>
      <c r="EP64" s="1" t="str">
        <f t="shared" si="332"/>
        <v>-0.005</v>
      </c>
      <c r="EQ64" s="1" t="str">
        <f t="shared" si="333"/>
        <v>0.0150542601029972+0.162775135456969i</v>
      </c>
      <c r="ER64" s="1" t="str">
        <f t="shared" si="334"/>
        <v>-0.01</v>
      </c>
      <c r="ES64" s="1" t="str">
        <f t="shared" si="335"/>
        <v>0.390648750844186-500.03040108056i</v>
      </c>
      <c r="ET64" s="1" t="str">
        <f t="shared" si="336"/>
        <v>-0.01</v>
      </c>
      <c r="EU64" s="1" t="str">
        <f t="shared" si="337"/>
        <v>0.022634095931626+0.060770201604755i</v>
      </c>
      <c r="EV64" s="1" t="str">
        <f t="shared" si="338"/>
        <v>-0.0125</v>
      </c>
      <c r="EW64" s="1" t="str">
        <f t="shared" si="339"/>
        <v>0.965431418101912-1235.75221517045i</v>
      </c>
      <c r="EX64" s="1" t="str">
        <f t="shared" si="340"/>
        <v>-0.0125</v>
      </c>
      <c r="EY64" s="1" t="str">
        <f t="shared" si="341"/>
        <v>0.0126872727165946-0.007318786199151i</v>
      </c>
      <c r="EZ64" s="1" t="str">
        <f t="shared" si="342"/>
        <v>1.34828075812196-1725.7993703961i</v>
      </c>
      <c r="FB64" s="1" t="str">
        <f t="shared" si="343"/>
        <v>0.00502769526090484+0.196874895029938i</v>
      </c>
      <c r="FC64" s="1" t="str">
        <f t="shared" si="344"/>
        <v>0.199393633243386-255.223850551536i</v>
      </c>
      <c r="FD64" s="1" t="str">
        <f t="shared" si="345"/>
        <v>-0.000648149413433111+0.0253802868136432i</v>
      </c>
      <c r="FE64" s="1" t="str">
        <f t="shared" si="346"/>
        <v>0.01505101935593+0.162902036891037i</v>
      </c>
      <c r="FF64" s="1" t="str">
        <f t="shared" si="347"/>
        <v>-6.08687654096977-500.20088493719i</v>
      </c>
      <c r="FG64" s="1" t="str">
        <f t="shared" si="348"/>
        <v>-0.0056236887145005+0.0608669967640649i</v>
      </c>
      <c r="FH64" s="1" t="str">
        <f t="shared" si="349"/>
        <v>0.022577859044481+0.0613788715723956i</v>
      </c>
      <c r="FI64" s="1" t="str">
        <f t="shared" si="350"/>
        <v>-29.5145249256624-1238.19469934733i</v>
      </c>
      <c r="FJ64" s="1" t="str">
        <f t="shared" si="351"/>
        <v>-0.0659843233073967+0.179381193677269i</v>
      </c>
      <c r="FK64" s="1" t="str">
        <f t="shared" si="352"/>
        <v>0.0118624686752521-0.00507652127818514i</v>
      </c>
      <c r="FL64" s="1" t="str">
        <f t="shared" si="353"/>
        <v>-220.25872334966-1807.51282432993i</v>
      </c>
      <c r="FM64" s="1" t="str">
        <f t="shared" si="354"/>
        <v>39420.3580227787-135502.531727398i</v>
      </c>
      <c r="FN64" s="1" t="str">
        <f t="shared" si="355"/>
        <v>-39629.9873691843-22124.8808315633i</v>
      </c>
      <c r="FO64" s="1" t="str">
        <f t="shared" si="356"/>
        <v>-4617.5373970804+2043.48645262975i</v>
      </c>
      <c r="FP64" s="1" t="str">
        <f t="shared" si="357"/>
        <v>-1246.63364025068+84.4221367303246i</v>
      </c>
      <c r="FQ64" s="92" t="str">
        <f t="shared" si="358"/>
        <v>-2.75883969453639-299.419268861583i</v>
      </c>
      <c r="FR64" s="1" t="str">
        <f t="shared" si="359"/>
        <v>-19.613358478685-289.623947282087i</v>
      </c>
      <c r="FS64" s="1" t="str">
        <f t="shared" si="360"/>
        <v>16.8545187841486-9.79532157949715i</v>
      </c>
      <c r="FT64" s="1" t="str">
        <f t="shared" si="361"/>
        <v>-141.284928497606-820.842790957649i</v>
      </c>
      <c r="FU64" s="1" t="str">
        <f t="shared" si="362"/>
        <v>3803.85598073877-8034.98705670609i</v>
      </c>
      <c r="FV64" s="1" t="str">
        <f t="shared" si="363"/>
        <v>32475.1527674286+7748.99420297974i</v>
      </c>
      <c r="FW64" s="1" t="str">
        <f t="shared" si="364"/>
        <v>-19.613358478685-289.623947282087i</v>
      </c>
      <c r="FX64" s="1" t="str">
        <f t="shared" si="365"/>
        <v>-474.554909434498-1072.32178537908i</v>
      </c>
      <c r="FY64" s="1" t="str">
        <f t="shared" si="366"/>
        <v>5142.10979785935-9210.52402006209i</v>
      </c>
      <c r="FZ64" s="1" t="str">
        <f t="shared" si="367"/>
        <v>31489.47278505+9160.9084738911i</v>
      </c>
      <c r="GA64" s="1" t="str">
        <f t="shared" si="368"/>
        <v>16.8545187841486-9.79532157949715i</v>
      </c>
      <c r="GB64" s="1" t="str">
        <f t="shared" si="369"/>
        <v>350.124499721039+241.68367284193i</v>
      </c>
      <c r="GC64" s="1" t="str">
        <f t="shared" si="370"/>
        <v>-988.129317399538+1417.22063619794i</v>
      </c>
      <c r="GD64" s="92" t="str">
        <f t="shared" si="371"/>
        <v>36134.9649799752-1406.25491354558i</v>
      </c>
      <c r="GE64" s="1" t="str">
        <f t="shared" si="63"/>
        <v>0.198939462933638+0.00774207467486353i</v>
      </c>
      <c r="GF64" s="1">
        <f t="shared" si="64"/>
        <v>12.8</v>
      </c>
      <c r="GG64" s="56">
        <f t="shared" si="65"/>
        <v>3.237065648943005E-2</v>
      </c>
      <c r="GH64" s="1">
        <f t="shared" si="66"/>
        <v>0.99811697552263634</v>
      </c>
      <c r="GJ64" s="1">
        <f t="shared" si="372"/>
        <v>36162.318053270661</v>
      </c>
      <c r="GK64" s="1">
        <f t="shared" si="373"/>
        <v>0.19909005407753422</v>
      </c>
      <c r="GM64" s="1" t="str">
        <f t="shared" si="69"/>
        <v>0.0191834803010191+6.13871369632614i</v>
      </c>
      <c r="GP64" s="1">
        <f t="shared" si="4"/>
        <v>12.8</v>
      </c>
      <c r="GQ64" s="1">
        <f t="shared" si="5"/>
        <v>0.19909005407753422</v>
      </c>
      <c r="GR64" s="1">
        <f t="shared" si="70"/>
        <v>6.1387436704409319</v>
      </c>
      <c r="GS64" s="1">
        <f t="shared" si="71"/>
        <v>0.19871516263250677</v>
      </c>
    </row>
    <row r="65" spans="2:372" ht="18" customHeight="1" x14ac:dyDescent="0.25">
      <c r="B65" s="6"/>
      <c r="C65" s="241" t="s">
        <v>115</v>
      </c>
      <c r="D65" s="241"/>
      <c r="E65" s="241"/>
      <c r="F65" s="241" t="s">
        <v>39</v>
      </c>
      <c r="G65" s="241"/>
      <c r="H65" s="241" t="s">
        <v>39</v>
      </c>
      <c r="I65" s="241"/>
      <c r="J65" s="241" t="s">
        <v>39</v>
      </c>
      <c r="K65" s="241"/>
      <c r="L65" s="241" t="s">
        <v>39</v>
      </c>
      <c r="M65" s="241"/>
      <c r="N65" s="241" t="s">
        <v>39</v>
      </c>
      <c r="O65" s="241"/>
      <c r="P65" s="241" t="s">
        <v>418</v>
      </c>
      <c r="Q65" s="241"/>
      <c r="R65" s="241" t="s">
        <v>39</v>
      </c>
      <c r="S65" s="241"/>
      <c r="T65" s="241" t="s">
        <v>418</v>
      </c>
      <c r="U65" s="241"/>
      <c r="V65" s="241" t="s">
        <v>39</v>
      </c>
      <c r="W65" s="241"/>
      <c r="X65" s="241" t="s">
        <v>418</v>
      </c>
      <c r="Y65" s="241"/>
      <c r="Z65" s="241" t="s">
        <v>39</v>
      </c>
      <c r="AA65" s="241"/>
      <c r="AB65" s="241" t="s">
        <v>418</v>
      </c>
      <c r="AC65" s="241"/>
      <c r="AD65" s="241" t="s">
        <v>39</v>
      </c>
      <c r="AE65" s="241"/>
      <c r="AF65" s="241" t="s">
        <v>39</v>
      </c>
      <c r="AG65" s="241"/>
      <c r="AH65" s="241" t="s">
        <v>39</v>
      </c>
      <c r="AI65" s="241"/>
      <c r="AJ65" s="241" t="s">
        <v>419</v>
      </c>
      <c r="AK65" s="241"/>
      <c r="AL65" s="241"/>
      <c r="AM65" s="241" t="s">
        <v>39</v>
      </c>
      <c r="AN65" s="241"/>
      <c r="AO65" s="241"/>
      <c r="AP65" s="8"/>
      <c r="AR65" s="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c r="CC65" s="86"/>
      <c r="CD65" s="86"/>
      <c r="CE65" s="86"/>
      <c r="CF65" s="8"/>
      <c r="CI65" s="240" t="s">
        <v>463</v>
      </c>
      <c r="CJ65" s="240"/>
      <c r="CK65" s="240"/>
      <c r="CM65" s="1" t="s">
        <v>464</v>
      </c>
      <c r="EA65" s="1">
        <f t="shared" si="420"/>
        <v>13</v>
      </c>
      <c r="EB65" s="1" t="str">
        <f t="shared" si="12"/>
        <v>0.0000268496546225379-0.0349045510092993i</v>
      </c>
      <c r="EC65" s="1" t="str">
        <f t="shared" si="13"/>
        <v>0.0000526034049747684-0.0683844264671988i</v>
      </c>
      <c r="ED65" s="1" t="str">
        <f t="shared" si="14"/>
        <v>0.000130001644065247-0.169002137284822i</v>
      </c>
      <c r="EE65" s="1" t="str">
        <f t="shared" si="15"/>
        <v>0.000181554807447637-0.236021249681929i</v>
      </c>
      <c r="EF65" s="1" t="str">
        <f t="shared" si="16"/>
        <v>0.235954904441068i</v>
      </c>
      <c r="EG65" s="1" t="str">
        <f t="shared" si="17"/>
        <v>0.235856630844882i</v>
      </c>
      <c r="EH65" s="1" t="str">
        <f t="shared" si="18"/>
        <v>0.236044447118584i</v>
      </c>
      <c r="EI65" s="1" t="str">
        <f t="shared" si="19"/>
        <v>0.236021389339473i</v>
      </c>
      <c r="EJ65" s="1" t="str">
        <f t="shared" si="1"/>
        <v>0.005</v>
      </c>
      <c r="EK65" s="1" t="str">
        <f t="shared" si="2"/>
        <v>0.01</v>
      </c>
      <c r="EL65" s="1" t="str">
        <f t="shared" si="3"/>
        <v>0.0125</v>
      </c>
      <c r="EM65" s="1" t="str">
        <f t="shared" si="329"/>
        <v>0.00502684965462254+0.201050353431769i</v>
      </c>
      <c r="EN65" s="1" t="str">
        <f t="shared" si="330"/>
        <v>-0.005</v>
      </c>
      <c r="EO65" s="1" t="str">
        <f t="shared" si="331"/>
        <v>0.193305641889915-251.29733445689i</v>
      </c>
      <c r="EP65" s="1" t="str">
        <f t="shared" si="332"/>
        <v>-0.005</v>
      </c>
      <c r="EQ65" s="1" t="str">
        <f t="shared" si="333"/>
        <v>0.0150526034049748+0.167472204377683i</v>
      </c>
      <c r="ER65" s="1" t="str">
        <f t="shared" si="334"/>
        <v>-0.01</v>
      </c>
      <c r="ES65" s="1" t="str">
        <f t="shared" si="335"/>
        <v>0.378721257580244-492.337634854316i</v>
      </c>
      <c r="ET65" s="1" t="str">
        <f t="shared" si="336"/>
        <v>-0.01</v>
      </c>
      <c r="EU65" s="1" t="str">
        <f t="shared" si="337"/>
        <v>0.0226300016440652+0.067042309833762i</v>
      </c>
      <c r="EV65" s="1" t="str">
        <f t="shared" si="338"/>
        <v>-0.0125</v>
      </c>
      <c r="EW65" s="1" t="str">
        <f t="shared" si="339"/>
        <v>0.935954357926169-1216.74066530403i</v>
      </c>
      <c r="EX65" s="1" t="str">
        <f t="shared" si="340"/>
        <v>-0.0125</v>
      </c>
      <c r="EY65" s="1" t="str">
        <f t="shared" si="341"/>
        <v>0.0126815548074476+1.39657544001581E-07i</v>
      </c>
      <c r="EZ65" s="1" t="str">
        <f t="shared" si="342"/>
        <v>1.30711434039847-1699.24864251802i</v>
      </c>
      <c r="FB65" s="1" t="str">
        <f t="shared" si="343"/>
        <v>0.00502684965462254+0.201050353431769i</v>
      </c>
      <c r="FC65" s="1" t="str">
        <f t="shared" si="344"/>
        <v>0.193305641889915-251.29733445689i</v>
      </c>
      <c r="FD65" s="1" t="str">
        <f t="shared" si="345"/>
        <v>-0.00062141939790428+0.0248538544340837i</v>
      </c>
      <c r="FE65" s="1" t="str">
        <f t="shared" si="346"/>
        <v>0.0150494963079853+0.167596473649853i</v>
      </c>
      <c r="FF65" s="1" t="str">
        <f t="shared" si="347"/>
        <v>-5.86686598880896-492.498600282874i</v>
      </c>
      <c r="FG65" s="1" t="str">
        <f t="shared" si="348"/>
        <v>-0.00531501380570439+0.0591898594482323i</v>
      </c>
      <c r="FH65" s="1" t="str">
        <f t="shared" si="349"/>
        <v>0.0225768515060082+0.0676342084282443i</v>
      </c>
      <c r="FI65" s="1" t="str">
        <f t="shared" si="350"/>
        <v>-28.246151044995-1219.01104319054i</v>
      </c>
      <c r="FJ65" s="1" t="str">
        <f t="shared" si="351"/>
        <v>-0.0555084721159975+0.166288535477485i</v>
      </c>
      <c r="FK65" s="1" t="str">
        <f t="shared" si="352"/>
        <v>0.0119876989059976+0.00207874635101256i</v>
      </c>
      <c r="FL65" s="1" t="str">
        <f t="shared" si="353"/>
        <v>-200.970955552531-1766.9436962899i</v>
      </c>
      <c r="FM65" s="1" t="str">
        <f t="shared" si="354"/>
        <v>-41088.7444480697-140271.342472532i</v>
      </c>
      <c r="FN65" s="1" t="str">
        <f t="shared" si="355"/>
        <v>-41948.3264779513-5991.13511622288i</v>
      </c>
      <c r="FO65" s="1" t="str">
        <f t="shared" si="356"/>
        <v>-3495.78092011323+2224.0347938125i</v>
      </c>
      <c r="FP65" s="1" t="str">
        <f t="shared" si="357"/>
        <v>-1196.01395833067+56.0726027728363i</v>
      </c>
      <c r="FQ65" s="92" t="str">
        <f t="shared" si="358"/>
        <v>-1.73177082011381-293.045170203295i</v>
      </c>
      <c r="FR65" s="1" t="str">
        <f t="shared" si="359"/>
        <v>-13.2306056290266-282.205359248097i</v>
      </c>
      <c r="FS65" s="1" t="str">
        <f t="shared" si="360"/>
        <v>11.4988348089128-10.8398109551983i</v>
      </c>
      <c r="FT65" s="1" t="str">
        <f t="shared" si="361"/>
        <v>-151.526732580939-731.511599934175i</v>
      </c>
      <c r="FU65" s="1" t="str">
        <f t="shared" si="362"/>
        <v>1018.90394516966-8305.31863818435i</v>
      </c>
      <c r="FV65" s="1" t="str">
        <f t="shared" si="363"/>
        <v>33115.7845183558-11371.5985184398i</v>
      </c>
      <c r="FW65" s="1" t="str">
        <f t="shared" si="364"/>
        <v>-13.2306056290266-282.205359248097i</v>
      </c>
      <c r="FX65" s="1" t="str">
        <f t="shared" si="365"/>
        <v>-524.553353350408-824.503109989728i</v>
      </c>
      <c r="FY65" s="1" t="str">
        <f t="shared" si="366"/>
        <v>1414.17417612156-9901.66953103787i</v>
      </c>
      <c r="FZ65" s="1" t="str">
        <f t="shared" si="367"/>
        <v>33107.03713488-9697.82255084797i</v>
      </c>
      <c r="GA65" s="1" t="str">
        <f t="shared" si="368"/>
        <v>11.4988348089128-10.8398109551983i</v>
      </c>
      <c r="GB65" s="1" t="str">
        <f t="shared" si="369"/>
        <v>384.525455578381+82.1516991003538i</v>
      </c>
      <c r="GC65" s="1" t="str">
        <f t="shared" si="370"/>
        <v>-10.7447753735199+1678.50259195386i</v>
      </c>
      <c r="GD65" s="92" t="str">
        <f t="shared" si="371"/>
        <v>33981.4299601244-20701.4739267616i</v>
      </c>
      <c r="GE65" s="1" t="str">
        <f t="shared" si="63"/>
        <v>0.154520957392862+0.0941341071979677i</v>
      </c>
      <c r="GF65" s="1">
        <f t="shared" si="64"/>
        <v>13</v>
      </c>
      <c r="GG65" s="56">
        <f t="shared" si="65"/>
        <v>2.857875319106247E-2</v>
      </c>
      <c r="GH65" s="1">
        <f t="shared" si="66"/>
        <v>0.98475980132586027</v>
      </c>
      <c r="GJ65" s="1">
        <f t="shared" si="372"/>
        <v>39790.559243057025</v>
      </c>
      <c r="GK65" s="72">
        <f t="shared" si="373"/>
        <v>0.18093633248069652</v>
      </c>
      <c r="GM65" s="1" t="str">
        <f t="shared" si="69"/>
        <v>0.0191834803010191+6.23463109783123i</v>
      </c>
      <c r="GP65" s="1">
        <f t="shared" si="4"/>
        <v>13</v>
      </c>
      <c r="GQ65" s="1">
        <f t="shared" si="5"/>
        <v>0.18093633248069652</v>
      </c>
      <c r="GR65" s="1">
        <f t="shared" si="70"/>
        <v>6.2346606108079943</v>
      </c>
      <c r="GS65" s="1">
        <f t="shared" si="71"/>
        <v>0.17817882682632019</v>
      </c>
    </row>
    <row r="66" spans="2:372" ht="18" customHeight="1" x14ac:dyDescent="0.25">
      <c r="B66" s="6"/>
      <c r="C66" s="222">
        <v>1</v>
      </c>
      <c r="D66" s="222"/>
      <c r="E66" s="222"/>
      <c r="F66" s="191">
        <f t="shared" ref="F66:F78" si="424">CK28</f>
        <v>136.09736515994842</v>
      </c>
      <c r="G66" s="190"/>
      <c r="H66" s="191">
        <f t="shared" ref="H66:H78" si="425">CL28</f>
        <v>133.36046911286851</v>
      </c>
      <c r="I66" s="190"/>
      <c r="J66" s="191">
        <f t="shared" ref="J66:J78" si="426">CM28</f>
        <v>131.8235350864409</v>
      </c>
      <c r="K66" s="190"/>
      <c r="L66" s="191">
        <f t="shared" ref="L66:L78" si="427">CN28</f>
        <v>131.91053431996454</v>
      </c>
      <c r="M66" s="190"/>
      <c r="N66" s="191">
        <f t="shared" ref="N66:N78" si="428">CO28</f>
        <v>136.11817622751539</v>
      </c>
      <c r="O66" s="190"/>
      <c r="P66" s="190">
        <f t="shared" ref="P66:P78" si="429">DA28</f>
        <v>7499.539434161079</v>
      </c>
      <c r="Q66" s="190"/>
      <c r="R66" s="191">
        <f t="shared" ref="R66:R78" si="430">CQ28</f>
        <v>133.34190658334816</v>
      </c>
      <c r="S66" s="190"/>
      <c r="T66" s="190">
        <f t="shared" ref="T66:T78" si="431">DB28</f>
        <v>7349.5486454778556</v>
      </c>
      <c r="U66" s="190"/>
      <c r="V66" s="191">
        <f t="shared" ref="V66:V78" si="432">CS28</f>
        <v>131.81371682467045</v>
      </c>
      <c r="W66" s="190"/>
      <c r="X66" s="190">
        <f t="shared" ref="X66:X78" si="433">DC28</f>
        <v>7259.5541722679236</v>
      </c>
      <c r="Y66" s="190"/>
      <c r="Z66" s="191">
        <f t="shared" ref="Z66:Z78" si="434">CU28</f>
        <v>131.49204615593823</v>
      </c>
      <c r="AA66" s="190"/>
      <c r="AB66" s="190">
        <f t="shared" ref="AB66:AB78" si="435">DD28</f>
        <v>7259.5541722679236</v>
      </c>
      <c r="AC66" s="190"/>
      <c r="AD66" s="191">
        <f t="shared" ref="AD66:AD78" si="436">CW28</f>
        <v>0.74984756151727783</v>
      </c>
      <c r="AE66" s="190"/>
      <c r="AF66" s="191">
        <f t="shared" ref="AF66:AF78" si="437">CX28</f>
        <v>0.90013342783372963</v>
      </c>
      <c r="AG66" s="190"/>
      <c r="AH66" s="191">
        <f t="shared" ref="AH66:AH78" si="438">CY28</f>
        <v>0.30820733961802471</v>
      </c>
      <c r="AI66" s="190"/>
      <c r="AJ66" s="296">
        <v>1</v>
      </c>
      <c r="AK66" s="296"/>
      <c r="AL66" s="296"/>
      <c r="AM66" s="191">
        <f>AG43</f>
        <v>532.76419788011424</v>
      </c>
      <c r="AN66" s="191"/>
      <c r="AO66" s="191"/>
      <c r="AP66" s="8"/>
      <c r="AR66" s="6"/>
      <c r="AT66" s="86"/>
      <c r="AU66" s="86"/>
      <c r="AV66" s="86"/>
      <c r="AW66" s="86"/>
      <c r="AX66" s="86"/>
      <c r="AY66" s="86"/>
      <c r="AZ66" s="86"/>
      <c r="BA66" s="86"/>
      <c r="BB66" s="86"/>
      <c r="BC66" s="86"/>
      <c r="BD66" s="86"/>
      <c r="BE66" s="86"/>
      <c r="BF66" s="86"/>
      <c r="BG66" s="86"/>
      <c r="BH66" s="86"/>
      <c r="BI66" s="86"/>
      <c r="BJ66" s="86"/>
      <c r="BK66" s="86"/>
      <c r="BL66" s="86"/>
      <c r="BM66" s="86"/>
      <c r="BN66" s="86"/>
      <c r="BO66" s="86"/>
      <c r="BP66" s="86"/>
      <c r="BQ66" s="86"/>
      <c r="BR66" s="86"/>
      <c r="BS66" s="86"/>
      <c r="BT66" s="86"/>
      <c r="BU66" s="86"/>
      <c r="BV66" s="86"/>
      <c r="BW66" s="86"/>
      <c r="BX66" s="86"/>
      <c r="BY66" s="86"/>
      <c r="BZ66" s="86"/>
      <c r="CA66" s="86"/>
      <c r="CB66" s="86"/>
      <c r="CC66" s="86"/>
      <c r="CD66" s="86"/>
      <c r="CE66" s="86"/>
      <c r="CF66" s="8"/>
      <c r="CI66" s="240"/>
      <c r="CJ66" s="240"/>
      <c r="CK66" s="240"/>
      <c r="EA66" s="1">
        <f t="shared" si="420"/>
        <v>13.2</v>
      </c>
      <c r="EB66" s="1" t="str">
        <f t="shared" si="12"/>
        <v>0.0000260421930208624-0.0343756947875384i</v>
      </c>
      <c r="EC66" s="1" t="str">
        <f t="shared" si="13"/>
        <v>0.000051021439387812-0.0673482999919119i</v>
      </c>
      <c r="ED66" s="1" t="str">
        <f t="shared" si="14"/>
        <v>0.0001260920468204-0.166441501802928i</v>
      </c>
      <c r="EE66" s="1" t="str">
        <f t="shared" si="15"/>
        <v>0.000176094828998213-0.232445174277641i</v>
      </c>
      <c r="EF66" s="1" t="str">
        <f t="shared" si="16"/>
        <v>0.239584979894007i</v>
      </c>
      <c r="EG66" s="1" t="str">
        <f t="shared" si="17"/>
        <v>0.239485194396342i</v>
      </c>
      <c r="EH66" s="1" t="str">
        <f t="shared" si="18"/>
        <v>0.239675900151177i</v>
      </c>
      <c r="EI66" s="1" t="str">
        <f t="shared" si="19"/>
        <v>0.239652487637003i</v>
      </c>
      <c r="EJ66" s="1" t="str">
        <f t="shared" si="1"/>
        <v>0.005</v>
      </c>
      <c r="EK66" s="1" t="str">
        <f t="shared" si="2"/>
        <v>0.01</v>
      </c>
      <c r="EL66" s="1" t="str">
        <f t="shared" si="3"/>
        <v>0.0125</v>
      </c>
      <c r="EM66" s="1" t="str">
        <f t="shared" si="329"/>
        <v>0.00502604219302086+0.205209285106469i</v>
      </c>
      <c r="EN66" s="1" t="str">
        <f t="shared" si="330"/>
        <v>-0.005</v>
      </c>
      <c r="EO66" s="1" t="str">
        <f t="shared" si="331"/>
        <v>0.187492275371512-247.489803490396i</v>
      </c>
      <c r="EP66" s="1" t="str">
        <f t="shared" si="332"/>
        <v>-0.005</v>
      </c>
      <c r="EQ66" s="1" t="str">
        <f t="shared" si="333"/>
        <v>0.0150510214393878+0.17213689440443i</v>
      </c>
      <c r="ER66" s="1" t="str">
        <f t="shared" si="334"/>
        <v>-0.01</v>
      </c>
      <c r="ES66" s="1" t="str">
        <f t="shared" si="335"/>
        <v>0.367331804809493-484.877982348531i</v>
      </c>
      <c r="ET66" s="1" t="str">
        <f t="shared" si="336"/>
        <v>-0.01</v>
      </c>
      <c r="EU66" s="1" t="str">
        <f t="shared" si="337"/>
        <v>0.0226260920468204+0.073234398348249i</v>
      </c>
      <c r="EV66" s="1" t="str">
        <f t="shared" si="338"/>
        <v>-0.0125</v>
      </c>
      <c r="EW66" s="1" t="str">
        <f t="shared" si="339"/>
        <v>0.907806986365128-1198.30522200197i</v>
      </c>
      <c r="EX66" s="1" t="str">
        <f t="shared" si="340"/>
        <v>-0.0125</v>
      </c>
      <c r="EY66" s="1" t="str">
        <f t="shared" si="341"/>
        <v>0.0126760948289982+0.00720731335936201i</v>
      </c>
      <c r="EZ66" s="1" t="str">
        <f t="shared" si="342"/>
        <v>1.26780490965499-1673.50248074459i</v>
      </c>
      <c r="FB66" s="1" t="str">
        <f t="shared" si="343"/>
        <v>0.00502604219302086+0.205209285106469i</v>
      </c>
      <c r="FC66" s="1" t="str">
        <f t="shared" si="344"/>
        <v>0.187492275371512-247.489803490396i</v>
      </c>
      <c r="FD66" s="1" t="str">
        <f t="shared" si="345"/>
        <v>-0.000596405550847774+0.0243507618962986i</v>
      </c>
      <c r="FE66" s="1" t="str">
        <f t="shared" si="346"/>
        <v>0.0150480394116336+0.172258648213911i</v>
      </c>
      <c r="FF66" s="1" t="str">
        <f t="shared" si="347"/>
        <v>-5.6591216503131-485.030152220866i</v>
      </c>
      <c r="FG66" s="1" t="str">
        <f t="shared" si="348"/>
        <v>-0.0050328757244792+0.0576125796332746i</v>
      </c>
      <c r="FH66" s="1" t="str">
        <f t="shared" si="349"/>
        <v>0.0225757632895756+0.0738105241445818i</v>
      </c>
      <c r="FI66" s="1" t="str">
        <f t="shared" si="350"/>
        <v>-27.0645129389746-1200.42028188399i</v>
      </c>
      <c r="FJ66" s="1" t="str">
        <f t="shared" si="351"/>
        <v>-0.0473671054079862+0.154864791614354i</v>
      </c>
      <c r="FK66" s="1" t="str">
        <f t="shared" si="352"/>
        <v>0.0120840060113984+0.00914312325454144i</v>
      </c>
      <c r="FL66" s="1" t="str">
        <f t="shared" si="353"/>
        <v>-184.264483396859-1730.40331784587i</v>
      </c>
      <c r="FM66" s="1" t="str">
        <f t="shared" si="354"/>
        <v>-78599.2138114953-83727.2852481996i</v>
      </c>
      <c r="FN66" s="1" t="str">
        <f t="shared" si="355"/>
        <v>-31664.2101832564+3992.80421253772i</v>
      </c>
      <c r="FO66" s="1" t="str">
        <f t="shared" si="356"/>
        <v>-2726.55827664518+1632.8461298995i</v>
      </c>
      <c r="FP66" s="1" t="str">
        <f t="shared" si="357"/>
        <v>-1167.15577819295+36.9336354195487i</v>
      </c>
      <c r="FQ66" s="92" t="str">
        <f t="shared" si="358"/>
        <v>-1.051731807144-287.612556123932i</v>
      </c>
      <c r="FR66" s="1" t="str">
        <f t="shared" si="359"/>
        <v>-8.84874429940516-279.632993651532i</v>
      </c>
      <c r="FS66" s="1" t="str">
        <f t="shared" si="360"/>
        <v>7.79701249226115-7.97956247239975i</v>
      </c>
      <c r="FT66" s="1" t="str">
        <f t="shared" si="361"/>
        <v>-109.462966264445-668.590357269307i</v>
      </c>
      <c r="FU66" s="1" t="str">
        <f t="shared" si="362"/>
        <v>-659.667917480512-6469.04737916244i</v>
      </c>
      <c r="FV66" s="1" t="str">
        <f t="shared" si="363"/>
        <v>19477.1121313367-19928.7664912649i</v>
      </c>
      <c r="FW66" s="1" t="str">
        <f t="shared" si="364"/>
        <v>-8.84874429940516-279.632993651532i</v>
      </c>
      <c r="FX66" s="1" t="str">
        <f t="shared" si="365"/>
        <v>-391.042472838296-652.970338915326i</v>
      </c>
      <c r="FY66" s="1" t="str">
        <f t="shared" si="366"/>
        <v>-956.97894376739-7589.14807824804i</v>
      </c>
      <c r="FZ66" s="1" t="str">
        <f t="shared" si="367"/>
        <v>20065.452192824-18836.4971162375i</v>
      </c>
      <c r="GA66" s="1" t="str">
        <f t="shared" si="368"/>
        <v>7.79701249226115-7.97956247239975i</v>
      </c>
      <c r="GB66" s="1" t="str">
        <f t="shared" si="369"/>
        <v>289.376519066112-23.5995808263822i</v>
      </c>
      <c r="GC66" s="1" t="str">
        <f t="shared" si="370"/>
        <v>586.687545352986+1096.50111825922i</v>
      </c>
      <c r="GD66" s="92" t="str">
        <f t="shared" si="371"/>
        <v>18706.9295157846-27354.0167838206i</v>
      </c>
      <c r="GE66" s="1" t="str">
        <f t="shared" si="63"/>
        <v>0.122639474062513+0.179328319435548i</v>
      </c>
      <c r="GF66" s="1">
        <f t="shared" si="64"/>
        <v>13.2</v>
      </c>
      <c r="GG66" s="56">
        <f t="shared" si="65"/>
        <v>3.3364989202239147E-2</v>
      </c>
      <c r="GH66" s="1">
        <f t="shared" si="66"/>
        <v>0.97222665826491272</v>
      </c>
      <c r="GJ66" s="1">
        <f t="shared" si="372"/>
        <v>33138.971711839098</v>
      </c>
      <c r="GK66" s="1">
        <f t="shared" si="373"/>
        <v>0.21725350802670079</v>
      </c>
      <c r="GM66" s="1" t="str">
        <f t="shared" si="69"/>
        <v>0.0191834803010191+6.33054849933633i</v>
      </c>
      <c r="GP66" s="1">
        <f t="shared" si="4"/>
        <v>13.2</v>
      </c>
      <c r="GQ66" s="1">
        <f t="shared" si="5"/>
        <v>0.21725350802670079</v>
      </c>
      <c r="GR66" s="1">
        <f t="shared" si="70"/>
        <v>6.3305775651488476</v>
      </c>
      <c r="GS66" s="1">
        <f t="shared" si="71"/>
        <v>0.21121965210512858</v>
      </c>
      <c r="NH66" s="1" t="str">
        <f>ROUND(AB39,2)&amp;" mH "&amp;ROUND(W39,1)&amp;" Ohms"</f>
        <v>5.85 mH 2.2 Ohms</v>
      </c>
    </row>
    <row r="67" spans="2:372" ht="18" customHeight="1" x14ac:dyDescent="0.25">
      <c r="B67" s="6"/>
      <c r="C67" s="207">
        <f t="shared" ref="C67:C78" si="439">CH29</f>
        <v>2</v>
      </c>
      <c r="D67" s="207"/>
      <c r="E67" s="207"/>
      <c r="F67" s="192">
        <f t="shared" si="424"/>
        <v>1.3705497879328472</v>
      </c>
      <c r="G67" s="193"/>
      <c r="H67" s="192">
        <f t="shared" si="425"/>
        <v>1.2537853301445552</v>
      </c>
      <c r="I67" s="193"/>
      <c r="J67" s="192">
        <f t="shared" si="426"/>
        <v>1.1919393216746605</v>
      </c>
      <c r="K67" s="193"/>
      <c r="L67" s="192">
        <f t="shared" si="427"/>
        <v>1.1839616667468893</v>
      </c>
      <c r="M67" s="193"/>
      <c r="N67" s="192">
        <f t="shared" si="428"/>
        <v>1.3709137555685817</v>
      </c>
      <c r="O67" s="193"/>
      <c r="P67" s="193">
        <f t="shared" si="429"/>
        <v>37.765434171856413</v>
      </c>
      <c r="Q67" s="193"/>
      <c r="R67" s="192">
        <f t="shared" si="430"/>
        <v>1.2535290802016688</v>
      </c>
      <c r="S67" s="193"/>
      <c r="T67" s="193">
        <f t="shared" si="431"/>
        <v>34.546152008206981</v>
      </c>
      <c r="U67" s="193"/>
      <c r="V67" s="192">
        <f t="shared" si="432"/>
        <v>1.1914993327750572</v>
      </c>
      <c r="W67" s="193"/>
      <c r="X67" s="193">
        <f t="shared" si="433"/>
        <v>32.810539530070315</v>
      </c>
      <c r="Y67" s="193"/>
      <c r="Z67" s="192">
        <f t="shared" si="434"/>
        <v>1.1800072102856556</v>
      </c>
      <c r="AA67" s="193"/>
      <c r="AB67" s="193">
        <f t="shared" si="435"/>
        <v>32.497253271502473</v>
      </c>
      <c r="AC67" s="193"/>
      <c r="AD67" s="192">
        <f t="shared" si="436"/>
        <v>1.6103547875340737E-2</v>
      </c>
      <c r="AE67" s="193"/>
      <c r="AF67" s="192">
        <f t="shared" si="437"/>
        <v>1.7357954457903974E-2</v>
      </c>
      <c r="AG67" s="193"/>
      <c r="AH67" s="192">
        <f t="shared" si="438"/>
        <v>3.9175157989442015E-3</v>
      </c>
      <c r="AI67" s="193"/>
      <c r="AJ67" s="275">
        <f t="shared" ref="AJ67:AJ78" si="440">CJ29</f>
        <v>4.4065902701638454E-3</v>
      </c>
      <c r="AK67" s="275"/>
      <c r="AL67" s="275"/>
      <c r="AM67" s="192">
        <f t="shared" ref="AM67:AM78" si="441">LU6</f>
        <v>4.9999999999997442</v>
      </c>
      <c r="AN67" s="192"/>
      <c r="AO67" s="192"/>
      <c r="AP67" s="8"/>
      <c r="AR67" s="6"/>
      <c r="AT67" s="86"/>
      <c r="AU67" s="86"/>
      <c r="AV67" s="86"/>
      <c r="AW67" s="86"/>
      <c r="AX67" s="86"/>
      <c r="AY67" s="86"/>
      <c r="AZ67" s="86"/>
      <c r="BA67" s="86"/>
      <c r="BB67" s="86"/>
      <c r="BC67" s="86"/>
      <c r="BD67" s="86"/>
      <c r="BE67" s="86"/>
      <c r="BF67" s="86"/>
      <c r="BG67" s="86"/>
      <c r="BH67" s="86"/>
      <c r="BI67" s="86"/>
      <c r="BJ67" s="86"/>
      <c r="BK67" s="86"/>
      <c r="BL67" s="86"/>
      <c r="BM67" s="86"/>
      <c r="BN67" s="86"/>
      <c r="BO67" s="86"/>
      <c r="BP67" s="86"/>
      <c r="BQ67" s="86"/>
      <c r="BR67" s="86"/>
      <c r="BS67" s="86"/>
      <c r="BT67" s="86"/>
      <c r="BU67" s="86"/>
      <c r="BV67" s="86"/>
      <c r="BW67" s="86"/>
      <c r="BX67" s="86"/>
      <c r="BY67" s="86"/>
      <c r="BZ67" s="86"/>
      <c r="CA67" s="86"/>
      <c r="CB67" s="86"/>
      <c r="CC67" s="86"/>
      <c r="CD67" s="86"/>
      <c r="CE67" s="86"/>
      <c r="CF67" s="8"/>
      <c r="CI67" s="1">
        <f t="shared" ref="CI67:CI78" si="442">AD67^2*$AL$29</f>
        <v>5.1864850834678233E-2</v>
      </c>
      <c r="CJ67" s="1">
        <f t="shared" ref="CJ67:CJ78" si="443">AF67^2*$AL$30</f>
        <v>3.012985829626684E-2</v>
      </c>
      <c r="CK67" s="1">
        <f t="shared" ref="CK67:CK78" si="444">AH67^2*$AL$31</f>
        <v>1.2277544027981941E-3</v>
      </c>
      <c r="CM67" s="1">
        <f t="shared" ref="CM67:CM78" si="445">$G$39*COS(ATAN(100))*F67^2</f>
        <v>0.99346711602568916</v>
      </c>
      <c r="CN67" s="1">
        <f t="shared" ref="CN67:CN78" si="446">$G$40*COS(ATAN(100))*H67^2</f>
        <v>0.84872124552013928</v>
      </c>
      <c r="CO67" s="1">
        <f t="shared" ref="CO67:CO78" si="447">$G$41*COS(ATAN(100))*J67^2</f>
        <v>0.77594693258916914</v>
      </c>
      <c r="CP67" s="1">
        <f t="shared" ref="CP67:CP78" si="448">$G$42*COS(ATAN(100))*L67^2</f>
        <v>0.76748188951767204</v>
      </c>
      <c r="EA67" s="1">
        <f t="shared" si="420"/>
        <v>13.4</v>
      </c>
      <c r="EB67" s="1" t="str">
        <f t="shared" si="12"/>
        <v>0.0000252706158894675-0.0338626252918865i</v>
      </c>
      <c r="EC67" s="1" t="str">
        <f t="shared" si="13"/>
        <v>0.000049509778069161-0.0663431026126756i</v>
      </c>
      <c r="ED67" s="1" t="str">
        <f t="shared" si="14"/>
        <v>0.000122356196321963-0.16395730307143i</v>
      </c>
      <c r="EE67" s="1" t="str">
        <f t="shared" si="15"/>
        <v>0.000170877497919256-0.228975847211804i</v>
      </c>
      <c r="EF67" s="1" t="str">
        <f t="shared" si="16"/>
        <v>0.243215055346946i</v>
      </c>
      <c r="EG67" s="1" t="str">
        <f t="shared" si="17"/>
        <v>0.243113757947801i</v>
      </c>
      <c r="EH67" s="1" t="str">
        <f t="shared" si="18"/>
        <v>0.243307353183771i</v>
      </c>
      <c r="EI67" s="1" t="str">
        <f t="shared" si="19"/>
        <v>0.243283585934534i</v>
      </c>
      <c r="EJ67" s="1" t="str">
        <f t="shared" si="1"/>
        <v>0.005</v>
      </c>
      <c r="EK67" s="1" t="str">
        <f t="shared" si="2"/>
        <v>0.01</v>
      </c>
      <c r="EL67" s="1" t="str">
        <f t="shared" si="3"/>
        <v>0.0125</v>
      </c>
      <c r="EM67" s="1" t="str">
        <f t="shared" si="329"/>
        <v>0.00502527061588947+0.20935243005506i</v>
      </c>
      <c r="EN67" s="1" t="str">
        <f t="shared" si="330"/>
        <v>-0.005</v>
      </c>
      <c r="EO67" s="1" t="str">
        <f t="shared" si="331"/>
        <v>0.181937261173055-243.795929971894i</v>
      </c>
      <c r="EP67" s="1" t="str">
        <f t="shared" si="332"/>
        <v>-0.005</v>
      </c>
      <c r="EQ67" s="1" t="str">
        <f t="shared" si="333"/>
        <v>0.0150495097780692+0.176770655335125i</v>
      </c>
      <c r="ER67" s="1" t="str">
        <f t="shared" si="334"/>
        <v>-0.01</v>
      </c>
      <c r="ES67" s="1" t="str">
        <f t="shared" si="335"/>
        <v>0.356448511685987-477.641005659221i</v>
      </c>
      <c r="ET67" s="1" t="str">
        <f t="shared" si="336"/>
        <v>-0.01</v>
      </c>
      <c r="EU67" s="1" t="str">
        <f t="shared" si="337"/>
        <v>0.022622356196322+0.079350050112341i</v>
      </c>
      <c r="EV67" s="1" t="str">
        <f t="shared" si="338"/>
        <v>-0.0125</v>
      </c>
      <c r="EW67" s="1" t="str">
        <f t="shared" si="339"/>
        <v>0.880910514557295-1180.42008950677i</v>
      </c>
      <c r="EX67" s="1" t="str">
        <f t="shared" si="340"/>
        <v>-0.0125</v>
      </c>
      <c r="EY67" s="1" t="str">
        <f t="shared" si="341"/>
        <v>0.0126708774979193+0.01430773872273i</v>
      </c>
      <c r="EZ67" s="1" t="str">
        <f t="shared" si="342"/>
        <v>1.23024243269399-1648.52485980995i</v>
      </c>
      <c r="FB67" s="1" t="str">
        <f t="shared" si="343"/>
        <v>0.00502527061588947+0.20935243005506i</v>
      </c>
      <c r="FC67" s="1" t="str">
        <f t="shared" si="344"/>
        <v>0.181937261173055-243.795929971894i</v>
      </c>
      <c r="FD67" s="1" t="str">
        <f t="shared" si="345"/>
        <v>-0.000572958653656029+0.0238694183124572i</v>
      </c>
      <c r="FE67" s="1" t="str">
        <f t="shared" si="346"/>
        <v>0.0150466449848009+0.176890002426687i</v>
      </c>
      <c r="FF67" s="1" t="str">
        <f t="shared" si="347"/>
        <v>-5.46271428115946-477.785033383618i</v>
      </c>
      <c r="FG67" s="1" t="str">
        <f t="shared" si="348"/>
        <v>-0.00477421578118752+0.0561262023509464i</v>
      </c>
      <c r="FH67" s="1" t="str">
        <f t="shared" si="349"/>
        <v>0.0225746140385101+0.0799113121358505i</v>
      </c>
      <c r="FI67" s="1" t="str">
        <f t="shared" si="350"/>
        <v>-25.9614291261146-1182.39453694604i</v>
      </c>
      <c r="FJ67" s="1" t="str">
        <f t="shared" si="351"/>
        <v>-0.0409231381222081+0.144862794043062i</v>
      </c>
      <c r="FK67" s="1" t="str">
        <f t="shared" si="352"/>
        <v>0.0121593382713917+0.0161185236482683i</v>
      </c>
      <c r="FL67" s="1" t="str">
        <f t="shared" si="353"/>
        <v>-169.732660255157-1696.95896533351i</v>
      </c>
      <c r="FM67" s="1" t="str">
        <f t="shared" si="354"/>
        <v>-72159.5844177609-43904.773889107i</v>
      </c>
      <c r="FN67" s="1" t="str">
        <f t="shared" si="355"/>
        <v>-23100.9568120327+5086.40190646858i</v>
      </c>
      <c r="FO67" s="1" t="str">
        <f t="shared" si="356"/>
        <v>-2509.04249399903+1123.40781285739i</v>
      </c>
      <c r="FP67" s="1" t="str">
        <f t="shared" si="357"/>
        <v>-1138.45504515784+31.727506201539i</v>
      </c>
      <c r="FQ67" s="92" t="str">
        <f t="shared" si="358"/>
        <v>-0.863669932622055-282.347808351354i</v>
      </c>
      <c r="FR67" s="1" t="str">
        <f t="shared" si="359"/>
        <v>-7.71660717682788-276.889406818074i</v>
      </c>
      <c r="FS67" s="1" t="str">
        <f t="shared" si="360"/>
        <v>6.85293724420595-5.45840153327925i</v>
      </c>
      <c r="FT67" s="1" t="str">
        <f t="shared" si="361"/>
        <v>-74.0496891555493-644.154288969658i</v>
      </c>
      <c r="FU67" s="1" t="str">
        <f t="shared" si="362"/>
        <v>-830.245283200493-4968.61301956747i</v>
      </c>
      <c r="FV67" s="1" t="str">
        <f t="shared" si="363"/>
        <v>10066.6934895699-18163.8244984096i</v>
      </c>
      <c r="FW67" s="1" t="str">
        <f t="shared" si="364"/>
        <v>-7.71660717682788-276.889406818074i</v>
      </c>
      <c r="FX67" s="1" t="str">
        <f t="shared" si="365"/>
        <v>-273.11589509168-609.982749566827i</v>
      </c>
      <c r="FY67" s="1" t="str">
        <f t="shared" si="366"/>
        <v>-1237.55898509176-5620.63265794828i</v>
      </c>
      <c r="FZ67" s="1" t="str">
        <f t="shared" si="367"/>
        <v>10681.3108313868-17555.2424566986i</v>
      </c>
      <c r="GA67" s="1" t="str">
        <f t="shared" si="368"/>
        <v>6.85293724420595-5.45840153327925i</v>
      </c>
      <c r="GB67" s="1" t="str">
        <f t="shared" si="369"/>
        <v>205.919143180337-39.6299409361119i</v>
      </c>
      <c r="GC67" s="1" t="str">
        <f t="shared" si="370"/>
        <v>613.232845071603+612.389697444695i</v>
      </c>
      <c r="GD67" s="92" t="str">
        <f t="shared" si="371"/>
        <v>9161.53484728123-24058.9396152981i</v>
      </c>
      <c r="GE67" s="1" t="str">
        <f t="shared" si="63"/>
        <v>0.0995207519923015+0.261349632192076i</v>
      </c>
      <c r="GF67" s="1">
        <f t="shared" si="64"/>
        <v>13.4</v>
      </c>
      <c r="GG67" s="56">
        <f t="shared" si="65"/>
        <v>4.1809303620318816E-2</v>
      </c>
      <c r="GH67" s="1">
        <f t="shared" si="66"/>
        <v>0.96077447757719281</v>
      </c>
      <c r="GJ67" s="1">
        <f t="shared" si="372"/>
        <v>25744.247826854611</v>
      </c>
      <c r="GK67" s="1">
        <f t="shared" si="373"/>
        <v>0.27965695114558942</v>
      </c>
      <c r="GM67" s="1" t="str">
        <f t="shared" si="69"/>
        <v>0.0191834803010191+6.42646590084142i</v>
      </c>
      <c r="GP67" s="1">
        <f t="shared" si="4"/>
        <v>13.4</v>
      </c>
      <c r="GQ67" s="1">
        <f t="shared" si="5"/>
        <v>0.27965695114558942</v>
      </c>
      <c r="GR67" s="1">
        <f t="shared" si="70"/>
        <v>6.426494532837788</v>
      </c>
      <c r="GS67" s="1">
        <f t="shared" si="71"/>
        <v>0.26868726113773428</v>
      </c>
      <c r="NH67" s="1" t="str">
        <f t="shared" ref="NH67" si="449">ROUND(AB40,2)&amp;" mH "&amp;ROUND(W40,1)&amp;" Ohms"</f>
        <v>2.98 mH 1.1 Ohms</v>
      </c>
    </row>
    <row r="68" spans="2:372" ht="18" customHeight="1" x14ac:dyDescent="0.25">
      <c r="B68" s="6"/>
      <c r="C68" s="222">
        <f t="shared" si="439"/>
        <v>3</v>
      </c>
      <c r="D68" s="222"/>
      <c r="E68" s="222"/>
      <c r="F68" s="191">
        <f t="shared" si="424"/>
        <v>0.94988357015344727</v>
      </c>
      <c r="G68" s="190"/>
      <c r="H68" s="191">
        <f t="shared" si="425"/>
        <v>0.74664368189911445</v>
      </c>
      <c r="I68" s="190"/>
      <c r="J68" s="191">
        <f t="shared" si="426"/>
        <v>0.65845157966046097</v>
      </c>
      <c r="K68" s="190"/>
      <c r="L68" s="191">
        <f t="shared" si="427"/>
        <v>0.64566434458899546</v>
      </c>
      <c r="M68" s="190"/>
      <c r="N68" s="191">
        <f t="shared" si="428"/>
        <v>0.95058896531932369</v>
      </c>
      <c r="O68" s="190"/>
      <c r="P68" s="190">
        <f t="shared" si="429"/>
        <v>17.457653018379556</v>
      </c>
      <c r="Q68" s="190"/>
      <c r="R68" s="191">
        <f t="shared" si="430"/>
        <v>0.74565756710116549</v>
      </c>
      <c r="S68" s="190"/>
      <c r="T68" s="190">
        <f t="shared" si="431"/>
        <v>13.699775067578216</v>
      </c>
      <c r="U68" s="190"/>
      <c r="V68" s="191">
        <f t="shared" si="432"/>
        <v>0.6579718103553267</v>
      </c>
      <c r="W68" s="190"/>
      <c r="X68" s="190">
        <f t="shared" si="433"/>
        <v>12.079128371844433</v>
      </c>
      <c r="Y68" s="190"/>
      <c r="Z68" s="191">
        <f t="shared" si="434"/>
        <v>0.64332789177703542</v>
      </c>
      <c r="AA68" s="190"/>
      <c r="AB68" s="190">
        <f t="shared" si="435"/>
        <v>11.81144728239363</v>
      </c>
      <c r="AC68" s="190"/>
      <c r="AD68" s="191">
        <f t="shared" si="436"/>
        <v>1.8816314111214927E-2</v>
      </c>
      <c r="AE68" s="190"/>
      <c r="AF68" s="191">
        <f t="shared" si="437"/>
        <v>1.6207298854669976E-2</v>
      </c>
      <c r="AG68" s="190"/>
      <c r="AH68" s="191">
        <f t="shared" si="438"/>
        <v>3.3509224112927864E-3</v>
      </c>
      <c r="AI68" s="190"/>
      <c r="AJ68" s="300">
        <f t="shared" si="440"/>
        <v>1.552893714827874E-3</v>
      </c>
      <c r="AK68" s="300"/>
      <c r="AL68" s="300"/>
      <c r="AM68" s="191">
        <f t="shared" si="441"/>
        <v>2.9999999999999454</v>
      </c>
      <c r="AN68" s="191"/>
      <c r="AO68" s="191"/>
      <c r="AP68" s="8"/>
      <c r="AR68" s="6"/>
      <c r="AT68" s="86"/>
      <c r="AU68" s="86"/>
      <c r="AV68" s="86"/>
      <c r="AW68" s="86"/>
      <c r="AX68" s="86"/>
      <c r="AY68" s="86"/>
      <c r="AZ68" s="86"/>
      <c r="BA68" s="86"/>
      <c r="BB68" s="86"/>
      <c r="BC68" s="86"/>
      <c r="BD68" s="86"/>
      <c r="BE68" s="86"/>
      <c r="BF68" s="86"/>
      <c r="BG68" s="86"/>
      <c r="BH68" s="86"/>
      <c r="BI68" s="86"/>
      <c r="BJ68" s="86"/>
      <c r="BK68" s="101"/>
      <c r="BL68" s="86"/>
      <c r="BM68" s="86"/>
      <c r="BN68" s="86"/>
      <c r="BO68" s="86"/>
      <c r="BP68" s="86"/>
      <c r="BQ68" s="86"/>
      <c r="BR68" s="86"/>
      <c r="BS68" s="86"/>
      <c r="BT68" s="86"/>
      <c r="BU68" s="86"/>
      <c r="BV68" s="86"/>
      <c r="BW68" s="86"/>
      <c r="BX68" s="86"/>
      <c r="BY68" s="86"/>
      <c r="BZ68" s="86"/>
      <c r="CA68" s="86"/>
      <c r="CB68" s="86"/>
      <c r="CC68" s="102"/>
      <c r="CD68" s="86"/>
      <c r="CE68" s="86"/>
      <c r="CF68" s="8"/>
      <c r="CI68" s="1">
        <f t="shared" si="442"/>
        <v>7.0810735346381201E-2</v>
      </c>
      <c r="CJ68" s="1">
        <f t="shared" si="443"/>
        <v>2.6267653616458667E-2</v>
      </c>
      <c r="CK68" s="1">
        <f t="shared" si="444"/>
        <v>8.9829448052034097E-4</v>
      </c>
      <c r="CM68" s="1">
        <f t="shared" si="445"/>
        <v>0.47720459261410925</v>
      </c>
      <c r="CN68" s="1">
        <f t="shared" si="446"/>
        <v>0.30098544492183932</v>
      </c>
      <c r="CO68" s="1">
        <f t="shared" si="447"/>
        <v>0.23679439265011712</v>
      </c>
      <c r="CP68" s="1">
        <f t="shared" si="448"/>
        <v>0.22824772708040497</v>
      </c>
      <c r="EA68" s="1">
        <f t="shared" si="420"/>
        <v>13.6</v>
      </c>
      <c r="EB68" s="1" t="str">
        <f t="shared" si="12"/>
        <v>0.0000245328279784363-0.0333646460506734i</v>
      </c>
      <c r="EC68" s="1" t="str">
        <f t="shared" si="13"/>
        <v>0.0000480643160393852-0.065367469813564i</v>
      </c>
      <c r="ED68" s="1" t="str">
        <f t="shared" si="14"/>
        <v>0.000118783947711918-0.161546168888209i</v>
      </c>
      <c r="EE68" s="1" t="str">
        <f t="shared" si="15"/>
        <v>0.000165888646330379-0.225608559009315i</v>
      </c>
      <c r="EF68" s="1" t="str">
        <f t="shared" si="16"/>
        <v>0.246845130799886i</v>
      </c>
      <c r="EG68" s="1" t="str">
        <f t="shared" si="17"/>
        <v>0.246742321499262i</v>
      </c>
      <c r="EH68" s="1" t="str">
        <f t="shared" si="18"/>
        <v>0.246938806216364i</v>
      </c>
      <c r="EI68" s="1" t="str">
        <f t="shared" si="19"/>
        <v>0.246914684232064i</v>
      </c>
      <c r="EJ68" s="1" t="str">
        <f t="shared" si="1"/>
        <v>0.005</v>
      </c>
      <c r="EK68" s="1" t="str">
        <f t="shared" si="2"/>
        <v>0.01</v>
      </c>
      <c r="EL68" s="1" t="str">
        <f t="shared" si="3"/>
        <v>0.0125</v>
      </c>
      <c r="EM68" s="1" t="str">
        <f t="shared" si="329"/>
        <v>0.00502453282797844+0.213480484749213i</v>
      </c>
      <c r="EN68" s="1" t="str">
        <f t="shared" si="330"/>
        <v>-0.005</v>
      </c>
      <c r="EO68" s="1" t="str">
        <f t="shared" si="331"/>
        <v>0.176625514421542-240.210699613298i</v>
      </c>
      <c r="EP68" s="1" t="str">
        <f t="shared" si="332"/>
        <v>-0.005</v>
      </c>
      <c r="EQ68" s="1" t="str">
        <f t="shared" si="333"/>
        <v>0.0150480643160394+0.181374851685698i</v>
      </c>
      <c r="ER68" s="1" t="str">
        <f t="shared" si="334"/>
        <v>-0.01</v>
      </c>
      <c r="ES68" s="1" t="str">
        <f t="shared" si="335"/>
        <v>0.346041824172816-470.616880875031i</v>
      </c>
      <c r="ET68" s="1" t="str">
        <f t="shared" si="336"/>
        <v>-0.01</v>
      </c>
      <c r="EU68" s="1" t="str">
        <f t="shared" si="337"/>
        <v>0.0226187839477119+0.085392637328155i</v>
      </c>
      <c r="EV68" s="1" t="str">
        <f t="shared" si="338"/>
        <v>-0.0125</v>
      </c>
      <c r="EW68" s="1" t="str">
        <f t="shared" si="339"/>
        <v>0.855191904010422-1163.06098945418i</v>
      </c>
      <c r="EX68" s="1" t="str">
        <f t="shared" si="340"/>
        <v>-0.0125</v>
      </c>
      <c r="EY68" s="1" t="str">
        <f t="shared" si="341"/>
        <v>0.0126658886463304+0.021306125222749i</v>
      </c>
      <c r="EZ68" s="1" t="str">
        <f t="shared" si="342"/>
        <v>1.19432490704091-1624.28187357563i</v>
      </c>
      <c r="FB68" s="1" t="str">
        <f t="shared" si="343"/>
        <v>0.00502453282797844+0.213480484749213i</v>
      </c>
      <c r="FC68" s="1" t="str">
        <f t="shared" si="344"/>
        <v>0.176625514421542-240.210699613298i</v>
      </c>
      <c r="FD68" s="1" t="str">
        <f t="shared" si="345"/>
        <v>-0.000550945726245357+0.0234083774026584i</v>
      </c>
      <c r="FE68" s="1" t="str">
        <f t="shared" si="346"/>
        <v>0.0150453095874082+0.181491893572711i</v>
      </c>
      <c r="FF68" s="1" t="str">
        <f t="shared" si="347"/>
        <v>-5.27680357745955-470.753358450082i</v>
      </c>
      <c r="FG68" s="1" t="str">
        <f t="shared" si="348"/>
        <v>-0.00453641073554069+0.0547228204001806i</v>
      </c>
      <c r="FH68" s="1" t="str">
        <f t="shared" si="349"/>
        <v>0.0225734198403565+0.0859398655321568i</v>
      </c>
      <c r="FI68" s="1" t="str">
        <f t="shared" si="350"/>
        <v>-24.9296973316334-1164.90775846879i</v>
      </c>
      <c r="FJ68" s="1" t="str">
        <f t="shared" si="351"/>
        <v>-0.0357390618867649+0.136063130642836i</v>
      </c>
      <c r="FK68" s="1" t="str">
        <f t="shared" si="352"/>
        <v>0.0122191503727458+0.0230069143557844i</v>
      </c>
      <c r="FL68" s="1" t="str">
        <f t="shared" si="353"/>
        <v>-157.024830690267-1665.96494234358i</v>
      </c>
      <c r="FM68" s="1" t="str">
        <f t="shared" si="354"/>
        <v>-59307.2442685453-24673.4219305482i</v>
      </c>
      <c r="FN68" s="1" t="str">
        <f t="shared" si="355"/>
        <v>-18228.0851466406+4128.46854705406i</v>
      </c>
      <c r="FO68" s="1" t="str">
        <f t="shared" si="356"/>
        <v>-2435.25756188371+831.54375729617i</v>
      </c>
      <c r="FP68" s="1" t="str">
        <f t="shared" si="357"/>
        <v>-1106.44568497489+30.1680485503461i</v>
      </c>
      <c r="FQ68" s="92" t="str">
        <f t="shared" si="358"/>
        <v>-0.802776505843314-277.127608374325i</v>
      </c>
      <c r="FR68" s="1" t="str">
        <f t="shared" si="359"/>
        <v>-7.44683589038749-273.120729830596i</v>
      </c>
      <c r="FS68" s="1" t="str">
        <f t="shared" si="360"/>
        <v>6.6440593845441-4.00687854372912i</v>
      </c>
      <c r="FT68" s="1" t="str">
        <f t="shared" si="361"/>
        <v>-53.8928206404505-629.843473621669i</v>
      </c>
      <c r="FU68" s="1" t="str">
        <f t="shared" si="362"/>
        <v>-663.917881335097-4108.22870685405i</v>
      </c>
      <c r="FV68" s="1" t="str">
        <f t="shared" si="363"/>
        <v>5577.56789095615-15000.4107512512i</v>
      </c>
      <c r="FW68" s="1" t="str">
        <f t="shared" si="364"/>
        <v>-7.44683589038749-273.120729830596i</v>
      </c>
      <c r="FX68" s="1" t="str">
        <f t="shared" si="365"/>
        <v>-205.177037103476-600.881104267819i</v>
      </c>
      <c r="FY68" s="1" t="str">
        <f t="shared" si="366"/>
        <v>-1019.47909451134-4501.22158572167i</v>
      </c>
      <c r="FZ68" s="1" t="str">
        <f t="shared" si="367"/>
        <v>6092.23018490579-14643.8294912417i</v>
      </c>
      <c r="GA68" s="1" t="str">
        <f t="shared" si="368"/>
        <v>6.6440593845441-4.00687854372912i</v>
      </c>
      <c r="GB68" s="1" t="str">
        <f t="shared" si="369"/>
        <v>157.928275847569-32.9692478975789i</v>
      </c>
      <c r="GC68" s="1" t="str">
        <f t="shared" si="370"/>
        <v>513.489489023809+360.023630970029i</v>
      </c>
      <c r="GD68" s="92" t="str">
        <f t="shared" si="371"/>
        <v>4858.95441247476-20015.6105401012i</v>
      </c>
      <c r="GE68" s="1" t="str">
        <f t="shared" si="63"/>
        <v>0.0824599511119935+0.339679306802309i</v>
      </c>
      <c r="GF68" s="1">
        <f t="shared" si="64"/>
        <v>13.6</v>
      </c>
      <c r="GG68" s="56">
        <f t="shared" si="65"/>
        <v>5.0933171878113949E-2</v>
      </c>
      <c r="GH68" s="1">
        <f t="shared" si="66"/>
        <v>0.95039880471381666</v>
      </c>
      <c r="GJ68" s="1">
        <f t="shared" si="372"/>
        <v>20596.944027586185</v>
      </c>
      <c r="GK68" s="1">
        <f t="shared" si="373"/>
        <v>0.34954495420058568</v>
      </c>
      <c r="GM68" s="1" t="str">
        <f t="shared" si="69"/>
        <v>0.0191834803010191+6.52238330234652i</v>
      </c>
      <c r="GP68" s="1">
        <f t="shared" si="4"/>
        <v>13.6</v>
      </c>
      <c r="GQ68" s="1">
        <f t="shared" si="5"/>
        <v>0.34954495420058568</v>
      </c>
      <c r="GR68" s="1">
        <f t="shared" si="70"/>
        <v>6.5224115132859524</v>
      </c>
      <c r="GS68" s="1">
        <f t="shared" si="71"/>
        <v>0.33220710666598258</v>
      </c>
      <c r="NH68" s="1" t="str">
        <f>IF(F31&lt;1,"",ROUND(AB41,2)&amp;" mH "&amp;ROUND(W41,1)&amp;" Ohms")</f>
        <v>1.21 mH 0.5 Ohms</v>
      </c>
    </row>
    <row r="69" spans="2:372" ht="18" customHeight="1" x14ac:dyDescent="0.25">
      <c r="B69" s="6"/>
      <c r="C69" s="207">
        <f t="shared" si="439"/>
        <v>4</v>
      </c>
      <c r="D69" s="207"/>
      <c r="E69" s="207"/>
      <c r="F69" s="192">
        <f t="shared" si="424"/>
        <v>1.2686407984510231</v>
      </c>
      <c r="G69" s="193"/>
      <c r="H69" s="192">
        <f t="shared" si="425"/>
        <v>0.69432286588811898</v>
      </c>
      <c r="I69" s="193"/>
      <c r="J69" s="192">
        <f t="shared" si="426"/>
        <v>0.53118156245732784</v>
      </c>
      <c r="K69" s="193"/>
      <c r="L69" s="192">
        <f t="shared" si="427"/>
        <v>0.51143407267766883</v>
      </c>
      <c r="M69" s="193"/>
      <c r="N69" s="192">
        <f t="shared" si="428"/>
        <v>1.2714192540040308</v>
      </c>
      <c r="O69" s="193"/>
      <c r="P69" s="193">
        <f t="shared" si="429"/>
        <v>17.512297891418271</v>
      </c>
      <c r="Q69" s="193"/>
      <c r="R69" s="192">
        <f t="shared" si="430"/>
        <v>0.68723493951649162</v>
      </c>
      <c r="S69" s="193"/>
      <c r="T69" s="193">
        <f t="shared" si="431"/>
        <v>9.4697933461855257</v>
      </c>
      <c r="U69" s="193"/>
      <c r="V69" s="192">
        <f t="shared" si="432"/>
        <v>0.53118117095033424</v>
      </c>
      <c r="W69" s="193"/>
      <c r="X69" s="193">
        <f t="shared" si="433"/>
        <v>7.3136175269622754</v>
      </c>
      <c r="Y69" s="193"/>
      <c r="Z69" s="192">
        <f t="shared" si="434"/>
        <v>0.50935544527757781</v>
      </c>
      <c r="AA69" s="193"/>
      <c r="AB69" s="193">
        <f t="shared" si="435"/>
        <v>7.0137931218222507</v>
      </c>
      <c r="AC69" s="193"/>
      <c r="AD69" s="192">
        <f t="shared" si="436"/>
        <v>4.048090153175609E-2</v>
      </c>
      <c r="AE69" s="193"/>
      <c r="AF69" s="192">
        <f t="shared" si="437"/>
        <v>2.1569852839193999E-2</v>
      </c>
      <c r="AG69" s="193"/>
      <c r="AH69" s="192">
        <f t="shared" si="438"/>
        <v>3.767219895568105E-3</v>
      </c>
      <c r="AI69" s="193"/>
      <c r="AJ69" s="275">
        <f t="shared" si="440"/>
        <v>8.8159032830984266E-4</v>
      </c>
      <c r="AK69" s="275"/>
      <c r="AL69" s="275"/>
      <c r="AM69" s="192">
        <f t="shared" si="441"/>
        <v>2.9999999999999738</v>
      </c>
      <c r="AN69" s="192"/>
      <c r="AO69" s="192"/>
      <c r="AP69" s="8"/>
      <c r="AR69" s="6"/>
      <c r="AT69" s="86"/>
      <c r="AU69" s="86"/>
      <c r="AV69" s="86"/>
      <c r="AW69" s="86"/>
      <c r="AX69" s="86"/>
      <c r="AY69" s="86"/>
      <c r="AZ69" s="86"/>
      <c r="BA69" s="86"/>
      <c r="BB69" s="86"/>
      <c r="BC69" s="86"/>
      <c r="BD69" s="86"/>
      <c r="BE69" s="86"/>
      <c r="BF69" s="86"/>
      <c r="BG69" s="86"/>
      <c r="BH69" s="86"/>
      <c r="BI69" s="86"/>
      <c r="BJ69" s="86"/>
      <c r="BK69" s="103"/>
      <c r="BL69" s="86"/>
      <c r="BM69" s="86"/>
      <c r="BN69" s="86"/>
      <c r="BO69" s="86"/>
      <c r="BP69" s="86"/>
      <c r="BQ69" s="86"/>
      <c r="BR69" s="86"/>
      <c r="BS69" s="86"/>
      <c r="BT69" s="86"/>
      <c r="BU69" s="86"/>
      <c r="BV69" s="86"/>
      <c r="BW69" s="86"/>
      <c r="BX69" s="86"/>
      <c r="BY69" s="86"/>
      <c r="BZ69" s="86"/>
      <c r="CA69" s="86"/>
      <c r="CB69" s="86"/>
      <c r="CC69" s="102"/>
      <c r="CD69" s="86"/>
      <c r="CE69" s="86"/>
      <c r="CF69" s="8"/>
      <c r="CI69" s="1">
        <f t="shared" si="442"/>
        <v>0.32774067776474652</v>
      </c>
      <c r="CJ69" s="1">
        <f t="shared" si="443"/>
        <v>4.6525855150448547E-2</v>
      </c>
      <c r="CK69" s="1">
        <f t="shared" si="444"/>
        <v>1.1353556593251331E-3</v>
      </c>
      <c r="CM69" s="1">
        <f t="shared" si="445"/>
        <v>0.85121880727977062</v>
      </c>
      <c r="CN69" s="1">
        <f t="shared" si="446"/>
        <v>0.26028050547229609</v>
      </c>
      <c r="CO69" s="1">
        <f t="shared" si="447"/>
        <v>0.15410250922338561</v>
      </c>
      <c r="CP69" s="1">
        <f t="shared" si="448"/>
        <v>0.14320961248536981</v>
      </c>
      <c r="EA69" s="1">
        <f t="shared" si="420"/>
        <v>13.8</v>
      </c>
      <c r="EB69" s="1" t="str">
        <f t="shared" si="12"/>
        <v>0.0000238268847589051-0.0328811009672891i</v>
      </c>
      <c r="EC69" s="1" t="str">
        <f t="shared" si="13"/>
        <v>0.0000466812436092837-0.0644201161808114i</v>
      </c>
      <c r="ED69" s="1" t="str">
        <f t="shared" si="14"/>
        <v>0.000115365885898985-0.159204922540599i</v>
      </c>
      <c r="EE69" s="1" t="str">
        <f t="shared" si="15"/>
        <v>0.000161115125512597-0.222338873207383i</v>
      </c>
      <c r="EF69" s="1" t="str">
        <f t="shared" si="16"/>
        <v>0.250475206252826i</v>
      </c>
      <c r="EG69" s="1" t="str">
        <f t="shared" si="17"/>
        <v>0.250370885050721i</v>
      </c>
      <c r="EH69" s="1" t="str">
        <f t="shared" si="18"/>
        <v>0.250570259248958i</v>
      </c>
      <c r="EI69" s="1" t="str">
        <f t="shared" si="19"/>
        <v>0.250545782529594i</v>
      </c>
      <c r="EJ69" s="1" t="str">
        <f t="shared" ref="EJ69:EJ132" si="450">IMDIV(COMPLEX(1,0),COMPLEX($AL$29,0))</f>
        <v>0.005</v>
      </c>
      <c r="EK69" s="1" t="str">
        <f t="shared" ref="EK69:EK132" si="451">IMDIV(COMPLEX(1,0),COMPLEX($AL$30,0))</f>
        <v>0.01</v>
      </c>
      <c r="EL69" s="1" t="str">
        <f t="shared" ref="EL69:EL132" si="452">IMDIV(COMPLEX(1,0),COMPLEX($AL$31,0))</f>
        <v>0.0125</v>
      </c>
      <c r="EM69" s="1" t="str">
        <f t="shared" si="329"/>
        <v>0.00502382688475891+0.217594105285537i</v>
      </c>
      <c r="EN69" s="1" t="str">
        <f t="shared" si="330"/>
        <v>-0.005</v>
      </c>
      <c r="EO69" s="1" t="str">
        <f t="shared" si="331"/>
        <v>0.171543035368916-236.729388809104i</v>
      </c>
      <c r="EP69" s="1" t="str">
        <f t="shared" si="332"/>
        <v>-0.005</v>
      </c>
      <c r="EQ69" s="1" t="str">
        <f t="shared" si="333"/>
        <v>0.0150466812436093+0.18595076886991i</v>
      </c>
      <c r="ER69" s="1" t="str">
        <f t="shared" si="334"/>
        <v>-0.01</v>
      </c>
      <c r="ES69" s="1" t="str">
        <f t="shared" si="335"/>
        <v>0.336084314192163-463.796353585184i</v>
      </c>
      <c r="ET69" s="1" t="str">
        <f t="shared" si="336"/>
        <v>-0.01</v>
      </c>
      <c r="EU69" s="1" t="str">
        <f t="shared" si="337"/>
        <v>0.022615365885899+0.091365336708359i</v>
      </c>
      <c r="EV69" s="1" t="str">
        <f t="shared" si="338"/>
        <v>-0.0125</v>
      </c>
      <c r="EW69" s="1" t="str">
        <f t="shared" si="339"/>
        <v>0.830583370230111-1146.20505091755i</v>
      </c>
      <c r="EX69" s="1" t="str">
        <f t="shared" si="340"/>
        <v>-0.0125</v>
      </c>
      <c r="EY69" s="1" t="str">
        <f t="shared" si="341"/>
        <v>0.0126611151255126+0.028206909322211i</v>
      </c>
      <c r="EZ69" s="1" t="str">
        <f t="shared" si="342"/>
        <v>1.15995766773267-1600.74158147108i</v>
      </c>
      <c r="FB69" s="1" t="str">
        <f t="shared" si="343"/>
        <v>0.00502382688475891+0.217594105285537i</v>
      </c>
      <c r="FC69" s="1" t="str">
        <f t="shared" si="344"/>
        <v>0.171543035368916-236.729388809104i</v>
      </c>
      <c r="FD69" s="1" t="str">
        <f t="shared" si="345"/>
        <v>-0.000530247922101331+0.022966321259832i</v>
      </c>
      <c r="FE69" s="1" t="str">
        <f t="shared" si="346"/>
        <v>0.0150440300039988+0.186065600476209i</v>
      </c>
      <c r="FF69" s="1" t="str">
        <f t="shared" si="347"/>
        <v>-5.10062792050335-463.925818564161i</v>
      </c>
      <c r="FG69" s="1" t="str">
        <f t="shared" si="348"/>
        <v>-0.00431719985771755+0.0533954255401313i</v>
      </c>
      <c r="FH69" s="1" t="str">
        <f t="shared" si="349"/>
        <v>0.0225721938873218+0.0918992909637603i</v>
      </c>
      <c r="FI69" s="1" t="str">
        <f t="shared" si="350"/>
        <v>-23.9629535611897-1147.93556119711i</v>
      </c>
      <c r="FJ69" s="1" t="str">
        <f t="shared" si="351"/>
        <v>-0.031507865974287+0.128279535311121i</v>
      </c>
      <c r="FK69" s="1" t="str">
        <f t="shared" si="352"/>
        <v>0.012267266800834+0.0298104035136i</v>
      </c>
      <c r="FL69" s="1" t="str">
        <f t="shared" si="353"/>
        <v>-145.84852372572-1636.96260344321i</v>
      </c>
      <c r="FM69" s="1" t="str">
        <f t="shared" si="354"/>
        <v>-48681.9743020067-15140.5613554486i</v>
      </c>
      <c r="FN69" s="1" t="str">
        <f t="shared" si="355"/>
        <v>-15317.0222476282+3120.25080258199i</v>
      </c>
      <c r="FO69" s="1" t="str">
        <f t="shared" si="356"/>
        <v>-2378.87322001429+658.278639284761i</v>
      </c>
      <c r="FP69" s="1" t="str">
        <f t="shared" si="357"/>
        <v>-1073.48560081266+29.0900216926006i</v>
      </c>
      <c r="FQ69" s="92" t="str">
        <f t="shared" si="358"/>
        <v>-0.759391087345208-272.02747036095i</v>
      </c>
      <c r="FR69" s="1" t="str">
        <f t="shared" si="359"/>
        <v>-7.28632918335332-268.88152727299i</v>
      </c>
      <c r="FS69" s="1" t="str">
        <f t="shared" si="360"/>
        <v>6.52693809600815-3.1459430879608i</v>
      </c>
      <c r="FT69" s="1" t="str">
        <f t="shared" si="361"/>
        <v>-41.9592533475795-617.074372063448i</v>
      </c>
      <c r="FU69" s="1" t="str">
        <f t="shared" si="362"/>
        <v>-494.161642121145-3585.11036190189i</v>
      </c>
      <c r="FV69" s="1" t="str">
        <f t="shared" si="363"/>
        <v>3375.33871156529-12422.1975198469i</v>
      </c>
      <c r="FW69" s="1" t="str">
        <f t="shared" si="364"/>
        <v>-7.28632918335332-268.88152727299i</v>
      </c>
      <c r="FX69" s="1" t="str">
        <f t="shared" si="365"/>
        <v>-164.81380552771-595.600593518436i</v>
      </c>
      <c r="FY69" s="1" t="str">
        <f t="shared" si="366"/>
        <v>-781.842052524738-3837.99023551025i</v>
      </c>
      <c r="FZ69" s="1" t="str">
        <f t="shared" si="367"/>
        <v>3793.4037927382-12197.0633465819i</v>
      </c>
      <c r="GA69" s="1" t="str">
        <f t="shared" si="368"/>
        <v>6.52693809600815-3.1459430879608i</v>
      </c>
      <c r="GB69" s="1" t="str">
        <f t="shared" si="369"/>
        <v>129.381490276139-24.6197216329723i</v>
      </c>
      <c r="GC69" s="1" t="str">
        <f t="shared" si="370"/>
        <v>417.061900679731+228.260151975383i</v>
      </c>
      <c r="GD69" s="92" t="str">
        <f t="shared" si="371"/>
        <v>2838.45842500922-16896.4097241732i</v>
      </c>
      <c r="GE69" s="1" t="str">
        <f t="shared" si="63"/>
        <v>0.0696166185893318+0.414404840646211i</v>
      </c>
      <c r="GF69" s="1">
        <f t="shared" si="64"/>
        <v>13.8</v>
      </c>
      <c r="GG69" s="56">
        <f t="shared" si="65"/>
        <v>5.9746305427790893E-2</v>
      </c>
      <c r="GH69" s="1">
        <f t="shared" si="66"/>
        <v>0.94100356292885357</v>
      </c>
      <c r="GJ69" s="1">
        <f t="shared" si="372"/>
        <v>17133.169811731881</v>
      </c>
      <c r="GK69" s="1">
        <f t="shared" si="373"/>
        <v>0.42021166753771139</v>
      </c>
      <c r="GM69" s="1" t="str">
        <f t="shared" si="69"/>
        <v>0.0191834803010191+6.61830070385161i</v>
      </c>
      <c r="GP69" s="1">
        <f t="shared" ref="GP69:GP132" si="453">EA69</f>
        <v>13.8</v>
      </c>
      <c r="GQ69" s="1">
        <f t="shared" ref="GQ69:GQ132" si="454">GK69</f>
        <v>0.42021166753771139</v>
      </c>
      <c r="GR69" s="1">
        <f t="shared" si="70"/>
        <v>6.618328505938579</v>
      </c>
      <c r="GS69" s="1">
        <f t="shared" si="71"/>
        <v>0.39542067633726158</v>
      </c>
      <c r="NH69" s="1" t="str">
        <f>IF(F32&lt;1,"",ROUND(AB42,2)&amp;" mH "&amp;ROUND(W42,1)&amp;" Ohms")</f>
        <v>0.86 mH 0.3 Ohms</v>
      </c>
    </row>
    <row r="70" spans="2:372" ht="18" customHeight="1" x14ac:dyDescent="0.25">
      <c r="B70" s="6"/>
      <c r="C70" s="222">
        <f t="shared" si="439"/>
        <v>5</v>
      </c>
      <c r="D70" s="222"/>
      <c r="E70" s="222"/>
      <c r="F70" s="191">
        <f t="shared" si="424"/>
        <v>108.21084578383231</v>
      </c>
      <c r="G70" s="190"/>
      <c r="H70" s="191">
        <f t="shared" si="425"/>
        <v>24.111954050757689</v>
      </c>
      <c r="I70" s="190"/>
      <c r="J70" s="191">
        <f t="shared" si="426"/>
        <v>8.0372089263756479</v>
      </c>
      <c r="K70" s="190"/>
      <c r="L70" s="191">
        <f t="shared" si="427"/>
        <v>7.1660493677715769</v>
      </c>
      <c r="M70" s="190"/>
      <c r="N70" s="191">
        <f t="shared" si="428"/>
        <v>109.04023657140391</v>
      </c>
      <c r="O70" s="190"/>
      <c r="P70" s="190">
        <f t="shared" si="429"/>
        <v>1201.5203318499282</v>
      </c>
      <c r="Q70" s="190"/>
      <c r="R70" s="191">
        <f t="shared" si="430"/>
        <v>18.347244910797222</v>
      </c>
      <c r="S70" s="190"/>
      <c r="T70" s="190">
        <f t="shared" si="431"/>
        <v>202.25353256846142</v>
      </c>
      <c r="U70" s="190"/>
      <c r="V70" s="191">
        <f t="shared" si="432"/>
        <v>7.7144856573692895</v>
      </c>
      <c r="W70" s="190"/>
      <c r="X70" s="190">
        <f t="shared" si="433"/>
        <v>84.974092608430198</v>
      </c>
      <c r="Y70" s="190"/>
      <c r="Z70" s="191">
        <f t="shared" si="434"/>
        <v>7.1319638542937147</v>
      </c>
      <c r="AA70" s="190"/>
      <c r="AB70" s="190">
        <f t="shared" si="435"/>
        <v>78.565362542175308</v>
      </c>
      <c r="AC70" s="190"/>
      <c r="AD70" s="191">
        <f t="shared" si="436"/>
        <v>5.8551838675619949</v>
      </c>
      <c r="AE70" s="190"/>
      <c r="AF70" s="191">
        <f t="shared" si="437"/>
        <v>1.1811004470674236</v>
      </c>
      <c r="AG70" s="190"/>
      <c r="AH70" s="191">
        <f t="shared" si="438"/>
        <v>8.7709678762855167E-2</v>
      </c>
      <c r="AI70" s="190"/>
      <c r="AJ70" s="300">
        <f t="shared" si="440"/>
        <v>9.2905784757998499E-3</v>
      </c>
      <c r="AK70" s="300"/>
      <c r="AL70" s="300"/>
      <c r="AM70" s="191">
        <f t="shared" si="441"/>
        <v>119.99999999999986</v>
      </c>
      <c r="AN70" s="191"/>
      <c r="AO70" s="191"/>
      <c r="AP70" s="8"/>
      <c r="AR70" s="6"/>
      <c r="AT70" s="86"/>
      <c r="AU70" s="86"/>
      <c r="AV70" s="86"/>
      <c r="AW70" s="86"/>
      <c r="AX70" s="86"/>
      <c r="AY70" s="86"/>
      <c r="AZ70" s="86"/>
      <c r="BA70" s="86"/>
      <c r="BB70" s="86"/>
      <c r="BC70" s="86"/>
      <c r="BD70" s="86"/>
      <c r="BE70" s="86"/>
      <c r="BF70" s="86"/>
      <c r="BG70" s="86"/>
      <c r="BH70" s="86"/>
      <c r="BI70" s="86"/>
      <c r="BJ70" s="86"/>
      <c r="BK70" s="86"/>
      <c r="BL70" s="86"/>
      <c r="BM70" s="86"/>
      <c r="BN70" s="86"/>
      <c r="BO70" s="86"/>
      <c r="BP70" s="86"/>
      <c r="BQ70" s="86"/>
      <c r="BR70" s="86"/>
      <c r="BS70" s="86"/>
      <c r="BT70" s="86"/>
      <c r="BU70" s="86"/>
      <c r="BV70" s="86"/>
      <c r="BW70" s="86"/>
      <c r="BX70" s="86"/>
      <c r="BY70" s="86"/>
      <c r="BZ70" s="86"/>
      <c r="CA70" s="86"/>
      <c r="CB70" s="86"/>
      <c r="CC70" s="102"/>
      <c r="CD70" s="86"/>
      <c r="CE70" s="86"/>
      <c r="CF70" s="8"/>
      <c r="CI70" s="1">
        <f t="shared" si="442"/>
        <v>6856.6356245916477</v>
      </c>
      <c r="CJ70" s="1">
        <f t="shared" si="443"/>
        <v>139.4998266062868</v>
      </c>
      <c r="CK70" s="1">
        <f t="shared" si="444"/>
        <v>0.61543901989465977</v>
      </c>
      <c r="CM70" s="1">
        <f t="shared" si="445"/>
        <v>6193.0622584210514</v>
      </c>
      <c r="CN70" s="1">
        <f t="shared" si="446"/>
        <v>313.89436565453133</v>
      </c>
      <c r="CO70" s="1">
        <f t="shared" si="447"/>
        <v>35.280460244059547</v>
      </c>
      <c r="CP70" s="1">
        <f t="shared" si="448"/>
        <v>28.115929441894256</v>
      </c>
      <c r="EA70" s="1">
        <f t="shared" si="420"/>
        <v>14</v>
      </c>
      <c r="EB70" s="1" t="str">
        <f t="shared" ref="EB70:EB133" si="455">IMDIV(COMPLEX(1,0),COMPLEX($W$39/100,$W$39*EA70))</f>
        <v>0.0000231509795973286-0.0324113714362601i</v>
      </c>
      <c r="EC70" s="1" t="str">
        <f t="shared" ref="EC70:EC133" si="456">IMDIV(COMPLEX(1,0),COMPLEX($W$40/100,$W$40*EA70))</f>
        <v>0.000045357021251909-0.0634998297526728i</v>
      </c>
      <c r="ED70" s="1" t="str">
        <f t="shared" ref="ED70:ED133" si="457">IMDIV(COMPLEX(1,0),COMPLEX($W$41/100,$W$41*EA70))</f>
        <v>0.000112093263458494-0.156930568841892i</v>
      </c>
      <c r="EE70" s="1" t="str">
        <f t="shared" ref="EE70:EE133" si="458">IMDIV(COMPLEX(1,0),COMPLEX($W$42/100,$W$42*EA70))</f>
        <v>0.000156544719181937-0.219162606854711i</v>
      </c>
      <c r="EF70" s="1" t="str">
        <f t="shared" ref="EF70:EF133" si="459">IMDIV(COMPLEX(1,0),COMPLEX(0,-$L$39/EA70))</f>
        <v>0.254105281705765i</v>
      </c>
      <c r="EG70" s="1" t="str">
        <f t="shared" ref="EG70:EG133" si="460">IMDIV(COMPLEX(1,0),COMPLEX(0,-$L$40/EA70))</f>
        <v>0.253999448602181i</v>
      </c>
      <c r="EH70" s="1" t="str">
        <f t="shared" ref="EH70:EH133" si="461">IMDIV(COMPLEX(1,0),COMPLEX(0,-$L$41/EA70))</f>
        <v>0.254201712281551i</v>
      </c>
      <c r="EI70" s="1" t="str">
        <f t="shared" ref="EI70:EI133" si="462">IMDIV(COMPLEX(1,0),COMPLEX(0,-$L$42/EA70))</f>
        <v>0.254176880827125i</v>
      </c>
      <c r="EJ70" s="1" t="str">
        <f t="shared" si="450"/>
        <v>0.005</v>
      </c>
      <c r="EK70" s="1" t="str">
        <f t="shared" si="451"/>
        <v>0.01</v>
      </c>
      <c r="EL70" s="1" t="str">
        <f t="shared" si="452"/>
        <v>0.0125</v>
      </c>
      <c r="EM70" s="1" t="str">
        <f t="shared" si="329"/>
        <v>0.00502315097959733+0.221693910269505i</v>
      </c>
      <c r="EN70" s="1" t="str">
        <f t="shared" si="330"/>
        <v>-0.005</v>
      </c>
      <c r="EO70" s="1" t="str">
        <f t="shared" si="331"/>
        <v>0.166676817052439-233.347543873416i</v>
      </c>
      <c r="EP70" s="1" t="str">
        <f t="shared" si="332"/>
        <v>-0.005</v>
      </c>
      <c r="EQ70" s="1" t="str">
        <f t="shared" si="333"/>
        <v>0.0150453570212519+0.190499618849508i</v>
      </c>
      <c r="ER70" s="1" t="str">
        <f t="shared" si="334"/>
        <v>-0.01</v>
      </c>
      <c r="ES70" s="1" t="str">
        <f t="shared" si="335"/>
        <v>0.326550498714983-457.170698200977i</v>
      </c>
      <c r="ET70" s="1" t="str">
        <f t="shared" si="336"/>
        <v>-0.01</v>
      </c>
      <c r="EU70" s="1" t="str">
        <f t="shared" si="337"/>
        <v>0.0226120932634585+0.097271143439659i</v>
      </c>
      <c r="EV70" s="1" t="str">
        <f t="shared" si="338"/>
        <v>-0.0125</v>
      </c>
      <c r="EW70" s="1" t="str">
        <f t="shared" si="339"/>
        <v>0.807021935626351-1129.83070987689i</v>
      </c>
      <c r="EX70" s="1" t="str">
        <f t="shared" si="340"/>
        <v>-0.0125</v>
      </c>
      <c r="EY70" s="1" t="str">
        <f t="shared" si="341"/>
        <v>0.0126565447191819+0.035014273972414i</v>
      </c>
      <c r="EZ70" s="1" t="str">
        <f t="shared" si="342"/>
        <v>1.12705276292602-1577.87386809643i</v>
      </c>
      <c r="FB70" s="1" t="str">
        <f t="shared" si="343"/>
        <v>0.00502315097959733+0.221693910269505i</v>
      </c>
      <c r="FC70" s="1" t="str">
        <f t="shared" si="344"/>
        <v>0.166676817052439-233.347543873416i</v>
      </c>
      <c r="FD70" s="1" t="str">
        <f t="shared" si="345"/>
        <v>-0.000510758737736988+0.0225420462640178i</v>
      </c>
      <c r="FE70" s="1" t="str">
        <f t="shared" si="346"/>
        <v>0.0150428032275632+0.190612329080828i</v>
      </c>
      <c r="FF70" s="1" t="str">
        <f t="shared" si="347"/>
        <v>-4.9334954992338-457.293639734461i</v>
      </c>
      <c r="FG70" s="1" t="str">
        <f t="shared" si="348"/>
        <v>-0.00411462591748238+0.0521377842655398i</v>
      </c>
      <c r="FH70" s="1" t="str">
        <f t="shared" si="349"/>
        <v>0.0225709470042837+0.0977925212823144i</v>
      </c>
      <c r="FI70" s="1" t="str">
        <f t="shared" si="350"/>
        <v>-23.0555546872973-1131.45508061483i</v>
      </c>
      <c r="FJ70" s="1" t="str">
        <f t="shared" si="351"/>
        <v>-0.0280097034612449+0.121356871792985i</v>
      </c>
      <c r="FK70" s="1" t="str">
        <f t="shared" si="352"/>
        <v>0.0123064234259163+0.0365312348698263i</v>
      </c>
      <c r="FL70" s="1" t="str">
        <f t="shared" si="353"/>
        <v>-135.963063398277-1609.61802889907i</v>
      </c>
      <c r="FM70" s="1" t="str">
        <f t="shared" si="354"/>
        <v>-40696.7702923856-9987.85355018049i</v>
      </c>
      <c r="FN70" s="1" t="str">
        <f t="shared" si="355"/>
        <v>-13388.4494031062+2347.57421513165i</v>
      </c>
      <c r="FO70" s="1" t="str">
        <f t="shared" si="356"/>
        <v>-2318.94880522541+545.266402544321i</v>
      </c>
      <c r="FP70" s="1" t="str">
        <f t="shared" si="357"/>
        <v>-1040.90220248202+27.9640441339849i</v>
      </c>
      <c r="FQ70" s="92" t="str">
        <f t="shared" si="358"/>
        <v>-0.71557829858164-267.085259181897i</v>
      </c>
      <c r="FR70" s="1" t="str">
        <f t="shared" si="359"/>
        <v>-7.10581131229868-264.498747389845i</v>
      </c>
      <c r="FS70" s="1" t="str">
        <f t="shared" si="360"/>
        <v>6.39023301371695-2.58651179205168i</v>
      </c>
      <c r="FT70" s="1" t="str">
        <f t="shared" si="361"/>
        <v>-34.1925926224611-604.448284197763i</v>
      </c>
      <c r="FU70" s="1" t="str">
        <f t="shared" si="362"/>
        <v>-366.098380057299-3231.15083787222i</v>
      </c>
      <c r="FV70" s="1" t="str">
        <f t="shared" si="363"/>
        <v>2196.4619381806-10495.5205902138i</v>
      </c>
      <c r="FW70" s="1" t="str">
        <f t="shared" si="364"/>
        <v>-7.10581131229868-264.498747389845i</v>
      </c>
      <c r="FX70" s="1" t="str">
        <f t="shared" si="365"/>
        <v>-138.497365587552-589.011717863941i</v>
      </c>
      <c r="FY70" s="1" t="str">
        <f t="shared" si="366"/>
        <v>-596.757385194484-3403.36676306451i</v>
      </c>
      <c r="FZ70" s="1" t="str">
        <f t="shared" si="367"/>
        <v>2538.681461543-10344.1781326566i</v>
      </c>
      <c r="GA70" s="1" t="str">
        <f t="shared" si="368"/>
        <v>6.39023301371695-2.58651179205168i</v>
      </c>
      <c r="GB70" s="1" t="str">
        <f t="shared" si="369"/>
        <v>110.695005978808-18.0230781258733i</v>
      </c>
      <c r="GC70" s="1" t="str">
        <f t="shared" si="370"/>
        <v>341.354011115993+154.192847066401i</v>
      </c>
      <c r="GD70" s="92" t="str">
        <f t="shared" si="371"/>
        <v>1795.45538720226-14598.2049714657i</v>
      </c>
      <c r="GE70" s="1" t="str">
        <f t="shared" ref="GE70:GE133" si="463">IMDIV($EO$1,GD70)</f>
        <v>0.0597532027059836+0.485831899261345i</v>
      </c>
      <c r="GF70" s="1">
        <f t="shared" ref="GF70:GF133" si="464">GP70</f>
        <v>14</v>
      </c>
      <c r="GG70" s="56">
        <f t="shared" ref="GG70:GG133" si="465">IMABS(IMDIV(GE70,IMSUM(GE70,GM70)))</f>
        <v>6.7980536349018017E-2</v>
      </c>
      <c r="GH70" s="1">
        <f t="shared" ref="GH70:GH133" si="466">IMABS(IMDIV(GM70,IMSUM(GE70,GM70)))</f>
        <v>0.93247158459619772</v>
      </c>
      <c r="GJ70" s="1">
        <f t="shared" si="372"/>
        <v>14708.203440133655</v>
      </c>
      <c r="GK70" s="1">
        <f t="shared" si="373"/>
        <v>0.48949267570976795</v>
      </c>
      <c r="GM70" s="1" t="str">
        <f t="shared" ref="GM70:GM133" si="467">COMPLEX($GM$2,$GM$3*GP70)</f>
        <v>0.0191834803010191+6.71421810535671i</v>
      </c>
      <c r="GP70" s="1">
        <f t="shared" si="453"/>
        <v>14</v>
      </c>
      <c r="GQ70" s="1">
        <f t="shared" si="454"/>
        <v>0.48949267570976795</v>
      </c>
      <c r="GR70" s="1">
        <f t="shared" ref="GR70:GR133" si="468">IMABS(GM70)</f>
        <v>6.7142455102726402</v>
      </c>
      <c r="GS70" s="1">
        <f t="shared" ref="GS70:GS133" si="469">IMABS(IMDIV(COMPLEX(1,0),IMSUM(IMDIV(COMPLEX(1,0),GM70),IMDIV(COMPLEX(1,0),GE70))))</f>
        <v>0.45643801096731895</v>
      </c>
    </row>
    <row r="71" spans="2:372" ht="18" customHeight="1" x14ac:dyDescent="0.25">
      <c r="B71" s="6"/>
      <c r="C71" s="207">
        <f t="shared" si="439"/>
        <v>7</v>
      </c>
      <c r="D71" s="207"/>
      <c r="E71" s="207"/>
      <c r="F71" s="192">
        <f t="shared" si="424"/>
        <v>14.964504085679378</v>
      </c>
      <c r="G71" s="193"/>
      <c r="H71" s="192">
        <f t="shared" si="425"/>
        <v>91.884787443337999</v>
      </c>
      <c r="I71" s="193"/>
      <c r="J71" s="192">
        <f t="shared" si="426"/>
        <v>30.069270834703957</v>
      </c>
      <c r="K71" s="193"/>
      <c r="L71" s="192">
        <f t="shared" si="427"/>
        <v>15.304771866218736</v>
      </c>
      <c r="M71" s="193"/>
      <c r="N71" s="192">
        <f t="shared" si="428"/>
        <v>18.584266504315138</v>
      </c>
      <c r="O71" s="193"/>
      <c r="P71" s="193">
        <f t="shared" si="429"/>
        <v>146.27217804810849</v>
      </c>
      <c r="Q71" s="193"/>
      <c r="R71" s="192">
        <f t="shared" si="430"/>
        <v>92.322825984997365</v>
      </c>
      <c r="S71" s="193"/>
      <c r="T71" s="193">
        <f t="shared" si="431"/>
        <v>726.9529638199773</v>
      </c>
      <c r="U71" s="193"/>
      <c r="V71" s="192">
        <f t="shared" si="432"/>
        <v>22.946105763127896</v>
      </c>
      <c r="W71" s="193"/>
      <c r="X71" s="193">
        <f t="shared" si="433"/>
        <v>180.53462785264765</v>
      </c>
      <c r="Y71" s="193"/>
      <c r="Z71" s="192">
        <f t="shared" si="434"/>
        <v>15.236529487920169</v>
      </c>
      <c r="AA71" s="193"/>
      <c r="AB71" s="193">
        <f t="shared" si="435"/>
        <v>119.88918455792329</v>
      </c>
      <c r="AC71" s="193"/>
      <c r="AD71" s="192">
        <f t="shared" si="436"/>
        <v>3.6912285855407569</v>
      </c>
      <c r="AE71" s="193"/>
      <c r="AF71" s="192">
        <f t="shared" si="437"/>
        <v>7.2149649080733118</v>
      </c>
      <c r="AG71" s="193"/>
      <c r="AH71" s="192">
        <f t="shared" si="438"/>
        <v>0.76681269396349727</v>
      </c>
      <c r="AI71" s="193"/>
      <c r="AJ71" s="275">
        <f t="shared" si="440"/>
        <v>1.1803479185603639E-2</v>
      </c>
      <c r="AK71" s="275"/>
      <c r="AL71" s="275"/>
      <c r="AM71" s="192">
        <f t="shared" si="441"/>
        <v>100.00000000000033</v>
      </c>
      <c r="AN71" s="192"/>
      <c r="AO71" s="192"/>
      <c r="AP71" s="8"/>
      <c r="AR71" s="6"/>
      <c r="AT71" s="86"/>
      <c r="AU71" s="86"/>
      <c r="AV71" s="86"/>
      <c r="AW71" s="86"/>
      <c r="AX71" s="86"/>
      <c r="AY71" s="86"/>
      <c r="AZ71" s="86"/>
      <c r="BA71" s="86"/>
      <c r="BB71" s="86"/>
      <c r="BC71" s="86"/>
      <c r="BD71" s="86"/>
      <c r="BE71" s="86"/>
      <c r="BF71" s="86"/>
      <c r="BG71" s="86"/>
      <c r="BH71" s="86"/>
      <c r="BI71" s="86"/>
      <c r="BJ71" s="86"/>
      <c r="BK71" s="86"/>
      <c r="BL71" s="86"/>
      <c r="BM71" s="86"/>
      <c r="BN71" s="86"/>
      <c r="BO71" s="86"/>
      <c r="BP71" s="86"/>
      <c r="BQ71" s="86"/>
      <c r="BR71" s="86"/>
      <c r="BS71" s="86"/>
      <c r="BT71" s="86"/>
      <c r="BU71" s="86"/>
      <c r="BV71" s="86"/>
      <c r="BW71" s="86"/>
      <c r="BX71" s="86"/>
      <c r="BY71" s="86"/>
      <c r="BZ71" s="86"/>
      <c r="CA71" s="86"/>
      <c r="CB71" s="86"/>
      <c r="CC71" s="102"/>
      <c r="CD71" s="86"/>
      <c r="CE71" s="86"/>
      <c r="CF71" s="8"/>
      <c r="CI71" s="1">
        <f t="shared" si="442"/>
        <v>2725.0336941426431</v>
      </c>
      <c r="CJ71" s="1">
        <f t="shared" si="443"/>
        <v>5205.5718624729334</v>
      </c>
      <c r="CK71" s="1">
        <f t="shared" si="444"/>
        <v>47.040136609884485</v>
      </c>
      <c r="CM71" s="1">
        <f t="shared" si="445"/>
        <v>118.43730626302499</v>
      </c>
      <c r="CN71" s="1">
        <f t="shared" si="446"/>
        <v>4558.3318146559786</v>
      </c>
      <c r="CO71" s="1">
        <f t="shared" si="447"/>
        <v>493.82096039984793</v>
      </c>
      <c r="CP71" s="1">
        <f t="shared" si="448"/>
        <v>128.2468107926866</v>
      </c>
      <c r="EA71" s="1">
        <f t="shared" si="420"/>
        <v>14.2</v>
      </c>
      <c r="EB71" s="1" t="str">
        <f t="shared" si="455"/>
        <v>0.0000225034321852368-0.0319548737030363i</v>
      </c>
      <c r="EC71" s="1" t="str">
        <f t="shared" si="456"/>
        <v>0.0000440883569343417-0.0626054668467651i</v>
      </c>
      <c r="ED71" s="1" t="str">
        <f t="shared" si="457"/>
        <v>0.000108957944611172-0.154720281347865i</v>
      </c>
      <c r="EE71" s="1" t="str">
        <f t="shared" si="458"/>
        <v>0.000152166065252554-0.216075812658626i</v>
      </c>
      <c r="EF71" s="1" t="str">
        <f t="shared" si="459"/>
        <v>0.257735357158704i</v>
      </c>
      <c r="EG71" s="1" t="str">
        <f t="shared" si="460"/>
        <v>0.25762801215364i</v>
      </c>
      <c r="EH71" s="1" t="str">
        <f t="shared" si="461"/>
        <v>0.257833165314145i</v>
      </c>
      <c r="EI71" s="1" t="str">
        <f t="shared" si="462"/>
        <v>0.257807979124655i</v>
      </c>
      <c r="EJ71" s="1" t="str">
        <f t="shared" si="450"/>
        <v>0.005</v>
      </c>
      <c r="EK71" s="1" t="str">
        <f t="shared" si="451"/>
        <v>0.01</v>
      </c>
      <c r="EL71" s="1" t="str">
        <f t="shared" si="452"/>
        <v>0.0125</v>
      </c>
      <c r="EM71" s="1" t="str">
        <f t="shared" si="329"/>
        <v>0.00502250343218524+0.225780483455668i</v>
      </c>
      <c r="EN71" s="1" t="str">
        <f t="shared" si="330"/>
        <v>-0.005</v>
      </c>
      <c r="EO71" s="1" t="str">
        <f t="shared" si="331"/>
        <v>0.162014761994067-230.060962031575i</v>
      </c>
      <c r="EP71" s="1" t="str">
        <f t="shared" si="332"/>
        <v>-0.005</v>
      </c>
      <c r="EQ71" s="1" t="str">
        <f t="shared" si="333"/>
        <v>0.0150440883569343+0.195022545306875i</v>
      </c>
      <c r="ER71" s="1" t="str">
        <f t="shared" si="334"/>
        <v>-0.01</v>
      </c>
      <c r="ES71" s="1" t="str">
        <f t="shared" si="335"/>
        <v>0.317416676559806-450.731680714924i</v>
      </c>
      <c r="ET71" s="1" t="str">
        <f t="shared" si="336"/>
        <v>-0.01</v>
      </c>
      <c r="EU71" s="1" t="str">
        <f t="shared" si="337"/>
        <v>0.0226089579446112+0.10311288396628i</v>
      </c>
      <c r="EV71" s="1" t="str">
        <f t="shared" si="338"/>
        <v>-0.0125</v>
      </c>
      <c r="EW71" s="1" t="str">
        <f t="shared" si="339"/>
        <v>0.784449026185558-1113.9176171835i</v>
      </c>
      <c r="EX71" s="1" t="str">
        <f t="shared" si="340"/>
        <v>-0.0125</v>
      </c>
      <c r="EY71" s="1" t="str">
        <f t="shared" si="341"/>
        <v>0.0126521660652526+0.041732166466029i</v>
      </c>
      <c r="EZ71" s="1" t="str">
        <f t="shared" si="342"/>
        <v>1.09552839062655-1555.6503146897i</v>
      </c>
      <c r="FB71" s="1" t="str">
        <f t="shared" si="343"/>
        <v>0.00502250343218524+0.225780483455668i</v>
      </c>
      <c r="FC71" s="1" t="str">
        <f t="shared" si="344"/>
        <v>0.162014761994067-230.060962031575i</v>
      </c>
      <c r="FD71" s="1" t="str">
        <f t="shared" si="345"/>
        <v>-0.000492382483703428+0.022134450820533i</v>
      </c>
      <c r="FE71" s="1" t="str">
        <f t="shared" si="346"/>
        <v>0.0150416264445158+0.195133217560978i</v>
      </c>
      <c r="FF71" s="1" t="str">
        <f t="shared" si="347"/>
        <v>-4.77477660002169-450.848544810594i</v>
      </c>
      <c r="FG71" s="1" t="str">
        <f t="shared" si="348"/>
        <v>-0.00392698713543937+0.0509443335722675i</v>
      </c>
      <c r="FH71" s="1" t="str">
        <f t="shared" si="349"/>
        <v>0.0225696880732568+0.103622327302003i</v>
      </c>
      <c r="FI71" s="1" t="str">
        <f t="shared" si="350"/>
        <v>-22.2024801174996-1115.44484580716i</v>
      </c>
      <c r="FJ71" s="1" t="str">
        <f t="shared" si="351"/>
        <v>-0.0250841703944511+0.11516686036051i</v>
      </c>
      <c r="FK71" s="1" t="str">
        <f t="shared" si="352"/>
        <v>0.012338613935322+0.0431717522205354i</v>
      </c>
      <c r="FL71" s="1" t="str">
        <f t="shared" si="353"/>
        <v>-127.171189027619-1583.68235653597i</v>
      </c>
      <c r="FM71" s="1" t="str">
        <f t="shared" si="354"/>
        <v>-34691.4761407679-6969.22238371959i</v>
      </c>
      <c r="FN71" s="1" t="str">
        <f t="shared" si="355"/>
        <v>-11994.3672871468+1786.64973457454i</v>
      </c>
      <c r="FO71" s="1" t="str">
        <f t="shared" si="356"/>
        <v>-2254.77496034791+465.338336222091i</v>
      </c>
      <c r="FP71" s="1" t="str">
        <f t="shared" si="357"/>
        <v>-1009.24885849345+26.7645107829686i</v>
      </c>
      <c r="FQ71" s="92" t="str">
        <f t="shared" si="358"/>
        <v>-0.670530236554113-262.31198413302i</v>
      </c>
      <c r="FR71" s="1" t="str">
        <f t="shared" si="359"/>
        <v>-6.8981607458264-260.119115005824i</v>
      </c>
      <c r="FS71" s="1" t="str">
        <f t="shared" si="360"/>
        <v>6.2276305092723-2.19286912719561i</v>
      </c>
      <c r="FT71" s="1" t="str">
        <f t="shared" si="361"/>
        <v>-28.7158977810627-591.913435744563i</v>
      </c>
      <c r="FU71" s="1" t="str">
        <f t="shared" si="362"/>
        <v>-274.339618970757-2969.88416812329i</v>
      </c>
      <c r="FV71" s="1" t="str">
        <f t="shared" si="363"/>
        <v>1512.25478397367-9050.57873498545i</v>
      </c>
      <c r="FW71" s="1" t="str">
        <f t="shared" si="364"/>
        <v>-6.8981607458264-260.119115005824i</v>
      </c>
      <c r="FX71" s="1" t="str">
        <f t="shared" si="365"/>
        <v>-119.884190539779-580.893190888235i</v>
      </c>
      <c r="FY71" s="1" t="str">
        <f t="shared" si="366"/>
        <v>-460.657556373031-3092.54568358549i</v>
      </c>
      <c r="FZ71" s="1" t="str">
        <f t="shared" si="367"/>
        <v>1796.72113881706-8943.73935670256i</v>
      </c>
      <c r="GA71" s="1" t="str">
        <f t="shared" si="368"/>
        <v>6.2276305092723-2.19286912719561i</v>
      </c>
      <c r="GB71" s="1" t="str">
        <f t="shared" si="369"/>
        <v>97.3959232679889-13.2131139835245i</v>
      </c>
      <c r="GC71" s="1" t="str">
        <f t="shared" si="370"/>
        <v>283.713860670264+109.448401478677i</v>
      </c>
      <c r="GD71" s="92" t="str">
        <f t="shared" si="371"/>
        <v>1208.5287369853-12874.6883229863i</v>
      </c>
      <c r="GE71" s="1" t="str">
        <f t="shared" si="463"/>
        <v>0.0520330659409035+0.554318226763585i</v>
      </c>
      <c r="GF71" s="1">
        <f t="shared" si="464"/>
        <v>14.2</v>
      </c>
      <c r="GG71" s="56">
        <f t="shared" si="465"/>
        <v>7.5596778160878883E-2</v>
      </c>
      <c r="GH71" s="1">
        <f t="shared" si="466"/>
        <v>0.92469100474530153</v>
      </c>
      <c r="GJ71" s="1">
        <f t="shared" si="372"/>
        <v>12931.285362335759</v>
      </c>
      <c r="GK71" s="1">
        <f t="shared" si="373"/>
        <v>0.55675500579117887</v>
      </c>
      <c r="GM71" s="1" t="str">
        <f t="shared" si="467"/>
        <v>0.0191834803010191+6.81013550686181i</v>
      </c>
      <c r="GP71" s="1">
        <f t="shared" si="453"/>
        <v>14.2</v>
      </c>
      <c r="GQ71" s="1">
        <f t="shared" si="454"/>
        <v>0.55675500579117887</v>
      </c>
      <c r="GR71" s="1">
        <f t="shared" si="468"/>
        <v>6.8101625257945511</v>
      </c>
      <c r="GS71" s="1">
        <f t="shared" si="469"/>
        <v>0.51482634570202224</v>
      </c>
      <c r="NH71" s="1" t="str">
        <f>ROUND(L39,2)&amp;" Ohms "&amp;ROUND(Q39,1)&amp;" uF"</f>
        <v>55.1 Ohms 48.2 uF</v>
      </c>
    </row>
    <row r="72" spans="2:372" ht="18" customHeight="1" x14ac:dyDescent="0.25">
      <c r="B72" s="6"/>
      <c r="C72" s="222">
        <f t="shared" si="439"/>
        <v>11</v>
      </c>
      <c r="D72" s="222"/>
      <c r="E72" s="222"/>
      <c r="F72" s="191">
        <f t="shared" si="424"/>
        <v>2.1095343137973188</v>
      </c>
      <c r="G72" s="190"/>
      <c r="H72" s="191">
        <f t="shared" si="425"/>
        <v>7.9000748305768829</v>
      </c>
      <c r="I72" s="190"/>
      <c r="J72" s="191">
        <f t="shared" si="426"/>
        <v>74.20120827391203</v>
      </c>
      <c r="K72" s="190"/>
      <c r="L72" s="191">
        <f t="shared" si="427"/>
        <v>43.948617385243445</v>
      </c>
      <c r="M72" s="190"/>
      <c r="N72" s="191">
        <f t="shared" si="428"/>
        <v>2.2035037373189414</v>
      </c>
      <c r="O72" s="190"/>
      <c r="P72" s="190">
        <f t="shared" si="429"/>
        <v>11.036603738483631</v>
      </c>
      <c r="Q72" s="190"/>
      <c r="R72" s="191">
        <f t="shared" si="430"/>
        <v>11.626221598993723</v>
      </c>
      <c r="S72" s="190"/>
      <c r="T72" s="190">
        <f t="shared" si="431"/>
        <v>58.25606862235977</v>
      </c>
      <c r="U72" s="190"/>
      <c r="V72" s="191">
        <f t="shared" si="432"/>
        <v>75.566231215746853</v>
      </c>
      <c r="W72" s="190"/>
      <c r="X72" s="190">
        <f t="shared" si="433"/>
        <v>378.34207528457961</v>
      </c>
      <c r="Y72" s="190"/>
      <c r="Z72" s="191">
        <f t="shared" si="434"/>
        <v>39.454717662708582</v>
      </c>
      <c r="AA72" s="190"/>
      <c r="AB72" s="190">
        <f t="shared" si="435"/>
        <v>197.55964839790812</v>
      </c>
      <c r="AC72" s="190"/>
      <c r="AD72" s="191">
        <f t="shared" si="436"/>
        <v>0.24064038900098841</v>
      </c>
      <c r="AE72" s="190"/>
      <c r="AF72" s="191">
        <f t="shared" si="437"/>
        <v>3.8188936300803116</v>
      </c>
      <c r="AG72" s="190"/>
      <c r="AH72" s="191">
        <f t="shared" si="438"/>
        <v>4.6269765610237581</v>
      </c>
      <c r="AI72" s="190"/>
      <c r="AJ72" s="300">
        <f t="shared" si="440"/>
        <v>5.580273710273656E-3</v>
      </c>
      <c r="AK72" s="300"/>
      <c r="AL72" s="300"/>
      <c r="AM72" s="191">
        <f t="shared" si="441"/>
        <v>89.999999999999787</v>
      </c>
      <c r="AN72" s="191"/>
      <c r="AO72" s="191"/>
      <c r="AP72" s="8"/>
      <c r="AR72" s="6"/>
      <c r="AT72" s="86"/>
      <c r="AU72" s="86"/>
      <c r="AV72" s="86"/>
      <c r="AW72" s="86"/>
      <c r="AX72" s="86"/>
      <c r="AY72" s="86"/>
      <c r="AZ72" s="86"/>
      <c r="BA72" s="86"/>
      <c r="BB72" s="86"/>
      <c r="BC72" s="86"/>
      <c r="BD72" s="86"/>
      <c r="BE72" s="86"/>
      <c r="BF72" s="86"/>
      <c r="BG72" s="86"/>
      <c r="BH72" s="86"/>
      <c r="BI72" s="86"/>
      <c r="BJ72" s="86"/>
      <c r="BK72" s="86"/>
      <c r="BL72" s="86"/>
      <c r="BM72" s="86"/>
      <c r="BN72" s="86"/>
      <c r="BO72" s="86"/>
      <c r="BP72" s="86"/>
      <c r="BQ72" s="86"/>
      <c r="BR72" s="86"/>
      <c r="BS72" s="86"/>
      <c r="BT72" s="86"/>
      <c r="BU72" s="86"/>
      <c r="BV72" s="86"/>
      <c r="BW72" s="86"/>
      <c r="BX72" s="86"/>
      <c r="BY72" s="86"/>
      <c r="BZ72" s="86"/>
      <c r="CA72" s="86"/>
      <c r="CB72" s="86"/>
      <c r="CC72" s="102"/>
      <c r="CD72" s="86"/>
      <c r="CE72" s="86"/>
      <c r="CF72" s="8"/>
      <c r="CI72" s="1">
        <f t="shared" si="442"/>
        <v>11.581559363709406</v>
      </c>
      <c r="CJ72" s="1">
        <f t="shared" si="443"/>
        <v>1458.394855786798</v>
      </c>
      <c r="CK72" s="1">
        <f t="shared" si="444"/>
        <v>1712.7129677010594</v>
      </c>
      <c r="CM72" s="1">
        <f t="shared" si="445"/>
        <v>2.353623821413215</v>
      </c>
      <c r="CN72" s="1">
        <f t="shared" si="446"/>
        <v>33.696214613953728</v>
      </c>
      <c r="CO72" s="1">
        <f t="shared" si="447"/>
        <v>3007.0848368538018</v>
      </c>
      <c r="CP72" s="1">
        <f t="shared" si="448"/>
        <v>1057.5070878669255</v>
      </c>
      <c r="DZ72" s="1" t="s">
        <v>3</v>
      </c>
      <c r="EA72" s="1">
        <f t="shared" si="420"/>
        <v>14.4</v>
      </c>
      <c r="EB72" s="1" t="str">
        <f t="shared" si="455"/>
        <v>0.0000218826780859691-0.0315110564437956i</v>
      </c>
      <c r="EC72" s="1" t="str">
        <f t="shared" si="456"/>
        <v>0.0000428721856378169-0.0617359473184566i</v>
      </c>
      <c r="ED72" s="1" t="str">
        <f t="shared" si="457"/>
        <v>0.000105952354610126-0.152571390638582i</v>
      </c>
      <c r="EE72" s="1" t="str">
        <f t="shared" si="458"/>
        <v>0.000147968585152744-0.213074762619951i</v>
      </c>
      <c r="EF72" s="1" t="str">
        <f t="shared" si="459"/>
        <v>0.261365432611644i</v>
      </c>
      <c r="EG72" s="1" t="str">
        <f t="shared" si="460"/>
        <v>0.2612565757051i</v>
      </c>
      <c r="EH72" s="1" t="str">
        <f t="shared" si="461"/>
        <v>0.261464618346739i</v>
      </c>
      <c r="EI72" s="1" t="str">
        <f t="shared" si="462"/>
        <v>0.261439077422186i</v>
      </c>
      <c r="EJ72" s="1" t="str">
        <f t="shared" si="450"/>
        <v>0.005</v>
      </c>
      <c r="EK72" s="1" t="str">
        <f t="shared" si="451"/>
        <v>0.01</v>
      </c>
      <c r="EL72" s="1" t="str">
        <f t="shared" si="452"/>
        <v>0.0125</v>
      </c>
      <c r="EM72" s="1" t="str">
        <f t="shared" si="329"/>
        <v>0.00502188267808597+0.229854376167848i</v>
      </c>
      <c r="EN72" s="1" t="str">
        <f t="shared" si="330"/>
        <v>-0.005</v>
      </c>
      <c r="EO72" s="1" t="str">
        <f t="shared" si="331"/>
        <v>0.157545606941547-226.865673995828i</v>
      </c>
      <c r="EP72" s="1" t="str">
        <f t="shared" si="332"/>
        <v>-0.005</v>
      </c>
      <c r="EQ72" s="1" t="str">
        <f t="shared" si="333"/>
        <v>0.0150428721856378+0.199520628386643i</v>
      </c>
      <c r="ER72" s="1" t="str">
        <f t="shared" si="334"/>
        <v>-0.01</v>
      </c>
      <c r="ES72" s="1" t="str">
        <f t="shared" si="335"/>
        <v>0.308660780946703-444.471524563254i</v>
      </c>
      <c r="ET72" s="1" t="str">
        <f t="shared" si="336"/>
        <v>-0.01</v>
      </c>
      <c r="EU72" s="1" t="str">
        <f t="shared" si="337"/>
        <v>0.0226059523546101+0.108893227708157i</v>
      </c>
      <c r="EV72" s="1" t="str">
        <f t="shared" si="338"/>
        <v>-0.0125</v>
      </c>
      <c r="EW72" s="1" t="str">
        <f t="shared" si="339"/>
        <v>0.762810107079224-1098.44655419409i</v>
      </c>
      <c r="EX72" s="1" t="str">
        <f t="shared" si="340"/>
        <v>-0.0125</v>
      </c>
      <c r="EY72" s="1" t="str">
        <f t="shared" si="341"/>
        <v>0.0126479685851527+0.048364314802235i</v>
      </c>
      <c r="EZ72" s="1" t="str">
        <f t="shared" si="342"/>
        <v>1.06530838979522-1534.04408130512i</v>
      </c>
      <c r="FB72" s="1" t="str">
        <f t="shared" si="343"/>
        <v>0.00502188267808597+0.229854376167848i</v>
      </c>
      <c r="FC72" s="1" t="str">
        <f t="shared" si="344"/>
        <v>0.157545606941547-226.865673995828i</v>
      </c>
      <c r="FD72" s="1" t="str">
        <f t="shared" si="345"/>
        <v>-0.000475032974123621+0.0217425246517225i</v>
      </c>
      <c r="FE72" s="1" t="str">
        <f t="shared" si="346"/>
        <v>0.0150404970207672+0.199629341009902i</v>
      </c>
      <c r="FF72" s="1" t="str">
        <f t="shared" si="347"/>
        <v>-4.62389688917901-444.582718678341i</v>
      </c>
      <c r="FG72" s="1" t="str">
        <f t="shared" si="348"/>
        <v>-0.00375279782349072+0.0498100930715542i</v>
      </c>
      <c r="FH72" s="1" t="str">
        <f t="shared" si="349"/>
        <v>0.0225684243763752+0.109391328638873i</v>
      </c>
      <c r="FI72" s="1" t="str">
        <f t="shared" si="350"/>
        <v>-21.3992490384753-1099.8846665187i</v>
      </c>
      <c r="FJ72" s="1" t="str">
        <f t="shared" si="351"/>
        <v>-0.0226122078332399+0.109603551275197i</v>
      </c>
      <c r="FK72" s="1" t="str">
        <f t="shared" si="352"/>
        <v>0.0123653159872372+0.049734359193175i</v>
      </c>
      <c r="FL72" s="1" t="str">
        <f t="shared" si="353"/>
        <v>-119.311086015202-1558.96598977895i</v>
      </c>
      <c r="FM72" s="1" t="str">
        <f t="shared" si="354"/>
        <v>-30082.7244319088-5080.41747076546i</v>
      </c>
      <c r="FN72" s="1" t="str">
        <f t="shared" si="355"/>
        <v>-10919.8805906264+1380.26301542773i</v>
      </c>
      <c r="FO72" s="1" t="str">
        <f t="shared" si="356"/>
        <v>-2188.43498940705+405.288884128062i</v>
      </c>
      <c r="FP72" s="1" t="str">
        <f t="shared" si="357"/>
        <v>-978.739109252612+25.5358042723828i</v>
      </c>
      <c r="FQ72" s="92" t="str">
        <f t="shared" si="358"/>
        <v>-0.625697129965302-257.707336103022i</v>
      </c>
      <c r="FR72" s="1" t="str">
        <f t="shared" si="359"/>
        <v>-6.6741765307376-255.808570703744i</v>
      </c>
      <c r="FS72" s="1" t="str">
        <f t="shared" si="360"/>
        <v>6.0484794007722-1.8987653992784i</v>
      </c>
      <c r="FT72" s="1" t="str">
        <f t="shared" si="361"/>
        <v>-24.6184094272172-579.594007399432i</v>
      </c>
      <c r="FU72" s="1" t="str">
        <f t="shared" si="362"/>
        <v>-208.668850543094-2764.65416362968i</v>
      </c>
      <c r="FV72" s="1" t="str">
        <f t="shared" si="363"/>
        <v>1088.02535315513-7943.16170641035i</v>
      </c>
      <c r="FW72" s="1" t="str">
        <f t="shared" si="364"/>
        <v>-6.6741765307376-255.808570703744i</v>
      </c>
      <c r="FX72" s="1" t="str">
        <f t="shared" si="365"/>
        <v>-105.884386038639-571.743031485713i</v>
      </c>
      <c r="FY72" s="1" t="str">
        <f t="shared" si="366"/>
        <v>-360.889942546931-2855.16241102009i</v>
      </c>
      <c r="FZ72" s="1" t="str">
        <f t="shared" si="367"/>
        <v>1328.21965647648-7864.79972182409i</v>
      </c>
      <c r="GA72" s="1" t="str">
        <f t="shared" si="368"/>
        <v>6.0484794007722-1.8987653992784i</v>
      </c>
      <c r="GB72" s="1" t="str">
        <f t="shared" si="369"/>
        <v>87.3144560121935-9.74974131299668i</v>
      </c>
      <c r="GC72" s="1" t="str">
        <f t="shared" si="370"/>
        <v>239.53554801603+80.7585060774149i</v>
      </c>
      <c r="GD72" s="92" t="str">
        <f t="shared" si="371"/>
        <v>854.112396054853-11545.1172135425i</v>
      </c>
      <c r="GE72" s="1" t="str">
        <f t="shared" si="463"/>
        <v>0.0458832003255719+0.620207514067223i</v>
      </c>
      <c r="GF72" s="1">
        <f t="shared" si="464"/>
        <v>14.4</v>
      </c>
      <c r="GG72" s="56">
        <f t="shared" si="465"/>
        <v>8.2627912468135556E-2</v>
      </c>
      <c r="GH72" s="1">
        <f t="shared" si="466"/>
        <v>0.91756345054491339</v>
      </c>
      <c r="GJ72" s="1">
        <f t="shared" si="372"/>
        <v>11576.667891044033</v>
      </c>
      <c r="GK72" s="1">
        <f t="shared" si="373"/>
        <v>0.62190242689473496</v>
      </c>
      <c r="GM72" s="1" t="str">
        <f t="shared" si="467"/>
        <v>0.0191834803010191+6.9060529083669i</v>
      </c>
      <c r="GP72" s="1">
        <f t="shared" si="453"/>
        <v>14.4</v>
      </c>
      <c r="GQ72" s="1">
        <f t="shared" si="454"/>
        <v>0.62190242689473496</v>
      </c>
      <c r="GR72" s="1">
        <f t="shared" si="468"/>
        <v>6.9060795520381442</v>
      </c>
      <c r="GS72" s="1">
        <f t="shared" si="469"/>
        <v>0.57063493672378551</v>
      </c>
      <c r="NH72" s="1" t="str">
        <f t="shared" ref="NH72" si="470">ROUND(L40,2)&amp;" Ohms "&amp;ROUND(Q40,1)&amp;" uF"</f>
        <v>55.12 Ohms 48.1 uF</v>
      </c>
    </row>
    <row r="73" spans="2:372" ht="18" customHeight="1" x14ac:dyDescent="0.25">
      <c r="B73" s="6"/>
      <c r="C73" s="207">
        <f t="shared" si="439"/>
        <v>13</v>
      </c>
      <c r="D73" s="207"/>
      <c r="E73" s="207"/>
      <c r="F73" s="192">
        <f t="shared" si="424"/>
        <v>0.58918556108471587</v>
      </c>
      <c r="G73" s="193"/>
      <c r="H73" s="192">
        <f t="shared" si="425"/>
        <v>1.5019452981818349</v>
      </c>
      <c r="I73" s="193"/>
      <c r="J73" s="192">
        <f t="shared" si="426"/>
        <v>16.823257395902136</v>
      </c>
      <c r="K73" s="193"/>
      <c r="L73" s="192">
        <f t="shared" si="427"/>
        <v>70.396260317004263</v>
      </c>
      <c r="M73" s="193"/>
      <c r="N73" s="192">
        <f t="shared" si="428"/>
        <v>0.56800475080456037</v>
      </c>
      <c r="O73" s="193"/>
      <c r="P73" s="193">
        <f t="shared" si="429"/>
        <v>2.4072597776683424</v>
      </c>
      <c r="Q73" s="193"/>
      <c r="R73" s="192">
        <f t="shared" si="430"/>
        <v>1.964730096710019</v>
      </c>
      <c r="S73" s="193"/>
      <c r="T73" s="193">
        <f t="shared" si="431"/>
        <v>8.3301880878735233</v>
      </c>
      <c r="U73" s="193"/>
      <c r="V73" s="192">
        <f t="shared" si="432"/>
        <v>20.109588535309591</v>
      </c>
      <c r="W73" s="193"/>
      <c r="X73" s="193">
        <f t="shared" si="433"/>
        <v>85.194075864902416</v>
      </c>
      <c r="Y73" s="193"/>
      <c r="Z73" s="192">
        <f t="shared" si="434"/>
        <v>69.3595058511318</v>
      </c>
      <c r="AA73" s="193"/>
      <c r="AB73" s="193">
        <f t="shared" si="435"/>
        <v>293.86957701266226</v>
      </c>
      <c r="AC73" s="193"/>
      <c r="AD73" s="192">
        <f t="shared" si="436"/>
        <v>3.1771717842649101E-2</v>
      </c>
      <c r="AE73" s="193"/>
      <c r="AF73" s="192">
        <f t="shared" si="437"/>
        <v>0.79054563858387539</v>
      </c>
      <c r="AG73" s="193"/>
      <c r="AH73" s="192">
        <f t="shared" si="438"/>
        <v>3.374744189302461</v>
      </c>
      <c r="AI73" s="193"/>
      <c r="AJ73" s="275">
        <f t="shared" si="440"/>
        <v>2.0105271582469414E-3</v>
      </c>
      <c r="AK73" s="275"/>
      <c r="AL73" s="275"/>
      <c r="AM73" s="192">
        <f t="shared" si="441"/>
        <v>80.000000000000313</v>
      </c>
      <c r="AN73" s="192"/>
      <c r="AO73" s="192"/>
      <c r="AP73" s="8"/>
      <c r="AR73" s="6"/>
      <c r="AT73" s="294"/>
      <c r="AU73" s="294"/>
      <c r="AV73" s="294"/>
      <c r="AW73" s="294"/>
      <c r="AX73" s="294"/>
      <c r="AY73" s="86"/>
      <c r="AZ73" s="86"/>
      <c r="BA73" s="86"/>
      <c r="BB73" s="86"/>
      <c r="BC73" s="86"/>
      <c r="BD73" s="86"/>
      <c r="BE73" s="86"/>
      <c r="BF73" s="86"/>
      <c r="BG73" s="86"/>
      <c r="BH73" s="86"/>
      <c r="BI73" s="86"/>
      <c r="BJ73" s="86"/>
      <c r="BK73" s="86"/>
      <c r="BL73" s="86"/>
      <c r="BM73" s="86"/>
      <c r="BN73" s="86"/>
      <c r="BO73" s="86"/>
      <c r="BP73" s="86"/>
      <c r="BQ73" s="86"/>
      <c r="BR73" s="86"/>
      <c r="BS73" s="86"/>
      <c r="BT73" s="86"/>
      <c r="BU73" s="86"/>
      <c r="BV73" s="86"/>
      <c r="BW73" s="86"/>
      <c r="BX73" s="86"/>
      <c r="BY73" s="86"/>
      <c r="BZ73" s="86"/>
      <c r="CA73" s="86"/>
      <c r="CB73" s="86"/>
      <c r="CC73" s="102"/>
      <c r="CD73" s="86"/>
      <c r="CE73" s="86"/>
      <c r="CF73" s="8"/>
      <c r="CI73" s="1">
        <f t="shared" si="442"/>
        <v>0.20188841093458143</v>
      </c>
      <c r="CJ73" s="1">
        <f t="shared" si="443"/>
        <v>62.496240668398727</v>
      </c>
      <c r="CK73" s="1">
        <f t="shared" si="444"/>
        <v>911.11186745845794</v>
      </c>
      <c r="CM73" s="1">
        <f t="shared" si="445"/>
        <v>0.18359804540856922</v>
      </c>
      <c r="CN73" s="1">
        <f t="shared" si="446"/>
        <v>1.2179429248563298</v>
      </c>
      <c r="CO73" s="1">
        <f t="shared" si="447"/>
        <v>154.57665517799595</v>
      </c>
      <c r="CP73" s="1">
        <f t="shared" si="448"/>
        <v>2713.2638617808334</v>
      </c>
      <c r="EA73" s="1">
        <f t="shared" si="420"/>
        <v>14.6</v>
      </c>
      <c r="EB73" s="1" t="str">
        <f t="shared" si="455"/>
        <v>0.000021287259276827-0.0310793985441675i</v>
      </c>
      <c r="EC73" s="1" t="str">
        <f t="shared" si="456"/>
        <v>0.0000417056508280693-0.0608902502089812i</v>
      </c>
      <c r="ED73" s="1" t="str">
        <f t="shared" si="457"/>
        <v>0.000103069433947494-0.150481373563341i</v>
      </c>
      <c r="EE73" s="1" t="str">
        <f t="shared" si="458"/>
        <v>0.000143942419871878-0.210155933012942i</v>
      </c>
      <c r="EF73" s="1" t="str">
        <f t="shared" si="459"/>
        <v>0.264995508064583i</v>
      </c>
      <c r="EG73" s="1" t="str">
        <f t="shared" si="460"/>
        <v>0.26488513925656i</v>
      </c>
      <c r="EH73" s="1" t="str">
        <f t="shared" si="461"/>
        <v>0.265096071379332i</v>
      </c>
      <c r="EI73" s="1" t="str">
        <f t="shared" si="462"/>
        <v>0.265070175719716i</v>
      </c>
      <c r="EJ73" s="1" t="str">
        <f t="shared" si="450"/>
        <v>0.005</v>
      </c>
      <c r="EK73" s="1" t="str">
        <f t="shared" si="451"/>
        <v>0.01</v>
      </c>
      <c r="EL73" s="1" t="str">
        <f t="shared" si="452"/>
        <v>0.0125</v>
      </c>
      <c r="EM73" s="1" t="str">
        <f t="shared" si="329"/>
        <v>0.00502128725927683+0.233916109520415i</v>
      </c>
      <c r="EN73" s="1" t="str">
        <f t="shared" si="330"/>
        <v>-0.005</v>
      </c>
      <c r="EO73" s="1" t="str">
        <f t="shared" si="331"/>
        <v>0.153258854776104-223.757927973113i</v>
      </c>
      <c r="EP73" s="1" t="str">
        <f t="shared" si="332"/>
        <v>-0.005</v>
      </c>
      <c r="EQ73" s="1" t="str">
        <f t="shared" si="333"/>
        <v>0.0150417056508281+0.203994889047579i</v>
      </c>
      <c r="ER73" s="1" t="str">
        <f t="shared" si="334"/>
        <v>-0.01</v>
      </c>
      <c r="ES73" s="1" t="str">
        <f t="shared" si="335"/>
        <v>0.30026224609196-438.382879294262i</v>
      </c>
      <c r="ET73" s="1" t="str">
        <f t="shared" si="336"/>
        <v>-0.01</v>
      </c>
      <c r="EU73" s="1" t="str">
        <f t="shared" si="337"/>
        <v>0.0226030694339475+0.114614697815991i</v>
      </c>
      <c r="EV73" s="1" t="str">
        <f t="shared" si="338"/>
        <v>-0.0125</v>
      </c>
      <c r="EW73" s="1" t="str">
        <f t="shared" si="339"/>
        <v>0.742054352972056-1083.3993553392i</v>
      </c>
      <c r="EX73" s="1" t="str">
        <f t="shared" si="340"/>
        <v>-0.0125</v>
      </c>
      <c r="EY73" s="1" t="str">
        <f t="shared" si="341"/>
        <v>0.0126439424198719+0.054914242706774i</v>
      </c>
      <c r="EZ73" s="1" t="str">
        <f t="shared" si="342"/>
        <v>1.03632177991461-1513.02979867533i</v>
      </c>
      <c r="FB73" s="1" t="str">
        <f t="shared" si="343"/>
        <v>0.00502128725927683+0.233916109520415i</v>
      </c>
      <c r="FC73" s="1" t="str">
        <f t="shared" si="344"/>
        <v>0.153258854776104-223.757927973113i</v>
      </c>
      <c r="FD73" s="1" t="str">
        <f t="shared" si="345"/>
        <v>-0.000458632399555401+0.0213653394168615i</v>
      </c>
      <c r="FE73" s="1" t="str">
        <f t="shared" si="346"/>
        <v>0.0150394124888303+0.204101715744663i</v>
      </c>
      <c r="FF73" s="1" t="str">
        <f t="shared" si="347"/>
        <v>-4.48033154279093-438.488776357139i</v>
      </c>
      <c r="FG73" s="1" t="str">
        <f t="shared" si="348"/>
        <v>-0.00359075595907393+0.0487305905474478i</v>
      </c>
      <c r="FH73" s="1" t="str">
        <f t="shared" si="349"/>
        <v>0.0225671618743568+0.115102003721465i</v>
      </c>
      <c r="FI73" s="1" t="str">
        <f t="shared" si="350"/>
        <v>-20.641850444525-1084.75553232396i</v>
      </c>
      <c r="FJ73" s="1" t="str">
        <f t="shared" si="351"/>
        <v>-0.0205040477762904+0.104579255317587i</v>
      </c>
      <c r="FK73" s="1" t="str">
        <f t="shared" si="352"/>
        <v>0.0123876418226683+0.0562214833982438i</v>
      </c>
      <c r="FL73" s="1" t="str">
        <f t="shared" si="353"/>
        <v>-112.249560895106-1535.32147430965i</v>
      </c>
      <c r="FM73" s="1" t="str">
        <f t="shared" si="354"/>
        <v>-26463.6042370545-3834.33656852082i</v>
      </c>
      <c r="FN73" s="1" t="str">
        <f t="shared" si="355"/>
        <v>-10052.8964493645+1082.27101093914i</v>
      </c>
      <c r="FO73" s="1" t="str">
        <f t="shared" si="356"/>
        <v>-2121.74827208577+358.152053295449i</v>
      </c>
      <c r="FP73" s="1" t="str">
        <f t="shared" si="357"/>
        <v>-949.439820096356+24.3167195505039i</v>
      </c>
      <c r="FQ73" s="92" t="str">
        <f t="shared" si="358"/>
        <v>-0.582279191802621-253.266464171904i</v>
      </c>
      <c r="FR73" s="1" t="str">
        <f t="shared" si="359"/>
        <v>-6.44382145174976-251.59728750318i</v>
      </c>
      <c r="FS73" s="1" t="str">
        <f t="shared" si="360"/>
        <v>5.86154225994705-1.66917666872472i</v>
      </c>
      <c r="FT73" s="1" t="str">
        <f t="shared" si="361"/>
        <v>-21.4192169993476-567.591599426516i</v>
      </c>
      <c r="FU73" s="1" t="str">
        <f t="shared" si="362"/>
        <v>-161.083427594367-2596.28457039007i</v>
      </c>
      <c r="FV73" s="1" t="str">
        <f t="shared" si="363"/>
        <v>810.654136055463-7073.96131431448i</v>
      </c>
      <c r="FW73" s="1" t="str">
        <f t="shared" si="364"/>
        <v>-6.44382145174976-251.59728750318i</v>
      </c>
      <c r="FX73" s="1" t="str">
        <f t="shared" si="365"/>
        <v>-94.8691565121879-562.019586518805i</v>
      </c>
      <c r="FY73" s="1" t="str">
        <f t="shared" si="366"/>
        <v>-286.905793167704-2664.98335470976i</v>
      </c>
      <c r="FZ73" s="1" t="str">
        <f t="shared" si="367"/>
        <v>1016.36826798635-7014.71222529306i</v>
      </c>
      <c r="GA73" s="1" t="str">
        <f t="shared" si="368"/>
        <v>5.86154225994705-1.66917666872472i</v>
      </c>
      <c r="GB73" s="1" t="str">
        <f t="shared" si="369"/>
        <v>79.3114817727873-7.24118957643691i</v>
      </c>
      <c r="GC73" s="1" t="str">
        <f t="shared" si="370"/>
        <v>205.133847346125+61.4575947432495i</v>
      </c>
      <c r="GD73" s="92" t="str">
        <f t="shared" si="371"/>
        <v>627.569212269946-10491.103948303i</v>
      </c>
      <c r="GE73" s="1" t="str">
        <f t="shared" si="463"/>
        <v>0.0409047552524115+0.683806711582836i</v>
      </c>
      <c r="GF73" s="1">
        <f t="shared" si="464"/>
        <v>14.6</v>
      </c>
      <c r="GG73" s="56">
        <f t="shared" si="465"/>
        <v>8.9126724216986683E-2</v>
      </c>
      <c r="GH73" s="1">
        <f t="shared" si="466"/>
        <v>0.91100517071447773</v>
      </c>
      <c r="GJ73" s="1">
        <f t="shared" si="372"/>
        <v>10509.857523786321</v>
      </c>
      <c r="GK73" s="1">
        <f t="shared" si="373"/>
        <v>0.68502906347686565</v>
      </c>
      <c r="GM73" s="1" t="str">
        <f t="shared" si="467"/>
        <v>0.0191834803010191+7.001970309872i</v>
      </c>
      <c r="GP73" s="1">
        <f t="shared" si="453"/>
        <v>14.6</v>
      </c>
      <c r="GQ73" s="1">
        <f t="shared" si="454"/>
        <v>0.68502906347686565</v>
      </c>
      <c r="GR73" s="1">
        <f t="shared" si="468"/>
        <v>7.001996588562827</v>
      </c>
      <c r="GS73" s="1">
        <f t="shared" si="469"/>
        <v>0.6240650189171224</v>
      </c>
      <c r="NH73" s="1" t="str">
        <f>IF(F31&lt;1,"",ROUND(L41,2)&amp;" Ohms "&amp;ROUND(Q41,1)&amp;" uF")</f>
        <v>55.07 Ohms 48.2 uF</v>
      </c>
    </row>
    <row r="74" spans="2:372" ht="18" customHeight="1" x14ac:dyDescent="0.25">
      <c r="B74" s="6"/>
      <c r="C74" s="222">
        <f t="shared" si="439"/>
        <v>17</v>
      </c>
      <c r="D74" s="222"/>
      <c r="E74" s="222"/>
      <c r="F74" s="191">
        <f t="shared" si="424"/>
        <v>2.7311891766900271</v>
      </c>
      <c r="G74" s="190"/>
      <c r="H74" s="191">
        <f t="shared" si="425"/>
        <v>5.8899061960381038</v>
      </c>
      <c r="I74" s="190"/>
      <c r="J74" s="191">
        <f t="shared" si="426"/>
        <v>20.858224696500429</v>
      </c>
      <c r="K74" s="190"/>
      <c r="L74" s="191">
        <f t="shared" si="427"/>
        <v>40.533514788288528</v>
      </c>
      <c r="M74" s="190"/>
      <c r="N74" s="191">
        <f t="shared" si="428"/>
        <v>2.724171183585343</v>
      </c>
      <c r="O74" s="190"/>
      <c r="P74" s="190">
        <f t="shared" si="429"/>
        <v>8.8287621465583488</v>
      </c>
      <c r="Q74" s="190"/>
      <c r="R74" s="191">
        <f t="shared" si="430"/>
        <v>5.920635361275254</v>
      </c>
      <c r="S74" s="190"/>
      <c r="T74" s="190">
        <f t="shared" si="431"/>
        <v>19.196172996347499</v>
      </c>
      <c r="U74" s="190"/>
      <c r="V74" s="191">
        <f t="shared" si="432"/>
        <v>20.961995219374952</v>
      </c>
      <c r="W74" s="190"/>
      <c r="X74" s="190">
        <f t="shared" si="433"/>
        <v>67.90992648116513</v>
      </c>
      <c r="Y74" s="190"/>
      <c r="Z74" s="191">
        <f t="shared" si="434"/>
        <v>40.477526512556928</v>
      </c>
      <c r="AA74" s="190"/>
      <c r="AB74" s="190">
        <f t="shared" si="435"/>
        <v>131.14659952589591</v>
      </c>
      <c r="AC74" s="190"/>
      <c r="AD74" s="191">
        <f t="shared" si="436"/>
        <v>5.202610784236409E-2</v>
      </c>
      <c r="AE74" s="190"/>
      <c r="AF74" s="191">
        <f t="shared" si="437"/>
        <v>0.48769241228908278</v>
      </c>
      <c r="AG74" s="190"/>
      <c r="AH74" s="191">
        <f t="shared" si="438"/>
        <v>0.79503255740561052</v>
      </c>
      <c r="AI74" s="190"/>
      <c r="AJ74" s="300">
        <f t="shared" si="440"/>
        <v>1.2986393786967894E-2</v>
      </c>
      <c r="AK74" s="300"/>
      <c r="AL74" s="300"/>
      <c r="AM74" s="191">
        <f t="shared" si="441"/>
        <v>69.999999999999801</v>
      </c>
      <c r="AN74" s="191"/>
      <c r="AO74" s="191"/>
      <c r="AP74" s="8"/>
      <c r="AR74" s="6"/>
      <c r="AT74" s="86"/>
      <c r="AU74" s="86"/>
      <c r="AV74" s="86"/>
      <c r="AW74" s="86"/>
      <c r="AX74" s="86"/>
      <c r="AY74" s="86"/>
      <c r="AZ74" s="86"/>
      <c r="BA74" s="86"/>
      <c r="BB74" s="86"/>
      <c r="BC74" s="86"/>
      <c r="BD74" s="86"/>
      <c r="BE74" s="86"/>
      <c r="BF74" s="86"/>
      <c r="BG74" s="86"/>
      <c r="BH74" s="86"/>
      <c r="BI74" s="86"/>
      <c r="BJ74" s="86"/>
      <c r="BK74" s="86"/>
      <c r="BL74" s="86"/>
      <c r="BM74" s="86"/>
      <c r="BN74" s="86"/>
      <c r="BO74" s="86"/>
      <c r="BP74" s="86"/>
      <c r="BQ74" s="86"/>
      <c r="BR74" s="86"/>
      <c r="BS74" s="86"/>
      <c r="BT74" s="86"/>
      <c r="BU74" s="86"/>
      <c r="BV74" s="86"/>
      <c r="BW74" s="86"/>
      <c r="BX74" s="86"/>
      <c r="BY74" s="86"/>
      <c r="BZ74" s="86"/>
      <c r="CA74" s="86"/>
      <c r="CB74" s="86"/>
      <c r="CC74" s="102"/>
      <c r="CD74" s="86"/>
      <c r="CE74" s="102"/>
      <c r="CF74" s="8"/>
      <c r="CI74" s="1">
        <f t="shared" si="442"/>
        <v>0.54134317944505961</v>
      </c>
      <c r="CJ74" s="1">
        <f t="shared" si="443"/>
        <v>23.784388900434468</v>
      </c>
      <c r="CK74" s="1">
        <f t="shared" si="444"/>
        <v>50.566141386792431</v>
      </c>
      <c r="CM74" s="1">
        <f t="shared" si="445"/>
        <v>3.9451855008907679</v>
      </c>
      <c r="CN74" s="1">
        <f t="shared" si="446"/>
        <v>18.729900139877671</v>
      </c>
      <c r="CO74" s="1">
        <f t="shared" si="447"/>
        <v>237.61749293353517</v>
      </c>
      <c r="CP74" s="1">
        <f t="shared" si="448"/>
        <v>899.54186857004618</v>
      </c>
      <c r="EA74" s="1">
        <f t="shared" si="420"/>
        <v>14.8</v>
      </c>
      <c r="EB74" s="1" t="str">
        <f t="shared" si="455"/>
        <v>0.00002071581557977-0.0306594070580596i</v>
      </c>
      <c r="EC74" s="1" t="str">
        <f t="shared" si="456"/>
        <v>0.0000405860876664879-0.0600674097464023i</v>
      </c>
      <c r="ED74" s="1" t="str">
        <f t="shared" si="457"/>
        <v>0.000100302596863274-0.148447843357646i</v>
      </c>
      <c r="EE74" s="1" t="str">
        <f t="shared" si="458"/>
        <v>0.000140078372015588-0.20731599058307i</v>
      </c>
      <c r="EF74" s="1" t="str">
        <f t="shared" si="459"/>
        <v>0.268625583517523i</v>
      </c>
      <c r="EG74" s="1" t="str">
        <f t="shared" si="460"/>
        <v>0.268513702808019i</v>
      </c>
      <c r="EH74" s="1" t="str">
        <f t="shared" si="461"/>
        <v>0.268727524411926i</v>
      </c>
      <c r="EI74" s="1" t="str">
        <f t="shared" si="462"/>
        <v>0.268701274017246i</v>
      </c>
      <c r="EJ74" s="1" t="str">
        <f t="shared" si="450"/>
        <v>0.005</v>
      </c>
      <c r="EK74" s="1" t="str">
        <f t="shared" si="451"/>
        <v>0.01</v>
      </c>
      <c r="EL74" s="1" t="str">
        <f t="shared" si="452"/>
        <v>0.0125</v>
      </c>
      <c r="EM74" s="1" t="str">
        <f t="shared" si="329"/>
        <v>0.00502071581557977+0.237966176459463i</v>
      </c>
      <c r="EN74" s="1" t="str">
        <f t="shared" si="330"/>
        <v>-0.005</v>
      </c>
      <c r="EO74" s="1" t="str">
        <f t="shared" si="331"/>
        <v>0.149144712817242-220.734174969518i</v>
      </c>
      <c r="EP74" s="1" t="str">
        <f t="shared" si="332"/>
        <v>-0.005</v>
      </c>
      <c r="EQ74" s="1" t="str">
        <f t="shared" si="333"/>
        <v>0.0150405860876665+0.208446293061617i</v>
      </c>
      <c r="ER74" s="1" t="str">
        <f t="shared" si="334"/>
        <v>-0.01</v>
      </c>
      <c r="ES74" s="1" t="str">
        <f t="shared" si="335"/>
        <v>0.292201886335819-432.458791777013i</v>
      </c>
      <c r="ET74" s="1" t="str">
        <f t="shared" si="336"/>
        <v>-0.01</v>
      </c>
      <c r="EU74" s="1" t="str">
        <f t="shared" si="337"/>
        <v>0.0226003025968633+0.12027968105428i</v>
      </c>
      <c r="EV74" s="1" t="str">
        <f t="shared" si="338"/>
        <v>-0.0125</v>
      </c>
      <c r="EW74" s="1" t="str">
        <f t="shared" si="339"/>
        <v>0.722134349303889-1068.75883696976i</v>
      </c>
      <c r="EX74" s="1" t="str">
        <f t="shared" si="340"/>
        <v>-0.0125</v>
      </c>
      <c r="EY74" s="1" t="str">
        <f t="shared" si="341"/>
        <v>0.0126400783720156+0.061385283434176i</v>
      </c>
      <c r="EZ74" s="1" t="str">
        <f t="shared" si="342"/>
        <v>1.00850234381183-1492.5834688415i</v>
      </c>
      <c r="FB74" s="1" t="str">
        <f t="shared" si="343"/>
        <v>0.00502071581557977+0.237966176459463i</v>
      </c>
      <c r="FC74" s="1" t="str">
        <f t="shared" si="344"/>
        <v>0.149144712817242-220.734174969518i</v>
      </c>
      <c r="FD74" s="1" t="str">
        <f t="shared" si="345"/>
        <v>-0.000443110354266606+0.0210020404714434i</v>
      </c>
      <c r="FE74" s="1" t="str">
        <f t="shared" si="346"/>
        <v>0.0150383705358952+0.208551303263974i</v>
      </c>
      <c r="FF74" s="1" t="str">
        <f t="shared" si="347"/>
        <v>-4.34360010223813-432.559733718777i</v>
      </c>
      <c r="FG74" s="1" t="str">
        <f t="shared" si="348"/>
        <v>-0.00343971632748314+0.0477017986252376i</v>
      </c>
      <c r="FH74" s="1" t="str">
        <f t="shared" si="349"/>
        <v>0.0225659054335885+0.120756699040532i</v>
      </c>
      <c r="FI74" s="1" t="str">
        <f t="shared" si="350"/>
        <v>-19.9266837141273-1070.03952221106i</v>
      </c>
      <c r="FJ74" s="1" t="str">
        <f t="shared" si="351"/>
        <v>-0.0186910299565582+0.100021117515724i</v>
      </c>
      <c r="FK74" s="1" t="str">
        <f t="shared" si="352"/>
        <v>0.0124064404975586+0.0626355474031225i</v>
      </c>
      <c r="FL74" s="1" t="str">
        <f t="shared" si="353"/>
        <v>-105.876453449953-1512.63190096425i</v>
      </c>
      <c r="FM74" s="1" t="str">
        <f t="shared" si="354"/>
        <v>-23560.2102951609-2976.29543312069i</v>
      </c>
      <c r="FN74" s="1" t="str">
        <f t="shared" si="355"/>
        <v>-9329.97691486951+860.324408257121i</v>
      </c>
      <c r="FO74" s="1" t="str">
        <f t="shared" si="356"/>
        <v>-2055.93525859718+319.947427755364i</v>
      </c>
      <c r="FP74" s="1" t="str">
        <f t="shared" si="357"/>
        <v>-921.351855089124+23.1322191729491i</v>
      </c>
      <c r="FQ74" s="92" t="str">
        <f t="shared" si="358"/>
        <v>-0.54098885584835-248.98275574118i</v>
      </c>
      <c r="FR74" s="1" t="str">
        <f t="shared" si="359"/>
        <v>-6.21390587338869-247.498679698268i</v>
      </c>
      <c r="FS74" s="1" t="str">
        <f t="shared" si="360"/>
        <v>5.6729170175403-1.48407604291207i</v>
      </c>
      <c r="FT74" s="1" t="str">
        <f t="shared" si="361"/>
        <v>-18.842768985311-555.966482781598i</v>
      </c>
      <c r="FU74" s="1" t="str">
        <f t="shared" si="362"/>
        <v>-126.055347731173-2453.86008133105i</v>
      </c>
      <c r="FV74" s="1" t="str">
        <f t="shared" si="363"/>
        <v>621.342414231586-6376.57488990931i</v>
      </c>
      <c r="FW74" s="1" t="str">
        <f t="shared" si="364"/>
        <v>-6.21390587338869-247.498679698268i</v>
      </c>
      <c r="FX74" s="1" t="str">
        <f t="shared" si="365"/>
        <v>-85.9102685304939-552.046789019491i</v>
      </c>
      <c r="FY74" s="1" t="str">
        <f t="shared" si="366"/>
        <v>-231.192848422091-2507.2215991533i</v>
      </c>
      <c r="FZ74" s="1" t="str">
        <f t="shared" si="367"/>
        <v>799.73437473124-6330.65852242397i</v>
      </c>
      <c r="GA74" s="1" t="str">
        <f t="shared" si="368"/>
        <v>5.6729170175403-1.48407604291207i</v>
      </c>
      <c r="GB74" s="1" t="str">
        <f t="shared" si="369"/>
        <v>72.7404165627233-5.40376980501757i</v>
      </c>
      <c r="GC74" s="1" t="str">
        <f t="shared" si="370"/>
        <v>177.877917253643+47.9577480172226i</v>
      </c>
      <c r="GD74" s="92" t="str">
        <f t="shared" si="371"/>
        <v>475.903308659254-9635.38420976314i</v>
      </c>
      <c r="GE74" s="1" t="str">
        <f t="shared" si="463"/>
        <v>0.0368152970558967+0.745381520732634i</v>
      </c>
      <c r="GF74" s="1">
        <f t="shared" si="464"/>
        <v>14.8</v>
      </c>
      <c r="GG74" s="56">
        <f t="shared" si="465"/>
        <v>9.514796704436794E-2</v>
      </c>
      <c r="GH74" s="1">
        <f t="shared" si="466"/>
        <v>0.90494569565456817</v>
      </c>
      <c r="GJ74" s="1">
        <f t="shared" si="372"/>
        <v>9647.1297715406363</v>
      </c>
      <c r="GK74" s="1">
        <f t="shared" si="373"/>
        <v>0.74629014300539165</v>
      </c>
      <c r="GM74" s="1" t="str">
        <f t="shared" si="467"/>
        <v>0.0191834803010191+7.09788771137709i</v>
      </c>
      <c r="GP74" s="1">
        <f t="shared" si="453"/>
        <v>14.8</v>
      </c>
      <c r="GQ74" s="1">
        <f t="shared" si="454"/>
        <v>0.74629014300539165</v>
      </c>
      <c r="GR74" s="1">
        <f t="shared" si="468"/>
        <v>7.0979136349517775</v>
      </c>
      <c r="GS74" s="1">
        <f t="shared" si="469"/>
        <v>0.6753520526221608</v>
      </c>
      <c r="NH74" s="1" t="str">
        <f>IF(F32&lt;1,"",ROUND(L42,2)&amp;" Ohms "&amp;ROUND(Q42,1)&amp;" uF")</f>
        <v>55.08 Ohms 48.2 uF</v>
      </c>
    </row>
    <row r="75" spans="2:372" ht="18" customHeight="1" x14ac:dyDescent="0.25">
      <c r="B75" s="6"/>
      <c r="C75" s="207">
        <f t="shared" si="439"/>
        <v>19</v>
      </c>
      <c r="D75" s="207"/>
      <c r="E75" s="207"/>
      <c r="F75" s="192">
        <f t="shared" si="424"/>
        <v>2.7622430137358358</v>
      </c>
      <c r="G75" s="193"/>
      <c r="H75" s="192">
        <f t="shared" si="425"/>
        <v>5.830690455981264</v>
      </c>
      <c r="I75" s="193"/>
      <c r="J75" s="192">
        <f t="shared" si="426"/>
        <v>18.744711852800755</v>
      </c>
      <c r="K75" s="193"/>
      <c r="L75" s="192">
        <f t="shared" si="427"/>
        <v>32.664898630359666</v>
      </c>
      <c r="M75" s="193"/>
      <c r="N75" s="192">
        <f t="shared" si="428"/>
        <v>2.7578191276077653</v>
      </c>
      <c r="O75" s="193"/>
      <c r="P75" s="193">
        <f t="shared" si="429"/>
        <v>7.996989430052472</v>
      </c>
      <c r="Q75" s="193"/>
      <c r="R75" s="192">
        <f t="shared" si="430"/>
        <v>5.8534312640243131</v>
      </c>
      <c r="S75" s="193"/>
      <c r="T75" s="193">
        <f t="shared" si="431"/>
        <v>16.98056684505665</v>
      </c>
      <c r="U75" s="193"/>
      <c r="V75" s="192">
        <f t="shared" si="432"/>
        <v>18.781430788260273</v>
      </c>
      <c r="W75" s="193"/>
      <c r="X75" s="193">
        <f t="shared" si="433"/>
        <v>54.440817403102578</v>
      </c>
      <c r="Y75" s="193"/>
      <c r="Z75" s="192">
        <f t="shared" si="434"/>
        <v>32.643328320814717</v>
      </c>
      <c r="AA75" s="193"/>
      <c r="AB75" s="193">
        <f t="shared" si="435"/>
        <v>94.630867624286239</v>
      </c>
      <c r="AC75" s="193"/>
      <c r="AD75" s="192">
        <f t="shared" si="436"/>
        <v>4.5004275720989431E-2</v>
      </c>
      <c r="AE75" s="193"/>
      <c r="AF75" s="192">
        <f t="shared" si="437"/>
        <v>0.37497997147208567</v>
      </c>
      <c r="AG75" s="193"/>
      <c r="AH75" s="192">
        <f t="shared" si="438"/>
        <v>0.50361460958476723</v>
      </c>
      <c r="AI75" s="193"/>
      <c r="AJ75" s="275">
        <f t="shared" si="440"/>
        <v>1.4954508834596533E-2</v>
      </c>
      <c r="AK75" s="275"/>
      <c r="AL75" s="275"/>
      <c r="AM75" s="192">
        <f t="shared" si="441"/>
        <v>59.999999999999929</v>
      </c>
      <c r="AN75" s="192"/>
      <c r="AO75" s="192"/>
      <c r="AP75" s="85"/>
      <c r="AR75" s="6"/>
      <c r="CC75" s="17"/>
      <c r="CE75" s="17"/>
      <c r="CF75" s="8"/>
      <c r="CI75" s="1">
        <f t="shared" si="442"/>
        <v>0.4050769666341677</v>
      </c>
      <c r="CJ75" s="1">
        <f t="shared" si="443"/>
        <v>14.060997900520618</v>
      </c>
      <c r="CK75" s="1">
        <f t="shared" si="444"/>
        <v>20.2902139989774</v>
      </c>
      <c r="CM75" s="1">
        <f t="shared" si="445"/>
        <v>4.0354096719610979</v>
      </c>
      <c r="CN75" s="1">
        <f t="shared" si="446"/>
        <v>18.355181249438559</v>
      </c>
      <c r="CO75" s="1">
        <f t="shared" si="447"/>
        <v>191.90277889060911</v>
      </c>
      <c r="CP75" s="1">
        <f t="shared" si="448"/>
        <v>584.19183511631991</v>
      </c>
      <c r="EA75" s="1">
        <f t="shared" si="420"/>
        <v>15</v>
      </c>
      <c r="EB75" s="1" t="str">
        <f t="shared" si="455"/>
        <v>0.0000201670768865185-0.0302506153297779i</v>
      </c>
      <c r="EC75" s="1" t="str">
        <f t="shared" si="456"/>
        <v>0.0000395110077776691-0.0592665116665037i</v>
      </c>
      <c r="ED75" s="1" t="str">
        <f t="shared" si="457"/>
        <v>0.0000976456937005414-0.146468540550812i</v>
      </c>
      <c r="EE75" s="1" t="str">
        <f t="shared" si="458"/>
        <v>0.000136367853232649-0.204551779848974i</v>
      </c>
      <c r="EF75" s="1" t="str">
        <f t="shared" si="459"/>
        <v>0.272255658970462i</v>
      </c>
      <c r="EG75" s="1" t="str">
        <f t="shared" si="460"/>
        <v>0.272142266359479i</v>
      </c>
      <c r="EH75" s="1" t="str">
        <f t="shared" si="461"/>
        <v>0.27235897744452i</v>
      </c>
      <c r="EI75" s="1" t="str">
        <f t="shared" si="462"/>
        <v>0.272332372314777i</v>
      </c>
      <c r="EJ75" s="1" t="str">
        <f t="shared" si="450"/>
        <v>0.005</v>
      </c>
      <c r="EK75" s="1" t="str">
        <f t="shared" si="451"/>
        <v>0.01</v>
      </c>
      <c r="EL75" s="1" t="str">
        <f t="shared" si="452"/>
        <v>0.0125</v>
      </c>
      <c r="EM75" s="1" t="str">
        <f t="shared" si="329"/>
        <v>0.00502016707688652+0.242005043640684i</v>
      </c>
      <c r="EN75" s="1" t="str">
        <f t="shared" si="330"/>
        <v>-0.005</v>
      </c>
      <c r="EO75" s="1" t="str">
        <f t="shared" si="331"/>
        <v>0.145194036846916-217.791055270375i</v>
      </c>
      <c r="EP75" s="1" t="str">
        <f t="shared" si="332"/>
        <v>-0.005</v>
      </c>
      <c r="EQ75" s="1" t="str">
        <f t="shared" si="333"/>
        <v>0.0150395110077777+0.212875754692975i</v>
      </c>
      <c r="ER75" s="1" t="str">
        <f t="shared" si="334"/>
        <v>-0.01</v>
      </c>
      <c r="ES75" s="1" t="str">
        <f t="shared" si="335"/>
        <v>0.284461786475591-426.692679713388i</v>
      </c>
      <c r="ET75" s="1" t="str">
        <f t="shared" si="336"/>
        <v>-0.01</v>
      </c>
      <c r="EU75" s="1" t="str">
        <f t="shared" si="337"/>
        <v>0.0225976456937005+0.125890436893708i</v>
      </c>
      <c r="EV75" s="1" t="str">
        <f t="shared" si="338"/>
        <v>-0.0125</v>
      </c>
      <c r="EW75" s="1" t="str">
        <f t="shared" si="339"/>
        <v>0.703005821263895-1054.50873189584i</v>
      </c>
      <c r="EX75" s="1" t="str">
        <f t="shared" si="340"/>
        <v>-0.0125</v>
      </c>
      <c r="EY75" s="1" t="str">
        <f t="shared" si="341"/>
        <v>0.0126363678532327+0.067780592465803i</v>
      </c>
      <c r="EZ75" s="1" t="str">
        <f t="shared" si="342"/>
        <v>0.981788249155336-1472.68237373301i</v>
      </c>
      <c r="FB75" s="1" t="str">
        <f t="shared" si="343"/>
        <v>0.00502016707688652+0.242005043640684i</v>
      </c>
      <c r="FC75" s="1" t="str">
        <f t="shared" si="344"/>
        <v>0.145194036846916-217.791055270375i</v>
      </c>
      <c r="FD75" s="1" t="str">
        <f t="shared" si="345"/>
        <v>-0.000428402994059033+0.02065183960717i</v>
      </c>
      <c r="FE75" s="1" t="str">
        <f t="shared" si="346"/>
        <v>0.0150373689928074+0.212979013891011i</v>
      </c>
      <c r="FF75" s="1" t="str">
        <f t="shared" si="347"/>
        <v>-4.21326195328439-426.788980577506i</v>
      </c>
      <c r="FG75" s="1" t="str">
        <f t="shared" si="348"/>
        <v>-0.00329866816241088+0.0467200806683656i</v>
      </c>
      <c r="FH75" s="1" t="str">
        <f t="shared" si="349"/>
        <v>0.0225646590120764+0.126357637700392i</v>
      </c>
      <c r="FI75" s="1" t="str">
        <f t="shared" si="350"/>
        <v>-19.2505079327519-1055.7197231798i</v>
      </c>
      <c r="FJ75" s="1" t="str">
        <f t="shared" si="351"/>
        <v>-0.0171199458691399+0.0958683185252368i</v>
      </c>
      <c r="FK75" s="1" t="str">
        <f t="shared" si="352"/>
        <v>0.0124223685298685+0.0689789464473685i</v>
      </c>
      <c r="FL75" s="1" t="str">
        <f t="shared" si="353"/>
        <v>-100.100155326273-1490.8029021276i</v>
      </c>
      <c r="FM75" s="1" t="str">
        <f t="shared" si="354"/>
        <v>-21186.6453255408-2364.31794364455i</v>
      </c>
      <c r="FN75" s="1" t="str">
        <f t="shared" si="355"/>
        <v>-8712.54879475324+692.383012333385i</v>
      </c>
      <c r="FO75" s="1" t="str">
        <f t="shared" si="356"/>
        <v>-1991.74299253466+288.235795920481i</v>
      </c>
      <c r="FP75" s="1" t="str">
        <f t="shared" si="357"/>
        <v>-894.445417187001+21.9964650749009i</v>
      </c>
      <c r="FQ75" s="92" t="str">
        <f t="shared" si="358"/>
        <v>-0.502174217249601-244.849023123584i</v>
      </c>
      <c r="FR75" s="1" t="str">
        <f t="shared" si="359"/>
        <v>-5.9886620939879-243.517826469357i</v>
      </c>
      <c r="FS75" s="1" t="str">
        <f t="shared" si="360"/>
        <v>5.4864878767383-1.3311966542279i</v>
      </c>
      <c r="FT75" s="1" t="str">
        <f t="shared" si="361"/>
        <v>-16.7195726022804-544.747727503894i</v>
      </c>
      <c r="FU75" s="1" t="str">
        <f t="shared" si="362"/>
        <v>-99.8585806264184-2330.69064656063i</v>
      </c>
      <c r="FV75" s="1" t="str">
        <f t="shared" si="363"/>
        <v>487.49640909076-5806.12596713898i</v>
      </c>
      <c r="FW75" s="1" t="str">
        <f t="shared" si="364"/>
        <v>-5.9886620939879-243.517826469357i</v>
      </c>
      <c r="FX75" s="1" t="str">
        <f t="shared" si="365"/>
        <v>-78.441142747728-542.037451993993i</v>
      </c>
      <c r="FY75" s="1" t="str">
        <f t="shared" si="366"/>
        <v>-188.576729239077-2372.94088067448i</v>
      </c>
      <c r="FZ75" s="1" t="str">
        <f t="shared" si="367"/>
        <v>643.880314499116-5769.80938289631i</v>
      </c>
      <c r="GA75" s="1" t="str">
        <f t="shared" si="368"/>
        <v>5.4864878767383-1.3311966542279i</v>
      </c>
      <c r="GB75" s="1" t="str">
        <f t="shared" si="369"/>
        <v>67.2080580221858-4.04147216412904i</v>
      </c>
      <c r="GC75" s="1" t="str">
        <f t="shared" si="370"/>
        <v>155.926206634845+38.2087619497241i</v>
      </c>
      <c r="GD75" s="92" t="str">
        <f t="shared" si="371"/>
        <v>370.416081644812-8926.41336432709i</v>
      </c>
      <c r="GE75" s="1" t="str">
        <f t="shared" si="463"/>
        <v>0.0334113844635348+0.805158964674623i</v>
      </c>
      <c r="GF75" s="1">
        <f t="shared" si="464"/>
        <v>15</v>
      </c>
      <c r="GG75" s="56">
        <f t="shared" si="465"/>
        <v>0.10074235480346133</v>
      </c>
      <c r="GH75" s="1">
        <f t="shared" si="466"/>
        <v>0.8993258526097736</v>
      </c>
      <c r="GJ75" s="1">
        <f t="shared" si="372"/>
        <v>8934.0955683481679</v>
      </c>
      <c r="GK75" s="1">
        <f t="shared" si="373"/>
        <v>0.80585189644728195</v>
      </c>
      <c r="GM75" s="1" t="str">
        <f t="shared" si="467"/>
        <v>0.0191834803010191+7.19380511288219i</v>
      </c>
      <c r="GP75" s="1">
        <f t="shared" si="453"/>
        <v>15</v>
      </c>
      <c r="GQ75" s="1">
        <f t="shared" si="454"/>
        <v>0.80585189644728195</v>
      </c>
      <c r="GR75" s="1">
        <f t="shared" si="468"/>
        <v>7.1938306908104526</v>
      </c>
      <c r="GS75" s="1">
        <f t="shared" si="469"/>
        <v>0.72472344384965282</v>
      </c>
    </row>
    <row r="76" spans="2:372" ht="18" customHeight="1" x14ac:dyDescent="0.25">
      <c r="B76" s="6"/>
      <c r="C76" s="222">
        <f t="shared" si="439"/>
        <v>23</v>
      </c>
      <c r="D76" s="222"/>
      <c r="E76" s="222"/>
      <c r="F76" s="191">
        <f t="shared" si="424"/>
        <v>1.6211433769584271</v>
      </c>
      <c r="G76" s="190"/>
      <c r="H76" s="191">
        <f t="shared" si="425"/>
        <v>3.335562196776146</v>
      </c>
      <c r="I76" s="190"/>
      <c r="J76" s="191">
        <f t="shared" si="426"/>
        <v>9.6981691791917566</v>
      </c>
      <c r="K76" s="190"/>
      <c r="L76" s="191">
        <f t="shared" si="427"/>
        <v>15.345304977975461</v>
      </c>
      <c r="M76" s="190"/>
      <c r="N76" s="191">
        <f t="shared" si="428"/>
        <v>1.6198088547416174</v>
      </c>
      <c r="O76" s="190"/>
      <c r="P76" s="190">
        <f t="shared" si="429"/>
        <v>3.8801657353022176</v>
      </c>
      <c r="Q76" s="190"/>
      <c r="R76" s="191">
        <f t="shared" si="430"/>
        <v>3.3431527384554518</v>
      </c>
      <c r="S76" s="190"/>
      <c r="T76" s="190">
        <f t="shared" si="431"/>
        <v>8.0116809215532871</v>
      </c>
      <c r="U76" s="190"/>
      <c r="V76" s="191">
        <f t="shared" si="432"/>
        <v>9.7033279089811906</v>
      </c>
      <c r="W76" s="190"/>
      <c r="X76" s="190">
        <f t="shared" si="433"/>
        <v>23.234987116344811</v>
      </c>
      <c r="Y76" s="190"/>
      <c r="Z76" s="191">
        <f t="shared" si="434"/>
        <v>15.342086562492472</v>
      </c>
      <c r="AA76" s="190"/>
      <c r="AB76" s="190">
        <f t="shared" si="435"/>
        <v>36.740797807714657</v>
      </c>
      <c r="AC76" s="190"/>
      <c r="AD76" s="191">
        <f t="shared" si="436"/>
        <v>2.0674541293798129E-2</v>
      </c>
      <c r="AE76" s="190"/>
      <c r="AF76" s="191">
        <f t="shared" si="437"/>
        <v>0.15233735105500235</v>
      </c>
      <c r="AG76" s="190"/>
      <c r="AH76" s="191">
        <f t="shared" si="438"/>
        <v>0.16895732259095753</v>
      </c>
      <c r="AI76" s="190"/>
      <c r="AJ76" s="300">
        <f t="shared" si="440"/>
        <v>1.0874570668444779E-2</v>
      </c>
      <c r="AK76" s="300"/>
      <c r="AL76" s="300"/>
      <c r="AM76" s="191">
        <f t="shared" si="441"/>
        <v>30.000000000000085</v>
      </c>
      <c r="AN76" s="191"/>
      <c r="AO76" s="191"/>
      <c r="AP76" s="85"/>
      <c r="AR76" s="6"/>
      <c r="CC76" s="17"/>
      <c r="CE76" s="17"/>
      <c r="CF76" s="8"/>
      <c r="CI76" s="1">
        <f t="shared" si="442"/>
        <v>8.5487331541792805E-2</v>
      </c>
      <c r="CJ76" s="1">
        <f t="shared" si="443"/>
        <v>2.3206668526455023</v>
      </c>
      <c r="CK76" s="1">
        <f t="shared" si="444"/>
        <v>2.2837261485683911</v>
      </c>
      <c r="CM76" s="1">
        <f t="shared" si="445"/>
        <v>1.389974124668204</v>
      </c>
      <c r="CN76" s="1">
        <f t="shared" si="446"/>
        <v>6.0069883806207267</v>
      </c>
      <c r="CO76" s="1">
        <f t="shared" si="447"/>
        <v>51.369251528311651</v>
      </c>
      <c r="CP76" s="1">
        <f t="shared" si="448"/>
        <v>128.92700725225541</v>
      </c>
      <c r="EA76" s="1">
        <f t="shared" si="420"/>
        <v>15.2</v>
      </c>
      <c r="EB76" s="1" t="str">
        <f t="shared" si="455"/>
        <v>0.0000196398560949998-0.0298525812643998i</v>
      </c>
      <c r="EC76" s="1" t="str">
        <f t="shared" si="456"/>
        <v>0.0000384780854106118-0.0584866898241301i</v>
      </c>
      <c r="ED76" s="1" t="str">
        <f t="shared" si="457"/>
        <v>0.0000950929767048716-0.144541324591405i</v>
      </c>
      <c r="EE76" s="1" t="str">
        <f t="shared" si="458"/>
        <v>0.000132802836451904-0.201860311406894i</v>
      </c>
      <c r="EF76" s="1" t="str">
        <f t="shared" si="459"/>
        <v>0.275885734423402i</v>
      </c>
      <c r="EG76" s="1" t="str">
        <f t="shared" si="460"/>
        <v>0.275770829910939i</v>
      </c>
      <c r="EH76" s="1" t="str">
        <f t="shared" si="461"/>
        <v>0.275990430477113i</v>
      </c>
      <c r="EI76" s="1" t="str">
        <f t="shared" si="462"/>
        <v>0.275963470612307i</v>
      </c>
      <c r="EJ76" s="1" t="str">
        <f t="shared" si="450"/>
        <v>0.005</v>
      </c>
      <c r="EK76" s="1" t="str">
        <f t="shared" si="451"/>
        <v>0.01</v>
      </c>
      <c r="EL76" s="1" t="str">
        <f t="shared" si="452"/>
        <v>0.0125</v>
      </c>
      <c r="EM76" s="1" t="str">
        <f t="shared" si="329"/>
        <v>0.005019639856095+0.246033153159002i</v>
      </c>
      <c r="EN76" s="1" t="str">
        <f t="shared" si="330"/>
        <v>-0.005</v>
      </c>
      <c r="EO76" s="1" t="str">
        <f t="shared" si="331"/>
        <v>0.141398280255072-214.92538598771i</v>
      </c>
      <c r="EP76" s="1" t="str">
        <f t="shared" si="332"/>
        <v>-0.005</v>
      </c>
      <c r="EQ76" s="1" t="str">
        <f t="shared" si="333"/>
        <v>0.0150384780854106+0.217284140086809i</v>
      </c>
      <c r="ER76" s="1" t="str">
        <f t="shared" si="334"/>
        <v>-0.01</v>
      </c>
      <c r="ES76" s="1" t="str">
        <f t="shared" si="335"/>
        <v>0.277025202132385-421.078307241227i</v>
      </c>
      <c r="ET76" s="1" t="str">
        <f t="shared" si="336"/>
        <v>-0.01</v>
      </c>
      <c r="EU76" s="1" t="str">
        <f t="shared" si="337"/>
        <v>0.0225950929767049+0.131449105885708i</v>
      </c>
      <c r="EV76" s="1" t="str">
        <f t="shared" si="338"/>
        <v>-0.0125</v>
      </c>
      <c r="EW76" s="1" t="str">
        <f t="shared" si="339"/>
        <v>0.684627387561548-1040.63362909355i</v>
      </c>
      <c r="EX76" s="1" t="str">
        <f t="shared" si="340"/>
        <v>-0.0125</v>
      </c>
      <c r="EY76" s="1" t="str">
        <f t="shared" si="341"/>
        <v>0.0126328028364519+0.074103159205413i</v>
      </c>
      <c r="EZ76" s="1" t="str">
        <f t="shared" si="342"/>
        <v>0.956121704581918-1453.30499096452i</v>
      </c>
      <c r="FB76" s="1" t="str">
        <f t="shared" si="343"/>
        <v>0.005019639856095+0.246033153159002i</v>
      </c>
      <c r="FC76" s="1" t="str">
        <f t="shared" si="344"/>
        <v>0.141398280255072-214.92538598771i</v>
      </c>
      <c r="FD76" s="1" t="str">
        <f t="shared" si="345"/>
        <v>-0.000414452304865812+0.0203140086387548i</v>
      </c>
      <c r="FE76" s="1" t="str">
        <f t="shared" si="346"/>
        <v>0.0150364058238863+0.217385710130003i</v>
      </c>
      <c r="FF76" s="1" t="str">
        <f t="shared" si="347"/>
        <v>-4.08891234266651-421.17025592871i</v>
      </c>
      <c r="FG76" s="1" t="str">
        <f t="shared" si="348"/>
        <v>-0.00316671644108717+0.0457821443760532i</v>
      </c>
      <c r="FH76" s="1" t="str">
        <f t="shared" si="349"/>
        <v>0.022563425812294+0.131906927329469i</v>
      </c>
      <c r="FI76" s="1" t="str">
        <f t="shared" si="350"/>
        <v>-18.6103985022077-1041.78015669228i</v>
      </c>
      <c r="FJ76" s="1" t="str">
        <f t="shared" si="351"/>
        <v>-0.0157490634906157+0.0920698208971409i</v>
      </c>
      <c r="FK76" s="1" t="str">
        <f t="shared" si="352"/>
        <v>0.0124359395428192+0.0752540319666272i</v>
      </c>
      <c r="FL76" s="1" t="str">
        <f t="shared" si="353"/>
        <v>-94.8440479054089-1469.75702958054i</v>
      </c>
      <c r="FM76" s="1" t="str">
        <f t="shared" si="354"/>
        <v>-19214.1696461009-1914.87685660323i</v>
      </c>
      <c r="FN76" s="1" t="str">
        <f t="shared" si="355"/>
        <v>-8175.67624997948+563.399178885431i</v>
      </c>
      <c r="FO76" s="1" t="str">
        <f t="shared" si="356"/>
        <v>-1929.59901482565+261.431356017766i</v>
      </c>
      <c r="FP76" s="1" t="str">
        <f t="shared" si="357"/>
        <v>-868.676516894353+20.9165043878893i</v>
      </c>
      <c r="FQ76" s="92" t="str">
        <f t="shared" si="358"/>
        <v>-0.465952684966658-240.858033097911i</v>
      </c>
      <c r="FR76" s="1" t="str">
        <f t="shared" si="359"/>
        <v>-5.77056517462315-239.655458839761i</v>
      </c>
      <c r="FS76" s="1" t="str">
        <f t="shared" si="360"/>
        <v>5.3046124896565-1.20257425814939i</v>
      </c>
      <c r="FT76" s="1" t="str">
        <f t="shared" si="361"/>
        <v>-14.9389821518797-533.944225684327i</v>
      </c>
      <c r="FU76" s="1" t="str">
        <f t="shared" si="362"/>
        <v>-79.9723868110627-2222.41027900107i</v>
      </c>
      <c r="FV76" s="1" t="str">
        <f t="shared" si="363"/>
        <v>390.045456513434-5331.62895807331i</v>
      </c>
      <c r="FW76" s="1" t="str">
        <f t="shared" si="364"/>
        <v>-5.77056517462315-239.655458839761i</v>
      </c>
      <c r="FX76" s="1" t="str">
        <f t="shared" si="365"/>
        <v>-72.0951420137615-532.1271217138i</v>
      </c>
      <c r="FY76" s="1" t="str">
        <f t="shared" si="366"/>
        <v>-155.492781911042-2256.40840767335i</v>
      </c>
      <c r="FZ76" s="1" t="str">
        <f t="shared" si="367"/>
        <v>528.436063143412-5302.40894047165i</v>
      </c>
      <c r="GA76" s="1" t="str">
        <f t="shared" si="368"/>
        <v>5.3046124896565-1.20257425814939i</v>
      </c>
      <c r="GB76" s="1" t="str">
        <f t="shared" si="369"/>
        <v>62.4607723515383-3.01967822867665i</v>
      </c>
      <c r="GC76" s="1" t="str">
        <f t="shared" si="370"/>
        <v>137.981167451518+30.9784504436083i</v>
      </c>
      <c r="GD76" s="92" t="str">
        <f t="shared" si="371"/>
        <v>294.668134865525-8328.84149585662i</v>
      </c>
      <c r="GE76" s="1" t="str">
        <f t="shared" si="463"/>
        <v>0.0305440444656982+0.863332253802379i</v>
      </c>
      <c r="GF76" s="1">
        <f t="shared" si="464"/>
        <v>15.2</v>
      </c>
      <c r="GG76" s="56">
        <f t="shared" si="465"/>
        <v>0.10595492782529294</v>
      </c>
      <c r="GH76" s="1">
        <f t="shared" si="466"/>
        <v>0.89409581738015931</v>
      </c>
      <c r="GJ76" s="1">
        <f t="shared" si="372"/>
        <v>8334.0524340088177</v>
      </c>
      <c r="GK76" s="1">
        <f t="shared" si="373"/>
        <v>0.8638723974684096</v>
      </c>
      <c r="GM76" s="1" t="str">
        <f t="shared" si="467"/>
        <v>0.0191834803010191+7.28972251438729i</v>
      </c>
      <c r="GP76" s="1">
        <f t="shared" si="453"/>
        <v>15.2</v>
      </c>
      <c r="GQ76" s="1">
        <f t="shared" si="454"/>
        <v>0.8638723974684096</v>
      </c>
      <c r="GR76" s="1">
        <f t="shared" si="468"/>
        <v>7.2897477557650383</v>
      </c>
      <c r="GS76" s="1">
        <f t="shared" si="469"/>
        <v>0.77238469732667647</v>
      </c>
    </row>
    <row r="77" spans="2:372" ht="18" customHeight="1" x14ac:dyDescent="0.25">
      <c r="B77" s="6"/>
      <c r="C77" s="207">
        <f t="shared" si="439"/>
        <v>25</v>
      </c>
      <c r="D77" s="207"/>
      <c r="E77" s="207"/>
      <c r="F77" s="192">
        <f t="shared" si="424"/>
        <v>1.1297789538925078</v>
      </c>
      <c r="G77" s="193"/>
      <c r="H77" s="192">
        <f t="shared" si="425"/>
        <v>2.3059718123659199</v>
      </c>
      <c r="I77" s="193"/>
      <c r="J77" s="192">
        <f t="shared" si="426"/>
        <v>6.5128391000989039</v>
      </c>
      <c r="K77" s="193"/>
      <c r="L77" s="192">
        <f t="shared" si="427"/>
        <v>10.051468072501372</v>
      </c>
      <c r="M77" s="193"/>
      <c r="N77" s="192">
        <f t="shared" si="428"/>
        <v>1.1290575706112636</v>
      </c>
      <c r="O77" s="193"/>
      <c r="P77" s="193">
        <f t="shared" si="429"/>
        <v>2.4882294271806247</v>
      </c>
      <c r="Q77" s="193"/>
      <c r="R77" s="192">
        <f t="shared" si="430"/>
        <v>2.3101648809895989</v>
      </c>
      <c r="S77" s="193"/>
      <c r="T77" s="193">
        <f t="shared" si="431"/>
        <v>5.0932879597718435</v>
      </c>
      <c r="U77" s="193"/>
      <c r="V77" s="192">
        <f t="shared" si="432"/>
        <v>6.5149196003476648</v>
      </c>
      <c r="W77" s="193"/>
      <c r="X77" s="193">
        <f t="shared" si="433"/>
        <v>14.352204567976319</v>
      </c>
      <c r="Y77" s="193"/>
      <c r="Z77" s="192">
        <f t="shared" si="434"/>
        <v>10.050163402471167</v>
      </c>
      <c r="AA77" s="193"/>
      <c r="AB77" s="193">
        <f t="shared" si="435"/>
        <v>22.142421006463387</v>
      </c>
      <c r="AC77" s="193"/>
      <c r="AD77" s="192">
        <f t="shared" si="436"/>
        <v>1.3033127035283792E-2</v>
      </c>
      <c r="AE77" s="193"/>
      <c r="AF77" s="192">
        <f t="shared" si="437"/>
        <v>9.2641926682656306E-2</v>
      </c>
      <c r="AG77" s="193"/>
      <c r="AH77" s="192">
        <f t="shared" si="438"/>
        <v>9.7429469884194098E-2</v>
      </c>
      <c r="AI77" s="193"/>
      <c r="AJ77" s="275">
        <f t="shared" si="440"/>
        <v>8.3001508610928507E-3</v>
      </c>
      <c r="AK77" s="275"/>
      <c r="AL77" s="275"/>
      <c r="AM77" s="192">
        <f t="shared" si="441"/>
        <v>19.999999999999968</v>
      </c>
      <c r="AN77" s="192"/>
      <c r="AO77" s="192"/>
      <c r="AP77" s="8"/>
      <c r="AR77" s="6"/>
      <c r="CF77" s="8"/>
      <c r="CI77" s="1">
        <f t="shared" si="442"/>
        <v>3.3972480063569059E-2</v>
      </c>
      <c r="CJ77" s="1">
        <f t="shared" si="443"/>
        <v>0.85825265794746664</v>
      </c>
      <c r="CK77" s="1">
        <f t="shared" si="444"/>
        <v>0.75940012815320679</v>
      </c>
      <c r="CM77" s="1">
        <f t="shared" si="445"/>
        <v>0.67507313196551078</v>
      </c>
      <c r="CN77" s="1">
        <f t="shared" si="446"/>
        <v>2.8709570413828369</v>
      </c>
      <c r="CO77" s="1">
        <f t="shared" si="447"/>
        <v>23.166713309810959</v>
      </c>
      <c r="CP77" s="1">
        <f t="shared" si="448"/>
        <v>55.316137600132166</v>
      </c>
      <c r="EA77" s="1">
        <f t="shared" si="420"/>
        <v>15.4</v>
      </c>
      <c r="EB77" s="1" t="str">
        <f t="shared" si="455"/>
        <v>0.000019133042683716-0.0294648857329228i</v>
      </c>
      <c r="EC77" s="1" t="str">
        <f t="shared" si="456"/>
        <v>0.0000374851448497295-0.0577271230685834i</v>
      </c>
      <c r="ED77" s="1" t="str">
        <f t="shared" si="457"/>
        <v>0.0000926390689124825-0.142664166125223i</v>
      </c>
      <c r="EE77" s="1" t="str">
        <f t="shared" si="458"/>
        <v>0.000129375812432747-0.19923875114643i</v>
      </c>
      <c r="EF77" s="1" t="str">
        <f t="shared" si="459"/>
        <v>0.279515809876342i</v>
      </c>
      <c r="EG77" s="1" t="str">
        <f t="shared" si="460"/>
        <v>0.279399393462399i</v>
      </c>
      <c r="EH77" s="1" t="str">
        <f t="shared" si="461"/>
        <v>0.279621883509707i</v>
      </c>
      <c r="EI77" s="1" t="str">
        <f t="shared" si="462"/>
        <v>0.279594568909837i</v>
      </c>
      <c r="EJ77" s="1" t="str">
        <f t="shared" si="450"/>
        <v>0.005</v>
      </c>
      <c r="EK77" s="1" t="str">
        <f t="shared" si="451"/>
        <v>0.01</v>
      </c>
      <c r="EL77" s="1" t="str">
        <f t="shared" si="452"/>
        <v>0.0125</v>
      </c>
      <c r="EM77" s="1" t="str">
        <f t="shared" si="329"/>
        <v>0.00501913304268372+0.250050924143419i</v>
      </c>
      <c r="EN77" s="1" t="str">
        <f t="shared" si="330"/>
        <v>-0.005</v>
      </c>
      <c r="EO77" s="1" t="str">
        <f t="shared" si="331"/>
        <v>0.137749447777935-212.13414957802i</v>
      </c>
      <c r="EP77" s="1" t="str">
        <f t="shared" si="332"/>
        <v>-0.005</v>
      </c>
      <c r="EQ77" s="1" t="str">
        <f t="shared" si="333"/>
        <v>0.0150374851448497+0.221672270393816i</v>
      </c>
      <c r="ER77" s="1" t="str">
        <f t="shared" si="334"/>
        <v>-0.01</v>
      </c>
      <c r="ES77" s="1" t="str">
        <f t="shared" si="335"/>
        <v>0.269876469115955-415.60976243857i</v>
      </c>
      <c r="ET77" s="1" t="str">
        <f t="shared" si="336"/>
        <v>-0.01</v>
      </c>
      <c r="EU77" s="1" t="str">
        <f t="shared" si="337"/>
        <v>0.0225926390689125+0.136957717384484i</v>
      </c>
      <c r="EV77" s="1" t="str">
        <f t="shared" si="338"/>
        <v>-0.0125</v>
      </c>
      <c r="EW77" s="1" t="str">
        <f t="shared" si="339"/>
        <v>0.666960336435003-1027.1189181099i</v>
      </c>
      <c r="EX77" s="1" t="str">
        <f t="shared" si="340"/>
        <v>-0.0125</v>
      </c>
      <c r="EY77" s="1" t="str">
        <f t="shared" si="341"/>
        <v>0.0126293758124327+0.080355817763407i</v>
      </c>
      <c r="EZ77" s="1" t="str">
        <f t="shared" si="342"/>
        <v>0.931448646879373-1434.43091619423i</v>
      </c>
      <c r="FB77" s="1" t="str">
        <f t="shared" si="343"/>
        <v>0.00501913304268372+0.250050924143419i</v>
      </c>
      <c r="FC77" s="1" t="str">
        <f t="shared" si="344"/>
        <v>0.137749447777935-212.13414957802i</v>
      </c>
      <c r="FD77" s="1" t="str">
        <f t="shared" si="345"/>
        <v>-0.000401205465669163+0.0199878737241687i</v>
      </c>
      <c r="FE77" s="1" t="str">
        <f t="shared" si="346"/>
        <v>0.0150354791175214+0.221772209762437i</v>
      </c>
      <c r="FF77" s="1" t="str">
        <f t="shared" si="347"/>
        <v>-3.97017885940209-415.697625137404i</v>
      </c>
      <c r="FG77" s="1" t="str">
        <f t="shared" si="348"/>
        <v>-0.00304306616464266+0.0448850018354026i</v>
      </c>
      <c r="FH77" s="1" t="str">
        <f t="shared" si="349"/>
        <v>0.0225622084072661+0.137406567402838i</v>
      </c>
      <c r="FI77" s="1" t="str">
        <f t="shared" si="350"/>
        <v>-18.0037098477845-1028.20571200229i</v>
      </c>
      <c r="FJ77" s="1" t="str">
        <f t="shared" si="351"/>
        <v>-0.0145452893859166+0.0885825647172055i</v>
      </c>
      <c r="FK77" s="1" t="str">
        <f t="shared" si="352"/>
        <v>0.0124475596951087+0.0814630998223721i</v>
      </c>
      <c r="FL77" s="1" t="str">
        <f t="shared" si="353"/>
        <v>-90.0436782577546-1449.42973914905i</v>
      </c>
      <c r="FM77" s="1" t="str">
        <f t="shared" si="354"/>
        <v>-17551.5730855051-1576.54908476565i</v>
      </c>
      <c r="FN77" s="1" t="str">
        <f t="shared" si="355"/>
        <v>-7702.38492670178+462.973209139743i</v>
      </c>
      <c r="FO77" s="1" t="str">
        <f t="shared" si="356"/>
        <v>-1869.72533203747+238.451030441176i</v>
      </c>
      <c r="FP77" s="1" t="str">
        <f t="shared" si="357"/>
        <v>-843.995080640266+19.8949619256437i</v>
      </c>
      <c r="FQ77" s="92" t="str">
        <f t="shared" si="358"/>
        <v>-0.43230513811927-237.002748839391i</v>
      </c>
      <c r="FR77" s="1" t="str">
        <f t="shared" si="359"/>
        <v>-5.56095639510529-235.909968496813i</v>
      </c>
      <c r="FS77" s="1" t="str">
        <f t="shared" si="360"/>
        <v>5.128651256986-1.09278034257766i</v>
      </c>
      <c r="FT77" s="1" t="str">
        <f t="shared" si="361"/>
        <v>-13.4251285860917-523.552565156961i</v>
      </c>
      <c r="FU77" s="1" t="str">
        <f t="shared" si="362"/>
        <v>-64.6691847157897-2126.01613026032i</v>
      </c>
      <c r="FV77" s="1" t="str">
        <f t="shared" si="363"/>
        <v>317.311868444045-4931.18045108687i</v>
      </c>
      <c r="FW77" s="1" t="str">
        <f t="shared" si="364"/>
        <v>-5.56095639510529-235.909968496813i</v>
      </c>
      <c r="FX77" s="1" t="str">
        <f t="shared" si="365"/>
        <v>-66.6230732757486-522.400123712552i</v>
      </c>
      <c r="FY77" s="1" t="str">
        <f t="shared" si="366"/>
        <v>-129.457440754188-2153.75538072113i</v>
      </c>
      <c r="FZ77" s="1" t="str">
        <f t="shared" si="367"/>
        <v>440.79456172025-4907.3245105313i</v>
      </c>
      <c r="GA77" s="1" t="str">
        <f t="shared" si="368"/>
        <v>5.128651256986-1.09278034257766i</v>
      </c>
      <c r="GB77" s="1" t="str">
        <f t="shared" si="369"/>
        <v>58.3265959466431-2.24522178698567i</v>
      </c>
      <c r="GC77" s="1" t="str">
        <f t="shared" si="370"/>
        <v>123.114851985041+25.4940286738174i</v>
      </c>
      <c r="GD77" s="92" t="str">
        <f t="shared" si="371"/>
        <v>238.785250004044-7817.75189534354i</v>
      </c>
      <c r="GE77" s="1" t="str">
        <f t="shared" si="463"/>
        <v>0.0281024753848903+0.920065959687i</v>
      </c>
      <c r="GF77" s="1">
        <f t="shared" si="464"/>
        <v>15.4</v>
      </c>
      <c r="GG77" s="56">
        <f t="shared" si="465"/>
        <v>0.11082503242550047</v>
      </c>
      <c r="GH77" s="1">
        <f t="shared" si="466"/>
        <v>0.8892134214033417</v>
      </c>
      <c r="GJ77" s="1">
        <f t="shared" si="372"/>
        <v>7821.3977710360059</v>
      </c>
      <c r="GK77" s="1">
        <f t="shared" si="373"/>
        <v>0.9204950403437917</v>
      </c>
      <c r="GM77" s="1" t="str">
        <f t="shared" si="467"/>
        <v>0.0191834803010191+7.38563991589238i</v>
      </c>
      <c r="GP77" s="1">
        <f t="shared" si="453"/>
        <v>15.4</v>
      </c>
      <c r="GQ77" s="1">
        <f t="shared" si="454"/>
        <v>0.9204950403437917</v>
      </c>
      <c r="GR77" s="1">
        <f t="shared" si="468"/>
        <v>7.3856648294611409</v>
      </c>
      <c r="GS77" s="1">
        <f t="shared" si="469"/>
        <v>0.81851654420890485</v>
      </c>
    </row>
    <row r="78" spans="2:372" ht="18" customHeight="1" x14ac:dyDescent="0.25">
      <c r="B78" s="6"/>
      <c r="C78" s="222">
        <f t="shared" si="439"/>
        <v>29</v>
      </c>
      <c r="D78" s="222"/>
      <c r="E78" s="222"/>
      <c r="F78" s="191">
        <f t="shared" si="424"/>
        <v>0.11963805131076884</v>
      </c>
      <c r="G78" s="190"/>
      <c r="H78" s="191">
        <f t="shared" si="425"/>
        <v>0.24151178961294464</v>
      </c>
      <c r="I78" s="190"/>
      <c r="J78" s="191">
        <f t="shared" si="426"/>
        <v>0.65652774566865191</v>
      </c>
      <c r="K78" s="190"/>
      <c r="L78" s="191">
        <f t="shared" si="427"/>
        <v>0.98232419113187674</v>
      </c>
      <c r="M78" s="190"/>
      <c r="N78" s="191">
        <f t="shared" si="428"/>
        <v>0.11958766410221763</v>
      </c>
      <c r="O78" s="190"/>
      <c r="P78" s="190">
        <f t="shared" si="429"/>
        <v>0.22719707117435542</v>
      </c>
      <c r="Q78" s="190"/>
      <c r="R78" s="191">
        <f t="shared" si="430"/>
        <v>0.24181213731603388</v>
      </c>
      <c r="S78" s="190"/>
      <c r="T78" s="190">
        <f t="shared" si="431"/>
        <v>0.4595950680961588</v>
      </c>
      <c r="U78" s="190"/>
      <c r="V78" s="191">
        <f t="shared" si="432"/>
        <v>0.65661556632417162</v>
      </c>
      <c r="W78" s="190"/>
      <c r="X78" s="190">
        <f t="shared" si="433"/>
        <v>1.2469893388087125</v>
      </c>
      <c r="Y78" s="190"/>
      <c r="Z78" s="191">
        <f t="shared" si="434"/>
        <v>0.98227021526006464</v>
      </c>
      <c r="AA78" s="190"/>
      <c r="AB78" s="190">
        <f t="shared" si="435"/>
        <v>1.8656276397773621</v>
      </c>
      <c r="AC78" s="190"/>
      <c r="AD78" s="191">
        <f t="shared" si="436"/>
        <v>1.1624158878649489E-3</v>
      </c>
      <c r="AE78" s="190"/>
      <c r="AF78" s="191">
        <f t="shared" si="437"/>
        <v>7.8771702354019507E-3</v>
      </c>
      <c r="AG78" s="190"/>
      <c r="AH78" s="191">
        <f t="shared" si="438"/>
        <v>7.735160634687651E-3</v>
      </c>
      <c r="AI78" s="190"/>
      <c r="AJ78" s="300">
        <f t="shared" si="440"/>
        <v>1.0304720851109744E-3</v>
      </c>
      <c r="AK78" s="300"/>
      <c r="AL78" s="300"/>
      <c r="AM78" s="191">
        <f t="shared" si="441"/>
        <v>1.9999999999999996</v>
      </c>
      <c r="AN78" s="191"/>
      <c r="AO78" s="191"/>
      <c r="AP78" s="8"/>
      <c r="AR78" s="6"/>
      <c r="CF78" s="8"/>
      <c r="CI78" s="1">
        <f t="shared" si="442"/>
        <v>2.7024213927217145E-4</v>
      </c>
      <c r="CJ78" s="1">
        <f t="shared" si="443"/>
        <v>6.204981091750242E-3</v>
      </c>
      <c r="CK78" s="1">
        <f t="shared" si="444"/>
        <v>4.7866168035537171E-3</v>
      </c>
      <c r="CM78" s="1">
        <f t="shared" si="445"/>
        <v>7.5701158180270546E-3</v>
      </c>
      <c r="CN78" s="1">
        <f t="shared" si="446"/>
        <v>3.1491647222030399E-2</v>
      </c>
      <c r="CO78" s="1">
        <f t="shared" si="447"/>
        <v>0.2354127038259253</v>
      </c>
      <c r="CP78" s="1">
        <f t="shared" si="448"/>
        <v>0.52832666681937113</v>
      </c>
      <c r="EA78" s="1">
        <f t="shared" si="420"/>
        <v>15.6</v>
      </c>
      <c r="EB78" s="1" t="str">
        <f t="shared" si="455"/>
        <v>0.0000186455968590347-0.0290871311000942i</v>
      </c>
      <c r="EC78" s="1" t="str">
        <f t="shared" si="456"/>
        <v>0.0000365301489483127-0.056987032359368i</v>
      </c>
      <c r="ED78" s="1" t="str">
        <f t="shared" si="457"/>
        <v>0.000090278935812367-0.140835139867293i</v>
      </c>
      <c r="EE78" s="1" t="str">
        <f t="shared" si="458"/>
        <v>0.000126079750189663-0.196684410295875i</v>
      </c>
      <c r="EF78" s="1" t="str">
        <f t="shared" si="459"/>
        <v>0.283145885329281i</v>
      </c>
      <c r="EG78" s="1" t="str">
        <f t="shared" si="460"/>
        <v>0.283027957013858i</v>
      </c>
      <c r="EH78" s="1" t="str">
        <f t="shared" si="461"/>
        <v>0.2832533365423i</v>
      </c>
      <c r="EI78" s="1" t="str">
        <f t="shared" si="462"/>
        <v>0.283225667207368i</v>
      </c>
      <c r="EJ78" s="1" t="str">
        <f t="shared" si="450"/>
        <v>0.005</v>
      </c>
      <c r="EK78" s="1" t="str">
        <f t="shared" si="451"/>
        <v>0.01</v>
      </c>
      <c r="EL78" s="1" t="str">
        <f t="shared" si="452"/>
        <v>0.0125</v>
      </c>
      <c r="EM78" s="1" t="str">
        <f t="shared" si="329"/>
        <v>0.00501864559685903+0.254058754229187i</v>
      </c>
      <c r="EN78" s="1" t="str">
        <f t="shared" si="330"/>
        <v>-0.005</v>
      </c>
      <c r="EO78" s="1" t="str">
        <f t="shared" si="331"/>
        <v>0.134240053361089-209.414483243299i</v>
      </c>
      <c r="EP78" s="1" t="str">
        <f t="shared" si="332"/>
        <v>-0.005</v>
      </c>
      <c r="EQ78" s="1" t="str">
        <f t="shared" si="333"/>
        <v>0.0150365301489483+0.22604092465449i</v>
      </c>
      <c r="ER78" s="1" t="str">
        <f t="shared" si="334"/>
        <v>-0.01</v>
      </c>
      <c r="ES78" s="1" t="str">
        <f t="shared" si="335"/>
        <v>0.263000920870703-410.281436558298i</v>
      </c>
      <c r="ET78" s="1" t="str">
        <f t="shared" si="336"/>
        <v>-0.01</v>
      </c>
      <c r="EU78" s="1" t="str">
        <f t="shared" si="337"/>
        <v>0.0225902789358124+0.142418196675007i</v>
      </c>
      <c r="EV78" s="1" t="str">
        <f t="shared" si="338"/>
        <v>-0.0125</v>
      </c>
      <c r="EW78" s="1" t="str">
        <f t="shared" si="339"/>
        <v>0.649968421630985-1013.95073774434i</v>
      </c>
      <c r="EX78" s="1" t="str">
        <f t="shared" si="340"/>
        <v>-0.0125</v>
      </c>
      <c r="EY78" s="1" t="str">
        <f t="shared" si="341"/>
        <v>0.0126260797501897+0.086541256911493i</v>
      </c>
      <c r="EZ78" s="1" t="str">
        <f t="shared" si="342"/>
        <v>0.907718456060693-1416.04079145469i</v>
      </c>
      <c r="FB78" s="1" t="str">
        <f t="shared" si="343"/>
        <v>0.00501864559685903+0.254058754229187i</v>
      </c>
      <c r="FC78" s="1" t="str">
        <f t="shared" si="344"/>
        <v>0.134240053361089-209.414483243299i</v>
      </c>
      <c r="FD78" s="1" t="str">
        <f t="shared" si="345"/>
        <v>-0.00038861429199675+0.0196728103220007i</v>
      </c>
      <c r="FE78" s="1" t="str">
        <f t="shared" si="346"/>
        <v>0.0150345870774883+0.2261392887061i</v>
      </c>
      <c r="FF78" s="1" t="str">
        <f t="shared" si="347"/>
        <v>-3.85671831905122-410.365458898545i</v>
      </c>
      <c r="FG78" s="1" t="str">
        <f t="shared" si="348"/>
        <v>-0.00292700908943694+0.0440259350063999i</v>
      </c>
      <c r="FH78" s="1" t="str">
        <f t="shared" si="349"/>
        <v>0.022561008844918+0.142858456025071i</v>
      </c>
      <c r="FI78" s="1" t="str">
        <f t="shared" si="350"/>
        <v>-17.4280432502831-1014.98208554247i</v>
      </c>
      <c r="FJ78" s="1" t="str">
        <f t="shared" si="351"/>
        <v>-0.0134821132511562+0.0853700247295979i</v>
      </c>
      <c r="FK78" s="1" t="str">
        <f t="shared" si="352"/>
        <v>0.0124575533345502+0.087608382220613i</v>
      </c>
      <c r="FL78" s="1" t="str">
        <f t="shared" si="353"/>
        <v>-85.6445181518975-1429.76647795228i</v>
      </c>
      <c r="FM78" s="1" t="str">
        <f t="shared" si="354"/>
        <v>-16132.7822785868-1316.43199651675i</v>
      </c>
      <c r="FN78" s="1" t="str">
        <f t="shared" si="355"/>
        <v>-7280.60883749009+383.806061462637i</v>
      </c>
      <c r="FO78" s="1" t="str">
        <f t="shared" si="356"/>
        <v>-1812.21415471836+218.524235503395i</v>
      </c>
      <c r="FP78" s="1" t="str">
        <f t="shared" si="357"/>
        <v>-820.349114469249+18.9317989203139i</v>
      </c>
      <c r="FQ78" s="92" t="str">
        <f t="shared" si="358"/>
        <v>-0.401135764922644-233.276438478402i</v>
      </c>
      <c r="FR78" s="1" t="str">
        <f t="shared" si="359"/>
        <v>-5.3604609661682-232.278476295487i</v>
      </c>
      <c r="FS78" s="1" t="str">
        <f t="shared" si="360"/>
        <v>4.95932520124556-0.997962182915405i</v>
      </c>
      <c r="FT78" s="1" t="str">
        <f t="shared" si="361"/>
        <v>-12.1238463060693-513.562125958209i</v>
      </c>
      <c r="FU78" s="1" t="str">
        <f t="shared" si="362"/>
        <v>-52.7461263084596-2039.35095129409i</v>
      </c>
      <c r="FV78" s="1" t="str">
        <f t="shared" si="363"/>
        <v>261.863386545127-4588.941584933i</v>
      </c>
      <c r="FW78" s="1" t="str">
        <f t="shared" si="364"/>
        <v>-5.3604609661682-232.278476295487i</v>
      </c>
      <c r="FX78" s="1" t="str">
        <f t="shared" si="365"/>
        <v>-61.8484679325411-512.907269881533i</v>
      </c>
      <c r="FY78" s="1" t="str">
        <f t="shared" si="366"/>
        <v>-108.714347494451-2062.25674527842i</v>
      </c>
      <c r="FZ78" s="1" t="str">
        <f t="shared" si="367"/>
        <v>372.847330546584-4569.21802476395i</v>
      </c>
      <c r="GA78" s="1" t="str">
        <f t="shared" si="368"/>
        <v>4.95932520124556-0.997962182915405i</v>
      </c>
      <c r="GB78" s="1" t="str">
        <f t="shared" si="369"/>
        <v>54.6839468277173-1.65281825959242i</v>
      </c>
      <c r="GC78" s="1" t="str">
        <f t="shared" si="370"/>
        <v>110.652168013709+21.2529757247424i</v>
      </c>
      <c r="GD78" s="92" t="str">
        <f t="shared" si="371"/>
        <v>196.592278165675-7375.1311006637i</v>
      </c>
      <c r="GE78" s="1" t="str">
        <f t="shared" si="463"/>
        <v>0.0260030514054356+0.975500741543719i</v>
      </c>
      <c r="GF78" s="1">
        <f t="shared" si="464"/>
        <v>15.6</v>
      </c>
      <c r="GG78" s="56">
        <f t="shared" si="465"/>
        <v>0.11538685370102575</v>
      </c>
      <c r="GH78" s="1">
        <f t="shared" si="466"/>
        <v>0.88464275268019577</v>
      </c>
      <c r="GJ78" s="1">
        <f t="shared" si="372"/>
        <v>7377.7508277124225</v>
      </c>
      <c r="GK78" s="1">
        <f t="shared" si="373"/>
        <v>0.97584725005235295</v>
      </c>
      <c r="GM78" s="1" t="str">
        <f t="shared" si="467"/>
        <v>0.0191834803010191+7.48155731739748i</v>
      </c>
      <c r="GP78" s="1">
        <f t="shared" si="453"/>
        <v>15.6</v>
      </c>
      <c r="GQ78" s="1">
        <f t="shared" si="454"/>
        <v>0.97584725005235295</v>
      </c>
      <c r="GR78" s="1">
        <f t="shared" si="468"/>
        <v>7.4815819115625697</v>
      </c>
      <c r="GS78" s="1">
        <f t="shared" si="469"/>
        <v>0.86327619748171047</v>
      </c>
    </row>
    <row r="79" spans="2:372" ht="18" customHeight="1" x14ac:dyDescent="0.25">
      <c r="B79" s="6"/>
      <c r="C79" s="207">
        <f t="shared" ref="C79" si="471">CH41</f>
        <v>31</v>
      </c>
      <c r="D79" s="207"/>
      <c r="E79" s="207"/>
      <c r="F79" s="192">
        <f t="shared" ref="F79" si="472">CK41</f>
        <v>0.14241996702673532</v>
      </c>
      <c r="G79" s="193"/>
      <c r="H79" s="192">
        <f t="shared" ref="H79" si="473">CL41</f>
        <v>0.28429064485515981</v>
      </c>
      <c r="I79" s="193"/>
      <c r="J79" s="192">
        <f t="shared" ref="J79" si="474">CM41</f>
        <v>0.76839498979264786</v>
      </c>
      <c r="K79" s="193"/>
      <c r="L79" s="192">
        <f t="shared" ref="L79" si="475">CN41</f>
        <v>1.1381241927227579</v>
      </c>
      <c r="M79" s="193"/>
      <c r="N79" s="192">
        <f t="shared" ref="N79" si="476">CO41</f>
        <v>0.14235308045904477</v>
      </c>
      <c r="O79" s="193"/>
      <c r="P79" s="193">
        <f t="shared" ref="P79" si="477">DA41</f>
        <v>0.25299941629582989</v>
      </c>
      <c r="Q79" s="193"/>
      <c r="R79" s="192">
        <f t="shared" ref="R79" si="478">CQ41</f>
        <v>0.24567390248741444</v>
      </c>
      <c r="S79" s="193"/>
      <c r="T79" s="193">
        <f t="shared" ref="T79" si="479">DB41</f>
        <v>0.43681002049310197</v>
      </c>
      <c r="U79" s="193"/>
      <c r="V79" s="192">
        <f t="shared" ref="V79" si="480">CS41</f>
        <v>0.76841191111590867</v>
      </c>
      <c r="W79" s="193"/>
      <c r="X79" s="193">
        <f t="shared" ref="X79" si="481">DC41</f>
        <v>1.3651549823865221</v>
      </c>
      <c r="Y79" s="193"/>
      <c r="Z79" s="192">
        <f t="shared" ref="Z79" si="482">CU41</f>
        <v>1.1380823175823422</v>
      </c>
      <c r="AA79" s="193"/>
      <c r="AB79" s="193">
        <f t="shared" ref="AB79" si="483">DD41</f>
        <v>2.0221062508941903</v>
      </c>
      <c r="AC79" s="193"/>
      <c r="AD79" s="192">
        <f t="shared" ref="AD79" si="484">CW41</f>
        <v>9.2034013400345922E-4</v>
      </c>
      <c r="AE79" s="193"/>
      <c r="AF79" s="192">
        <f t="shared" ref="AF79" si="485">CX41</f>
        <v>9.2879720880553029E-3</v>
      </c>
      <c r="AG79" s="193"/>
      <c r="AH79" s="192">
        <f t="shared" ref="AH79" si="486">CY41</f>
        <v>8.2132460426785313E-3</v>
      </c>
      <c r="AI79" s="193"/>
      <c r="AJ79" s="275">
        <f t="shared" ref="AJ79" si="487">CJ41</f>
        <v>1.1273035214644789E-3</v>
      </c>
      <c r="AK79" s="275"/>
      <c r="AL79" s="275"/>
      <c r="AM79" s="192">
        <f t="shared" ref="AM79" si="488">LU18</f>
        <v>2.3332284629818245</v>
      </c>
      <c r="AN79" s="192"/>
      <c r="AO79" s="192"/>
      <c r="AP79" s="8"/>
      <c r="AR79" s="6"/>
      <c r="CF79" s="8"/>
      <c r="CI79" s="1">
        <f>AD80^2*$AL$29</f>
        <v>1.9572487756003642E-4</v>
      </c>
      <c r="CJ79" s="1">
        <f>AF80^2*$AL$30</f>
        <v>4.1436704515743729E-3</v>
      </c>
      <c r="CK79" s="1">
        <f>AH80^2*$AL$31</f>
        <v>2.8555892672068733E-3</v>
      </c>
      <c r="CM79" s="1">
        <f>$G$39*COS(ATAN(100))*F80^2</f>
        <v>8.3198143708138605E-3</v>
      </c>
      <c r="CN79" s="1">
        <f>$G$40*COS(ATAN(100))*H80^2</f>
        <v>3.3946254705644781E-2</v>
      </c>
      <c r="CO79" s="1">
        <f>$G$41*COS(ATAN(100))*J80^2</f>
        <v>0.23797291910741961</v>
      </c>
      <c r="CP79" s="1">
        <f>$G$42*COS(ATAN(100))*L80^2</f>
        <v>0.50852803975026528</v>
      </c>
      <c r="EA79" s="1">
        <f t="shared" si="420"/>
        <v>15.8</v>
      </c>
      <c r="EB79" s="1" t="str">
        <f t="shared" si="455"/>
        <v>0.0000181765442177534-0.0287189398640504i</v>
      </c>
      <c r="EC79" s="1" t="str">
        <f t="shared" si="456"/>
        <v>0.0000356111886715168-0.0562656781009966i</v>
      </c>
      <c r="ED79" s="1" t="str">
        <f t="shared" si="457"/>
        <v>0.0000880078595033059-0.139052418015223i</v>
      </c>
      <c r="EE79" s="1" t="str">
        <f t="shared" si="458"/>
        <v>0.000122908060900999-0.194194736223578i</v>
      </c>
      <c r="EF79" s="1" t="str">
        <f t="shared" si="459"/>
        <v>0.28677596078222i</v>
      </c>
      <c r="EG79" s="1" t="str">
        <f t="shared" si="460"/>
        <v>0.286656520565318i</v>
      </c>
      <c r="EH79" s="1" t="str">
        <f t="shared" si="461"/>
        <v>0.286884789574894i</v>
      </c>
      <c r="EI79" s="1" t="str">
        <f t="shared" si="462"/>
        <v>0.286856765504898i</v>
      </c>
      <c r="EJ79" s="1" t="str">
        <f t="shared" si="450"/>
        <v>0.005</v>
      </c>
      <c r="EK79" s="1" t="str">
        <f t="shared" si="451"/>
        <v>0.01</v>
      </c>
      <c r="EL79" s="1" t="str">
        <f t="shared" si="452"/>
        <v>0.0125</v>
      </c>
      <c r="EM79" s="1" t="str">
        <f t="shared" si="329"/>
        <v>0.00501817654421775+0.25805702091817i</v>
      </c>
      <c r="EN79" s="1" t="str">
        <f t="shared" si="330"/>
        <v>-0.005</v>
      </c>
      <c r="EO79" s="1" t="str">
        <f t="shared" si="331"/>
        <v>0.130863081732302-206.763669137037i</v>
      </c>
      <c r="EP79" s="1" t="str">
        <f t="shared" si="332"/>
        <v>-0.005</v>
      </c>
      <c r="EQ79" s="1" t="str">
        <f t="shared" si="333"/>
        <v>0.0150356111886715+0.230390842464321i</v>
      </c>
      <c r="ER79" s="1" t="str">
        <f t="shared" si="334"/>
        <v>-0.01</v>
      </c>
      <c r="ES79" s="1" t="str">
        <f t="shared" si="335"/>
        <v>0.256384813189815-405.088004839908i</v>
      </c>
      <c r="ET79" s="1" t="str">
        <f t="shared" si="336"/>
        <v>-0.01</v>
      </c>
      <c r="EU79" s="1" t="str">
        <f t="shared" si="337"/>
        <v>0.0225880078595033+0.147832371559671i</v>
      </c>
      <c r="EV79" s="1" t="str">
        <f t="shared" si="338"/>
        <v>-0.0125</v>
      </c>
      <c r="EW79" s="1" t="str">
        <f t="shared" si="339"/>
        <v>0.633617676346704-1001.11592862779i</v>
      </c>
      <c r="EX79" s="1" t="str">
        <f t="shared" si="340"/>
        <v>-0.0125</v>
      </c>
      <c r="EY79" s="1" t="str">
        <f t="shared" si="341"/>
        <v>0.012622908060901+0.09266202928132i</v>
      </c>
      <c r="EZ79" s="1" t="str">
        <f t="shared" si="342"/>
        <v>0.884883695523181-1398.11623892662i</v>
      </c>
      <c r="FB79" s="1" t="str">
        <f t="shared" si="343"/>
        <v>0.00501817654421775+0.25805702091817i</v>
      </c>
      <c r="FC79" s="1" t="str">
        <f t="shared" si="344"/>
        <v>0.130863081732302-206.763669137037i</v>
      </c>
      <c r="FD79" s="1" t="str">
        <f t="shared" si="345"/>
        <v>-0.000376634748477289+0.0193682387038187i</v>
      </c>
      <c r="FE79" s="1" t="str">
        <f t="shared" si="346"/>
        <v>0.0150337280149291+0.23048768365784i</v>
      </c>
      <c r="FF79" s="1" t="str">
        <f t="shared" si="347"/>
        <v>-3.74821399834984-405.168413809832i</v>
      </c>
      <c r="FG79" s="1" t="str">
        <f t="shared" si="348"/>
        <v>-0.00281791248053298+0.043202465798476i</v>
      </c>
      <c r="FH79" s="1" t="str">
        <f t="shared" si="349"/>
        <v>0.022559828734698+0.148264396217656i</v>
      </c>
      <c r="FI79" s="1" t="str">
        <f t="shared" si="350"/>
        <v>-16.881219002901-1002.09572567071i</v>
      </c>
      <c r="FJ79" s="1" t="str">
        <f t="shared" si="351"/>
        <v>-0.0125380990351255+0.082401054769574i</v>
      </c>
      <c r="FK79" s="1" t="str">
        <f t="shared" si="352"/>
        <v>0.0124661818229619+0.0936920424659397i</v>
      </c>
      <c r="FL79" s="1" t="str">
        <f t="shared" si="353"/>
        <v>-81.6001804088518-1410.72054035025i</v>
      </c>
      <c r="FM79" s="1" t="str">
        <f t="shared" si="354"/>
        <v>-14908.9352792108-1112.76598123541i</v>
      </c>
      <c r="FN79" s="1" t="str">
        <f t="shared" si="355"/>
        <v>-6901.45505128771+320.692406462629i</v>
      </c>
      <c r="FO79" s="1" t="str">
        <f t="shared" si="356"/>
        <v>-1757.0766615256+201.08385465522i</v>
      </c>
      <c r="FP79" s="1" t="str">
        <f t="shared" si="357"/>
        <v>-797.686898337954+18.025421383522i</v>
      </c>
      <c r="FQ79" s="92" t="str">
        <f t="shared" si="358"/>
        <v>-0.372308719825672-229.672718840614i</v>
      </c>
      <c r="FR79" s="1" t="str">
        <f t="shared" si="359"/>
        <v>-5.1692575357639-228.757426674256i</v>
      </c>
      <c r="FS79" s="1" t="str">
        <f t="shared" si="360"/>
        <v>4.79694881593823-0.91529216635849i</v>
      </c>
      <c r="FT79" s="1" t="str">
        <f t="shared" si="361"/>
        <v>-10.9951630356445-503.958275511168i</v>
      </c>
      <c r="FU79" s="1" t="str">
        <f t="shared" si="362"/>
        <v>-43.3520545948805-1960.80816478497i</v>
      </c>
      <c r="FV79" s="1" t="str">
        <f t="shared" si="363"/>
        <v>218.810608225371-4293.21622493836i</v>
      </c>
      <c r="FW79" s="1" t="str">
        <f t="shared" si="364"/>
        <v>-5.1692575357639-228.757426674256i</v>
      </c>
      <c r="FX79" s="1" t="str">
        <f t="shared" si="365"/>
        <v>-57.6419981173275-503.677482159453i</v>
      </c>
      <c r="FY79" s="1" t="str">
        <f t="shared" si="366"/>
        <v>-92.0017735462977-1979.92248014926i</v>
      </c>
      <c r="FZ79" s="1" t="str">
        <f t="shared" si="367"/>
        <v>319.204450141074-4276.72895131627i</v>
      </c>
      <c r="GA79" s="1" t="str">
        <f t="shared" si="368"/>
        <v>4.79694881593823-0.91529216635849i</v>
      </c>
      <c r="GB79" s="1" t="str">
        <f t="shared" si="369"/>
        <v>51.4437838976211-1.19608551807409i</v>
      </c>
      <c r="GC79" s="1" t="str">
        <f t="shared" si="370"/>
        <v>100.093502849039+17.9182298462255i</v>
      </c>
      <c r="GD79" s="92" t="str">
        <f t="shared" si="371"/>
        <v>164.09108187502-6987.65538407511i</v>
      </c>
      <c r="GE79" s="1" t="str">
        <f t="shared" si="463"/>
        <v>0.0241817886772568+1.02975740007552i</v>
      </c>
      <c r="GF79" s="1">
        <f t="shared" si="464"/>
        <v>15.8</v>
      </c>
      <c r="GG79" s="56">
        <f t="shared" si="465"/>
        <v>0.11967008722206791</v>
      </c>
      <c r="GH79" s="1">
        <f t="shared" si="466"/>
        <v>0.88035302474539812</v>
      </c>
      <c r="GJ79" s="1">
        <f t="shared" si="372"/>
        <v>6989.581793622905</v>
      </c>
      <c r="GK79" s="1">
        <f t="shared" si="373"/>
        <v>1.0300412913635677</v>
      </c>
      <c r="GM79" s="1" t="str">
        <f t="shared" si="467"/>
        <v>0.0191834803010191+7.57747471890257i</v>
      </c>
      <c r="GP79" s="1">
        <f t="shared" si="453"/>
        <v>15.8</v>
      </c>
      <c r="GQ79" s="1">
        <f t="shared" si="454"/>
        <v>1.0300412913635677</v>
      </c>
      <c r="GR79" s="1">
        <f t="shared" si="468"/>
        <v>7.5774990017501187</v>
      </c>
      <c r="GS79" s="1">
        <f t="shared" si="469"/>
        <v>0.90679996646457028</v>
      </c>
    </row>
    <row r="80" spans="2:372" ht="18" customHeight="1" x14ac:dyDescent="0.25">
      <c r="B80" s="6"/>
      <c r="C80" s="295">
        <f t="shared" ref="C80:C81" si="489">CH42</f>
        <v>35</v>
      </c>
      <c r="D80" s="295"/>
      <c r="E80" s="295"/>
      <c r="F80" s="297">
        <f>CK42</f>
        <v>0.125422336445314</v>
      </c>
      <c r="G80" s="298"/>
      <c r="H80" s="297">
        <f>CL42</f>
        <v>0.25074748167032956</v>
      </c>
      <c r="I80" s="298"/>
      <c r="J80" s="297">
        <f>CM42</f>
        <v>0.66008810376105664</v>
      </c>
      <c r="K80" s="298"/>
      <c r="L80" s="297">
        <f>CN42</f>
        <v>0.96374253171718882</v>
      </c>
      <c r="M80" s="298"/>
      <c r="N80" s="297">
        <f>CO42</f>
        <v>0.12538966684804906</v>
      </c>
      <c r="O80" s="298"/>
      <c r="P80" s="298">
        <f>DA42</f>
        <v>0.19738222835248401</v>
      </c>
      <c r="Q80" s="298"/>
      <c r="R80" s="297">
        <f>CQ42</f>
        <v>0.2509459430647501</v>
      </c>
      <c r="S80" s="298"/>
      <c r="T80" s="298">
        <f>DB42</f>
        <v>0.39519131942335389</v>
      </c>
      <c r="U80" s="298"/>
      <c r="V80" s="297">
        <f>CS42</f>
        <v>0.66011735547807882</v>
      </c>
      <c r="W80" s="298"/>
      <c r="X80" s="298">
        <f>DC42</f>
        <v>1.0387299905311991</v>
      </c>
      <c r="Y80" s="298"/>
      <c r="Z80" s="297">
        <f>CU42</f>
        <v>0.96372641879851972</v>
      </c>
      <c r="AA80" s="298"/>
      <c r="AB80" s="298">
        <f>DD42</f>
        <v>1.5166232517488309</v>
      </c>
      <c r="AC80" s="298"/>
      <c r="AD80" s="297">
        <f>CW42</f>
        <v>9.8925446059150131E-4</v>
      </c>
      <c r="AE80" s="298"/>
      <c r="AF80" s="297">
        <f>CX42</f>
        <v>6.4371348063982413E-3</v>
      </c>
      <c r="AG80" s="298"/>
      <c r="AH80" s="297">
        <f>CY42</f>
        <v>5.9745180424939648E-3</v>
      </c>
      <c r="AI80" s="298"/>
      <c r="AJ80" s="304">
        <f>CJ42</f>
        <v>1.3163132066605129E-3</v>
      </c>
      <c r="AK80" s="304"/>
      <c r="AL80" s="304"/>
      <c r="AM80" s="297">
        <f>LU19</f>
        <v>1.999999999999994</v>
      </c>
      <c r="AN80" s="297"/>
      <c r="AO80" s="297"/>
      <c r="AP80" s="8"/>
      <c r="AR80" s="6"/>
      <c r="CF80" s="8"/>
      <c r="CI80" s="1">
        <f>AD81^2*$AL$29</f>
        <v>4.4284466550987397E-5</v>
      </c>
      <c r="CJ80" s="1">
        <f>AF81^2*$AL$30</f>
        <v>9.2079605506181273E-4</v>
      </c>
      <c r="CK80" s="1">
        <f>AH81^2*$AL$31</f>
        <v>6.1915169201300546E-4</v>
      </c>
      <c r="CM80" s="1">
        <f>$G$39*COS(ATAN(100))*F81^2</f>
        <v>2.1233020146813599E-3</v>
      </c>
      <c r="CN80" s="1">
        <f>$G$40*COS(ATAN(100))*H81^2</f>
        <v>8.6255628067490129E-3</v>
      </c>
      <c r="CO80" s="1">
        <f>$G$41*COS(ATAN(100))*J81^2</f>
        <v>5.9616706353203909E-2</v>
      </c>
      <c r="CP80" s="1">
        <f>$G$42*COS(ATAN(100))*L81^2</f>
        <v>0.1260709628014367</v>
      </c>
      <c r="EA80" s="1">
        <f t="shared" si="420"/>
        <v>16</v>
      </c>
      <c r="EB80" s="1" t="str">
        <f t="shared" si="455"/>
        <v>0.0000177249708737394-0.0283599533979831i</v>
      </c>
      <c r="EC80" s="1" t="str">
        <f t="shared" si="456"/>
        <v>0.0000347264735485505-0.0555623576776809i</v>
      </c>
      <c r="ED80" s="1" t="str">
        <f t="shared" si="457"/>
        <v>0.0000858214150978503-0.137314264156561i</v>
      </c>
      <c r="EE80" s="1" t="str">
        <f t="shared" si="458"/>
        <v>0.000119854564955762-0.191767303929219i</v>
      </c>
      <c r="EF80" s="1" t="str">
        <f t="shared" si="459"/>
        <v>0.29040603623516i</v>
      </c>
      <c r="EG80" s="1" t="str">
        <f t="shared" si="460"/>
        <v>0.290285084116778i</v>
      </c>
      <c r="EH80" s="1" t="str">
        <f t="shared" si="461"/>
        <v>0.290516242607488i</v>
      </c>
      <c r="EI80" s="1" t="str">
        <f t="shared" si="462"/>
        <v>0.290487863802429i</v>
      </c>
      <c r="EJ80" s="1" t="str">
        <f t="shared" si="450"/>
        <v>0.005</v>
      </c>
      <c r="EK80" s="1" t="str">
        <f t="shared" si="451"/>
        <v>0.01</v>
      </c>
      <c r="EL80" s="1" t="str">
        <f t="shared" si="452"/>
        <v>0.0125</v>
      </c>
      <c r="EM80" s="1" t="str">
        <f t="shared" si="329"/>
        <v>0.00501772497087374+0.262046082837177i</v>
      </c>
      <c r="EN80" s="1" t="str">
        <f t="shared" si="330"/>
        <v>-0.005</v>
      </c>
      <c r="EO80" s="1" t="str">
        <f t="shared" si="331"/>
        <v>0.127611953315487-204.179125304779i</v>
      </c>
      <c r="EP80" s="1" t="str">
        <f t="shared" si="332"/>
        <v>-0.005</v>
      </c>
      <c r="EQ80" s="1" t="str">
        <f t="shared" si="333"/>
        <v>0.0150347264735486+0.234722726439097i</v>
      </c>
      <c r="ER80" s="1" t="str">
        <f t="shared" si="334"/>
        <v>-0.01</v>
      </c>
      <c r="ES80" s="1" t="str">
        <f t="shared" si="335"/>
        <v>0.250015255475238-400.024408760381i</v>
      </c>
      <c r="ET80" s="1" t="str">
        <f t="shared" si="336"/>
        <v>-0.01</v>
      </c>
      <c r="EU80" s="1" t="str">
        <f t="shared" si="337"/>
        <v>0.0225858214150979+0.153201978450927i</v>
      </c>
      <c r="EV80" s="1" t="str">
        <f t="shared" si="338"/>
        <v>-0.0125</v>
      </c>
      <c r="EW80" s="1" t="str">
        <f t="shared" si="339"/>
        <v>0.617876243348962-988.601989358343i</v>
      </c>
      <c r="EX80" s="1" t="str">
        <f t="shared" si="340"/>
        <v>-0.0125</v>
      </c>
      <c r="EY80" s="1" t="str">
        <f t="shared" si="341"/>
        <v>0.0126198545649558+0.09872055987321i</v>
      </c>
      <c r="EZ80" s="1" t="str">
        <f t="shared" si="342"/>
        <v>0.862899874799959-1380.63979967993i</v>
      </c>
      <c r="FB80" s="1" t="str">
        <f t="shared" si="343"/>
        <v>0.00501772497087374+0.262046082837177i</v>
      </c>
      <c r="FC80" s="1" t="str">
        <f t="shared" si="344"/>
        <v>0.127611953315487-204.179125304779i</v>
      </c>
      <c r="FD80" s="1" t="str">
        <f t="shared" si="345"/>
        <v>-0.00036522652076478+0.0190736199513135i</v>
      </c>
      <c r="FE80" s="1" t="str">
        <f t="shared" si="346"/>
        <v>0.0150329003409448+0.234818094538854i</v>
      </c>
      <c r="FF80" s="1" t="str">
        <f t="shared" si="347"/>
        <v>-3.64437317531001-400.101414413828i</v>
      </c>
      <c r="FG80" s="1" t="str">
        <f t="shared" si="348"/>
        <v>-0.00271520954128377+0.0424123300426203i</v>
      </c>
      <c r="FH80" s="1" t="str">
        <f t="shared" si="349"/>
        <v>0.0225586693196851+0.153626101751353i</v>
      </c>
      <c r="FI80" s="1" t="str">
        <f t="shared" si="350"/>
        <v>-16.3612522321071-989.533782178331i</v>
      </c>
      <c r="FJ80" s="1" t="str">
        <f t="shared" si="351"/>
        <v>-0.0116957633910195+0.0796489594003055i</v>
      </c>
      <c r="FK80" s="1" t="str">
        <f t="shared" si="352"/>
        <v>0.0124736575225681+0.0997161718657138i</v>
      </c>
      <c r="FL80" s="1" t="str">
        <f t="shared" si="353"/>
        <v>-77.8709933043168-1392.25146783518i</v>
      </c>
      <c r="FM80" s="1" t="str">
        <f t="shared" si="354"/>
        <v>-13843.2131188779-950.74353917396i</v>
      </c>
      <c r="FN80" s="1" t="str">
        <f t="shared" si="355"/>
        <v>-6558.16814890886+269.862146675147i</v>
      </c>
      <c r="FO80" s="1" t="str">
        <f t="shared" si="356"/>
        <v>-1704.27416584607+185.700642283223i</v>
      </c>
      <c r="FP80" s="1" t="str">
        <f t="shared" si="357"/>
        <v>-775.958148805448+17.1733698423457i</v>
      </c>
      <c r="FQ80" s="92" t="str">
        <f t="shared" si="358"/>
        <v>-0.345670179512949-226.185566641167i</v>
      </c>
      <c r="FR80" s="1" t="str">
        <f t="shared" si="359"/>
        <v>-4.98725026471605-225.342930278963i</v>
      </c>
      <c r="FS80" s="1" t="str">
        <f t="shared" si="360"/>
        <v>4.64158008520311-0.842636362204385i</v>
      </c>
      <c r="FT80" s="1" t="str">
        <f t="shared" si="361"/>
        <v>-10.0087668203005-494.724348272394i</v>
      </c>
      <c r="FU80" s="1" t="str">
        <f t="shared" si="362"/>
        <v>-35.8752145800698-1889.15518289207i</v>
      </c>
      <c r="FV80" s="1" t="str">
        <f t="shared" si="363"/>
        <v>184.843597396267-4035.20150625146i</v>
      </c>
      <c r="FW80" s="1" t="str">
        <f t="shared" si="364"/>
        <v>-4.98725026471605-225.342930278963i</v>
      </c>
      <c r="FX80" s="1" t="str">
        <f t="shared" si="365"/>
        <v>-53.9061265657251-494.725369590678i</v>
      </c>
      <c r="FY80" s="1" t="str">
        <f t="shared" si="366"/>
        <v>-78.3993368740545-1905.25436900911i</v>
      </c>
      <c r="FZ80" s="1" t="str">
        <f t="shared" si="367"/>
        <v>276.179459718605-4021.2854070646i</v>
      </c>
      <c r="GA80" s="1" t="str">
        <f t="shared" si="368"/>
        <v>4.64158008520311-0.842636362204385i</v>
      </c>
      <c r="GB80" s="1" t="str">
        <f t="shared" si="369"/>
        <v>48.5389398306279-0.84161504391924i</v>
      </c>
      <c r="GC80" s="1" t="str">
        <f t="shared" si="370"/>
        <v>91.063062124613+15.2575710731139i</v>
      </c>
      <c r="GD80" s="92" t="str">
        <f t="shared" si="371"/>
        <v>138.613945816384-6645.26660405709i</v>
      </c>
      <c r="GE80" s="1" t="str">
        <f t="shared" si="463"/>
        <v>0.022589104452812+1.08294025216391i</v>
      </c>
      <c r="GF80" s="1">
        <f t="shared" si="464"/>
        <v>16</v>
      </c>
      <c r="GG80" s="56">
        <f t="shared" si="465"/>
        <v>0.12370059160802983</v>
      </c>
      <c r="GH80" s="1">
        <f t="shared" si="466"/>
        <v>0.87631767024001184</v>
      </c>
      <c r="GJ80" s="1">
        <f t="shared" si="372"/>
        <v>6646.7121244244699</v>
      </c>
      <c r="GK80" s="1">
        <f t="shared" si="373"/>
        <v>1.0831758201680894</v>
      </c>
      <c r="GM80" s="1" t="str">
        <f t="shared" si="467"/>
        <v>0.0191834803010191+7.67339212040767i</v>
      </c>
      <c r="GP80" s="1">
        <f t="shared" si="453"/>
        <v>16</v>
      </c>
      <c r="GQ80" s="1">
        <f t="shared" si="454"/>
        <v>1.0831758201680894</v>
      </c>
      <c r="GR80" s="1">
        <f t="shared" si="468"/>
        <v>7.673416099720578</v>
      </c>
      <c r="GS80" s="1">
        <f t="shared" si="469"/>
        <v>0.94920611119001019</v>
      </c>
    </row>
    <row r="81" spans="2:201" ht="18" customHeight="1" thickBot="1" x14ac:dyDescent="0.3">
      <c r="B81" s="6"/>
      <c r="C81" s="238">
        <f t="shared" si="489"/>
        <v>37</v>
      </c>
      <c r="D81" s="238"/>
      <c r="E81" s="238"/>
      <c r="F81" s="278">
        <f>CK43</f>
        <v>6.3361281800792826E-2</v>
      </c>
      <c r="G81" s="299"/>
      <c r="H81" s="278">
        <f>CL43</f>
        <v>0.12639630206749447</v>
      </c>
      <c r="I81" s="299"/>
      <c r="J81" s="278">
        <f>CM43</f>
        <v>0.33038637306861762</v>
      </c>
      <c r="K81" s="299"/>
      <c r="L81" s="278">
        <f>CN43</f>
        <v>0.47985619739509733</v>
      </c>
      <c r="M81" s="299"/>
      <c r="N81" s="278">
        <f>CO43</f>
        <v>6.3346857925429656E-2</v>
      </c>
      <c r="O81" s="299"/>
      <c r="P81" s="299">
        <f>DA43</f>
        <v>9.4327363903218497E-2</v>
      </c>
      <c r="Q81" s="299"/>
      <c r="R81" s="278">
        <f>CQ43</f>
        <v>0.12648427317420347</v>
      </c>
      <c r="S81" s="299"/>
      <c r="T81" s="299">
        <f>DB43</f>
        <v>0.18842133098084229</v>
      </c>
      <c r="U81" s="299"/>
      <c r="V81" s="278">
        <f>CS43</f>
        <v>0.33039676108705412</v>
      </c>
      <c r="W81" s="299"/>
      <c r="X81" s="299">
        <f>DC43</f>
        <v>0.49179444764369779</v>
      </c>
      <c r="Y81" s="299"/>
      <c r="Z81" s="278">
        <f>CU43</f>
        <v>0.47985086071866545</v>
      </c>
      <c r="AA81" s="299"/>
      <c r="AB81" s="299">
        <f>DD43</f>
        <v>0.71432614150964879</v>
      </c>
      <c r="AC81" s="299"/>
      <c r="AD81" s="278">
        <f>CW43</f>
        <v>4.7055534504980069E-4</v>
      </c>
      <c r="AE81" s="299"/>
      <c r="AF81" s="278">
        <f>CX43</f>
        <v>3.034462151785408E-3</v>
      </c>
      <c r="AG81" s="299"/>
      <c r="AH81" s="278">
        <f>CY43</f>
        <v>2.7819770218609945E-3</v>
      </c>
      <c r="AI81" s="299"/>
      <c r="AJ81" s="305">
        <f>CJ43</f>
        <v>7.0451796746064034E-4</v>
      </c>
      <c r="AK81" s="305"/>
      <c r="AL81" s="305"/>
      <c r="AM81" s="278">
        <f>LU20</f>
        <v>0.99999999999999756</v>
      </c>
      <c r="AN81" s="278"/>
      <c r="AO81" s="278"/>
      <c r="AP81" s="8"/>
      <c r="AR81" s="6"/>
      <c r="CF81" s="8"/>
      <c r="CI81" s="1">
        <f>SUM(CI67:CI80)</f>
        <v>9594.9695729820469</v>
      </c>
      <c r="CJ81" s="1">
        <f t="shared" ref="CJ81:CK81" si="490">SUM(CJ67:CJ80)</f>
        <v>6907.1012846606263</v>
      </c>
      <c r="CK81" s="1">
        <f t="shared" si="490"/>
        <v>2745.3914152140928</v>
      </c>
      <c r="CM81" s="1">
        <f>SUM(CM67:CM80)</f>
        <v>6326.4223327285063</v>
      </c>
      <c r="CN81" s="1">
        <f t="shared" ref="CN81" si="491">SUM(CN67:CN80)</f>
        <v>4954.587415321289</v>
      </c>
      <c r="CO81" s="1">
        <f t="shared" ref="CO81:CP81" si="492">SUM(CO67:CO80)</f>
        <v>4196.5189955017213</v>
      </c>
      <c r="CP81" s="1">
        <f t="shared" si="492"/>
        <v>5597.4124033195494</v>
      </c>
      <c r="EA81" s="1">
        <f t="shared" si="420"/>
        <v>16.2</v>
      </c>
      <c r="EB81" s="1" t="str">
        <f t="shared" si="455"/>
        <v>0.0000172900190030958-0.0280098307850152i</v>
      </c>
      <c r="EC81" s="1" t="str">
        <f t="shared" si="456"/>
        <v>0.0000338743229448408-0.0548764031706422i</v>
      </c>
      <c r="ED81" s="1" t="str">
        <f t="shared" si="457"/>
        <v>0.0000837154491527447-0.135619027627446i</v>
      </c>
      <c r="EE81" s="1" t="str">
        <f t="shared" si="458"/>
        <v>0.000116913461830457-0.189399808165341i</v>
      </c>
      <c r="EF81" s="1" t="str">
        <f t="shared" si="459"/>
        <v>0.2940361116881i</v>
      </c>
      <c r="EG81" s="1" t="str">
        <f t="shared" si="460"/>
        <v>0.293913647668238i</v>
      </c>
      <c r="EH81" s="1" t="str">
        <f t="shared" si="461"/>
        <v>0.294147695640081i</v>
      </c>
      <c r="EI81" s="1" t="str">
        <f t="shared" si="462"/>
        <v>0.294118962099958i</v>
      </c>
      <c r="EJ81" s="1" t="str">
        <f t="shared" si="450"/>
        <v>0.005</v>
      </c>
      <c r="EK81" s="1" t="str">
        <f t="shared" si="451"/>
        <v>0.01</v>
      </c>
      <c r="EL81" s="1" t="str">
        <f t="shared" si="452"/>
        <v>0.0125</v>
      </c>
      <c r="EM81" s="1" t="str">
        <f t="shared" si="329"/>
        <v>0.0050172900190031+0.266026280903085i</v>
      </c>
      <c r="EN81" s="1" t="str">
        <f t="shared" si="330"/>
        <v>-0.005</v>
      </c>
      <c r="EO81" s="1" t="str">
        <f t="shared" si="331"/>
        <v>0.124480492157867-201.658397295744i</v>
      </c>
      <c r="EP81" s="1" t="str">
        <f t="shared" si="332"/>
        <v>-0.005</v>
      </c>
      <c r="EQ81" s="1" t="str">
        <f t="shared" si="333"/>
        <v>0.0150338743229448+0.239037244497596i</v>
      </c>
      <c r="ER81" s="1" t="str">
        <f t="shared" si="334"/>
        <v>-0.01</v>
      </c>
      <c r="ES81" s="1" t="str">
        <f t="shared" si="335"/>
        <v>0.243880147901127-395.085839599827i</v>
      </c>
      <c r="ET81" s="1" t="str">
        <f t="shared" si="336"/>
        <v>-0.01</v>
      </c>
      <c r="EU81" s="1" t="str">
        <f t="shared" si="337"/>
        <v>0.0225837154491527+0.158528668012635i</v>
      </c>
      <c r="EV81" s="1" t="str">
        <f t="shared" si="338"/>
        <v>-0.0125</v>
      </c>
      <c r="EW81" s="1" t="str">
        <f t="shared" si="339"/>
        <v>0.602714219682735-976.397035886027i</v>
      </c>
      <c r="EX81" s="1" t="str">
        <f t="shared" si="340"/>
        <v>-0.0125</v>
      </c>
      <c r="EY81" s="1" t="str">
        <f t="shared" si="341"/>
        <v>0.0126169134618305+0.104719153934617i</v>
      </c>
      <c r="EZ81" s="1" t="str">
        <f t="shared" si="342"/>
        <v>0.841725232686526-1363.59487695218i</v>
      </c>
      <c r="FB81" s="1" t="str">
        <f t="shared" si="343"/>
        <v>0.0050172900190031+0.266026280903085i</v>
      </c>
      <c r="FC81" s="1" t="str">
        <f t="shared" si="344"/>
        <v>0.124480492157867-201.658397295744i</v>
      </c>
      <c r="FD81" s="1" t="str">
        <f t="shared" si="345"/>
        <v>-0.000354352638651421+0.0187884523779956i</v>
      </c>
      <c r="FE81" s="1" t="str">
        <f t="shared" si="346"/>
        <v>0.0150321025597515+0.239131186759486i</v>
      </c>
      <c r="FF81" s="1" t="str">
        <f t="shared" si="347"/>
        <v>-3.54492493632202-395.159636580814i</v>
      </c>
      <c r="FG81" s="1" t="str">
        <f t="shared" si="348"/>
        <v>-0.00261839123837321+0.0416534547807913i</v>
      </c>
      <c r="FH81" s="1" t="str">
        <f t="shared" si="349"/>
        <v>0.022557531536769+0.158945202560443i</v>
      </c>
      <c r="FI81" s="1" t="str">
        <f t="shared" si="350"/>
        <v>-15.8663318342241-977.284060045673i</v>
      </c>
      <c r="FJ81" s="1" t="str">
        <f t="shared" si="351"/>
        <v>-0.0109407323054061+0.0770907450404227i</v>
      </c>
      <c r="FK81" s="1" t="str">
        <f t="shared" si="352"/>
        <v>0.0124801543080129+0.105682788247622i</v>
      </c>
      <c r="FL81" s="1" t="str">
        <f t="shared" si="353"/>
        <v>-74.4228555840935-1374.32383923384i</v>
      </c>
      <c r="FM81" s="1" t="str">
        <f t="shared" si="354"/>
        <v>-12907.3968862257-820.033713225944i</v>
      </c>
      <c r="FN81" s="1" t="str">
        <f t="shared" si="355"/>
        <v>-6245.48503154805+228.54459754246i</v>
      </c>
      <c r="FO81" s="1" t="str">
        <f t="shared" si="356"/>
        <v>-1653.73805661755+172.042031552923i</v>
      </c>
      <c r="FP81" s="1" t="str">
        <f t="shared" si="357"/>
        <v>-755.114619771782+16.3727460729053i</v>
      </c>
      <c r="FQ81" s="92" t="str">
        <f t="shared" si="358"/>
        <v>-0.321061408704863-222.809313103934i</v>
      </c>
      <c r="FR81" s="1" t="str">
        <f t="shared" si="359"/>
        <v>-4.81417859293368-222.030966676533i</v>
      </c>
      <c r="FS81" s="1" t="str">
        <f t="shared" si="360"/>
        <v>4.49311718422884-0.77834642740009i</v>
      </c>
      <c r="FT81" s="1" t="str">
        <f t="shared" si="361"/>
        <v>-9.14114848089739-485.842863740743i</v>
      </c>
      <c r="FU81" s="1" t="str">
        <f t="shared" si="362"/>
        <v>-29.8694382839389-1823.42277563998i</v>
      </c>
      <c r="FV81" s="1" t="str">
        <f t="shared" si="363"/>
        <v>157.665001659981-3808.15749813701i</v>
      </c>
      <c r="FW81" s="1" t="str">
        <f t="shared" si="364"/>
        <v>-4.81417859293368-222.030966676533i</v>
      </c>
      <c r="FX81" s="1" t="str">
        <f t="shared" si="365"/>
        <v>-50.5655010459737-486.056184508247i</v>
      </c>
      <c r="FY81" s="1" t="str">
        <f t="shared" si="366"/>
        <v>-67.2258667181043-1837.09503018448i</v>
      </c>
      <c r="FZ81" s="1" t="str">
        <f t="shared" si="367"/>
        <v>241.187464620989-3796.31017558893i</v>
      </c>
      <c r="GA81" s="1" t="str">
        <f t="shared" si="368"/>
        <v>4.49311718422884-0.77834642740009i</v>
      </c>
      <c r="GB81" s="1" t="str">
        <f t="shared" si="369"/>
        <v>45.917469749305-0.56502565989537i</v>
      </c>
      <c r="GC81" s="1" t="str">
        <f t="shared" si="370"/>
        <v>83.2738981834706+13.107228884605i</v>
      </c>
      <c r="GD81" s="92" t="str">
        <f t="shared" si="371"/>
        <v>118.33335348644-6340.23245062167i</v>
      </c>
      <c r="GE81" s="1" t="str">
        <f t="shared" si="463"/>
        <v>0.0211861177228662+1.13513990038827i</v>
      </c>
      <c r="GF81" s="1">
        <f t="shared" si="464"/>
        <v>16.2</v>
      </c>
      <c r="GG81" s="56">
        <f t="shared" si="465"/>
        <v>0.12750096825706328</v>
      </c>
      <c r="GH81" s="1">
        <f t="shared" si="466"/>
        <v>0.87251361570134278</v>
      </c>
      <c r="GJ81" s="1">
        <f t="shared" si="372"/>
        <v>6341.3366343747603</v>
      </c>
      <c r="GK81" s="1">
        <f t="shared" si="373"/>
        <v>1.1353375907797905</v>
      </c>
      <c r="GM81" s="1" t="str">
        <f t="shared" si="467"/>
        <v>0.0191834803010191+7.76930952191277i</v>
      </c>
      <c r="GP81" s="1">
        <f t="shared" si="453"/>
        <v>16.2</v>
      </c>
      <c r="GQ81" s="1">
        <f t="shared" si="454"/>
        <v>1.1353375907797905</v>
      </c>
      <c r="GR81" s="1">
        <f t="shared" si="468"/>
        <v>7.7693332051856867</v>
      </c>
      <c r="GS81" s="1">
        <f t="shared" si="469"/>
        <v>0.99059750637293109</v>
      </c>
    </row>
    <row r="82" spans="2:201" ht="18" customHeight="1" thickTop="1" x14ac:dyDescent="0.25">
      <c r="B82" s="6"/>
      <c r="C82" s="240" t="s">
        <v>420</v>
      </c>
      <c r="D82" s="240"/>
      <c r="E82" s="240"/>
      <c r="F82" s="235">
        <f>CK46</f>
        <v>174.59739966605167</v>
      </c>
      <c r="G82" s="235"/>
      <c r="H82" s="235">
        <f>CL46</f>
        <v>164.20061875994426</v>
      </c>
      <c r="I82" s="235"/>
      <c r="J82" s="235">
        <f>CM46</f>
        <v>158.30870967337708</v>
      </c>
      <c r="K82" s="235"/>
      <c r="L82" s="235">
        <f>CN46</f>
        <v>166.20789147092734</v>
      </c>
      <c r="M82" s="235"/>
      <c r="N82" s="235">
        <f>CO46</f>
        <v>175.47610426836656</v>
      </c>
      <c r="O82" s="235"/>
      <c r="P82" s="235">
        <f>DA46</f>
        <v>7596.7405491803147</v>
      </c>
      <c r="Q82" s="235"/>
      <c r="R82" s="235">
        <f>CQ46</f>
        <v>163.91414333049207</v>
      </c>
      <c r="S82" s="235"/>
      <c r="T82" s="235">
        <f>DB46</f>
        <v>7388.5664312724266</v>
      </c>
      <c r="U82" s="235"/>
      <c r="V82" s="235">
        <f>CS46</f>
        <v>158.13915156514827</v>
      </c>
      <c r="W82" s="235"/>
      <c r="X82" s="235">
        <f>DC46</f>
        <v>7273.3034421279872</v>
      </c>
      <c r="Y82" s="235"/>
      <c r="Z82" s="235">
        <f>CU46</f>
        <v>164.27561603168309</v>
      </c>
      <c r="AA82" s="235"/>
      <c r="AB82" s="235">
        <f>DD46</f>
        <v>7271.609974102842</v>
      </c>
      <c r="AC82" s="235"/>
      <c r="AD82" s="301">
        <f>CW46</f>
        <v>6.9668586950970672</v>
      </c>
      <c r="AE82" s="301"/>
      <c r="AF82" s="301">
        <f>CX46</f>
        <v>8.3595059244512466</v>
      </c>
      <c r="AG82" s="301"/>
      <c r="AH82" s="301">
        <f>CY46</f>
        <v>5.8662127400718385</v>
      </c>
      <c r="AI82" s="301"/>
      <c r="AJ82" s="302">
        <f>CJ46</f>
        <v>2.9451988442676404E-2</v>
      </c>
      <c r="AK82" s="302"/>
      <c r="AL82" s="302"/>
      <c r="AM82" s="307">
        <f>SQRT(AM66^2+AM67^2+AM68^2+AM69^2+AM70^2+AM71^2+AM72^2+AM73^2+AM74^2+AM75^2+AM76^2+AM77^2+AM78^2+AM80^2+AM81^2)</f>
        <v>576.70589605347504</v>
      </c>
      <c r="AN82" s="307"/>
      <c r="AO82" s="307"/>
      <c r="AP82" s="8"/>
      <c r="AR82" s="6"/>
      <c r="CF82" s="8"/>
      <c r="EA82" s="1">
        <f t="shared" si="420"/>
        <v>16.399999999999999</v>
      </c>
      <c r="EB82" s="1" t="str">
        <f t="shared" si="455"/>
        <v>0.0000168708827672743-0.0276682477383299i</v>
      </c>
      <c r="EC82" s="1" t="str">
        <f t="shared" si="456"/>
        <v>0.00003305315807466-0.0542071792424423i</v>
      </c>
      <c r="ED82" s="1" t="str">
        <f t="shared" si="457"/>
        <v>0.0000816860599293027-0.133965138284056i</v>
      </c>
      <c r="EE82" s="1" t="str">
        <f t="shared" si="458"/>
        <v>0.000114079302521569-0.187090056135373i</v>
      </c>
      <c r="EF82" s="1" t="str">
        <f t="shared" si="459"/>
        <v>0.297666187141039i</v>
      </c>
      <c r="EG82" s="1" t="str">
        <f t="shared" si="460"/>
        <v>0.297542211219697i</v>
      </c>
      <c r="EH82" s="1" t="str">
        <f t="shared" si="461"/>
        <v>0.297779148672674i</v>
      </c>
      <c r="EI82" s="1" t="str">
        <f t="shared" si="462"/>
        <v>0.297750060397489i</v>
      </c>
      <c r="EJ82" s="1" t="str">
        <f t="shared" si="450"/>
        <v>0.005</v>
      </c>
      <c r="EK82" s="1" t="str">
        <f t="shared" si="451"/>
        <v>0.01</v>
      </c>
      <c r="EL82" s="1" t="str">
        <f t="shared" si="452"/>
        <v>0.0125</v>
      </c>
      <c r="EM82" s="1" t="str">
        <f t="shared" si="329"/>
        <v>0.00501687088276727+0.269997939402709i</v>
      </c>
      <c r="EN82" s="1" t="str">
        <f t="shared" si="330"/>
        <v>-0.005</v>
      </c>
      <c r="EO82" s="1" t="str">
        <f t="shared" si="331"/>
        <v>0.121462896578191-199.199150388233i</v>
      </c>
      <c r="EP82" s="1" t="str">
        <f t="shared" si="332"/>
        <v>-0.005</v>
      </c>
      <c r="EQ82" s="1" t="str">
        <f t="shared" si="333"/>
        <v>0.0150330531580747+0.243335031977255i</v>
      </c>
      <c r="ER82" s="1" t="str">
        <f t="shared" si="334"/>
        <v>-0.01</v>
      </c>
      <c r="ES82" s="1" t="str">
        <f t="shared" si="335"/>
        <v>0.237968123908293-390.2677232096i</v>
      </c>
      <c r="ET82" s="1" t="str">
        <f t="shared" si="336"/>
        <v>-0.01</v>
      </c>
      <c r="EU82" s="1" t="str">
        <f t="shared" si="337"/>
        <v>0.0225816860599293+0.163814010388618i</v>
      </c>
      <c r="EV82" s="1" t="str">
        <f t="shared" si="338"/>
        <v>-0.0125</v>
      </c>
      <c r="EW82" s="1" t="str">
        <f t="shared" si="339"/>
        <v>0.588103514554609-964.489763869555i</v>
      </c>
      <c r="EX82" s="1" t="str">
        <f t="shared" si="340"/>
        <v>-0.0125</v>
      </c>
      <c r="EY82" s="1" t="str">
        <f t="shared" si="341"/>
        <v>0.0126140793025216+0.110660004262116i</v>
      </c>
      <c r="EZ82" s="1" t="str">
        <f t="shared" si="342"/>
        <v>0.821320538766814-1346.96568357757i</v>
      </c>
      <c r="FB82" s="1" t="str">
        <f t="shared" si="343"/>
        <v>0.00501687088276727+0.269997939402709i</v>
      </c>
      <c r="FC82" s="1" t="str">
        <f t="shared" si="344"/>
        <v>0.121462896578191-199.199150388233i</v>
      </c>
      <c r="FD82" s="1" t="str">
        <f t="shared" si="345"/>
        <v>-0.000343979143441856+0.0185122683236331i</v>
      </c>
      <c r="FE82" s="1" t="str">
        <f t="shared" si="346"/>
        <v>0.0150313332623575+0.243427593318873i</v>
      </c>
      <c r="FF82" s="1" t="str">
        <f t="shared" si="347"/>
        <v>-3.4496182172153-390.338492116458i</v>
      </c>
      <c r="FG82" s="1" t="str">
        <f t="shared" si="348"/>
        <v>-0.00252699929356821+0.0409239383902346i</v>
      </c>
      <c r="FH82" s="1" t="str">
        <f t="shared" si="349"/>
        <v>0.0225564160669936+0.16422324977252i</v>
      </c>
      <c r="FI82" s="1" t="str">
        <f t="shared" si="350"/>
        <v>-15.3948020709544-965.334976999995i</v>
      </c>
      <c r="FJ82" s="1" t="str">
        <f t="shared" si="351"/>
        <v>-0.0102611000237283+0.0747065130884572i</v>
      </c>
      <c r="FK82" s="1" t="str">
        <f t="shared" si="352"/>
        <v>0.012485815552225+0.111593835675722i</v>
      </c>
      <c r="FL82" s="1" t="str">
        <f t="shared" si="353"/>
        <v>-71.22631204045-1356.90634467941i</v>
      </c>
      <c r="FM82" s="1" t="str">
        <f t="shared" si="354"/>
        <v>-12079.5256481858-713.268942493078i</v>
      </c>
      <c r="FN82" s="1" t="str">
        <f t="shared" si="355"/>
        <v>-5959.21727233447+194.675775136406i</v>
      </c>
      <c r="FO82" s="1" t="str">
        <f t="shared" si="356"/>
        <v>-1605.38259696055+159.84527300932i</v>
      </c>
      <c r="FP82" s="1" t="str">
        <f t="shared" si="357"/>
        <v>-735.110387771103+15.6204754655755i</v>
      </c>
      <c r="FQ82" s="92" t="str">
        <f t="shared" si="358"/>
        <v>-0.298326327220764-219.538630243314i</v>
      </c>
      <c r="FR82" s="1" t="str">
        <f t="shared" si="359"/>
        <v>-4.64968737316801-218.817506255595i</v>
      </c>
      <c r="FS82" s="1" t="str">
        <f t="shared" si="360"/>
        <v>4.35136104594724-0.721123987718725i</v>
      </c>
      <c r="FT82" s="1" t="str">
        <f t="shared" si="361"/>
        <v>-8.3737302764174-477.296268786814i</v>
      </c>
      <c r="FU82" s="1" t="str">
        <f t="shared" si="362"/>
        <v>-25.0048786429102-1762.83303211961i</v>
      </c>
      <c r="FV82" s="1" t="str">
        <f t="shared" si="363"/>
        <v>135.644870890151-3606.84344596186i</v>
      </c>
      <c r="FW82" s="1" t="str">
        <f t="shared" si="364"/>
        <v>-4.64968737316801-218.817506255595i</v>
      </c>
      <c r="FX82" s="1" t="str">
        <f t="shared" si="365"/>
        <v>-47.5607159842092-477.669087753262i</v>
      </c>
      <c r="FY82" s="1" t="str">
        <f t="shared" si="366"/>
        <v>-57.9703865873119-1774.53064611125i</v>
      </c>
      <c r="FZ82" s="1" t="str">
        <f t="shared" si="367"/>
        <v>212.375870706967-3596.67949132034i</v>
      </c>
      <c r="GA82" s="1" t="str">
        <f t="shared" si="368"/>
        <v>4.35136104594724-0.721123987718725i</v>
      </c>
      <c r="GB82" s="1" t="str">
        <f t="shared" si="369"/>
        <v>43.5383467537392-0.34830502127086i</v>
      </c>
      <c r="GC82" s="1" t="str">
        <f t="shared" si="370"/>
        <v>76.5038546981416+11.3493089703686i</v>
      </c>
      <c r="GD82" s="92" t="str">
        <f t="shared" si="371"/>
        <v>101.967935643603-6066.5113771116i</v>
      </c>
      <c r="GE82" s="1" t="str">
        <f t="shared" si="463"/>
        <v>0.0199420013251575+1.18643549227362i</v>
      </c>
      <c r="GF82" s="1">
        <f t="shared" si="464"/>
        <v>16.399999999999999</v>
      </c>
      <c r="GG82" s="56">
        <f t="shared" si="465"/>
        <v>0.13109105674996818</v>
      </c>
      <c r="GH82" s="1">
        <f t="shared" si="466"/>
        <v>0.86892070005941113</v>
      </c>
      <c r="GJ82" s="1">
        <f t="shared" si="372"/>
        <v>6067.368272037219</v>
      </c>
      <c r="GK82" s="1">
        <f t="shared" si="373"/>
        <v>1.1866030763247666</v>
      </c>
      <c r="GM82" s="1" t="str">
        <f t="shared" si="467"/>
        <v>0.0191834803010191+7.86522692341786i</v>
      </c>
      <c r="GP82" s="1">
        <f t="shared" si="453"/>
        <v>16.399999999999999</v>
      </c>
      <c r="GQ82" s="1">
        <f t="shared" si="454"/>
        <v>1.1866030763247666</v>
      </c>
      <c r="GR82" s="1">
        <f t="shared" si="468"/>
        <v>7.8652503178712401</v>
      </c>
      <c r="GS82" s="1">
        <f t="shared" si="469"/>
        <v>1.0310639757727709</v>
      </c>
    </row>
    <row r="83" spans="2:201" ht="18" customHeight="1" x14ac:dyDescent="0.25">
      <c r="B83" s="6"/>
      <c r="C83" s="240"/>
      <c r="D83" s="240"/>
      <c r="E83" s="240"/>
      <c r="F83" s="185"/>
      <c r="G83" s="185"/>
      <c r="H83" s="185"/>
      <c r="I83" s="185"/>
      <c r="J83" s="185"/>
      <c r="K83" s="185"/>
      <c r="L83" s="185"/>
      <c r="M83" s="185"/>
      <c r="N83" s="185"/>
      <c r="O83" s="185"/>
      <c r="P83" s="185"/>
      <c r="Q83" s="185"/>
      <c r="R83" s="185"/>
      <c r="S83" s="185"/>
      <c r="T83" s="185"/>
      <c r="U83" s="185"/>
      <c r="V83" s="185"/>
      <c r="W83" s="185"/>
      <c r="X83" s="185"/>
      <c r="Y83" s="185"/>
      <c r="Z83" s="185"/>
      <c r="AA83" s="185"/>
      <c r="AB83" s="185"/>
      <c r="AC83" s="185"/>
      <c r="AD83" s="248"/>
      <c r="AE83" s="248"/>
      <c r="AF83" s="248"/>
      <c r="AG83" s="248"/>
      <c r="AH83" s="248"/>
      <c r="AI83" s="248"/>
      <c r="AJ83" s="303"/>
      <c r="AK83" s="303"/>
      <c r="AL83" s="303"/>
      <c r="AM83" s="308"/>
      <c r="AN83" s="308"/>
      <c r="AO83" s="308"/>
      <c r="AP83" s="8"/>
      <c r="AR83" s="6"/>
      <c r="CF83" s="8"/>
      <c r="EA83" s="1">
        <f t="shared" si="420"/>
        <v>16.600000000000001</v>
      </c>
      <c r="EB83" s="1" t="str">
        <f t="shared" si="455"/>
        <v>0.0000164668045779282-0.0273348955993609i</v>
      </c>
      <c r="EC83" s="1" t="str">
        <f t="shared" si="456"/>
        <v>0.000032261494683288-0.0535540811742582i</v>
      </c>
      <c r="ED83" s="1" t="str">
        <f t="shared" si="457"/>
        <v>0.0000797295793084384-0.132351101652008i</v>
      </c>
      <c r="EE83" s="1" t="str">
        <f t="shared" si="458"/>
        <v>0.000111346964288848-0.184835960719488i</v>
      </c>
      <c r="EF83" s="1" t="str">
        <f t="shared" si="459"/>
        <v>0.301296262593979i</v>
      </c>
      <c r="EG83" s="1" t="str">
        <f t="shared" si="460"/>
        <v>0.301170774771157i</v>
      </c>
      <c r="EH83" s="1" t="str">
        <f t="shared" si="461"/>
        <v>0.301410601705268i</v>
      </c>
      <c r="EI83" s="1" t="str">
        <f t="shared" si="462"/>
        <v>0.301381158695019i</v>
      </c>
      <c r="EJ83" s="1" t="str">
        <f t="shared" si="450"/>
        <v>0.005</v>
      </c>
      <c r="EK83" s="1" t="str">
        <f t="shared" si="451"/>
        <v>0.01</v>
      </c>
      <c r="EL83" s="1" t="str">
        <f t="shared" si="452"/>
        <v>0.0125</v>
      </c>
      <c r="EM83" s="1" t="str">
        <f t="shared" si="329"/>
        <v>0.00501646680457793+0.273961366994618i</v>
      </c>
      <c r="EN83" s="1" t="str">
        <f t="shared" si="330"/>
        <v>-0.005</v>
      </c>
      <c r="EO83" s="1" t="str">
        <f t="shared" si="331"/>
        <v>0.118553712275325-196.79916237704i</v>
      </c>
      <c r="EP83" s="1" t="str">
        <f t="shared" si="332"/>
        <v>-0.005</v>
      </c>
      <c r="EQ83" s="1" t="str">
        <f t="shared" si="333"/>
        <v>0.0150322614946833+0.247616693596899i</v>
      </c>
      <c r="ER83" s="1" t="str">
        <f t="shared" si="334"/>
        <v>-0.01</v>
      </c>
      <c r="ES83" s="1" t="str">
        <f t="shared" si="335"/>
        <v>0.232268497519004-385.565705881548i</v>
      </c>
      <c r="ET83" s="1" t="str">
        <f t="shared" si="336"/>
        <v>-0.01</v>
      </c>
      <c r="EU83" s="1" t="str">
        <f t="shared" si="337"/>
        <v>0.0225797295793084+0.16905950005326i</v>
      </c>
      <c r="EV83" s="1" t="str">
        <f t="shared" si="338"/>
        <v>-0.0125</v>
      </c>
      <c r="EW83" s="1" t="str">
        <f t="shared" si="339"/>
        <v>0.574017719128999-952.869413754139i</v>
      </c>
      <c r="EX83" s="1" t="str">
        <f t="shared" si="340"/>
        <v>-0.0125</v>
      </c>
      <c r="EY83" s="1" t="str">
        <f t="shared" si="341"/>
        <v>0.0126113469642888+0.116545197975531i</v>
      </c>
      <c r="EZ83" s="1" t="str">
        <f t="shared" si="342"/>
        <v>0.801648911576007-1330.73719321617i</v>
      </c>
      <c r="FB83" s="1" t="str">
        <f t="shared" si="343"/>
        <v>0.00501646680457793+0.273961366994618i</v>
      </c>
      <c r="FC83" s="1" t="str">
        <f t="shared" si="344"/>
        <v>0.118553712275325-196.79916237704i</v>
      </c>
      <c r="FD83" s="1" t="str">
        <f t="shared" si="345"/>
        <v>-0.000334074793703685+0.0182446312767352i</v>
      </c>
      <c r="FE83" s="1" t="str">
        <f t="shared" si="346"/>
        <v>0.0150305911207148+0.247707916753283i</v>
      </c>
      <c r="FF83" s="1" t="str">
        <f t="shared" si="347"/>
        <v>-3.35822004981346-385.633614489887i</v>
      </c>
      <c r="FG83" s="1" t="str">
        <f t="shared" si="348"/>
        <v>-0.00244062015488149+0.0402220331387085i</v>
      </c>
      <c r="FH83" s="1" t="str">
        <f t="shared" si="349"/>
        <v>0.0225553233777596+0.169461720384647i</v>
      </c>
      <c r="FI83" s="1" t="str">
        <f t="shared" si="350"/>
        <v>-14.9451464418213-953.675524487932i</v>
      </c>
      <c r="FJ83" s="1" t="str">
        <f t="shared" si="351"/>
        <v>-0.00964693681796676+0.0724789657073416i</v>
      </c>
      <c r="FK83" s="1" t="str">
        <f t="shared" si="352"/>
        <v>0.0124907602540642+0.117451185046873i</v>
      </c>
      <c r="FL83" s="1" t="str">
        <f t="shared" si="353"/>
        <v>-68.2558031388161-1339.97106845701i</v>
      </c>
      <c r="FM83" s="1" t="str">
        <f t="shared" si="354"/>
        <v>-11342.2712129911-625.091924699858i</v>
      </c>
      <c r="FN83" s="1" t="str">
        <f t="shared" si="355"/>
        <v>-5695.97143143833+166.698762136475i</v>
      </c>
      <c r="FO83" s="1" t="str">
        <f t="shared" si="356"/>
        <v>-1559.11315563739+148.899326651799i</v>
      </c>
      <c r="FP83" s="1" t="str">
        <f t="shared" si="357"/>
        <v>-715.901956560207+14.9134664873212i</v>
      </c>
      <c r="FQ83" s="92" t="str">
        <f t="shared" si="358"/>
        <v>-0.277315719564534-216.368513196129i</v>
      </c>
      <c r="FR83" s="1" t="str">
        <f t="shared" si="359"/>
        <v>-4.49337171495043-215.698583895308i</v>
      </c>
      <c r="FS83" s="1" t="str">
        <f t="shared" si="360"/>
        <v>4.21605599538591-0.66992930082239i</v>
      </c>
      <c r="FT83" s="1" t="str">
        <f t="shared" si="361"/>
        <v>-7.69159880800259-469.067382093242i</v>
      </c>
      <c r="FU83" s="1" t="str">
        <f t="shared" si="362"/>
        <v>-21.034609687678-1706.75079850555i</v>
      </c>
      <c r="FV83" s="1" t="str">
        <f t="shared" si="363"/>
        <v>117.604042819175-3427.12718752215i</v>
      </c>
      <c r="FW83" s="1" t="str">
        <f t="shared" si="364"/>
        <v>-4.49337171495043-215.698583895308i</v>
      </c>
      <c r="FX83" s="1" t="str">
        <f t="shared" si="365"/>
        <v>-44.8441255706259-469.559317039216i</v>
      </c>
      <c r="FY83" s="1" t="str">
        <f t="shared" si="366"/>
        <v>-50.2447741990783-1716.82617644584i</v>
      </c>
      <c r="FZ83" s="1" t="str">
        <f t="shared" si="367"/>
        <v>188.390928556943-3418.34684040442i</v>
      </c>
      <c r="GA83" s="1" t="str">
        <f t="shared" si="368"/>
        <v>4.21605599538591-0.66992930082239i</v>
      </c>
      <c r="GB83" s="1" t="str">
        <f t="shared" si="369"/>
        <v>41.3685827580094-0.17799435484676i</v>
      </c>
      <c r="GC83" s="1" t="str">
        <f t="shared" si="370"/>
        <v>70.5787472694096+9.89738358545416i</v>
      </c>
      <c r="GD83" s="92" t="str">
        <f t="shared" si="371"/>
        <v>88.6005186039299-5819.31388131707i</v>
      </c>
      <c r="GE83" s="1" t="str">
        <f t="shared" si="463"/>
        <v>0.0188320614744103+1.23689656086269i</v>
      </c>
      <c r="GF83" s="1">
        <f t="shared" si="464"/>
        <v>16.600000000000001</v>
      </c>
      <c r="GG83" s="56">
        <f t="shared" si="465"/>
        <v>0.13448835073711399</v>
      </c>
      <c r="GH83" s="1">
        <f t="shared" si="466"/>
        <v>0.86552120631017182</v>
      </c>
      <c r="GJ83" s="1">
        <f t="shared" si="372"/>
        <v>5819.988324832485</v>
      </c>
      <c r="GK83" s="1">
        <f t="shared" si="373"/>
        <v>1.2370399139936135</v>
      </c>
      <c r="GM83" s="1" t="str">
        <f t="shared" si="467"/>
        <v>0.0191834803010191+7.96114432492296i</v>
      </c>
      <c r="GP83" s="1">
        <f t="shared" si="453"/>
        <v>16.600000000000001</v>
      </c>
      <c r="GQ83" s="1">
        <f t="shared" si="454"/>
        <v>1.2370399139936135</v>
      </c>
      <c r="GR83" s="1">
        <f t="shared" si="468"/>
        <v>7.9611674375162789</v>
      </c>
      <c r="GS83" s="1">
        <f t="shared" si="469"/>
        <v>1.0706842786135791</v>
      </c>
    </row>
    <row r="84" spans="2:201" ht="18" customHeight="1" x14ac:dyDescent="0.25">
      <c r="B84" s="6"/>
      <c r="AP84" s="8"/>
      <c r="AR84" s="6"/>
      <c r="CF84" s="8"/>
      <c r="EA84" s="1">
        <f t="shared" si="420"/>
        <v>16.8</v>
      </c>
      <c r="EB84" s="1" t="str">
        <f t="shared" si="455"/>
        <v>0.0000160770716711565-0.0270094804075429i</v>
      </c>
      <c r="EC84" s="1" t="str">
        <f t="shared" si="456"/>
        <v>0.0000314979363353271-0.0529165330433495i</v>
      </c>
      <c r="ED84" s="1" t="str">
        <f t="shared" si="457"/>
        <v>0.0000778425562037118-0.130775494422236i</v>
      </c>
      <c r="EE84" s="1" t="str">
        <f t="shared" si="458"/>
        <v>0.000108711627490677-0.182635534184338i</v>
      </c>
      <c r="EF84" s="1" t="str">
        <f t="shared" si="459"/>
        <v>0.304926338046918i</v>
      </c>
      <c r="EG84" s="1" t="str">
        <f t="shared" si="460"/>
        <v>0.304799338322617i</v>
      </c>
      <c r="EH84" s="1" t="str">
        <f t="shared" si="461"/>
        <v>0.305042054737862i</v>
      </c>
      <c r="EI84" s="1" t="str">
        <f t="shared" si="462"/>
        <v>0.30501225699255i</v>
      </c>
      <c r="EJ84" s="1" t="str">
        <f t="shared" si="450"/>
        <v>0.005</v>
      </c>
      <c r="EK84" s="1" t="str">
        <f t="shared" si="451"/>
        <v>0.01</v>
      </c>
      <c r="EL84" s="1" t="str">
        <f t="shared" si="452"/>
        <v>0.0125</v>
      </c>
      <c r="EM84" s="1" t="str">
        <f t="shared" si="329"/>
        <v>0.00501607707167116+0.277916857639375i</v>
      </c>
      <c r="EN84" s="1" t="str">
        <f t="shared" si="330"/>
        <v>-0.005</v>
      </c>
      <c r="EO84" s="1" t="str">
        <f t="shared" si="331"/>
        <v>0.115747807664325-194.456316876066i</v>
      </c>
      <c r="EP84" s="1" t="str">
        <f t="shared" si="332"/>
        <v>-0.005</v>
      </c>
      <c r="EQ84" s="1" t="str">
        <f t="shared" si="333"/>
        <v>0.0150314979363353+0.251882805279268i</v>
      </c>
      <c r="ER84" s="1" t="str">
        <f t="shared" si="334"/>
        <v>-0.01</v>
      </c>
      <c r="ES84" s="1" t="str">
        <f t="shared" si="335"/>
        <v>0.226771215015821-380.97564122658i</v>
      </c>
      <c r="ET84" s="1" t="str">
        <f t="shared" si="336"/>
        <v>-0.01</v>
      </c>
      <c r="EU84" s="1" t="str">
        <f t="shared" si="337"/>
        <v>0.0225778425562037+0.174266560315626i</v>
      </c>
      <c r="EV84" s="1" t="str">
        <f t="shared" si="338"/>
        <v>-0.0125</v>
      </c>
      <c r="EW84" s="1" t="str">
        <f t="shared" si="339"/>
        <v>0.560431987109411-941.525738343812i</v>
      </c>
      <c r="EX84" s="1" t="str">
        <f t="shared" si="340"/>
        <v>-0.0125</v>
      </c>
      <c r="EY84" s="1" t="str">
        <f t="shared" si="341"/>
        <v>0.0126087116274907+0.122376722808212i</v>
      </c>
      <c r="EZ84" s="1" t="str">
        <f t="shared" si="342"/>
        <v>0.782675651825435-1314.89509506674i</v>
      </c>
      <c r="FB84" s="1" t="str">
        <f t="shared" si="343"/>
        <v>0.00501607707167116+0.277916857639375i</v>
      </c>
      <c r="FC84" s="1" t="str">
        <f t="shared" si="344"/>
        <v>0.115747807664325-194.456316876066i</v>
      </c>
      <c r="FD84" s="1" t="str">
        <f t="shared" si="345"/>
        <v>-0.000324610804379559+0.0179851332864191i</v>
      </c>
      <c r="FE84" s="1" t="str">
        <f t="shared" si="346"/>
        <v>0.0150298748823134+0.2519727309457i</v>
      </c>
      <c r="FF84" s="1" t="str">
        <f t="shared" si="347"/>
        <v>-3.27051398939742-381.040845587766i</v>
      </c>
      <c r="FG84" s="1" t="str">
        <f t="shared" si="348"/>
        <v>-0.00235887979309778+0.0395461298309883i</v>
      </c>
      <c r="FH84" s="1" t="str">
        <f t="shared" si="349"/>
        <v>0.0225542537582727+0.174662021613936i</v>
      </c>
      <c r="FI84" s="1" t="str">
        <f t="shared" si="350"/>
        <v>-14.5159735127766-942.295231723975i</v>
      </c>
      <c r="FJ84" s="1" t="str">
        <f t="shared" si="351"/>
        <v>-0.00908990746929922+0.0703930013330225i</v>
      </c>
      <c r="FK84" s="1" t="str">
        <f t="shared" si="352"/>
        <v>0.0124950877841245+0.123256635324875i</v>
      </c>
      <c r="FL84" s="1" t="str">
        <f t="shared" si="353"/>
        <v>-65.4890526275799-1323.49292739786i</v>
      </c>
      <c r="FM84" s="1" t="str">
        <f t="shared" si="354"/>
        <v>-10681.7892253971-551.539000363678i</v>
      </c>
      <c r="FN84" s="1" t="str">
        <f t="shared" si="355"/>
        <v>-5452.95602996559+143.425482919608i</v>
      </c>
      <c r="FO84" s="1" t="str">
        <f t="shared" si="356"/>
        <v>-1514.83149501172+139.032292580854i</v>
      </c>
      <c r="FP84" s="1" t="str">
        <f t="shared" si="357"/>
        <v>-697.448257239564+14.2487054913248i</v>
      </c>
      <c r="FQ84" s="92" t="str">
        <f t="shared" si="358"/>
        <v>-0.257889398517897-213.294260992713i</v>
      </c>
      <c r="FR84" s="1" t="str">
        <f t="shared" si="359"/>
        <v>-4.34480558737868-212.670343057265i</v>
      </c>
      <c r="FS84" s="1" t="str">
        <f t="shared" si="360"/>
        <v>4.08691618886078-0.623917935447645i</v>
      </c>
      <c r="FT84" s="1" t="str">
        <f t="shared" si="361"/>
        <v>-7.08262162344295-461.139651317774i</v>
      </c>
      <c r="FU84" s="1" t="str">
        <f t="shared" si="362"/>
        <v>-17.7716344182113-1654.64992383149i</v>
      </c>
      <c r="FV84" s="1" t="str">
        <f t="shared" si="363"/>
        <v>102.674530297947-3265.70941758928i</v>
      </c>
      <c r="FW84" s="1" t="str">
        <f t="shared" si="364"/>
        <v>-4.34480558737868-212.670343057265i</v>
      </c>
      <c r="FX84" s="1" t="str">
        <f t="shared" si="365"/>
        <v>-42.3769507841208-461.719637349833i</v>
      </c>
      <c r="FY84" s="1" t="str">
        <f t="shared" si="366"/>
        <v>-43.7508040115674-1663.38091177592i</v>
      </c>
      <c r="FZ84" s="1" t="str">
        <f t="shared" si="367"/>
        <v>168.22615532034-3258.07664035707i</v>
      </c>
      <c r="GA84" s="1" t="str">
        <f t="shared" si="368"/>
        <v>4.08691618886078-0.623917935447645i</v>
      </c>
      <c r="GB84" s="1" t="str">
        <f t="shared" si="369"/>
        <v>39.3812453495387-0.0439319033875398i</v>
      </c>
      <c r="GC84" s="1" t="str">
        <f t="shared" si="370"/>
        <v>65.3604149428939+8.68705604104107i</v>
      </c>
      <c r="GD84" s="92" t="str">
        <f t="shared" si="371"/>
        <v>77.5623848577749-5594.79325373126i</v>
      </c>
      <c r="GE84" s="1" t="str">
        <f t="shared" si="463"/>
        <v>0.0178363273965116+1.28658452640838i</v>
      </c>
      <c r="GF84" s="1">
        <f t="shared" si="464"/>
        <v>16.8</v>
      </c>
      <c r="GG84" s="56">
        <f t="shared" si="465"/>
        <v>0.13770834446425192</v>
      </c>
      <c r="GH84" s="1">
        <f t="shared" si="466"/>
        <v>0.86229948221693076</v>
      </c>
      <c r="GJ84" s="1">
        <f t="shared" si="372"/>
        <v>5595.3308638132967</v>
      </c>
      <c r="GK84" s="1">
        <f t="shared" si="373"/>
        <v>1.2867081557868789</v>
      </c>
      <c r="GM84" s="1" t="str">
        <f t="shared" si="467"/>
        <v>0.0191834803010191+8.05706172642805i</v>
      </c>
      <c r="GP84" s="1">
        <f t="shared" si="453"/>
        <v>16.8</v>
      </c>
      <c r="GQ84" s="1">
        <f t="shared" si="454"/>
        <v>1.2867081557868789</v>
      </c>
      <c r="GR84" s="1">
        <f t="shared" si="468"/>
        <v>8.0570845638722322</v>
      </c>
      <c r="GS84" s="1">
        <f t="shared" si="469"/>
        <v>1.1095277764993268</v>
      </c>
    </row>
    <row r="85" spans="2:201" ht="18" customHeight="1" x14ac:dyDescent="0.25">
      <c r="B85" s="6"/>
      <c r="AP85" s="8"/>
      <c r="AR85" s="6"/>
      <c r="CF85" s="8"/>
      <c r="EA85" s="1">
        <f t="shared" si="420"/>
        <v>17</v>
      </c>
      <c r="EB85" s="1" t="str">
        <f t="shared" si="455"/>
        <v>0.0000157010129621906-0.026691722035724i</v>
      </c>
      <c r="EC85" s="1" t="str">
        <f t="shared" si="456"/>
        <v>0.000030761168252455-0.0522939860291735i</v>
      </c>
      <c r="ED85" s="1" t="str">
        <f t="shared" si="457"/>
        <v>0.000076021741332239-0.129236960264806i</v>
      </c>
      <c r="EE85" s="1" t="str">
        <f t="shared" si="458"/>
        <v>0.000106168754315765-0.1804868823368i</v>
      </c>
      <c r="EF85" s="1" t="str">
        <f t="shared" si="459"/>
        <v>0.308556413499857i</v>
      </c>
      <c r="EG85" s="1" t="str">
        <f t="shared" si="460"/>
        <v>0.308427901874076i</v>
      </c>
      <c r="EH85" s="1" t="str">
        <f t="shared" si="461"/>
        <v>0.308673507770455i</v>
      </c>
      <c r="EI85" s="1" t="str">
        <f t="shared" si="462"/>
        <v>0.30864335529008i</v>
      </c>
      <c r="EJ85" s="1" t="str">
        <f t="shared" si="450"/>
        <v>0.005</v>
      </c>
      <c r="EK85" s="1" t="str">
        <f t="shared" si="451"/>
        <v>0.01</v>
      </c>
      <c r="EL85" s="1" t="str">
        <f t="shared" si="452"/>
        <v>0.0125</v>
      </c>
      <c r="EM85" s="1" t="str">
        <f t="shared" si="329"/>
        <v>0.00501570101296219+0.281864691464133i</v>
      </c>
      <c r="EN85" s="1" t="str">
        <f t="shared" si="330"/>
        <v>-0.005</v>
      </c>
      <c r="EO85" s="1" t="str">
        <f t="shared" si="331"/>
        <v>0.113040351231574-192.168597093675i</v>
      </c>
      <c r="EP85" s="1" t="str">
        <f t="shared" si="332"/>
        <v>-0.005</v>
      </c>
      <c r="EQ85" s="1" t="str">
        <f t="shared" si="333"/>
        <v>0.0150307611682525+0.256133915844902i</v>
      </c>
      <c r="ER85" s="1" t="str">
        <f t="shared" si="334"/>
        <v>-0.01</v>
      </c>
      <c r="ES85" s="1" t="str">
        <f t="shared" si="335"/>
        <v>0.221466810576144-376.493577979445i</v>
      </c>
      <c r="ET85" s="1" t="str">
        <f t="shared" si="336"/>
        <v>-0.01</v>
      </c>
      <c r="EU85" s="1" t="str">
        <f t="shared" si="337"/>
        <v>0.0225760217413322+0.179436547505649i</v>
      </c>
      <c r="EV85" s="1" t="str">
        <f t="shared" si="338"/>
        <v>-0.0125</v>
      </c>
      <c r="EW85" s="1" t="str">
        <f t="shared" si="339"/>
        <v>0.547322925095731-930.44897266274i</v>
      </c>
      <c r="EX85" s="1" t="str">
        <f t="shared" si="340"/>
        <v>-0.0125</v>
      </c>
      <c r="EY85" s="1" t="str">
        <f t="shared" si="341"/>
        <v>0.0126061687543158+0.12815647295328i</v>
      </c>
      <c r="EZ85" s="1" t="str">
        <f t="shared" si="342"/>
        <v>0.764368089280165-1299.42575177628i</v>
      </c>
      <c r="FB85" s="1" t="str">
        <f t="shared" si="343"/>
        <v>0.00501570101296219+0.281864691464133i</v>
      </c>
      <c r="FC85" s="1" t="str">
        <f t="shared" si="344"/>
        <v>0.113040351231574-192.168597093675i</v>
      </c>
      <c r="FD85" s="1" t="str">
        <f t="shared" si="345"/>
        <v>-0.000315560614975131+0.0177333926301296i</v>
      </c>
      <c r="FE85" s="1" t="str">
        <f t="shared" si="346"/>
        <v>0.0150291833651776+0.256222582808053i</v>
      </c>
      <c r="FF85" s="1" t="str">
        <f t="shared" si="347"/>
        <v>-3.18629870178443-376.556223409054i</v>
      </c>
      <c r="FG85" s="1" t="str">
        <f t="shared" si="348"/>
        <v>-0.0022814391964216+0.0388947442600959i</v>
      </c>
      <c r="FH85" s="1" t="str">
        <f t="shared" si="349"/>
        <v>0.022553207349368+0.17982549494825i</v>
      </c>
      <c r="FI85" s="1" t="str">
        <f t="shared" si="350"/>
        <v>-14.1060044306968-931.18413251734i</v>
      </c>
      <c r="FJ85" s="1" t="str">
        <f t="shared" si="351"/>
        <v>-0.0085829729517636+0.0684353819511877i</v>
      </c>
      <c r="FK85" s="1" t="str">
        <f t="shared" si="352"/>
        <v>0.0124988815924188+0.12901191522767i</v>
      </c>
      <c r="FL85" s="1" t="str">
        <f t="shared" si="353"/>
        <v>-62.9065650831226-1307.44922639507i</v>
      </c>
      <c r="FM85" s="1" t="str">
        <f t="shared" si="354"/>
        <v>-10086.8929525828-489.631639489565i</v>
      </c>
      <c r="FN85" s="1" t="str">
        <f t="shared" si="355"/>
        <v>-5227.84471605886+123.939603073649i</v>
      </c>
      <c r="FO85" s="1" t="str">
        <f t="shared" si="356"/>
        <v>-1472.43914626202+130.102458471072i</v>
      </c>
      <c r="FP85" s="1" t="str">
        <f t="shared" si="357"/>
        <v>-679.710588296412+13.6233107945971i</v>
      </c>
      <c r="FQ85" s="92" t="str">
        <f t="shared" si="358"/>
        <v>-0.23991712894671-210.311457081001i</v>
      </c>
      <c r="FR85" s="1" t="str">
        <f t="shared" si="359"/>
        <v>-4.20355991877477-209.729061342619i</v>
      </c>
      <c r="FS85" s="1" t="str">
        <f t="shared" si="360"/>
        <v>3.96364278982804-0.582395738382375i</v>
      </c>
      <c r="FT85" s="1" t="str">
        <f t="shared" si="361"/>
        <v>-6.53681538675155-453.497292226494i</v>
      </c>
      <c r="FU85" s="1" t="str">
        <f t="shared" si="362"/>
        <v>-15.0728247738399-1606.08915460706i</v>
      </c>
      <c r="FV85" s="1" t="str">
        <f t="shared" si="363"/>
        <v>90.2073690538999-3119.92562967174i</v>
      </c>
      <c r="FW85" s="1" t="str">
        <f t="shared" si="364"/>
        <v>-4.20355991877477-209.729061342619i</v>
      </c>
      <c r="FX85" s="1" t="str">
        <f t="shared" si="365"/>
        <v>-40.1272282948918-454.14131651885i</v>
      </c>
      <c r="FY85" s="1" t="str">
        <f t="shared" si="366"/>
        <v>-38.2568720324211-1613.69716658513i</v>
      </c>
      <c r="FZ85" s="1" t="str">
        <f t="shared" si="367"/>
        <v>151.121552068242-3113.25248533702i</v>
      </c>
      <c r="GA85" s="1" t="str">
        <f t="shared" si="368"/>
        <v>3.96364278982804-0.582395738382375i</v>
      </c>
      <c r="GB85" s="1" t="str">
        <f t="shared" si="369"/>
        <v>37.5540556979684+0.06162855397423i</v>
      </c>
      <c r="GC85" s="1" t="str">
        <f t="shared" si="370"/>
        <v>60.7381029565493+7.66964053204018i</v>
      </c>
      <c r="GD85" s="92" t="str">
        <f t="shared" si="371"/>
        <v>68.3578117643617-5389.8235335863i</v>
      </c>
      <c r="GE85" s="1" t="str">
        <f t="shared" si="463"/>
        <v>0.0169385033235832+1.33555392545165i</v>
      </c>
      <c r="GF85" s="1">
        <f t="shared" si="464"/>
        <v>17</v>
      </c>
      <c r="GG85" s="56">
        <f t="shared" si="465"/>
        <v>0.14076482092576209</v>
      </c>
      <c r="GH85" s="1">
        <f t="shared" si="466"/>
        <v>0.85924163119323982</v>
      </c>
      <c r="GJ85" s="1">
        <f t="shared" si="372"/>
        <v>5390.2569988480072</v>
      </c>
      <c r="GK85" s="1">
        <f t="shared" si="373"/>
        <v>1.3356613345770532</v>
      </c>
      <c r="GM85" s="1" t="str">
        <f t="shared" si="467"/>
        <v>0.0191834803010191+8.15297912793315i</v>
      </c>
      <c r="GP85" s="1">
        <f t="shared" si="453"/>
        <v>17</v>
      </c>
      <c r="GQ85" s="1">
        <f t="shared" si="454"/>
        <v>1.3356613345770532</v>
      </c>
      <c r="GR85" s="1">
        <f t="shared" si="468"/>
        <v>8.1530016967022689</v>
      </c>
      <c r="GS85" s="1">
        <f t="shared" si="469"/>
        <v>1.1476558238437229</v>
      </c>
    </row>
    <row r="86" spans="2:201" ht="18" customHeight="1" x14ac:dyDescent="0.25">
      <c r="B86" s="6"/>
      <c r="AP86" s="8"/>
      <c r="AR86" s="6"/>
      <c r="CF86" s="8"/>
      <c r="EA86" s="1">
        <f t="shared" si="420"/>
        <v>17.2</v>
      </c>
      <c r="EB86" s="1" t="str">
        <f t="shared" si="455"/>
        <v>0.0000153379961545929-0.0263813533858998i</v>
      </c>
      <c r="EC86" s="1" t="str">
        <f t="shared" si="456"/>
        <v>0.0000300499516498147-0.0516859168376813i</v>
      </c>
      <c r="ED86" s="1" t="str">
        <f t="shared" si="457"/>
        <v>0.0000742640732179012-0.12773420593479i</v>
      </c>
      <c r="EE86" s="1" t="str">
        <f t="shared" si="458"/>
        <v>0.000103714069235819-0.178388199085608i</v>
      </c>
      <c r="EF86" s="1" t="str">
        <f t="shared" si="459"/>
        <v>0.312186488952797i</v>
      </c>
      <c r="EG86" s="1" t="str">
        <f t="shared" si="460"/>
        <v>0.312056465425536i</v>
      </c>
      <c r="EH86" s="1" t="str">
        <f t="shared" si="461"/>
        <v>0.312304960803049i</v>
      </c>
      <c r="EI86" s="1" t="str">
        <f t="shared" si="462"/>
        <v>0.31227445358761i</v>
      </c>
      <c r="EJ86" s="1" t="str">
        <f t="shared" si="450"/>
        <v>0.005</v>
      </c>
      <c r="EK86" s="1" t="str">
        <f t="shared" si="451"/>
        <v>0.01</v>
      </c>
      <c r="EL86" s="1" t="str">
        <f t="shared" si="452"/>
        <v>0.0125</v>
      </c>
      <c r="EM86" s="1" t="str">
        <f t="shared" si="329"/>
        <v>0.00501533799615459+0.285805135566897i</v>
      </c>
      <c r="EN86" s="1" t="str">
        <f t="shared" si="330"/>
        <v>-0.005</v>
      </c>
      <c r="EO86" s="1" t="str">
        <f t="shared" si="331"/>
        <v>0.110426790722285-189.934080042331i</v>
      </c>
      <c r="EP86" s="1" t="str">
        <f t="shared" si="332"/>
        <v>-0.005</v>
      </c>
      <c r="EQ86" s="1" t="str">
        <f t="shared" si="333"/>
        <v>0.0150300499516498+0.260370548587855i</v>
      </c>
      <c r="ER86" s="1" t="str">
        <f t="shared" si="334"/>
        <v>-0.01</v>
      </c>
      <c r="ES86" s="1" t="str">
        <f t="shared" si="335"/>
        <v>0.216346365496722-372.115748654362i</v>
      </c>
      <c r="ET86" s="1" t="str">
        <f t="shared" si="336"/>
        <v>-0.01</v>
      </c>
      <c r="EU86" s="1" t="str">
        <f t="shared" si="337"/>
        <v>0.0225742640732179+0.184570754868259i</v>
      </c>
      <c r="EV86" s="1" t="str">
        <f t="shared" si="338"/>
        <v>-0.0125</v>
      </c>
      <c r="EW86" s="1" t="str">
        <f t="shared" si="339"/>
        <v>0.534668491813513-919.629805919241i</v>
      </c>
      <c r="EX86" s="1" t="str">
        <f t="shared" si="340"/>
        <v>-0.0125</v>
      </c>
      <c r="EY86" s="1" t="str">
        <f t="shared" si="341"/>
        <v>0.0126037140692358+0.133886254502002i</v>
      </c>
      <c r="EZ86" s="1" t="str">
        <f t="shared" si="342"/>
        <v>0.746695442026883-1284.31616028623i</v>
      </c>
      <c r="FB86" s="1" t="str">
        <f t="shared" si="343"/>
        <v>0.00501533799615459+0.285805135566897i</v>
      </c>
      <c r="FC86" s="1" t="str">
        <f t="shared" si="344"/>
        <v>0.110426790722285-189.934080042331i</v>
      </c>
      <c r="FD86" s="1" t="str">
        <f t="shared" si="345"/>
        <v>-0.000306899683150049+0.0174890517080584i</v>
      </c>
      <c r="FE86" s="1" t="str">
        <f t="shared" si="346"/>
        <v>0.0150285154532341+0.260457993846395i</v>
      </c>
      <c r="FF86" s="1" t="str">
        <f t="shared" si="347"/>
        <v>-3.10538669153903-372.175970623199i</v>
      </c>
      <c r="FG86" s="1" t="str">
        <f t="shared" si="348"/>
        <v>-0.0022079904577208+0.0382665052206594i</v>
      </c>
      <c r="FH86" s="1" t="str">
        <f t="shared" si="349"/>
        <v>0.0225521841686407+0.184953419920466i</v>
      </c>
      <c r="FI86" s="1" t="str">
        <f t="shared" si="350"/>
        <v>-13.7140618952256-920.332734614926i</v>
      </c>
      <c r="FJ86" s="1" t="str">
        <f t="shared" si="351"/>
        <v>-0.00812015524300747+0.0665944580466707i</v>
      </c>
      <c r="FK86" s="1" t="str">
        <f t="shared" si="352"/>
        <v>0.0125022121286982+0.134718685227585i</v>
      </c>
      <c r="FL86" s="1" t="str">
        <f t="shared" si="353"/>
        <v>-60.4912114955728-1291.81930303484i</v>
      </c>
      <c r="FM86" s="1" t="str">
        <f t="shared" si="354"/>
        <v>-9548.44967826314-437.099959688559i</v>
      </c>
      <c r="FN86" s="1" t="str">
        <f t="shared" si="355"/>
        <v>-5018.67692831665+107.527379119359i</v>
      </c>
      <c r="FO86" s="1" t="str">
        <f t="shared" si="356"/>
        <v>-1431.83953245758+121.991776736766i</v>
      </c>
      <c r="FP86" s="1" t="str">
        <f t="shared" si="357"/>
        <v>-662.652522014673+13.0345610909633i</v>
      </c>
      <c r="FQ86" s="92" t="str">
        <f t="shared" si="358"/>
        <v>-0.223278809814025-207.415950321705i</v>
      </c>
      <c r="FR86" s="1" t="str">
        <f t="shared" si="359"/>
        <v>-4.06921386202857-206.871164243477i</v>
      </c>
      <c r="FS86" s="1" t="str">
        <f t="shared" si="360"/>
        <v>3.84593505221453-0.544786078229015i</v>
      </c>
      <c r="FT86" s="1" t="str">
        <f t="shared" si="361"/>
        <v>-6.04588375308011-446.125353500862i</v>
      </c>
      <c r="FU86" s="1" t="str">
        <f t="shared" si="362"/>
        <v>-12.8275485053854-1560.69450362218i</v>
      </c>
      <c r="FV86" s="1" t="str">
        <f t="shared" si="363"/>
        <v>79.7104786422869-2987.60156903567i</v>
      </c>
      <c r="FW86" s="1" t="str">
        <f t="shared" si="364"/>
        <v>-4.06921386202857-206.871164243477i</v>
      </c>
      <c r="FX86" s="1" t="str">
        <f t="shared" si="365"/>
        <v>-38.0683226594563-446.814783555264i</v>
      </c>
      <c r="FY86" s="1" t="str">
        <f t="shared" si="366"/>
        <v>-33.581333921126-1567.3577013811i</v>
      </c>
      <c r="FZ86" s="1" t="str">
        <f t="shared" si="367"/>
        <v>136.495151074911-2981.73690588841i</v>
      </c>
      <c r="GA86" s="1" t="str">
        <f t="shared" si="368"/>
        <v>3.84593505221453-0.544786078229015i</v>
      </c>
      <c r="GB86" s="1" t="str">
        <f t="shared" si="369"/>
        <v>35.8683739585907+0.14464397617407i</v>
      </c>
      <c r="GC86" s="1" t="str">
        <f t="shared" si="370"/>
        <v>56.6221593743311+6.80784173509898i</v>
      </c>
      <c r="GD86" s="92" t="str">
        <f t="shared" si="371"/>
        <v>60.6137675740074-5201.83737648042i</v>
      </c>
      <c r="GE86" s="1" t="str">
        <f t="shared" si="463"/>
        <v>0.0161251810744701+1.38385342097862i</v>
      </c>
      <c r="GF86" s="1">
        <f t="shared" si="464"/>
        <v>17.2</v>
      </c>
      <c r="GG86" s="56">
        <f t="shared" si="465"/>
        <v>0.14367009173515147</v>
      </c>
      <c r="GH86" s="1">
        <f t="shared" si="466"/>
        <v>0.85633525873616967</v>
      </c>
      <c r="GJ86" s="1">
        <f t="shared" si="372"/>
        <v>5202.1905117141005</v>
      </c>
      <c r="GK86" s="1">
        <f t="shared" si="373"/>
        <v>1.383947366130271</v>
      </c>
      <c r="GM86" s="1" t="str">
        <f t="shared" si="467"/>
        <v>0.0191834803010191+8.24889652943824i</v>
      </c>
      <c r="GP86" s="1">
        <f t="shared" si="453"/>
        <v>17.2</v>
      </c>
      <c r="GQ86" s="1">
        <f t="shared" si="454"/>
        <v>1.383947366130271</v>
      </c>
      <c r="GR86" s="1">
        <f t="shared" si="468"/>
        <v>8.2489188357805219</v>
      </c>
      <c r="GS86" s="1">
        <f t="shared" si="469"/>
        <v>1.1851229258524052</v>
      </c>
    </row>
    <row r="87" spans="2:201" ht="18" customHeight="1" x14ac:dyDescent="0.25">
      <c r="B87" s="6"/>
      <c r="C87" s="163" t="s">
        <v>469</v>
      </c>
      <c r="D87" s="163"/>
      <c r="E87" s="163"/>
      <c r="F87" s="163"/>
      <c r="G87" s="163"/>
      <c r="H87" s="163"/>
      <c r="I87" s="163"/>
      <c r="J87" s="163"/>
      <c r="K87" s="163"/>
      <c r="L87" s="163"/>
      <c r="M87" s="163"/>
      <c r="N87" s="163"/>
      <c r="O87" s="163"/>
      <c r="P87" s="163"/>
      <c r="Q87" s="163"/>
      <c r="R87" s="163"/>
      <c r="S87" s="163"/>
      <c r="T87" s="163"/>
      <c r="U87" s="163"/>
      <c r="V87" s="163"/>
      <c r="W87" s="163"/>
      <c r="X87" s="163"/>
      <c r="Y87" s="163"/>
      <c r="Z87" s="163"/>
      <c r="AA87" s="163"/>
      <c r="AB87" s="163"/>
      <c r="AC87" s="163"/>
      <c r="AD87" s="163"/>
      <c r="AE87" s="163"/>
      <c r="AF87" s="163"/>
      <c r="AG87" s="163"/>
      <c r="AH87" s="163"/>
      <c r="AI87" s="163"/>
      <c r="AJ87" s="163"/>
      <c r="AK87" s="163"/>
      <c r="AL87" s="163"/>
      <c r="AM87" s="163"/>
      <c r="AN87" s="163"/>
      <c r="AO87" s="163"/>
      <c r="AP87" s="8"/>
      <c r="AR87" s="6"/>
      <c r="CF87" s="8"/>
      <c r="EA87" s="1">
        <f t="shared" si="420"/>
        <v>17.399999999999999</v>
      </c>
      <c r="EB87" s="1" t="str">
        <f t="shared" si="455"/>
        <v>0.0000149874250806971-0.026078119640413i</v>
      </c>
      <c r="EC87" s="1" t="str">
        <f t="shared" si="456"/>
        <v>0.0000293631185254474-0.0510918262342786i</v>
      </c>
      <c r="ED87" s="1" t="str">
        <f t="shared" si="457"/>
        <v>0.0000725666653141918-0.126265997646694i</v>
      </c>
      <c r="EE87" s="1" t="str">
        <f t="shared" si="458"/>
        <v>0.000101343541021857-0.176337761378031i</v>
      </c>
      <c r="EF87" s="1" t="str">
        <f t="shared" si="459"/>
        <v>0.315816564405736i</v>
      </c>
      <c r="EG87" s="1" t="str">
        <f t="shared" si="460"/>
        <v>0.315685028976997i</v>
      </c>
      <c r="EH87" s="1" t="str">
        <f t="shared" si="461"/>
        <v>0.315936413835643i</v>
      </c>
      <c r="EI87" s="1" t="str">
        <f t="shared" si="462"/>
        <v>0.315905551885141i</v>
      </c>
      <c r="EJ87" s="1" t="str">
        <f t="shared" si="450"/>
        <v>0.005</v>
      </c>
      <c r="EK87" s="1" t="str">
        <f t="shared" si="451"/>
        <v>0.01</v>
      </c>
      <c r="EL87" s="1" t="str">
        <f t="shared" si="452"/>
        <v>0.0125</v>
      </c>
      <c r="EM87" s="1" t="str">
        <f t="shared" si="329"/>
        <v>0.0050149874250807+0.289738444765323i</v>
      </c>
      <c r="EN87" s="1" t="str">
        <f t="shared" si="330"/>
        <v>-0.005</v>
      </c>
      <c r="EO87" s="1" t="str">
        <f t="shared" si="331"/>
        <v>0.107902833992854-187.750931147566i</v>
      </c>
      <c r="EP87" s="1" t="str">
        <f t="shared" si="332"/>
        <v>-0.005</v>
      </c>
      <c r="EQ87" s="1" t="str">
        <f t="shared" si="333"/>
        <v>0.0150293631185254+0.264593202742718i</v>
      </c>
      <c r="ER87" s="1" t="str">
        <f t="shared" si="334"/>
        <v>-0.01</v>
      </c>
      <c r="ES87" s="1" t="str">
        <f t="shared" si="335"/>
        <v>0.211401470679877-367.838558982987i</v>
      </c>
      <c r="ET87" s="1" t="str">
        <f t="shared" si="336"/>
        <v>-0.01</v>
      </c>
      <c r="EU87" s="1" t="str">
        <f t="shared" si="337"/>
        <v>0.0225725666653142+0.189670416188949i</v>
      </c>
      <c r="EV87" s="1" t="str">
        <f t="shared" si="338"/>
        <v>-0.0125</v>
      </c>
      <c r="EW87" s="1" t="str">
        <f t="shared" si="339"/>
        <v>0.522447905404176-909.059355403269i</v>
      </c>
      <c r="EX87" s="1" t="str">
        <f t="shared" si="340"/>
        <v>-0.0125</v>
      </c>
      <c r="EY87" s="1" t="str">
        <f t="shared" si="341"/>
        <v>0.0126013435410219+0.13956779050711i</v>
      </c>
      <c r="EZ87" s="1" t="str">
        <f t="shared" si="342"/>
        <v>0.7296286869993-1269.55391537878i</v>
      </c>
      <c r="FB87" s="1" t="str">
        <f t="shared" si="343"/>
        <v>0.0050149874250807+0.289738444765323i</v>
      </c>
      <c r="FC87" s="1" t="str">
        <f t="shared" si="344"/>
        <v>0.107902833992854-187.750931147566i</v>
      </c>
      <c r="FD87" s="1" t="str">
        <f t="shared" si="345"/>
        <v>-0.000298605300555641+0.0172517751388541i</v>
      </c>
      <c r="FE87" s="1" t="str">
        <f t="shared" si="346"/>
        <v>0.0150278700920226+0.264679461618412i</v>
      </c>
      <c r="FF87" s="1" t="str">
        <f t="shared" si="347"/>
        <v>-3.02760315523023-367.896483921641i</v>
      </c>
      <c r="FG87" s="1" t="str">
        <f t="shared" si="348"/>
        <v>-0.00213825336650461+0.037660143878315i</v>
      </c>
      <c r="FH87" s="1" t="str">
        <f t="shared" si="349"/>
        <v>0.0225511841316492+0.190047017627732i</v>
      </c>
      <c r="FI87" s="1" t="str">
        <f t="shared" si="350"/>
        <v>-13.3390603940501-909.731991328107i</v>
      </c>
      <c r="FJ87" s="1" t="str">
        <f t="shared" si="351"/>
        <v>-0.00769635046472431+0.0648599401210998i</v>
      </c>
      <c r="FK87" s="1" t="str">
        <f t="shared" si="352"/>
        <v>0.0125051391602128+0.140378539758624i</v>
      </c>
      <c r="FL87" s="1" t="str">
        <f t="shared" si="353"/>
        <v>-58.2278857288028-1276.58424071106i</v>
      </c>
      <c r="FM87" s="1" t="str">
        <f t="shared" si="354"/>
        <v>-9058.93327981358-392.19196661409i</v>
      </c>
      <c r="FN87" s="1" t="str">
        <f t="shared" si="355"/>
        <v>-4823.78423822478+93.6277772010108i</v>
      </c>
      <c r="FO87" s="1" t="str">
        <f t="shared" si="356"/>
        <v>-1392.93926727171+114.601015875467i</v>
      </c>
      <c r="FP87" s="1" t="str">
        <f t="shared" si="357"/>
        <v>-646.239793274015+12.4799077610792i</v>
      </c>
      <c r="FQ87" s="92" t="str">
        <f t="shared" si="358"/>
        <v>-0.207864223216029-204.603836834644i</v>
      </c>
      <c r="FR87" s="1" t="str">
        <f t="shared" si="359"/>
        <v>-3.94136159320451-204.093231294072i</v>
      </c>
      <c r="FS87" s="1" t="str">
        <f t="shared" si="360"/>
        <v>3.73349736998848-0.51060554057194i</v>
      </c>
      <c r="FT87" s="1" t="str">
        <f t="shared" si="361"/>
        <v>-5.60287267789764-439.009735024548i</v>
      </c>
      <c r="FU87" s="1" t="str">
        <f t="shared" si="362"/>
        <v>-10.9495108539607-1518.14607893069i</v>
      </c>
      <c r="FV87" s="1" t="str">
        <f t="shared" si="363"/>
        <v>70.8059464866325-2866.94618429139i</v>
      </c>
      <c r="FW87" s="1" t="str">
        <f t="shared" si="364"/>
        <v>-3.94136159320451-204.093231294072i</v>
      </c>
      <c r="FX87" s="1" t="str">
        <f t="shared" si="365"/>
        <v>-36.1778250174401-439.730072951867i</v>
      </c>
      <c r="FY87" s="1" t="str">
        <f t="shared" si="366"/>
        <v>-29.5804241642899-1524.00909334164i</v>
      </c>
      <c r="FZ87" s="1" t="str">
        <f t="shared" si="367"/>
        <v>123.895619658143-2861.76731725018i</v>
      </c>
      <c r="GA87" s="1" t="str">
        <f t="shared" si="368"/>
        <v>3.73349736998848-0.51060554057194i</v>
      </c>
      <c r="GB87" s="1" t="str">
        <f t="shared" si="369"/>
        <v>34.3084497095307+0.209732386744562i</v>
      </c>
      <c r="GC87" s="1" t="str">
        <f t="shared" si="370"/>
        <v>52.93936301986+6.07274679768876i</v>
      </c>
      <c r="GD87" s="92" t="str">
        <f t="shared" si="371"/>
        <v>54.0456987315581-5028.70583508127i</v>
      </c>
      <c r="GE87" s="1" t="str">
        <f t="shared" si="463"/>
        <v>0.0153852422205835+1.4315266366167i</v>
      </c>
      <c r="GF87" s="1">
        <f t="shared" si="464"/>
        <v>17.399999999999999</v>
      </c>
      <c r="GG87" s="56">
        <f t="shared" si="465"/>
        <v>0.14643519737053817</v>
      </c>
      <c r="GH87" s="1">
        <f t="shared" si="466"/>
        <v>0.85356926305883019</v>
      </c>
      <c r="GJ87" s="1">
        <f t="shared" si="372"/>
        <v>5028.996253064005</v>
      </c>
      <c r="GK87" s="1">
        <f t="shared" si="373"/>
        <v>1.4316093101895182</v>
      </c>
      <c r="GM87" s="1" t="str">
        <f t="shared" si="467"/>
        <v>0.0191834803010191+8.34481393094334i</v>
      </c>
      <c r="GP87" s="1">
        <f t="shared" si="453"/>
        <v>17.399999999999999</v>
      </c>
      <c r="GQ87" s="1">
        <f t="shared" si="454"/>
        <v>1.4316093101895182</v>
      </c>
      <c r="GR87" s="1">
        <f t="shared" si="468"/>
        <v>8.3448359808915651</v>
      </c>
      <c r="GS87" s="1">
        <f t="shared" si="469"/>
        <v>1.2219777038866224</v>
      </c>
    </row>
    <row r="88" spans="2:201" ht="18" customHeight="1" x14ac:dyDescent="0.25">
      <c r="B88" s="6"/>
      <c r="C88" s="163"/>
      <c r="D88" s="163"/>
      <c r="E88" s="163"/>
      <c r="F88" s="163"/>
      <c r="G88" s="163"/>
      <c r="H88" s="163"/>
      <c r="I88" s="163"/>
      <c r="J88" s="163"/>
      <c r="K88" s="163"/>
      <c r="L88" s="163"/>
      <c r="M88" s="163"/>
      <c r="N88" s="163"/>
      <c r="O88" s="163"/>
      <c r="P88" s="163"/>
      <c r="Q88" s="163"/>
      <c r="R88" s="163"/>
      <c r="S88" s="163"/>
      <c r="T88" s="163"/>
      <c r="U88" s="163"/>
      <c r="V88" s="163"/>
      <c r="W88" s="163"/>
      <c r="X88" s="163"/>
      <c r="Y88" s="163"/>
      <c r="Z88" s="163"/>
      <c r="AA88" s="163"/>
      <c r="AB88" s="163"/>
      <c r="AC88" s="163"/>
      <c r="AD88" s="163"/>
      <c r="AE88" s="163"/>
      <c r="AF88" s="163"/>
      <c r="AG88" s="163"/>
      <c r="AH88" s="163"/>
      <c r="AI88" s="163"/>
      <c r="AJ88" s="163"/>
      <c r="AK88" s="163"/>
      <c r="AL88" s="163"/>
      <c r="AM88" s="163"/>
      <c r="AN88" s="163"/>
      <c r="AO88" s="163"/>
      <c r="AP88" s="8"/>
      <c r="AR88" s="6"/>
      <c r="CF88" s="8"/>
      <c r="EA88" s="1">
        <f t="shared" si="420"/>
        <v>17.600000000000001</v>
      </c>
      <c r="EB88" s="1" t="str">
        <f t="shared" si="455"/>
        <v>0.000014648737252391-0.0257817775642082i</v>
      </c>
      <c r="EC88" s="1" t="str">
        <f t="shared" si="456"/>
        <v>0.0000286995668618274-0.0505112376768162i</v>
      </c>
      <c r="ED88" s="1" t="str">
        <f t="shared" si="457"/>
        <v>0.0000709267941455055-0.12483115769609i</v>
      </c>
      <c r="EE88" s="1" t="str">
        <f t="shared" si="458"/>
        <v>0.0000990533661828347-0.174333924481789i</v>
      </c>
      <c r="EF88" s="1" t="str">
        <f t="shared" si="459"/>
        <v>0.319446639858676i</v>
      </c>
      <c r="EG88" s="1" t="str">
        <f t="shared" si="460"/>
        <v>0.319313592528456i</v>
      </c>
      <c r="EH88" s="1" t="str">
        <f t="shared" si="461"/>
        <v>0.319567866868236i</v>
      </c>
      <c r="EI88" s="1" t="str">
        <f t="shared" si="462"/>
        <v>0.319536650182672i</v>
      </c>
      <c r="EJ88" s="1" t="str">
        <f t="shared" si="450"/>
        <v>0.005</v>
      </c>
      <c r="EK88" s="1" t="str">
        <f t="shared" si="451"/>
        <v>0.01</v>
      </c>
      <c r="EL88" s="1" t="str">
        <f t="shared" si="452"/>
        <v>0.0125</v>
      </c>
      <c r="EM88" s="1" t="str">
        <f t="shared" si="329"/>
        <v>0.00501464873725239+0.293664862294468i</v>
      </c>
      <c r="EN88" s="1" t="str">
        <f t="shared" si="330"/>
        <v>-0.005</v>
      </c>
      <c r="EO88" s="1" t="str">
        <f t="shared" si="331"/>
        <v>0.105464431377572-185.617399224527i</v>
      </c>
      <c r="EP88" s="1" t="str">
        <f t="shared" si="332"/>
        <v>-0.005</v>
      </c>
      <c r="EQ88" s="1" t="str">
        <f t="shared" si="333"/>
        <v>0.0150286995668618+0.26880235485164i</v>
      </c>
      <c r="ER88" s="1" t="str">
        <f t="shared" si="334"/>
        <v>-0.01</v>
      </c>
      <c r="ES88" s="1" t="str">
        <f t="shared" si="335"/>
        <v>0.206624192086672-363.658578072543i</v>
      </c>
      <c r="ET88" s="1" t="str">
        <f t="shared" si="336"/>
        <v>-0.01</v>
      </c>
      <c r="EU88" s="1" t="str">
        <f t="shared" si="337"/>
        <v>0.0225709267941455+0.194736709172146i</v>
      </c>
      <c r="EV88" s="1" t="str">
        <f t="shared" si="338"/>
        <v>-0.0125</v>
      </c>
      <c r="EW88" s="1" t="str">
        <f t="shared" si="339"/>
        <v>0.51064155804753-898.729142163655i</v>
      </c>
      <c r="EX88" s="1" t="str">
        <f t="shared" si="340"/>
        <v>-0.0125</v>
      </c>
      <c r="EY88" s="1" t="str">
        <f t="shared" si="341"/>
        <v>0.0125990533661828+0.145202725700883i</v>
      </c>
      <c r="EZ88" s="1" t="str">
        <f t="shared" si="342"/>
        <v>0.713140440743583-1255.12717570871i</v>
      </c>
      <c r="FB88" s="1" t="str">
        <f t="shared" si="343"/>
        <v>0.00501464873725239+0.293664862294468i</v>
      </c>
      <c r="FC88" s="1" t="str">
        <f t="shared" si="344"/>
        <v>0.105464431377572-185.617399224527i</v>
      </c>
      <c r="FD88" s="1" t="str">
        <f t="shared" si="345"/>
        <v>-0.000290656428199773+0.0170212480344248i</v>
      </c>
      <c r="FE88" s="1" t="str">
        <f t="shared" si="346"/>
        <v>0.0150272462847208+0.268887461091812i</v>
      </c>
      <c r="FF88" s="1" t="str">
        <f t="shared" si="347"/>
        <v>-2.95278494570393-363.714324099059i</v>
      </c>
      <c r="FG88" s="1" t="str">
        <f t="shared" si="348"/>
        <v>-0.00207197243220774+0.0370744843195279i</v>
      </c>
      <c r="FH88" s="1" t="str">
        <f t="shared" si="349"/>
        <v>0.0225502070698234+0.195107454015341i</v>
      </c>
      <c r="FI88" s="1" t="str">
        <f t="shared" si="350"/>
        <v>-12.9799975365565-899.373275237219i</v>
      </c>
      <c r="FJ88" s="1" t="str">
        <f t="shared" si="351"/>
        <v>-0.00730717933864894+0.0632227079947813i</v>
      </c>
      <c r="FK88" s="1" t="str">
        <f t="shared" si="352"/>
        <v>0.0125077136244497+0.145993009550818i</v>
      </c>
      <c r="FL88" s="1" t="str">
        <f t="shared" si="353"/>
        <v>-56.103218331227-1261.72663486948i</v>
      </c>
      <c r="FM88" s="1" t="str">
        <f t="shared" si="354"/>
        <v>-8612.08811559588-353.539622794109i</v>
      </c>
      <c r="FN88" s="1" t="str">
        <f t="shared" si="355"/>
        <v>-4641.73469495321+81.7960570889858i</v>
      </c>
      <c r="FO88" s="1" t="str">
        <f t="shared" si="356"/>
        <v>-1355.64890915002+107.846091982415i</v>
      </c>
      <c r="FP88" s="1" t="str">
        <f t="shared" si="357"/>
        <v>-630.440180546772+11.956977187007i</v>
      </c>
      <c r="FQ88" s="92" t="str">
        <f t="shared" si="358"/>
        <v>-0.193572542239975-201.87144288154i</v>
      </c>
      <c r="FR88" s="1" t="str">
        <f t="shared" si="359"/>
        <v>-3.81961618525623-201.391997307563i</v>
      </c>
      <c r="FS88" s="1" t="str">
        <f t="shared" si="360"/>
        <v>3.62604364301624-0.47944557397704i</v>
      </c>
      <c r="FT88" s="1" t="str">
        <f t="shared" si="361"/>
        <v>-5.20190885604356-432.137177465064i</v>
      </c>
      <c r="FU88" s="1" t="str">
        <f t="shared" si="362"/>
        <v>-9.37083158215904-1478.16805938487i</v>
      </c>
      <c r="FV88" s="1" t="str">
        <f t="shared" si="363"/>
        <v>63.2001466599649-2756.47127559379i</v>
      </c>
      <c r="FW88" s="1" t="str">
        <f t="shared" si="364"/>
        <v>-3.81961618525623-201.391997307563i</v>
      </c>
      <c r="FX88" s="1" t="str">
        <f t="shared" si="365"/>
        <v>-34.4367230710592-432.877123387975i</v>
      </c>
      <c r="FY88" s="1" t="str">
        <f t="shared" si="366"/>
        <v>-26.1393914821596-1483.34925503448i</v>
      </c>
      <c r="FZ88" s="1" t="str">
        <f t="shared" si="367"/>
        <v>112.968866774475-2751.87778753551i</v>
      </c>
      <c r="GA88" s="1" t="str">
        <f t="shared" si="368"/>
        <v>3.62604364301624-0.47944557397704i</v>
      </c>
      <c r="GB88" s="1" t="str">
        <f t="shared" si="369"/>
        <v>32.8608578580319+0.260500348934292i</v>
      </c>
      <c r="GC88" s="1" t="str">
        <f t="shared" si="370"/>
        <v>49.6294177580334+5.44169599853869i</v>
      </c>
      <c r="GD88" s="92" t="str">
        <f t="shared" si="371"/>
        <v>48.4338336795223-4868.64795532526i</v>
      </c>
      <c r="GE88" s="1" t="str">
        <f t="shared" si="463"/>
        <v>0.0147093997068061+1.47861284903578i</v>
      </c>
      <c r="GF88" s="1">
        <f t="shared" si="464"/>
        <v>17.600000000000001</v>
      </c>
      <c r="GG88" s="56">
        <f t="shared" si="465"/>
        <v>0.14907007498476765</v>
      </c>
      <c r="GH88" s="1">
        <f t="shared" si="466"/>
        <v>0.8509336610968028</v>
      </c>
      <c r="GJ88" s="1">
        <f t="shared" si="372"/>
        <v>4868.8888618593182</v>
      </c>
      <c r="GK88" s="1">
        <f t="shared" si="373"/>
        <v>1.4786860125711072</v>
      </c>
      <c r="GM88" s="1" t="str">
        <f t="shared" si="467"/>
        <v>0.0191834803010191+8.44073133244844i</v>
      </c>
      <c r="GP88" s="1">
        <f t="shared" si="453"/>
        <v>17.600000000000001</v>
      </c>
      <c r="GQ88" s="1">
        <f t="shared" si="454"/>
        <v>1.4786860125711072</v>
      </c>
      <c r="GR88" s="1">
        <f t="shared" si="468"/>
        <v>8.4407531318297231</v>
      </c>
      <c r="GS88" s="1">
        <f t="shared" si="469"/>
        <v>1.2582637022897658</v>
      </c>
    </row>
    <row r="89" spans="2:201" ht="18" customHeight="1" x14ac:dyDescent="0.25">
      <c r="B89" s="6"/>
      <c r="C89" s="163"/>
      <c r="D89" s="163"/>
      <c r="E89" s="163"/>
      <c r="F89" s="163"/>
      <c r="G89" s="163"/>
      <c r="H89" s="163"/>
      <c r="I89" s="163"/>
      <c r="J89" s="163"/>
      <c r="K89" s="163"/>
      <c r="L89" s="163"/>
      <c r="M89" s="163"/>
      <c r="N89" s="163"/>
      <c r="O89" s="163"/>
      <c r="P89" s="163"/>
      <c r="Q89" s="163"/>
      <c r="R89" s="163"/>
      <c r="S89" s="163"/>
      <c r="T89" s="163"/>
      <c r="U89" s="163"/>
      <c r="V89" s="163"/>
      <c r="W89" s="163"/>
      <c r="X89" s="163"/>
      <c r="Y89" s="163"/>
      <c r="Z89" s="163"/>
      <c r="AA89" s="163"/>
      <c r="AB89" s="163"/>
      <c r="AC89" s="163"/>
      <c r="AD89" s="163"/>
      <c r="AE89" s="163"/>
      <c r="AF89" s="163"/>
      <c r="AG89" s="163"/>
      <c r="AH89" s="163"/>
      <c r="AI89" s="163"/>
      <c r="AJ89" s="163"/>
      <c r="AK89" s="163"/>
      <c r="AL89" s="163"/>
      <c r="AM89" s="163"/>
      <c r="AN89" s="163"/>
      <c r="AO89" s="163"/>
      <c r="AP89" s="8"/>
      <c r="AR89" s="6"/>
      <c r="CF89" s="8"/>
      <c r="EA89" s="1">
        <f t="shared" si="420"/>
        <v>17.8</v>
      </c>
      <c r="EB89" s="1" t="str">
        <f t="shared" si="455"/>
        <v>0.0000143214016034409-0.0254920948541248i</v>
      </c>
      <c r="EC89" s="1" t="str">
        <f t="shared" si="456"/>
        <v>0.0000280582562026597-0.0499436960407343i</v>
      </c>
      <c r="ED89" s="1" t="str">
        <f t="shared" si="457"/>
        <v>0.000069341888375844-0.123428561309002i</v>
      </c>
      <c r="EE89" s="1" t="str">
        <f t="shared" si="458"/>
        <v>0.0000968399536994574-0.172375117585034i</v>
      </c>
      <c r="EF89" s="1" t="str">
        <f t="shared" si="459"/>
        <v>0.323076715311615i</v>
      </c>
      <c r="EG89" s="1" t="str">
        <f t="shared" si="460"/>
        <v>0.322942156079916i</v>
      </c>
      <c r="EH89" s="1" t="str">
        <f t="shared" si="461"/>
        <v>0.32319931990083i</v>
      </c>
      <c r="EI89" s="1" t="str">
        <f t="shared" si="462"/>
        <v>0.323167748480201i</v>
      </c>
      <c r="EJ89" s="1" t="str">
        <f t="shared" si="450"/>
        <v>0.005</v>
      </c>
      <c r="EK89" s="1" t="str">
        <f t="shared" si="451"/>
        <v>0.01</v>
      </c>
      <c r="EL89" s="1" t="str">
        <f t="shared" si="452"/>
        <v>0.0125</v>
      </c>
      <c r="EM89" s="1" t="str">
        <f t="shared" si="329"/>
        <v>0.00501432140160344+0.29758462045749i</v>
      </c>
      <c r="EN89" s="1" t="str">
        <f t="shared" si="330"/>
        <v>-0.005</v>
      </c>
      <c r="EO89" s="1" t="str">
        <f t="shared" si="331"/>
        <v>0.103107759434364-183.531811793168i</v>
      </c>
      <c r="EP89" s="1" t="str">
        <f t="shared" si="332"/>
        <v>-0.005</v>
      </c>
      <c r="EQ89" s="1" t="str">
        <f t="shared" si="333"/>
        <v>0.0150280582562027+0.272998460039182i</v>
      </c>
      <c r="ER89" s="1" t="str">
        <f t="shared" si="334"/>
        <v>-0.01</v>
      </c>
      <c r="ES89" s="1" t="str">
        <f t="shared" si="335"/>
        <v>0.202007038891815-359.572529227432i</v>
      </c>
      <c r="ET89" s="1" t="str">
        <f t="shared" si="336"/>
        <v>-0.01</v>
      </c>
      <c r="EU89" s="1" t="str">
        <f t="shared" si="337"/>
        <v>0.0225693418883758+0.199770758591828i</v>
      </c>
      <c r="EV89" s="1" t="str">
        <f t="shared" si="338"/>
        <v>-0.0125</v>
      </c>
      <c r="EW89" s="1" t="str">
        <f t="shared" si="339"/>
        <v>0.499230937261284-888.631068325084i</v>
      </c>
      <c r="EX89" s="1" t="str">
        <f t="shared" si="340"/>
        <v>-0.0125</v>
      </c>
      <c r="EY89" s="1" t="str">
        <f t="shared" si="341"/>
        <v>0.0125968399536995+0.150792630895167i</v>
      </c>
      <c r="EZ89" s="1" t="str">
        <f t="shared" si="342"/>
        <v>0.697204849508557-1241.02463212523i</v>
      </c>
      <c r="FB89" s="1" t="str">
        <f t="shared" si="343"/>
        <v>0.00501432140160344+0.29758462045749i</v>
      </c>
      <c r="FC89" s="1" t="str">
        <f t="shared" si="344"/>
        <v>0.103107759434364-183.531811793168i</v>
      </c>
      <c r="FD89" s="1" t="str">
        <f t="shared" si="345"/>
        <v>-0.00028303354898977+0.0167971744343958i</v>
      </c>
      <c r="FE89" s="1" t="str">
        <f t="shared" si="346"/>
        <v>0.0150266430884578+0.273082445911354i</v>
      </c>
      <c r="FF89" s="1" t="str">
        <f t="shared" si="347"/>
        <v>-2.88077963510364-359.626206806497i</v>
      </c>
      <c r="FG89" s="1" t="str">
        <f t="shared" si="348"/>
        <v>-0.00200891427719337+0.0365084351317024i</v>
      </c>
      <c r="FH89" s="1" t="str">
        <f t="shared" si="349"/>
        <v>0.0225492527456039+0.200135842943145i</v>
      </c>
      <c r="FI89" s="1" t="str">
        <f t="shared" si="350"/>
        <v>-12.6359463449323-889.248353789954i</v>
      </c>
      <c r="FJ89" s="1" t="str">
        <f t="shared" si="351"/>
        <v>-0.00694886668473564+0.0616746509136642i</v>
      </c>
      <c r="FK89" s="1" t="str">
        <f t="shared" si="352"/>
        <v>0.0125099791201403+0.151563564031588i</v>
      </c>
      <c r="FL89" s="1" t="str">
        <f t="shared" si="353"/>
        <v>-54.1053369912495-1247.23040084472i</v>
      </c>
      <c r="FM89" s="1" t="str">
        <f t="shared" si="354"/>
        <v>-8202.6734028113-320.063310184101i</v>
      </c>
      <c r="FN89" s="1" t="str">
        <f t="shared" si="355"/>
        <v>-4471.29006103103+71.6768869784753i</v>
      </c>
      <c r="FO89" s="1" t="str">
        <f t="shared" si="356"/>
        <v>-1319.88335568174+101.655249382817i</v>
      </c>
      <c r="FP89" s="1" t="str">
        <f t="shared" si="357"/>
        <v>-615.223385113449+11.4635669914278i</v>
      </c>
      <c r="FQ89" s="92" t="str">
        <f t="shared" si="358"/>
        <v>-0.180311716503689-199.215308857303i</v>
      </c>
      <c r="FR89" s="1" t="str">
        <f t="shared" si="359"/>
        <v>-3.70361156934515-198.764350445346i</v>
      </c>
      <c r="FS89" s="1" t="str">
        <f t="shared" si="360"/>
        <v>3.52329985284145-0.450958411956946i</v>
      </c>
      <c r="FT89" s="1" t="str">
        <f t="shared" si="361"/>
        <v>-4.8379982118773-425.495234621856i</v>
      </c>
      <c r="FU89" s="1" t="str">
        <f t="shared" si="362"/>
        <v>-8.03769640529182-1440.52093796408i</v>
      </c>
      <c r="FV89" s="1" t="str">
        <f t="shared" si="363"/>
        <v>56.6625020896882-2654.93042953031i</v>
      </c>
      <c r="FW89" s="1" t="str">
        <f t="shared" si="364"/>
        <v>-3.70361156934515-198.764350445346i</v>
      </c>
      <c r="FX89" s="1" t="str">
        <f t="shared" si="365"/>
        <v>-32.8287654125285-426.245976657856i</v>
      </c>
      <c r="FY89" s="1" t="str">
        <f t="shared" si="366"/>
        <v>-23.1659211240519-1445.11790680457i</v>
      </c>
      <c r="FZ89" s="1" t="str">
        <f t="shared" si="367"/>
        <v>103.434139323316-2650.83949510496i</v>
      </c>
      <c r="GA89" s="1" t="str">
        <f t="shared" si="368"/>
        <v>3.52329985284145-0.450958411956946i</v>
      </c>
      <c r="GB89" s="1" t="str">
        <f t="shared" si="369"/>
        <v>31.5140670534929+0.299783624043417i</v>
      </c>
      <c r="GC89" s="1" t="str">
        <f t="shared" si="370"/>
        <v>46.6422917722534+4.8967524645322i</v>
      </c>
      <c r="GD89" s="92" t="str">
        <f t="shared" si="371"/>
        <v>43.6064957560154-4720.16191097355i</v>
      </c>
      <c r="GE89" s="1" t="str">
        <f t="shared" si="463"/>
        <v>0.0140898431249278+1.52514756567437i</v>
      </c>
      <c r="GF89" s="1">
        <f t="shared" si="464"/>
        <v>17.8</v>
      </c>
      <c r="GG89" s="56">
        <f t="shared" si="465"/>
        <v>0.15158369965319918</v>
      </c>
      <c r="GH89" s="1">
        <f t="shared" si="466"/>
        <v>0.84841944300049676</v>
      </c>
      <c r="GJ89" s="1">
        <f t="shared" si="372"/>
        <v>4720.3633326554</v>
      </c>
      <c r="GK89" s="1">
        <f t="shared" si="373"/>
        <v>1.5252126477189145</v>
      </c>
      <c r="GM89" s="1" t="str">
        <f t="shared" si="467"/>
        <v>0.0191834803010191+8.53664873395353i</v>
      </c>
      <c r="GP89" s="1">
        <f t="shared" si="453"/>
        <v>17.8</v>
      </c>
      <c r="GQ89" s="1">
        <f t="shared" si="454"/>
        <v>1.5252126477189145</v>
      </c>
      <c r="GR89" s="1">
        <f t="shared" si="468"/>
        <v>8.5366702883985663</v>
      </c>
      <c r="GS89" s="1">
        <f t="shared" si="469"/>
        <v>1.2940200650349951</v>
      </c>
    </row>
    <row r="90" spans="2:201" ht="18" customHeight="1" x14ac:dyDescent="0.25">
      <c r="B90" s="6"/>
      <c r="C90" s="17"/>
      <c r="D90" s="17"/>
      <c r="E90" s="17"/>
      <c r="F90" s="17"/>
      <c r="G90" s="17"/>
      <c r="H90" s="17"/>
      <c r="I90" s="17"/>
      <c r="J90" s="17"/>
      <c r="K90" s="17"/>
      <c r="L90" s="17"/>
      <c r="M90" s="17"/>
      <c r="N90" s="17"/>
      <c r="O90" s="17"/>
      <c r="P90" s="17"/>
      <c r="Q90" s="17"/>
      <c r="R90" s="17"/>
      <c r="S90" s="17"/>
      <c r="T90" s="17"/>
      <c r="U90" s="17"/>
      <c r="V90" s="17"/>
      <c r="AA90" s="17"/>
      <c r="AB90" s="17"/>
      <c r="AC90" s="17"/>
      <c r="AD90" s="17"/>
      <c r="AE90" s="17"/>
      <c r="AF90" s="17"/>
      <c r="AG90" s="17"/>
      <c r="AH90" s="17"/>
      <c r="AI90" s="17"/>
      <c r="AJ90" s="17"/>
      <c r="AK90" s="17"/>
      <c r="AL90" s="17"/>
      <c r="AM90" s="17"/>
      <c r="AN90" s="17"/>
      <c r="AP90" s="8"/>
      <c r="AR90" s="6"/>
      <c r="CF90" s="8"/>
      <c r="EA90" s="1">
        <f t="shared" si="420"/>
        <v>18</v>
      </c>
      <c r="EB90" s="1" t="str">
        <f t="shared" si="455"/>
        <v>0.0000140049164064282-0.0252088495315708i</v>
      </c>
      <c r="EC90" s="1" t="str">
        <f t="shared" si="456"/>
        <v>0.0000274382035717778-0.0493887664291999i</v>
      </c>
      <c r="ED90" s="1" t="str">
        <f t="shared" si="457"/>
        <v>0.0000678095187229609-0.12205713370133i</v>
      </c>
      <c r="EE90" s="1" t="str">
        <f t="shared" si="458"/>
        <v>0.000094699910938705-0.170459839689669i</v>
      </c>
      <c r="EF90" s="1" t="str">
        <f t="shared" si="459"/>
        <v>0.326706790764555i</v>
      </c>
      <c r="EG90" s="1" t="str">
        <f t="shared" si="460"/>
        <v>0.326570719631375i</v>
      </c>
      <c r="EH90" s="1" t="str">
        <f t="shared" si="461"/>
        <v>0.326830772933423i</v>
      </c>
      <c r="EI90" s="1" t="str">
        <f t="shared" si="462"/>
        <v>0.326798846777732i</v>
      </c>
      <c r="EJ90" s="1" t="str">
        <f t="shared" si="450"/>
        <v>0.005</v>
      </c>
      <c r="EK90" s="1" t="str">
        <f t="shared" si="451"/>
        <v>0.01</v>
      </c>
      <c r="EL90" s="1" t="str">
        <f t="shared" si="452"/>
        <v>0.0125</v>
      </c>
      <c r="EM90" s="1" t="str">
        <f t="shared" ref="EM90:EM153" si="493">IMSUM(EB90,EF90,EJ90)</f>
        <v>0.00501400491640643+0.301497941232984i</v>
      </c>
      <c r="EN90" s="1" t="str">
        <f t="shared" ref="EN90:EN153" si="494">IMPRODUCT("-1+0i",EJ90)</f>
        <v>-0.005</v>
      </c>
      <c r="EO90" s="1" t="str">
        <f t="shared" ref="EO90:EO153" si="495">IMPRODUCT($EO$1,EB90)</f>
        <v>0.100829205947652-181.492570705774i</v>
      </c>
      <c r="EP90" s="1" t="str">
        <f t="shared" ref="EP90:EP153" si="496">IMPRODUCT("-1+0i",EJ90)</f>
        <v>-0.005</v>
      </c>
      <c r="EQ90" s="1" t="str">
        <f t="shared" ref="EQ90:EQ153" si="497">IMSUM(EC90,EG90,EJ90,EK90)</f>
        <v>0.0150274382035718+0.277181953202175i</v>
      </c>
      <c r="ER90" s="1" t="str">
        <f t="shared" ref="ER90:ER153" si="498">IMPRODUCT("-1+0i",EK90)</f>
        <v>-0.01</v>
      </c>
      <c r="ES90" s="1" t="str">
        <f t="shared" ref="ES90:ES153" si="499">IMPRODUCT($EO$1,EC90)</f>
        <v>0.197542934101523-355.577281382741i</v>
      </c>
      <c r="ET90" s="1" t="str">
        <f t="shared" ref="ET90:ET153" si="500">IMPRODUCT("-1+0i",EK90)</f>
        <v>-0.01</v>
      </c>
      <c r="EU90" s="1" t="str">
        <f t="shared" ref="EU90:EU153" si="501">IMSUM(ED90,EH90,EK90,EL90)</f>
        <v>0.022567809518723+0.204773639232093i</v>
      </c>
      <c r="EV90" s="1" t="str">
        <f t="shared" ref="EV90:EV153" si="502">IMPRODUCT("-1+0i",EL90)</f>
        <v>-0.0125</v>
      </c>
      <c r="EW90" s="1" t="str">
        <f t="shared" ref="EW90:EW153" si="503">IMPRODUCT($EO$1,ED90)</f>
        <v>0.488198553287356-878.757395917244i</v>
      </c>
      <c r="EX90" s="1" t="str">
        <f t="shared" ref="EX90:EX153" si="504">IMPRODUCT("-1+0i",EL90)</f>
        <v>-0.0125</v>
      </c>
      <c r="EY90" s="1" t="str">
        <f t="shared" ref="EY90:EY153" si="505">IMSUM(EE90,EI90,EL90)</f>
        <v>0.0125946999109387+0.156339007088063i</v>
      </c>
      <c r="EZ90" s="1" t="str">
        <f t="shared" ref="EZ90:EZ153" si="506">IMPRODUCT($EO$1,EE90)</f>
        <v>0.681797487836506-1227.23547810571i</v>
      </c>
      <c r="FB90" s="1" t="str">
        <f t="shared" ref="FB90:FB153" si="507">EM90</f>
        <v>0.00501400491640643+0.301497941232984i</v>
      </c>
      <c r="FC90" s="1" t="str">
        <f t="shared" ref="FC90:FC153" si="508">EO90</f>
        <v>0.100829205947652-181.492570705774i</v>
      </c>
      <c r="FD90" s="1" t="str">
        <f t="shared" ref="FD90:FD153" si="509">IMDIV(EP90,FB90)</f>
        <v>-0.000275718535419149+0.0165792758831648i</v>
      </c>
      <c r="FE90" s="1" t="str">
        <f t="shared" ref="FE90:FE153" si="510">IMSUB(EQ90,IMPRODUCT(FD90,EN90))</f>
        <v>0.0150260596108947+0.277264849581591i</v>
      </c>
      <c r="FF90" s="1" t="str">
        <f t="shared" ref="FF90:FF153" si="511">IMSUB(ES90,IMPRODUCT(FD90,FC90))</f>
        <v>-2.81144466589331-355.628993923748i</v>
      </c>
      <c r="FG90" s="1" t="str">
        <f t="shared" ref="FG90:FG153" si="512">IMDIV(ET90,FE90)</f>
        <v>-0.00194886534764025+0.0359609818848626i</v>
      </c>
      <c r="FH90" s="1" t="str">
        <f t="shared" ref="FH90:FH153" si="513">IMSUB(EU90,IMPRODUCT(FG90,ER90))</f>
        <v>0.0225483208652466+0.205133249050942i</v>
      </c>
      <c r="FI90" s="1" t="str">
        <f t="shared" ref="FI90:FI153" si="514">IMSUB(EW90,IMPRODUCT(FG90,FF90))</f>
        <v>-12.3060483820226-879.349366629418i</v>
      </c>
      <c r="FJ90" s="1" t="str">
        <f t="shared" ref="FJ90:FJ153" si="515">IMDIV(EX90,FH90)</f>
        <v>-0.00661814369307784+0.0602085328907798i</v>
      </c>
      <c r="FK90" s="1" t="str">
        <f t="shared" ref="FK90:FK153" si="516">IMSUB(EY90,IMPRODUCT(FJ90,EV90))</f>
        <v>0.0125119731147752+0.157091613749198i</v>
      </c>
      <c r="FL90" s="1" t="str">
        <f t="shared" ref="FL90:FL153" si="517">IMSUB(EZ90,IMPRODUCT(FJ90,EW90))</f>
        <v>-52.2236651190865-1233.0806145419i</v>
      </c>
      <c r="FM90" s="1" t="str">
        <f t="shared" ref="FM90:FM153" si="518">IMDIV(FL90,FK90)</f>
        <v>-7826.26658828255-290.902683675572i</v>
      </c>
      <c r="FN90" s="1" t="str">
        <f t="shared" ref="FN90:FN153" si="519">IMDIV(IMSUB(FI90,IMPRODUCT(EV90,FM90)),FH90)</f>
        <v>-4311.37245743408+62.9842858508816i</v>
      </c>
      <c r="FO90" s="1" t="str">
        <f t="shared" ref="FO90:FO153" si="520">IMDIV(IMSUB(FF90,IMPRODUCT(ER90,FN90)),FE90)</f>
        <v>-1285.56200115155+95.9668635154556i</v>
      </c>
      <c r="FP90" s="1" t="str">
        <f t="shared" ref="FP90:FP153" si="521">IMDIV(IMSUB(FC90,IMPRODUCT(EN90,FO90)),FB90)</f>
        <v>-600.560912165252+10.9976387236745i</v>
      </c>
      <c r="FQ90" s="92" t="str">
        <f t="shared" ref="FQ90:FQ153" si="522">IMPRODUCT(IMSUB($EO$1,FP90),EB90)</f>
        <v>-0.167997808468192-196.632174396102i</v>
      </c>
      <c r="FR90" s="1" t="str">
        <f t="shared" ref="FR90:FR153" si="523">IMPRODUCT(FP90,EF90)</f>
        <v>-3.59300325339969-196.207328272143i</v>
      </c>
      <c r="FS90" s="1" t="str">
        <f t="shared" ref="FS90:FS153" si="524">IMPRODUCT(IMSUB(FP90,FO90),EJ90)</f>
        <v>3.42500544493149-0.424846123958906i</v>
      </c>
      <c r="FT90" s="1" t="str">
        <f t="shared" ref="FT90:FT153" si="525">IMPRODUCT(IMSUB($EO$1,FO90),EC90)</f>
        <v>-4.50686856111448-419.072235946207i</v>
      </c>
      <c r="FU90" s="1" t="str">
        <f t="shared" ref="FU90:FU153" si="526">IMPRODUCT(IMSUB($EO$1,FN90),ED90)</f>
        <v>-6.90713075452245-1404.99543132462i</v>
      </c>
      <c r="FV90" s="1" t="str">
        <f t="shared" ref="FV90:FV153" si="527">IMPRODUCT(IMSUB($EO$1,FM90),EE90)</f>
        <v>51.0101690613619-2561.27207765473i</v>
      </c>
      <c r="FW90" s="1" t="str">
        <f t="shared" ref="FW90:FW153" si="528">IMPRODUCT(FP90,EF90)</f>
        <v>-3.59300325339969-196.207328272143i</v>
      </c>
      <c r="FX90" s="1" t="str">
        <f t="shared" ref="FX90:FX153" si="529">IMPRODUCT(FO90,EG90)</f>
        <v>-31.3399676790083-419.826907846812i</v>
      </c>
      <c r="FY90" s="1" t="str">
        <f t="shared" ref="FY90:FY153" si="530">IMPRODUCT(FN90,EH90)</f>
        <v>-20.5852028273033-1409.08919266705i</v>
      </c>
      <c r="FZ90" s="1" t="str">
        <f t="shared" ref="FZ90:FZ153" si="531">IMPRODUCT(FM90,EI90)</f>
        <v>95.0666615497243-2557.61489562583i</v>
      </c>
      <c r="GA90" s="1" t="str">
        <f t="shared" ref="GA90:GA153" si="532">IMPRODUCT(IMSUB(FP90,FO90),EJ90)</f>
        <v>3.42500544493149-0.424846123958906i</v>
      </c>
      <c r="GB90" s="1" t="str">
        <f t="shared" ref="GB90:GB153" si="533">IMPRODUCT(IMSUB(FO90,FN90),EK90)</f>
        <v>30.2581045628253+0.32982577664574i</v>
      </c>
      <c r="GC90" s="1" t="str">
        <f t="shared" ref="GC90:GC153" si="534">IMPRODUCT(IMSUB(FN90,FM90),EL90)</f>
        <v>43.9361766356059+4.42358711908067i</v>
      </c>
      <c r="GD90" s="92" t="str">
        <f t="shared" ref="GD90:GD153" si="535">IMSUM(FQ90,FT90,FU90,FV90)</f>
        <v>39.4281719372568-4581.97191932166i</v>
      </c>
      <c r="GE90" s="1" t="str">
        <f t="shared" si="463"/>
        <v>0.0135199617902509+1.57116300932773i</v>
      </c>
      <c r="GF90" s="1">
        <f t="shared" si="464"/>
        <v>18</v>
      </c>
      <c r="GG90" s="56">
        <f t="shared" si="465"/>
        <v>0.1539842038188424</v>
      </c>
      <c r="GH90" s="1">
        <f t="shared" si="466"/>
        <v>0.84601844971126361</v>
      </c>
      <c r="GJ90" s="1">
        <f t="shared" ref="GJ90:GJ153" si="536">IMABS(GD90)</f>
        <v>4582.141557197303</v>
      </c>
      <c r="GK90" s="1">
        <f t="shared" ref="GK90:GK153" si="537">IMABS(GE90)</f>
        <v>1.5712211783344121</v>
      </c>
      <c r="GM90" s="1" t="str">
        <f t="shared" si="467"/>
        <v>0.0191834803010191+8.63256613545863i</v>
      </c>
      <c r="GP90" s="1">
        <f t="shared" si="453"/>
        <v>18</v>
      </c>
      <c r="GQ90" s="1">
        <f t="shared" si="454"/>
        <v>1.5712211783344121</v>
      </c>
      <c r="GR90" s="1">
        <f t="shared" si="468"/>
        <v>8.6325874504104281</v>
      </c>
      <c r="GS90" s="1">
        <f t="shared" si="469"/>
        <v>1.3292821054479915</v>
      </c>
    </row>
    <row r="91" spans="2:201" ht="18" customHeight="1" x14ac:dyDescent="0.25">
      <c r="B91" s="6"/>
      <c r="AP91" s="8"/>
      <c r="AR91" s="6"/>
      <c r="CF91" s="8"/>
      <c r="EA91" s="1">
        <f t="shared" si="420"/>
        <v>18.2</v>
      </c>
      <c r="EB91" s="1" t="str">
        <f t="shared" si="455"/>
        <v>0.0000136988073490328-0.0249318293752398i</v>
      </c>
      <c r="EC91" s="1" t="str">
        <f t="shared" si="456"/>
        <v>0.0000268384797042276-0.0488460330616942i</v>
      </c>
      <c r="ED91" s="1" t="str">
        <f t="shared" si="457"/>
        <v>0.0000663273886440416-0.120715847332156i</v>
      </c>
      <c r="EE91" s="1" t="str">
        <f t="shared" si="458"/>
        <v>0.000092630030645841-0.168586655775431i</v>
      </c>
      <c r="EF91" s="1" t="str">
        <f t="shared" si="459"/>
        <v>0.330336866217494i</v>
      </c>
      <c r="EG91" s="1" t="str">
        <f t="shared" si="460"/>
        <v>0.330199283182835i</v>
      </c>
      <c r="EH91" s="1" t="str">
        <f t="shared" si="461"/>
        <v>0.330462225966016i</v>
      </c>
      <c r="EI91" s="1" t="str">
        <f t="shared" si="462"/>
        <v>0.330429945075262i</v>
      </c>
      <c r="EJ91" s="1" t="str">
        <f t="shared" si="450"/>
        <v>0.005</v>
      </c>
      <c r="EK91" s="1" t="str">
        <f t="shared" si="451"/>
        <v>0.01</v>
      </c>
      <c r="EL91" s="1" t="str">
        <f t="shared" si="452"/>
        <v>0.0125</v>
      </c>
      <c r="EM91" s="1" t="str">
        <f t="shared" si="493"/>
        <v>0.00501369880734903+0.305405036842254i</v>
      </c>
      <c r="EN91" s="1" t="str">
        <f t="shared" si="494"/>
        <v>-0.005</v>
      </c>
      <c r="EO91" s="1" t="str">
        <f t="shared" si="495"/>
        <v>0.0986253560784452-179.498148062771i</v>
      </c>
      <c r="EP91" s="1" t="str">
        <f t="shared" si="496"/>
        <v>-0.005</v>
      </c>
      <c r="EQ91" s="1" t="str">
        <f t="shared" si="497"/>
        <v>0.0150268384797042+0.281353250121141i</v>
      </c>
      <c r="ER91" s="1" t="str">
        <f t="shared" si="498"/>
        <v>-0.01</v>
      </c>
      <c r="ES91" s="1" t="str">
        <f t="shared" si="499"/>
        <v>0.193225187418995-351.669841102571i</v>
      </c>
      <c r="ET91" s="1" t="str">
        <f t="shared" si="500"/>
        <v>-0.01</v>
      </c>
      <c r="EU91" s="1" t="str">
        <f t="shared" si="501"/>
        <v>0.022566327388644+0.20974637863386i</v>
      </c>
      <c r="EV91" s="1" t="str">
        <f t="shared" si="502"/>
        <v>-0.0125</v>
      </c>
      <c r="EW91" s="1" t="str">
        <f t="shared" si="503"/>
        <v>0.477527872032881-869.100727099845i</v>
      </c>
      <c r="EX91" s="1" t="str">
        <f t="shared" si="504"/>
        <v>-0.0125</v>
      </c>
      <c r="EY91" s="1" t="str">
        <f t="shared" si="505"/>
        <v>0.0125926300306458+0.161843289299831i</v>
      </c>
      <c r="EZ91" s="1" t="str">
        <f t="shared" si="506"/>
        <v>0.666895264911392-1213.74938213874i</v>
      </c>
      <c r="FB91" s="1" t="str">
        <f t="shared" si="507"/>
        <v>0.00501369880734903+0.305405036842254i</v>
      </c>
      <c r="FC91" s="1" t="str">
        <f t="shared" si="508"/>
        <v>0.0986253560784452-179.498148062771i</v>
      </c>
      <c r="FD91" s="1" t="str">
        <f t="shared" si="509"/>
        <v>-0.000268694530632608+0.016367290134557i</v>
      </c>
      <c r="FE91" s="1" t="str">
        <f t="shared" si="510"/>
        <v>0.015025495007051+0.281435086571814i</v>
      </c>
      <c r="FF91" s="1" t="str">
        <f t="shared" si="511"/>
        <v>-2.74464658044629-351.719685503032i</v>
      </c>
      <c r="FG91" s="1" t="str">
        <f t="shared" si="512"/>
        <v>-0.00189162989854054+0.0354311804042238i</v>
      </c>
      <c r="FH91" s="1" t="str">
        <f t="shared" si="513"/>
        <v>0.0225474110896586+0.210100690437902i</v>
      </c>
      <c r="FI91" s="1" t="str">
        <f t="shared" si="514"/>
        <v>-11.9895076122744-869.66880450471i</v>
      </c>
      <c r="FJ91" s="1" t="str">
        <f t="shared" si="515"/>
        <v>-0.00631216818137013+0.0588178788151106i</v>
      </c>
      <c r="FK91" s="1" t="str">
        <f t="shared" si="516"/>
        <v>0.0125137279283787+0.16257851278502i</v>
      </c>
      <c r="FL91" s="1" t="str">
        <f t="shared" si="517"/>
        <v>-50.4487517435322-1219.26337927125i</v>
      </c>
      <c r="FM91" s="1" t="str">
        <f t="shared" si="518"/>
        <v>-7479.1104992198-265.365954276094i</v>
      </c>
      <c r="FN91" s="1" t="str">
        <f t="shared" si="519"/>
        <v>-4161.03799714644+55.4865124282734i</v>
      </c>
      <c r="FO91" s="1" t="str">
        <f t="shared" si="520"/>
        <v>-1252.60873968325+90.7277074050826i</v>
      </c>
      <c r="FP91" s="1" t="str">
        <f t="shared" si="521"/>
        <v>-586.42595598009+10.5573086140923i</v>
      </c>
      <c r="FQ91" s="92" t="str">
        <f t="shared" si="522"/>
        <v>-0.15655432475441-194.118964561015i</v>
      </c>
      <c r="FR91" s="1" t="str">
        <f t="shared" si="523"/>
        <v>-3.4874682432702-193.718112567061i</v>
      </c>
      <c r="FS91" s="1" t="str">
        <f t="shared" si="524"/>
        <v>3.3309139185158-0.400851993954952i</v>
      </c>
      <c r="FT91" s="1" t="str">
        <f t="shared" si="525"/>
        <v>-4.20484529386406-412.85724400824i</v>
      </c>
      <c r="FU91" s="1" t="str">
        <f t="shared" si="526"/>
        <v>-5.94458270685299-1371.40763498215i</v>
      </c>
      <c r="FV91" s="1" t="str">
        <f t="shared" si="527"/>
        <v>46.0968442877204-2474.60302852063i</v>
      </c>
      <c r="FW91" s="1" t="str">
        <f t="shared" si="528"/>
        <v>-3.4874682432702-193.718112567061i</v>
      </c>
      <c r="FX91" s="1" t="str">
        <f t="shared" si="529"/>
        <v>-29.9582239499803-413.610507951963i</v>
      </c>
      <c r="FY91" s="1" t="str">
        <f t="shared" si="530"/>
        <v>-18.3361964081382-1375.06587886619i</v>
      </c>
      <c r="FZ91" s="1" t="str">
        <f t="shared" si="531"/>
        <v>87.6848576962942-2471.32207146901i</v>
      </c>
      <c r="GA91" s="1" t="str">
        <f t="shared" si="532"/>
        <v>3.3309139185158-0.400851993954952i</v>
      </c>
      <c r="GB91" s="1" t="str">
        <f t="shared" si="533"/>
        <v>29.0842925746319+0.352411949768092i</v>
      </c>
      <c r="GC91" s="1" t="str">
        <f t="shared" si="534"/>
        <v>41.475906275917+4.01065583380459i</v>
      </c>
      <c r="GD91" s="92" t="str">
        <f t="shared" si="535"/>
        <v>35.7908619622489-4452.98687207204i</v>
      </c>
      <c r="GE91" s="1" t="str">
        <f t="shared" si="463"/>
        <v>0.0129941267645227+1.61668852673878i</v>
      </c>
      <c r="GF91" s="1">
        <f t="shared" si="464"/>
        <v>18.2</v>
      </c>
      <c r="GG91" s="56">
        <f t="shared" si="465"/>
        <v>0.1562789787808207</v>
      </c>
      <c r="GH91" s="1">
        <f t="shared" si="466"/>
        <v>0.84372326936115871</v>
      </c>
      <c r="GJ91" s="1">
        <f t="shared" si="536"/>
        <v>4453.1307041951877</v>
      </c>
      <c r="GK91" s="1">
        <f t="shared" si="537"/>
        <v>1.6167407460131571</v>
      </c>
      <c r="GM91" s="1" t="str">
        <f t="shared" si="467"/>
        <v>0.0191834803010191+8.72848353696372i</v>
      </c>
      <c r="GP91" s="1">
        <f t="shared" si="453"/>
        <v>18.2</v>
      </c>
      <c r="GQ91" s="1">
        <f t="shared" si="454"/>
        <v>1.6167407460131571</v>
      </c>
      <c r="GR91" s="1">
        <f t="shared" si="468"/>
        <v>8.7285046176858483</v>
      </c>
      <c r="GS91" s="1">
        <f t="shared" si="469"/>
        <v>1.3640817879356242</v>
      </c>
    </row>
    <row r="92" spans="2:201" ht="18" customHeight="1" x14ac:dyDescent="0.25">
      <c r="B92" s="6"/>
      <c r="AP92" s="8"/>
      <c r="AR92" s="6"/>
      <c r="CF92" s="8"/>
      <c r="EA92" s="1">
        <f t="shared" si="420"/>
        <v>18.399999999999999</v>
      </c>
      <c r="EB92" s="1" t="str">
        <f t="shared" si="455"/>
        <v>0.0000134026257558832-0.024660831390825i</v>
      </c>
      <c r="EC92" s="1" t="str">
        <f t="shared" si="456"/>
        <v>0.0000262582055625466-0.0483150982350858i</v>
      </c>
      <c r="ED92" s="1" t="str">
        <f t="shared" si="457"/>
        <v>0.0000648933257261894-0.119403719336188i</v>
      </c>
      <c r="EE92" s="1" t="str">
        <f t="shared" si="458"/>
        <v>0.0000906272789207337-0.16675419321415i</v>
      </c>
      <c r="EF92" s="1" t="str">
        <f t="shared" si="459"/>
        <v>0.333966941670434i</v>
      </c>
      <c r="EG92" s="1" t="str">
        <f t="shared" si="460"/>
        <v>0.333827846734294i</v>
      </c>
      <c r="EH92" s="1" t="str">
        <f t="shared" si="461"/>
        <v>0.334093678998611i</v>
      </c>
      <c r="EI92" s="1" t="str">
        <f t="shared" si="462"/>
        <v>0.334061043372792i</v>
      </c>
      <c r="EJ92" s="1" t="str">
        <f t="shared" si="450"/>
        <v>0.005</v>
      </c>
      <c r="EK92" s="1" t="str">
        <f t="shared" si="451"/>
        <v>0.01</v>
      </c>
      <c r="EL92" s="1" t="str">
        <f t="shared" si="452"/>
        <v>0.0125</v>
      </c>
      <c r="EM92" s="1" t="str">
        <f t="shared" si="493"/>
        <v>0.00501340262575588+0.309306110279609i</v>
      </c>
      <c r="EN92" s="1" t="str">
        <f t="shared" si="494"/>
        <v>-0.005</v>
      </c>
      <c r="EO92" s="1" t="str">
        <f t="shared" si="495"/>
        <v>0.096492979562447-177.547082394902i</v>
      </c>
      <c r="EP92" s="1" t="str">
        <f t="shared" si="496"/>
        <v>-0.005</v>
      </c>
      <c r="EQ92" s="1" t="str">
        <f t="shared" si="497"/>
        <v>0.0150262582055625+0.285512748499208i</v>
      </c>
      <c r="ER92" s="1" t="str">
        <f t="shared" si="498"/>
        <v>-0.01</v>
      </c>
      <c r="ES92" s="1" t="str">
        <f t="shared" si="499"/>
        <v>0.189047470163161-347.847345100217i</v>
      </c>
      <c r="ET92" s="1" t="str">
        <f t="shared" si="500"/>
        <v>-0.01</v>
      </c>
      <c r="EU92" s="1" t="str">
        <f t="shared" si="501"/>
        <v>0.0225648933257262+0.214689959662423i</v>
      </c>
      <c r="EV92" s="1" t="str">
        <f t="shared" si="502"/>
        <v>-0.0125</v>
      </c>
      <c r="EW92" s="1" t="str">
        <f t="shared" si="503"/>
        <v>0.46720325308552-859.653985677354i</v>
      </c>
      <c r="EX92" s="1" t="str">
        <f t="shared" si="504"/>
        <v>-0.0125</v>
      </c>
      <c r="EY92" s="1" t="str">
        <f t="shared" si="505"/>
        <v>0.0125906272789207+0.167306850158642i</v>
      </c>
      <c r="EZ92" s="1" t="str">
        <f t="shared" si="506"/>
        <v>0.652476337993687-1200.55646190838i</v>
      </c>
      <c r="FB92" s="1" t="str">
        <f t="shared" si="507"/>
        <v>0.00501340262575588+0.309306110279609i</v>
      </c>
      <c r="FC92" s="1" t="str">
        <f t="shared" si="508"/>
        <v>0.096492979562447-177.547082394902i</v>
      </c>
      <c r="FD92" s="1" t="str">
        <f t="shared" si="509"/>
        <v>-0.000261945841333081+0.0161609699708567i</v>
      </c>
      <c r="FE92" s="1" t="str">
        <f t="shared" si="510"/>
        <v>0.0150249484763558+0.285593553349062i</v>
      </c>
      <c r="FF92" s="1" t="str">
        <f t="shared" si="511"/>
        <v>-2.68026032089936-347.895412240236i</v>
      </c>
      <c r="FG92" s="1" t="str">
        <f t="shared" si="512"/>
        <v>-0.00183702821572546+0.0349181507382294i</v>
      </c>
      <c r="FH92" s="1" t="str">
        <f t="shared" si="513"/>
        <v>0.0225465230435689+0.215039141169805i</v>
      </c>
      <c r="FI92" s="1" t="str">
        <f t="shared" si="514"/>
        <v>-11.6855849064925-860.199489631858i</v>
      </c>
      <c r="FJ92" s="1" t="str">
        <f t="shared" si="515"/>
        <v>-0.0060284591521344+0.0574968777290918i</v>
      </c>
      <c r="FK92" s="1" t="str">
        <f t="shared" si="516"/>
        <v>0.012515271539519+0.168025561130256i</v>
      </c>
      <c r="FL92" s="1" t="str">
        <f t="shared" si="517"/>
        <v>-48.7721272500966-1205.76571357432i</v>
      </c>
      <c r="FM92" s="1" t="str">
        <f t="shared" si="518"/>
        <v>-7157.99336280423-242.892230735268i</v>
      </c>
      <c r="FN92" s="1" t="str">
        <f t="shared" si="519"/>
        <v>-4019.45569143226+48.9945761257658i</v>
      </c>
      <c r="FO92" s="1" t="str">
        <f t="shared" si="520"/>
        <v>-1220.9518694803+85.8915686874369i</v>
      </c>
      <c r="FP92" s="1" t="str">
        <f t="shared" si="521"/>
        <v>-572.793290414875+10.140837433901i</v>
      </c>
      <c r="FQ92" s="92" t="str">
        <f t="shared" si="522"/>
        <v>-0.14591156844984-191.672777065468i</v>
      </c>
      <c r="FR92" s="1" t="str">
        <f t="shared" si="523"/>
        <v>-3.38670446377697-191.2940234092i</v>
      </c>
      <c r="FS92" s="1" t="str">
        <f t="shared" si="524"/>
        <v>3.24079289532713-0.37875365626768i</v>
      </c>
      <c r="FT92" s="1" t="str">
        <f t="shared" si="525"/>
        <v>-3.92875210336518-406.840009972935i</v>
      </c>
      <c r="FU92" s="1" t="str">
        <f t="shared" si="526"/>
        <v>-5.12209551620482-1339.59512436236i</v>
      </c>
      <c r="FV92" s="1" t="str">
        <f t="shared" si="527"/>
        <v>41.8044837732421-2394.15985749311i</v>
      </c>
      <c r="FW92" s="1" t="str">
        <f t="shared" si="528"/>
        <v>-3.38670446377697-191.2940234092i</v>
      </c>
      <c r="FX92" s="1" t="str">
        <f t="shared" si="529"/>
        <v>-28.6729974275578-407.587733554819i</v>
      </c>
      <c r="FY92" s="1" t="str">
        <f t="shared" si="530"/>
        <v>-16.3687781888346-1342.87473952251i</v>
      </c>
      <c r="FZ92" s="1" t="str">
        <f t="shared" si="531"/>
        <v>81.1408320265686-2391.2067312339i</v>
      </c>
      <c r="GA92" s="1" t="str">
        <f t="shared" si="532"/>
        <v>3.24079289532713-0.37875365626768i</v>
      </c>
      <c r="GB92" s="1" t="str">
        <f t="shared" si="533"/>
        <v>27.9850382195196+0.368969925616711i</v>
      </c>
      <c r="GC92" s="1" t="str">
        <f t="shared" si="534"/>
        <v>39.2317208921496+3.64858508576293i</v>
      </c>
      <c r="GD92" s="92" t="str">
        <f t="shared" si="535"/>
        <v>32.6077245852223-4332.26776889387i</v>
      </c>
      <c r="GE92" s="1" t="str">
        <f t="shared" si="463"/>
        <v>0.0125075179338517+1.66175093487647i</v>
      </c>
      <c r="GF92" s="1">
        <f t="shared" si="464"/>
        <v>18.399999999999999</v>
      </c>
      <c r="GG92" s="56">
        <f t="shared" si="465"/>
        <v>0.15847476133371832</v>
      </c>
      <c r="GH92" s="1">
        <f t="shared" si="466"/>
        <v>0.84152714911716642</v>
      </c>
      <c r="GJ92" s="1">
        <f t="shared" si="536"/>
        <v>4332.3904816047343</v>
      </c>
      <c r="GK92" s="1">
        <f t="shared" si="537"/>
        <v>1.6617980044420826</v>
      </c>
      <c r="GM92" s="1" t="str">
        <f t="shared" si="467"/>
        <v>0.0191834803010191+8.82440093846882i</v>
      </c>
      <c r="GP92" s="1">
        <f t="shared" si="453"/>
        <v>18.399999999999999</v>
      </c>
      <c r="GQ92" s="1">
        <f t="shared" si="454"/>
        <v>1.6617980044420826</v>
      </c>
      <c r="GR92" s="1">
        <f t="shared" si="468"/>
        <v>8.824421790053206</v>
      </c>
      <c r="GS92" s="1">
        <f t="shared" si="469"/>
        <v>1.3984481370867445</v>
      </c>
    </row>
    <row r="93" spans="2:201" ht="18" customHeight="1" x14ac:dyDescent="0.25">
      <c r="B93" s="6"/>
      <c r="C93" s="17"/>
      <c r="D93" s="17"/>
      <c r="E93" s="17"/>
      <c r="F93" s="17"/>
      <c r="G93" s="17"/>
      <c r="H93" s="17"/>
      <c r="I93" s="17"/>
      <c r="J93" s="17"/>
      <c r="K93" s="17"/>
      <c r="L93" s="17"/>
      <c r="M93" s="17"/>
      <c r="N93" s="17"/>
      <c r="O93" s="17"/>
      <c r="P93" s="17"/>
      <c r="Q93" s="17"/>
      <c r="R93" s="17"/>
      <c r="S93" s="17"/>
      <c r="T93" s="17"/>
      <c r="U93" s="17"/>
      <c r="V93" s="17"/>
      <c r="AA93" s="17"/>
      <c r="AB93" s="17"/>
      <c r="AC93" s="17"/>
      <c r="AD93" s="17"/>
      <c r="AE93" s="17"/>
      <c r="AF93" s="17"/>
      <c r="AG93" s="17"/>
      <c r="AH93" s="17"/>
      <c r="AI93" s="17"/>
      <c r="AJ93" s="17"/>
      <c r="AK93" s="17"/>
      <c r="AL93" s="17"/>
      <c r="AM93" s="17"/>
      <c r="AN93" s="17"/>
      <c r="AP93" s="8"/>
      <c r="AR93" s="6"/>
      <c r="CF93" s="8"/>
      <c r="EA93" s="1">
        <f t="shared" si="420"/>
        <v>18.600000000000001</v>
      </c>
      <c r="EB93" s="1" t="str">
        <f t="shared" si="455"/>
        <v>0.0000131159469435185-0.0243956613149445i</v>
      </c>
      <c r="EC93" s="1" t="str">
        <f t="shared" si="456"/>
        <v>0.0000256965491138322-0.047795581351728i</v>
      </c>
      <c r="ED93" s="1" t="str">
        <f t="shared" si="457"/>
        <v>0.000063505273721424-0.118119809121849i</v>
      </c>
      <c r="EE93" s="1" t="str">
        <f t="shared" si="458"/>
        <v>0.0000886887840942682-0.164961138415339i</v>
      </c>
      <c r="EF93" s="1" t="str">
        <f t="shared" si="459"/>
        <v>0.337597017123373i</v>
      </c>
      <c r="EG93" s="1" t="str">
        <f t="shared" si="460"/>
        <v>0.337456410285755i</v>
      </c>
      <c r="EH93" s="1" t="str">
        <f t="shared" si="461"/>
        <v>0.337725132031204i</v>
      </c>
      <c r="EI93" s="1" t="str">
        <f t="shared" si="462"/>
        <v>0.337692141670323i</v>
      </c>
      <c r="EJ93" s="1" t="str">
        <f t="shared" si="450"/>
        <v>0.005</v>
      </c>
      <c r="EK93" s="1" t="str">
        <f t="shared" si="451"/>
        <v>0.01</v>
      </c>
      <c r="EL93" s="1" t="str">
        <f t="shared" si="452"/>
        <v>0.0125</v>
      </c>
      <c r="EM93" s="1" t="str">
        <f t="shared" si="493"/>
        <v>0.00501311594694352+0.313201355808428i</v>
      </c>
      <c r="EN93" s="1" t="str">
        <f t="shared" si="494"/>
        <v>-0.005</v>
      </c>
      <c r="EO93" s="1" t="str">
        <f t="shared" si="495"/>
        <v>0.0944290188665102-175.63797509171i</v>
      </c>
      <c r="EP93" s="1" t="str">
        <f t="shared" si="496"/>
        <v>-0.005</v>
      </c>
      <c r="EQ93" s="1" t="str">
        <f t="shared" si="497"/>
        <v>0.0150256965491138+0.289660828934027i</v>
      </c>
      <c r="ER93" s="1" t="str">
        <f t="shared" si="498"/>
        <v>-0.01</v>
      </c>
      <c r="ES93" s="1" t="str">
        <f t="shared" si="499"/>
        <v>0.185003792065-344.1070532409i</v>
      </c>
      <c r="ET93" s="1" t="str">
        <f t="shared" si="500"/>
        <v>-0.01</v>
      </c>
      <c r="EU93" s="1" t="str">
        <f t="shared" si="501"/>
        <v>0.0225635052737214+0.219605322909355i</v>
      </c>
      <c r="EV93" s="1" t="str">
        <f t="shared" si="502"/>
        <v>-0.0125</v>
      </c>
      <c r="EW93" s="1" t="str">
        <f t="shared" si="503"/>
        <v>0.457209892368972-850.41039980629i</v>
      </c>
      <c r="EX93" s="1" t="str">
        <f t="shared" si="504"/>
        <v>-0.0125</v>
      </c>
      <c r="EY93" s="1" t="str">
        <f t="shared" si="505"/>
        <v>0.0125886887840943+0.172731003254984i</v>
      </c>
      <c r="EZ93" s="1" t="str">
        <f t="shared" si="506"/>
        <v>0.638520032335452-1187.64726014394i</v>
      </c>
      <c r="FB93" s="1" t="str">
        <f t="shared" si="507"/>
        <v>0.00501311594694352+0.313201355808428i</v>
      </c>
      <c r="FC93" s="1" t="str">
        <f t="shared" si="508"/>
        <v>0.0944290188665102-175.63797509171i</v>
      </c>
      <c r="FD93" s="1" t="str">
        <f t="shared" si="509"/>
        <v>-0.000255457841191602+0.0159600821245488i</v>
      </c>
      <c r="FE93" s="1" t="str">
        <f t="shared" si="510"/>
        <v>0.0150244192599078+0.28974062934465i</v>
      </c>
      <c r="FF93" s="1" t="str">
        <f t="shared" si="511"/>
        <v>-2.61816859195484-344.153428433744i</v>
      </c>
      <c r="FG93" s="1" t="str">
        <f t="shared" si="512"/>
        <v>-0.00178489504340489+0.0344210717395444i</v>
      </c>
      <c r="FH93" s="1" t="str">
        <f t="shared" si="513"/>
        <v>0.0225456563232874+0.21994953362675i</v>
      </c>
      <c r="FI93" s="1" t="str">
        <f t="shared" si="514"/>
        <v>-11.3935931133016-850.934557385942i</v>
      </c>
      <c r="FJ93" s="1" t="str">
        <f t="shared" si="515"/>
        <v>-0.00576484279176847+0.0562403003620399i</v>
      </c>
      <c r="FK93" s="1" t="str">
        <f t="shared" si="516"/>
        <v>0.0125166282491972+0.17343400700951i</v>
      </c>
      <c r="FL93" s="1" t="str">
        <f t="shared" si="517"/>
        <v>-47.1861805406203-1192.57545602898i</v>
      </c>
      <c r="FM93" s="1" t="str">
        <f t="shared" si="518"/>
        <v>-6860.15377015886-223.023238635464i</v>
      </c>
      <c r="FN93" s="1" t="str">
        <f t="shared" si="519"/>
        <v>-3885.89039145741+43.3534266124229i</v>
      </c>
      <c r="FO93" s="1" t="str">
        <f t="shared" si="520"/>
        <v>-1190.52393565841+81.4181352874079i</v>
      </c>
      <c r="FP93" s="1" t="str">
        <f t="shared" si="521"/>
        <v>-559.639165352845+9.74662011657513i</v>
      </c>
      <c r="FQ93" s="92" t="str">
        <f t="shared" si="522"/>
        <v>-0.136006026862599-189.290870464388i</v>
      </c>
      <c r="FR93" s="1" t="str">
        <f t="shared" si="523"/>
        <v>-3.29042987839043-188.932512888535i</v>
      </c>
      <c r="FS93" s="1" t="str">
        <f t="shared" si="524"/>
        <v>3.15442385152783-0.358357575854164i</v>
      </c>
      <c r="FT93" s="1" t="str">
        <f t="shared" si="525"/>
        <v>-3.67583095978646-401.010929023953i</v>
      </c>
      <c r="FU93" s="1" t="str">
        <f t="shared" si="526"/>
        <v>-4.41691405090756-1309.41378428489i</v>
      </c>
      <c r="FV93" s="1" t="str">
        <f t="shared" si="527"/>
        <v>38.0371060672925-2319.28625611377i</v>
      </c>
      <c r="FW93" s="1" t="str">
        <f t="shared" si="528"/>
        <v>-3.29042987839043-188.932512888535i</v>
      </c>
      <c r="FX93" s="1" t="str">
        <f t="shared" si="529"/>
        <v>-27.4750716662486-401.749933686556i</v>
      </c>
      <c r="FY93" s="1" t="str">
        <f t="shared" si="530"/>
        <v>-14.6415417266856-1312.36284551374i</v>
      </c>
      <c r="FZ93" s="1" t="str">
        <f t="shared" si="531"/>
        <v>75.3131950970614-2316.62001883269i</v>
      </c>
      <c r="GA93" s="1" t="str">
        <f t="shared" si="532"/>
        <v>3.15442385152783-0.358357575854164i</v>
      </c>
      <c r="GB93" s="1" t="str">
        <f t="shared" si="533"/>
        <v>26.95366455799+0.38064708674985i</v>
      </c>
      <c r="GC93" s="1" t="str">
        <f t="shared" si="534"/>
        <v>37.1782922337681+3.32970831559859i</v>
      </c>
      <c r="GD93" s="92" t="str">
        <f t="shared" si="535"/>
        <v>29.8083550297359-4219.001839887i</v>
      </c>
      <c r="GE93" s="1" t="str">
        <f t="shared" si="463"/>
        <v>0.0120559858126523+1.70637481586927i</v>
      </c>
      <c r="GF93" s="1">
        <f t="shared" si="464"/>
        <v>18.600000000000001</v>
      </c>
      <c r="GG93" s="56">
        <f t="shared" si="465"/>
        <v>0.16057770807336444</v>
      </c>
      <c r="GH93" s="1">
        <f t="shared" si="466"/>
        <v>0.83942391977363329</v>
      </c>
      <c r="GJ93" s="1">
        <f t="shared" si="536"/>
        <v>4219.1071404977938</v>
      </c>
      <c r="GK93" s="1">
        <f t="shared" si="537"/>
        <v>1.7064174046893685</v>
      </c>
      <c r="GM93" s="1" t="str">
        <f t="shared" si="467"/>
        <v>0.0191834803010191+8.92031833997392i</v>
      </c>
      <c r="GP93" s="1">
        <f t="shared" si="453"/>
        <v>18.600000000000001</v>
      </c>
      <c r="GQ93" s="1">
        <f t="shared" si="454"/>
        <v>1.7064174046893685</v>
      </c>
      <c r="GR93" s="1">
        <f t="shared" si="468"/>
        <v>8.9203389673482434</v>
      </c>
      <c r="GS93" s="1">
        <f t="shared" si="469"/>
        <v>1.4324075866143042</v>
      </c>
    </row>
    <row r="94" spans="2:201" ht="18" customHeight="1" x14ac:dyDescent="0.25">
      <c r="B94" s="6"/>
      <c r="AP94" s="8"/>
      <c r="AR94" s="6"/>
      <c r="CF94" s="8"/>
      <c r="EA94" s="1">
        <f t="shared" si="420"/>
        <v>18.8</v>
      </c>
      <c r="EB94" s="1" t="str">
        <f t="shared" si="455"/>
        <v>0.0000128383686971975-0.0241361331507314i</v>
      </c>
      <c r="EC94" s="1" t="str">
        <f t="shared" si="456"/>
        <v>0.00002515272234553-0.0472871180095963i</v>
      </c>
      <c r="ED94" s="1" t="str">
        <f t="shared" si="457"/>
        <v>0.0000621612851716351-0.116863216122674i</v>
      </c>
      <c r="EE94" s="1" t="str">
        <f t="shared" si="458"/>
        <v>0.0000868118264286692-0.163206233685898i</v>
      </c>
      <c r="EF94" s="1" t="str">
        <f t="shared" si="459"/>
        <v>0.341227092576313i</v>
      </c>
      <c r="EG94" s="1" t="str">
        <f t="shared" si="460"/>
        <v>0.341084973837214i</v>
      </c>
      <c r="EH94" s="1" t="str">
        <f t="shared" si="461"/>
        <v>0.341356585063798i</v>
      </c>
      <c r="EI94" s="1" t="str">
        <f t="shared" si="462"/>
        <v>0.341323239967853i</v>
      </c>
      <c r="EJ94" s="1" t="str">
        <f t="shared" si="450"/>
        <v>0.005</v>
      </c>
      <c r="EK94" s="1" t="str">
        <f t="shared" si="451"/>
        <v>0.01</v>
      </c>
      <c r="EL94" s="1" t="str">
        <f t="shared" si="452"/>
        <v>0.0125</v>
      </c>
      <c r="EM94" s="1" t="str">
        <f t="shared" si="493"/>
        <v>0.0050128383686972+0.317090959425582i</v>
      </c>
      <c r="EN94" s="1" t="str">
        <f t="shared" si="494"/>
        <v>-0.005</v>
      </c>
      <c r="EO94" s="1" t="str">
        <f t="shared" si="495"/>
        <v>0.0924305782223346-173.76948705799i</v>
      </c>
      <c r="EP94" s="1" t="str">
        <f t="shared" si="496"/>
        <v>-0.005</v>
      </c>
      <c r="EQ94" s="1" t="str">
        <f t="shared" si="497"/>
        <v>0.0150251527223455+0.293797855827618i</v>
      </c>
      <c r="ER94" s="1" t="str">
        <f t="shared" si="498"/>
        <v>-0.01</v>
      </c>
      <c r="ES94" s="1" t="str">
        <f t="shared" si="499"/>
        <v>0.181088479782534-340.446341991164i</v>
      </c>
      <c r="ET94" s="1" t="str">
        <f t="shared" si="500"/>
        <v>-0.01</v>
      </c>
      <c r="EU94" s="1" t="str">
        <f t="shared" si="501"/>
        <v>0.0225621612851716+0.224493368941124i</v>
      </c>
      <c r="EV94" s="1" t="str">
        <f t="shared" si="502"/>
        <v>-0.0125</v>
      </c>
      <c r="EW94" s="1" t="str">
        <f t="shared" si="503"/>
        <v>0.447533769045897-841.363485806287i</v>
      </c>
      <c r="EX94" s="1" t="str">
        <f t="shared" si="504"/>
        <v>-0.0125</v>
      </c>
      <c r="EY94" s="1" t="str">
        <f t="shared" si="505"/>
        <v>0.0125868118264287+0.178117006281955i</v>
      </c>
      <c r="EZ94" s="1" t="str">
        <f t="shared" si="506"/>
        <v>0.625006767027217-1175.01272201117i</v>
      </c>
      <c r="FB94" s="1" t="str">
        <f t="shared" si="507"/>
        <v>0.0050128383686972+0.317090959425582i</v>
      </c>
      <c r="FC94" s="1" t="str">
        <f t="shared" si="508"/>
        <v>0.0924305782223346-173.76948705799i</v>
      </c>
      <c r="FD94" s="1" t="str">
        <f t="shared" si="509"/>
        <v>-0.000249216883589551+0.0157644062924379i</v>
      </c>
      <c r="FE94" s="1" t="str">
        <f t="shared" si="510"/>
        <v>0.0150239066379276+0.29387667785908i</v>
      </c>
      <c r="FF94" s="1" t="str">
        <f t="shared" si="511"/>
        <v>-2.5582612801675-340.49110539438i</v>
      </c>
      <c r="FG94" s="1" t="str">
        <f t="shared" si="512"/>
        <v>-0.00173507819036183+0.0339391761875068i</v>
      </c>
      <c r="FH94" s="1" t="str">
        <f t="shared" si="513"/>
        <v>0.022544810503268+0.224832760702999i</v>
      </c>
      <c r="FI94" s="1" t="str">
        <f t="shared" si="514"/>
        <v>-11.1128926305654-841.867439216948i</v>
      </c>
      <c r="FJ94" s="1" t="str">
        <f t="shared" si="515"/>
        <v>-0.00551940768000531+0.0550434285513754i</v>
      </c>
      <c r="FK94" s="1" t="str">
        <f t="shared" si="516"/>
        <v>0.0125178192304286+0.178805049138847i</v>
      </c>
      <c r="FL94" s="1" t="str">
        <f t="shared" si="517"/>
        <v>-45.6840540283654-1179.68118388945i</v>
      </c>
      <c r="FM94" s="1" t="str">
        <f t="shared" si="518"/>
        <v>-6583.20476179064-205.381857578921i</v>
      </c>
      <c r="FN94" s="1" t="str">
        <f t="shared" si="519"/>
        <v>-3759.68885854064+38.4351428985785i</v>
      </c>
      <c r="FO94" s="1" t="str">
        <f t="shared" si="520"/>
        <v>-1161.2615370155+77.2720894923342i</v>
      </c>
      <c r="FP94" s="1" t="str">
        <f t="shared" si="521"/>
        <v>-546.94120935747+9.37317554732724i</v>
      </c>
      <c r="FQ94" s="92" t="str">
        <f t="shared" si="522"/>
        <v>-0.126779801931713-186.970653248947i</v>
      </c>
      <c r="FR94" s="1" t="str">
        <f t="shared" si="523"/>
        <v>-3.19838144022187-186.631158679222i</v>
      </c>
      <c r="FS94" s="1" t="str">
        <f t="shared" si="524"/>
        <v>3.07160163829015-0.339494569725035i</v>
      </c>
      <c r="FT94" s="1" t="str">
        <f t="shared" si="525"/>
        <v>-3.44367704587847-395.360996935433i</v>
      </c>
      <c r="FU94" s="1" t="str">
        <f t="shared" si="526"/>
        <v>-3.81041355092418-1280.73520661381i</v>
      </c>
      <c r="FV94" s="1" t="str">
        <f t="shared" si="527"/>
        <v>34.7161062390214-2249.41494719192i</v>
      </c>
      <c r="FW94" s="1" t="str">
        <f t="shared" si="528"/>
        <v>-3.19838144022187-186.631158679222i</v>
      </c>
      <c r="FX94" s="1" t="str">
        <f t="shared" si="529"/>
        <v>-26.3563486228397-396.088860971095i</v>
      </c>
      <c r="FY94" s="1" t="str">
        <f t="shared" si="530"/>
        <v>-13.1200891262978-1283.39454965384i</v>
      </c>
      <c r="FZ94" s="1" t="str">
        <f t="shared" si="531"/>
        <v>70.1016010594535-2247.00077866618i</v>
      </c>
      <c r="GA94" s="1" t="str">
        <f t="shared" si="532"/>
        <v>3.07160163829015-0.339494569725035i</v>
      </c>
      <c r="GB94" s="1" t="str">
        <f t="shared" si="533"/>
        <v>25.9842732152514+0.388369465937557i</v>
      </c>
      <c r="GC94" s="1" t="str">
        <f t="shared" si="534"/>
        <v>35.293948790625+3.04771250596875i</v>
      </c>
      <c r="GD94" s="92" t="str">
        <f t="shared" si="535"/>
        <v>27.335235840287-4112.48180399011i</v>
      </c>
      <c r="GE94" s="1" t="str">
        <f t="shared" si="463"/>
        <v>0.0116359403252876+1.75058276942079i</v>
      </c>
      <c r="GF94" s="1">
        <f t="shared" si="464"/>
        <v>18.8</v>
      </c>
      <c r="GG94" s="56">
        <f t="shared" si="465"/>
        <v>0.16259345941123449</v>
      </c>
      <c r="GH94" s="1">
        <f t="shared" si="466"/>
        <v>0.83740793092836097</v>
      </c>
      <c r="GJ94" s="1">
        <f t="shared" si="536"/>
        <v>4112.5726502115676</v>
      </c>
      <c r="GK94" s="1">
        <f t="shared" si="537"/>
        <v>1.7506214404320017</v>
      </c>
      <c r="GM94" s="1" t="str">
        <f t="shared" si="467"/>
        <v>0.0191834803010191+9.01623574147901i</v>
      </c>
      <c r="GP94" s="1">
        <f t="shared" si="453"/>
        <v>18.8</v>
      </c>
      <c r="GQ94" s="1">
        <f t="shared" si="454"/>
        <v>1.7506214404320017</v>
      </c>
      <c r="GR94" s="1">
        <f t="shared" si="468"/>
        <v>9.0162561494136799</v>
      </c>
      <c r="GS94" s="1">
        <f t="shared" si="469"/>
        <v>1.4659842782709902</v>
      </c>
    </row>
    <row r="95" spans="2:201" ht="18" customHeight="1" x14ac:dyDescent="0.25">
      <c r="B95" s="6"/>
      <c r="AP95" s="8"/>
      <c r="AR95" s="6"/>
      <c r="BI95" s="29" t="s">
        <v>433</v>
      </c>
      <c r="BJ95" s="156">
        <v>15</v>
      </c>
      <c r="BK95" s="156"/>
      <c r="BL95" s="156"/>
      <c r="BM95" s="156"/>
      <c r="BN95" s="156"/>
      <c r="BO95" s="158" t="s">
        <v>432</v>
      </c>
      <c r="BP95" s="158"/>
      <c r="BQ95" s="158"/>
      <c r="BU95" s="29" t="s">
        <v>434</v>
      </c>
      <c r="BV95" s="156">
        <v>25</v>
      </c>
      <c r="BW95" s="156"/>
      <c r="CD95" s="17"/>
      <c r="CF95" s="8"/>
      <c r="EA95" s="1">
        <f t="shared" si="420"/>
        <v>19</v>
      </c>
      <c r="EB95" s="1" t="str">
        <f t="shared" si="455"/>
        <v>0.0000125695098593445-0.0238820687327547i</v>
      </c>
      <c r="EC95" s="1" t="str">
        <f t="shared" si="456"/>
        <v>0.0000246259784999403-0.0467893591498867i</v>
      </c>
      <c r="ED95" s="1" t="str">
        <f t="shared" si="457"/>
        <v>0.0000608595145740713-0.115633077690736i</v>
      </c>
      <c r="EE95" s="1" t="str">
        <f t="shared" si="458"/>
        <v>0.0000849938285727108-0.161488274288151i</v>
      </c>
      <c r="EF95" s="1" t="str">
        <f t="shared" si="459"/>
        <v>0.344857168029253i</v>
      </c>
      <c r="EG95" s="1" t="str">
        <f t="shared" si="460"/>
        <v>0.344713537388674i</v>
      </c>
      <c r="EH95" s="1" t="str">
        <f t="shared" si="461"/>
        <v>0.344988038096392i</v>
      </c>
      <c r="EI95" s="1" t="str">
        <f t="shared" si="462"/>
        <v>0.344954338265383i</v>
      </c>
      <c r="EJ95" s="1" t="str">
        <f t="shared" si="450"/>
        <v>0.005</v>
      </c>
      <c r="EK95" s="1" t="str">
        <f t="shared" si="451"/>
        <v>0.01</v>
      </c>
      <c r="EL95" s="1" t="str">
        <f t="shared" si="452"/>
        <v>0.0125</v>
      </c>
      <c r="EM95" s="1" t="str">
        <f t="shared" si="493"/>
        <v>0.00501256950985934+0.320975099296498i</v>
      </c>
      <c r="EN95" s="1" t="str">
        <f t="shared" si="494"/>
        <v>-0.005</v>
      </c>
      <c r="EO95" s="1" t="str">
        <f t="shared" si="495"/>
        <v>0.0904949134639013-171.940335581414i</v>
      </c>
      <c r="EP95" s="1" t="str">
        <f t="shared" si="496"/>
        <v>-0.005</v>
      </c>
      <c r="EQ95" s="1" t="str">
        <f t="shared" si="497"/>
        <v>0.0150246259784999+0.297924178238787i</v>
      </c>
      <c r="ER95" s="1" t="str">
        <f t="shared" si="498"/>
        <v>-0.01</v>
      </c>
      <c r="ES95" s="1" t="str">
        <f t="shared" si="499"/>
        <v>0.177296156990501-336.862698281953i</v>
      </c>
      <c r="ET95" s="1" t="str">
        <f t="shared" si="500"/>
        <v>-0.01</v>
      </c>
      <c r="EU95" s="1" t="str">
        <f t="shared" si="501"/>
        <v>0.0225608595145741+0.229354960405656i</v>
      </c>
      <c r="EV95" s="1" t="str">
        <f t="shared" si="502"/>
        <v>-0.0125</v>
      </c>
      <c r="EW95" s="1" t="str">
        <f t="shared" si="503"/>
        <v>0.438161596312463-832.507032993683i</v>
      </c>
      <c r="EX95" s="1" t="str">
        <f t="shared" si="504"/>
        <v>-0.0125</v>
      </c>
      <c r="EY95" s="1" t="str">
        <f t="shared" si="505"/>
        <v>0.0125849938285727+0.183466063977232i</v>
      </c>
      <c r="EZ95" s="1" t="str">
        <f t="shared" si="506"/>
        <v>0.611917986279716-1162.64417393146i</v>
      </c>
      <c r="FB95" s="1" t="str">
        <f t="shared" si="507"/>
        <v>0.00501256950985934+0.320975099296498i</v>
      </c>
      <c r="FC95" s="1" t="str">
        <f t="shared" si="508"/>
        <v>0.0904949134639013-171.940335581414i</v>
      </c>
      <c r="FD95" s="1" t="str">
        <f t="shared" si="509"/>
        <v>-0.000243210222668582+0.0155737342329966i</v>
      </c>
      <c r="FE95" s="1" t="str">
        <f t="shared" si="510"/>
        <v>0.0150234099273866+0.298002046909952i</v>
      </c>
      <c r="FF95" s="1" t="str">
        <f t="shared" si="511"/>
        <v>-2.50043492399864-336.905925272987i</v>
      </c>
      <c r="FG95" s="1" t="str">
        <f t="shared" si="512"/>
        <v>-0.0016874372918411+0.0334717463898897i</v>
      </c>
      <c r="FH95" s="1" t="str">
        <f t="shared" si="513"/>
        <v>0.0225439851416557+0.229689677869555i</v>
      </c>
      <c r="FI95" s="1" t="str">
        <f t="shared" si="514"/>
        <v>-10.8428874188126-832.99184669219i</v>
      </c>
      <c r="FJ95" s="1" t="str">
        <f t="shared" si="515"/>
        <v>-0.00529046745608778+0.0539019946177503i</v>
      </c>
      <c r="FK95" s="1" t="str">
        <f t="shared" si="516"/>
        <v>0.0125188629853716+0.184139838909954i</v>
      </c>
      <c r="FL95" s="1" t="str">
        <f t="shared" si="517"/>
        <v>-44.2595535457193-1167.07214308048i</v>
      </c>
      <c r="FM95" s="1" t="str">
        <f t="shared" si="518"/>
        <v>-6325.07270882187-189.655672967177i</v>
      </c>
      <c r="FN95" s="1" t="str">
        <f t="shared" si="519"/>
        <v>-3640.26828879104+34.1336281963573i</v>
      </c>
      <c r="FO95" s="1" t="str">
        <f t="shared" si="520"/>
        <v>-1133.10511382897+73.4223654599591i</v>
      </c>
      <c r="FP95" s="1" t="str">
        <f t="shared" si="521"/>
        <v>-534.678338538438+9.01913676383591i</v>
      </c>
      <c r="FQ95" s="92" t="str">
        <f t="shared" si="522"/>
        <v>-0.118180085992306-184.709673778432i</v>
      </c>
      <c r="FR95" s="1" t="str">
        <f t="shared" si="523"/>
        <v>-3.11031396244497-184.387657634952i</v>
      </c>
      <c r="FS95" s="1" t="str">
        <f t="shared" si="524"/>
        <v>2.99213387645266-0.322016143480616i</v>
      </c>
      <c r="FT95" s="1" t="str">
        <f t="shared" si="525"/>
        <v>-3.23018544797844-389.881768505063i</v>
      </c>
      <c r="FU95" s="1" t="str">
        <f t="shared" si="526"/>
        <v>-3.28726992380841-1253.44453620263i</v>
      </c>
      <c r="FV95" s="1" t="str">
        <f t="shared" si="527"/>
        <v>31.7766774682306-2184.05313086443i</v>
      </c>
      <c r="FW95" s="1" t="str">
        <f t="shared" si="528"/>
        <v>-3.11031396244497-184.387657634952i</v>
      </c>
      <c r="FX95" s="1" t="str">
        <f t="shared" si="529"/>
        <v>-25.3096833211465-390.59667202118i</v>
      </c>
      <c r="FY95" s="1" t="str">
        <f t="shared" si="530"/>
        <v>-11.775693424573-1255.84901509453i</v>
      </c>
      <c r="FZ95" s="1" t="str">
        <f t="shared" si="531"/>
        <v>65.4225471666684-2181.86127075208i</v>
      </c>
      <c r="GA95" s="1" t="str">
        <f t="shared" si="532"/>
        <v>2.99213387645266-0.322016143480616i</v>
      </c>
      <c r="GB95" s="1" t="str">
        <f t="shared" si="533"/>
        <v>25.0716317496207+0.392887372636018i</v>
      </c>
      <c r="GC95" s="1" t="str">
        <f t="shared" si="534"/>
        <v>33.5600552503854+2.79736626454418i</v>
      </c>
      <c r="GD95" s="92" t="str">
        <f t="shared" si="535"/>
        <v>25.1410420104514-4012.08910935055i</v>
      </c>
      <c r="GE95" s="1" t="str">
        <f t="shared" si="463"/>
        <v>0.0112442607040162+1.79439562984414i</v>
      </c>
      <c r="GF95" s="1">
        <f t="shared" si="464"/>
        <v>19</v>
      </c>
      <c r="GG95" s="56">
        <f t="shared" si="465"/>
        <v>0.1645271949616228</v>
      </c>
      <c r="GH95" s="1">
        <f t="shared" si="466"/>
        <v>0.83547399499459241</v>
      </c>
      <c r="GJ95" s="1">
        <f t="shared" si="536"/>
        <v>4012.1678795088651</v>
      </c>
      <c r="GK95" s="1">
        <f t="shared" si="537"/>
        <v>1.794430859577077</v>
      </c>
      <c r="GM95" s="1" t="str">
        <f t="shared" si="467"/>
        <v>0.0191834803010191+9.11215314298411i</v>
      </c>
      <c r="GP95" s="1">
        <f t="shared" si="453"/>
        <v>19</v>
      </c>
      <c r="GQ95" s="1">
        <f t="shared" si="454"/>
        <v>1.794430859577077</v>
      </c>
      <c r="GR95" s="1">
        <f t="shared" si="468"/>
        <v>9.112173336098893</v>
      </c>
      <c r="GS95" s="1">
        <f t="shared" si="469"/>
        <v>1.4992003189924294</v>
      </c>
    </row>
    <row r="96" spans="2:201"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c r="EA96" s="1">
        <f t="shared" si="420"/>
        <v>19.2</v>
      </c>
      <c r="EB96" s="1" t="str">
        <f t="shared" si="455"/>
        <v>0.0000123090090203816-0.0236332973191327i</v>
      </c>
      <c r="EC96" s="1" t="str">
        <f t="shared" si="456"/>
        <v>0.0000241156095093191-0.0463019702578926i</v>
      </c>
      <c r="ED96" s="1" t="str">
        <f t="shared" si="457"/>
        <v>0.0000595982120425619-0.114428567121719i</v>
      </c>
      <c r="EE96" s="1" t="str">
        <f t="shared" si="458"/>
        <v>0.000083232346709247-0.159806105681754i</v>
      </c>
      <c r="EF96" s="1" t="str">
        <f t="shared" si="459"/>
        <v>0.348487243482192i</v>
      </c>
      <c r="EG96" s="1" t="str">
        <f t="shared" si="460"/>
        <v>0.348342100940133i</v>
      </c>
      <c r="EH96" s="1" t="str">
        <f t="shared" si="461"/>
        <v>0.348619491128985i</v>
      </c>
      <c r="EI96" s="1" t="str">
        <f t="shared" si="462"/>
        <v>0.348585436562914i</v>
      </c>
      <c r="EJ96" s="1" t="str">
        <f t="shared" si="450"/>
        <v>0.005</v>
      </c>
      <c r="EK96" s="1" t="str">
        <f t="shared" si="451"/>
        <v>0.01</v>
      </c>
      <c r="EL96" s="1" t="str">
        <f t="shared" si="452"/>
        <v>0.0125</v>
      </c>
      <c r="EM96" s="1" t="str">
        <f t="shared" si="493"/>
        <v>0.00501230900902038+0.324853946163059i</v>
      </c>
      <c r="EN96" s="1" t="str">
        <f t="shared" si="494"/>
        <v>-0.005</v>
      </c>
      <c r="EO96" s="1" t="str">
        <f t="shared" si="495"/>
        <v>0.0886194226020444-170.149291395925i</v>
      </c>
      <c r="EP96" s="1" t="str">
        <f t="shared" si="496"/>
        <v>-0.005</v>
      </c>
      <c r="EQ96" s="1" t="str">
        <f t="shared" si="497"/>
        <v>0.0150241156095093+0.30204013068224i</v>
      </c>
      <c r="ER96" s="1" t="str">
        <f t="shared" si="498"/>
        <v>-0.01</v>
      </c>
      <c r="ES96" s="1" t="str">
        <f t="shared" si="499"/>
        <v>0.17362172591421-333.353713755282i</v>
      </c>
      <c r="ET96" s="1" t="str">
        <f t="shared" si="500"/>
        <v>-0.01</v>
      </c>
      <c r="EU96" s="1" t="str">
        <f t="shared" si="501"/>
        <v>0.0225595982120426+0.234190924007266i</v>
      </c>
      <c r="EV96" s="1" t="str">
        <f t="shared" si="502"/>
        <v>-0.0125</v>
      </c>
      <c r="EW96" s="1" t="str">
        <f t="shared" si="503"/>
        <v>0.429080775761939-823.835089462924i</v>
      </c>
      <c r="EX96" s="1" t="str">
        <f t="shared" si="504"/>
        <v>-0.0125</v>
      </c>
      <c r="EY96" s="1" t="str">
        <f t="shared" si="505"/>
        <v>0.0125832323467092+0.18877933088116i</v>
      </c>
      <c r="EZ96" s="1" t="str">
        <f t="shared" si="506"/>
        <v>0.599236095690014-1150.53330372483i</v>
      </c>
      <c r="FB96" s="1" t="str">
        <f t="shared" si="507"/>
        <v>0.00501230900902038+0.324853946163059i</v>
      </c>
      <c r="FC96" s="1" t="str">
        <f t="shared" si="508"/>
        <v>0.0886194226020444-170.149291395925i</v>
      </c>
      <c r="FD96" s="1" t="str">
        <f t="shared" si="509"/>
        <v>-0.000237425941788982+0.0153878689388119i</v>
      </c>
      <c r="FE96" s="1" t="str">
        <f t="shared" si="510"/>
        <v>0.0150229284798004+0.302117070026934i</v>
      </c>
      <c r="FF96" s="1" t="str">
        <f t="shared" si="511"/>
        <v>-2.44459222956813-333.395475275097i</v>
      </c>
      <c r="FG96" s="1" t="str">
        <f t="shared" si="512"/>
        <v>-0.0016418427074536+0.0330181102098651i</v>
      </c>
      <c r="FH96" s="1" t="str">
        <f t="shared" si="513"/>
        <v>0.0225431797849681+0.234521105109365i</v>
      </c>
      <c r="FI96" s="1" t="str">
        <f t="shared" si="514"/>
        <v>-10.5830214062664-824.301756577048i</v>
      </c>
      <c r="FJ96" s="1" t="str">
        <f t="shared" si="515"/>
        <v>-0.00507652955477557+0.0528121291078992i</v>
      </c>
      <c r="FK96" s="1" t="str">
        <f t="shared" si="516"/>
        <v>0.0125197757272745+0.189439482495009i</v>
      </c>
      <c r="FL96" s="1" t="str">
        <f t="shared" si="517"/>
        <v>-42.9070707714041-1154.73818757408i</v>
      </c>
      <c r="FM96" s="1" t="str">
        <f t="shared" si="518"/>
        <v>-6083.94774359201-175.584255598365i</v>
      </c>
      <c r="FN96" s="1" t="str">
        <f t="shared" si="519"/>
        <v>-3527.10678395907+30.3604481408028i</v>
      </c>
      <c r="FO96" s="1" t="str">
        <f t="shared" si="520"/>
        <v>-1105.99872813175+69.8415361826598i</v>
      </c>
      <c r="FP96" s="1" t="str">
        <f t="shared" si="521"/>
        <v>-522.830671480847+8.68324170452036i</v>
      </c>
      <c r="FQ96" s="92" t="str">
        <f t="shared" si="522"/>
        <v>-0.110158682843388-182.505610984694i</v>
      </c>
      <c r="FR96" s="1" t="str">
        <f t="shared" si="523"/>
        <v>-3.02599896609791-182.199819512304i</v>
      </c>
      <c r="FS96" s="1" t="str">
        <f t="shared" si="524"/>
        <v>2.91584028325452-0.305791472390697i</v>
      </c>
      <c r="FT96" s="1" t="str">
        <f t="shared" si="525"/>
        <v>-3.03350717173541-384.565318241719i</v>
      </c>
      <c r="FU96" s="1" t="str">
        <f t="shared" si="526"/>
        <v>-2.83481254415623-1227.43867426508i</v>
      </c>
      <c r="FV96" s="1" t="str">
        <f t="shared" si="527"/>
        <v>29.16505344985-2122.77068550991i</v>
      </c>
      <c r="FW96" s="1" t="str">
        <f t="shared" si="528"/>
        <v>-3.02599896609791-182.199819512304i</v>
      </c>
      <c r="FX96" s="1" t="str">
        <f t="shared" si="529"/>
        <v>-24.328747446754-385.265920594529i</v>
      </c>
      <c r="FY96" s="1" t="str">
        <f t="shared" si="530"/>
        <v>-10.5842439812946-1229.6181721814i</v>
      </c>
      <c r="FZ96" s="1" t="str">
        <f t="shared" si="531"/>
        <v>61.2061143913303-2120.77558022598i</v>
      </c>
      <c r="GA96" s="1" t="str">
        <f t="shared" si="532"/>
        <v>2.91584028325452-0.305791472390697i</v>
      </c>
      <c r="GB96" s="1" t="str">
        <f t="shared" si="533"/>
        <v>24.2110805582732+0.39481088041857i</v>
      </c>
      <c r="GC96" s="1" t="str">
        <f t="shared" si="534"/>
        <v>31.9605119954118+2.5743087967396i</v>
      </c>
      <c r="GD96" s="92" t="str">
        <f t="shared" si="535"/>
        <v>23.186575051115-3917.2802890014i</v>
      </c>
      <c r="GE96" s="1" t="str">
        <f t="shared" si="463"/>
        <v>0.0108782220337093+1.83783265351132i</v>
      </c>
      <c r="GF96" s="1">
        <f t="shared" si="464"/>
        <v>19.2</v>
      </c>
      <c r="GG96" s="56">
        <f t="shared" si="465"/>
        <v>0.16638368166311784</v>
      </c>
      <c r="GH96" s="1">
        <f t="shared" si="466"/>
        <v>0.8336173386292175</v>
      </c>
      <c r="GJ96" s="1">
        <f t="shared" si="536"/>
        <v>3917.3489096404842</v>
      </c>
      <c r="GK96" s="1">
        <f t="shared" si="537"/>
        <v>1.8378648475954575</v>
      </c>
      <c r="GM96" s="1" t="str">
        <f t="shared" si="467"/>
        <v>0.0191834803010191+9.2080705444892i</v>
      </c>
      <c r="GP96" s="1">
        <f t="shared" si="453"/>
        <v>19.2</v>
      </c>
      <c r="GQ96" s="1">
        <f t="shared" si="454"/>
        <v>1.8378648475954575</v>
      </c>
      <c r="GR96" s="1">
        <f t="shared" si="468"/>
        <v>9.2080905272594986</v>
      </c>
      <c r="GS96" s="1">
        <f t="shared" si="469"/>
        <v>1.5320760030127176</v>
      </c>
    </row>
    <row r="97" spans="2:201" ht="18" customHeight="1" x14ac:dyDescent="0.25">
      <c r="B97" s="6"/>
      <c r="D97" s="43" t="s">
        <v>84</v>
      </c>
      <c r="AO97" s="29" t="s">
        <v>99</v>
      </c>
      <c r="AP97" s="8"/>
      <c r="AR97" s="6"/>
      <c r="AT97" s="43" t="s">
        <v>84</v>
      </c>
      <c r="CE97" s="29" t="s">
        <v>100</v>
      </c>
      <c r="CF97" s="8"/>
      <c r="EA97" s="1">
        <f t="shared" si="420"/>
        <v>19.399999999999999</v>
      </c>
      <c r="EB97" s="1" t="str">
        <f t="shared" si="455"/>
        <v>0.0000120565233035446-0.0233896552088765i</v>
      </c>
      <c r="EC97" s="1" t="str">
        <f t="shared" si="456"/>
        <v>0.0000236209436151077-0.045824630613309i</v>
      </c>
      <c r="ED97" s="1" t="str">
        <f t="shared" si="457"/>
        <v>0.000058375717423795-0.113248891802162i</v>
      </c>
      <c r="EE97" s="1" t="str">
        <f t="shared" si="458"/>
        <v>0.0000815250623382539-0.158158620936213i</v>
      </c>
      <c r="EF97" s="1" t="str">
        <f t="shared" si="459"/>
        <v>0.352117318935132i</v>
      </c>
      <c r="EG97" s="1" t="str">
        <f t="shared" si="460"/>
        <v>0.351970664491594i</v>
      </c>
      <c r="EH97" s="1" t="str">
        <f t="shared" si="461"/>
        <v>0.352250944161579i</v>
      </c>
      <c r="EI97" s="1" t="str">
        <f t="shared" si="462"/>
        <v>0.352216534860445i</v>
      </c>
      <c r="EJ97" s="1" t="str">
        <f t="shared" si="450"/>
        <v>0.005</v>
      </c>
      <c r="EK97" s="1" t="str">
        <f t="shared" si="451"/>
        <v>0.01</v>
      </c>
      <c r="EL97" s="1" t="str">
        <f t="shared" si="452"/>
        <v>0.0125</v>
      </c>
      <c r="EM97" s="1" t="str">
        <f t="shared" si="493"/>
        <v>0.00501205652330354+0.328727663726256i</v>
      </c>
      <c r="EN97" s="1" t="str">
        <f t="shared" si="494"/>
        <v>-0.005</v>
      </c>
      <c r="EO97" s="1" t="str">
        <f t="shared" si="495"/>
        <v>0.0868016370756621-168.395175926784i</v>
      </c>
      <c r="EP97" s="1" t="str">
        <f t="shared" si="496"/>
        <v>-0.005</v>
      </c>
      <c r="EQ97" s="1" t="str">
        <f t="shared" si="497"/>
        <v>0.0150236209436151+0.306146033878285i</v>
      </c>
      <c r="ER97" s="1" t="str">
        <f t="shared" si="498"/>
        <v>-0.01</v>
      </c>
      <c r="ES97" s="1" t="str">
        <f t="shared" si="499"/>
        <v>0.170060350189052-329.917079366761i</v>
      </c>
      <c r="ET97" s="1" t="str">
        <f t="shared" si="500"/>
        <v>-0.01</v>
      </c>
      <c r="EU97" s="1" t="str">
        <f t="shared" si="501"/>
        <v>0.0225583757174238+0.239002052359417i</v>
      </c>
      <c r="EV97" s="1" t="str">
        <f t="shared" si="502"/>
        <v>-0.0125</v>
      </c>
      <c r="EW97" s="1" t="str">
        <f t="shared" si="503"/>
        <v>0.420279355024507-815.341948747541i</v>
      </c>
      <c r="EX97" s="1" t="str">
        <f t="shared" si="504"/>
        <v>-0.0125</v>
      </c>
      <c r="EY97" s="1" t="str">
        <f t="shared" si="505"/>
        <v>0.0125815250623383+0.194057913924232i</v>
      </c>
      <c r="EZ97" s="1" t="str">
        <f t="shared" si="506"/>
        <v>0.586944403083048-1138.67214198112i</v>
      </c>
      <c r="FB97" s="1" t="str">
        <f t="shared" si="507"/>
        <v>0.00501205652330354+0.328727663726256i</v>
      </c>
      <c r="FC97" s="1" t="str">
        <f t="shared" si="508"/>
        <v>0.0868016370756621-168.395175926784i</v>
      </c>
      <c r="FD97" s="1" t="str">
        <f t="shared" si="509"/>
        <v>-0.000231852888606016+0.0152066238768999i</v>
      </c>
      <c r="FE97" s="1" t="str">
        <f t="shared" si="510"/>
        <v>0.0150224616791721+0.306222066997669i</v>
      </c>
      <c r="FF97" s="1" t="str">
        <f t="shared" si="511"/>
        <v>-2.39064162760365-329.957442234574i</v>
      </c>
      <c r="FG97" s="1" t="str">
        <f t="shared" si="512"/>
        <v>-0.00159817453818072+0.0325776374709125i</v>
      </c>
      <c r="FH97" s="1" t="str">
        <f t="shared" si="513"/>
        <v>0.022542393972042+0.239327828734126i</v>
      </c>
      <c r="FI97" s="1" t="str">
        <f t="shared" si="514"/>
        <v>-10.3327752415022-815.791396874137i</v>
      </c>
      <c r="FJ97" s="1" t="str">
        <f t="shared" si="515"/>
        <v>-0.00487626890887682+0.0517703155988051i</v>
      </c>
      <c r="FK97" s="1" t="str">
        <f t="shared" si="516"/>
        <v>0.0125205717009773+0.194705042869217i</v>
      </c>
      <c r="FL97" s="1" t="str">
        <f t="shared" si="517"/>
        <v>-41.62151620937-1142.66972657075i</v>
      </c>
      <c r="FM97" s="1" t="str">
        <f t="shared" si="518"/>
        <v>-5858.24327976039-162.949240292402i</v>
      </c>
      <c r="FN97" s="1" t="str">
        <f t="shared" si="519"/>
        <v>-3419.73538073159+27.0415439782148i</v>
      </c>
      <c r="FO97" s="1" t="str">
        <f t="shared" si="520"/>
        <v>-1079.88984404909+66.505303927427i</v>
      </c>
      <c r="FP97" s="1" t="str">
        <f t="shared" si="521"/>
        <v>-511.379449995617+8.36432457119144i</v>
      </c>
      <c r="FQ97" s="92" t="str">
        <f t="shared" si="522"/>
        <v>-0.102671572443814-180.356265787761i</v>
      </c>
      <c r="FR97" s="1" t="str">
        <f t="shared" si="523"/>
        <v>-2.94522354271118-180.065560890979i</v>
      </c>
      <c r="FS97" s="1" t="str">
        <f t="shared" si="524"/>
        <v>2.84255197026736-0.290704896781178i</v>
      </c>
      <c r="FT97" s="1" t="str">
        <f t="shared" si="525"/>
        <v>-2.85201261899433-379.404203491408i</v>
      </c>
      <c r="FU97" s="1" t="str">
        <f t="shared" si="526"/>
        <v>-2.44251602687801-1202.62476944157i</v>
      </c>
      <c r="FV97" s="1" t="str">
        <f t="shared" si="527"/>
        <v>26.8363651789081-2065.19053576988i</v>
      </c>
      <c r="FW97" s="1" t="str">
        <f t="shared" si="528"/>
        <v>-2.94522354271118-180.065560890979i</v>
      </c>
      <c r="FX97" s="1" t="str">
        <f t="shared" si="529"/>
        <v>-23.4079160155519-380.089545987682i</v>
      </c>
      <c r="FY97" s="1" t="str">
        <f t="shared" si="530"/>
        <v>-9.52540939791302-1204.60501664546i</v>
      </c>
      <c r="FZ97" s="1" t="str">
        <f t="shared" si="531"/>
        <v>57.3934167739318-2063.37014836669i</v>
      </c>
      <c r="GA97" s="1" t="str">
        <f t="shared" si="532"/>
        <v>2.84255197026736-0.290704896781178i</v>
      </c>
      <c r="GB97" s="1" t="str">
        <f t="shared" si="533"/>
        <v>23.398455366825+0.394637599492122i</v>
      </c>
      <c r="GC97" s="1" t="str">
        <f t="shared" si="534"/>
        <v>30.48134873786+2.37488480338271i</v>
      </c>
      <c r="GD97" s="92" t="str">
        <f t="shared" si="535"/>
        <v>21.4391649605919-3827.57577449062i</v>
      </c>
      <c r="GE97" s="1" t="str">
        <f t="shared" si="463"/>
        <v>0.0105354350091809+1.88091168144768i</v>
      </c>
      <c r="GF97" s="1">
        <f t="shared" si="464"/>
        <v>19.399999999999999</v>
      </c>
      <c r="GG97" s="56">
        <f t="shared" si="465"/>
        <v>0.16816731575328436</v>
      </c>
      <c r="GH97" s="1">
        <f t="shared" si="466"/>
        <v>0.83183356041760992</v>
      </c>
      <c r="GJ97" s="1">
        <f t="shared" si="536"/>
        <v>3827.6358169582531</v>
      </c>
      <c r="GK97" s="1">
        <f t="shared" si="537"/>
        <v>1.880941186958585</v>
      </c>
      <c r="GM97" s="1" t="str">
        <f t="shared" si="467"/>
        <v>0.0191834803010191+9.3039879459943i</v>
      </c>
      <c r="GP97" s="1">
        <f t="shared" si="453"/>
        <v>19.399999999999999</v>
      </c>
      <c r="GQ97" s="1">
        <f t="shared" si="454"/>
        <v>1.880941186958585</v>
      </c>
      <c r="GR97" s="1">
        <f t="shared" si="468"/>
        <v>9.3040077227570954</v>
      </c>
      <c r="GS97" s="1">
        <f t="shared" si="469"/>
        <v>1.564630004483891</v>
      </c>
    </row>
    <row r="98" spans="2:201"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c r="EA98" s="1">
        <f t="shared" si="420"/>
        <v>19.600000000000001</v>
      </c>
      <c r="EB98" s="1" t="str">
        <f t="shared" si="455"/>
        <v>0.0000118117272360517-0.0231509853826615i</v>
      </c>
      <c r="EC98" s="1" t="str">
        <f t="shared" si="456"/>
        <v>0.0000231413431563464-0.0453570325864389i</v>
      </c>
      <c r="ED98" s="1" t="str">
        <f t="shared" si="457"/>
        <v>0.0000571904548316996-0.112093291470131i</v>
      </c>
      <c r="EE98" s="1" t="str">
        <f t="shared" si="458"/>
        <v>0.0000798697746437787-0.156544758301806i</v>
      </c>
      <c r="EF98" s="1" t="str">
        <f t="shared" si="459"/>
        <v>0.355747394388071i</v>
      </c>
      <c r="EG98" s="1" t="str">
        <f t="shared" si="460"/>
        <v>0.355599228043053i</v>
      </c>
      <c r="EH98" s="1" t="str">
        <f t="shared" si="461"/>
        <v>0.355882397194172i</v>
      </c>
      <c r="EI98" s="1" t="str">
        <f t="shared" si="462"/>
        <v>0.355847633157975i</v>
      </c>
      <c r="EJ98" s="1" t="str">
        <f t="shared" si="450"/>
        <v>0.005</v>
      </c>
      <c r="EK98" s="1" t="str">
        <f t="shared" si="451"/>
        <v>0.01</v>
      </c>
      <c r="EL98" s="1" t="str">
        <f t="shared" si="452"/>
        <v>0.0125</v>
      </c>
      <c r="EM98" s="1" t="str">
        <f t="shared" si="493"/>
        <v>0.00501181172723605+0.33259640900541i</v>
      </c>
      <c r="EN98" s="1" t="str">
        <f t="shared" si="494"/>
        <v>-0.005</v>
      </c>
      <c r="EO98" s="1" t="str">
        <f t="shared" si="495"/>
        <v>0.0850392136246312-166.676858704278i</v>
      </c>
      <c r="EP98" s="1" t="str">
        <f t="shared" si="496"/>
        <v>-0.005</v>
      </c>
      <c r="EQ98" s="1" t="str">
        <f t="shared" si="497"/>
        <v>0.0150231413431563+0.310242195456614i</v>
      </c>
      <c r="ER98" s="1" t="str">
        <f t="shared" si="498"/>
        <v>-0.01</v>
      </c>
      <c r="ES98" s="1" t="str">
        <f t="shared" si="499"/>
        <v>0.166607438938054-326.550580318586i</v>
      </c>
      <c r="ET98" s="1" t="str">
        <f t="shared" si="500"/>
        <v>-0.01</v>
      </c>
      <c r="EU98" s="1" t="str">
        <f t="shared" si="501"/>
        <v>0.0225571904548317+0.243789105724041i</v>
      </c>
      <c r="EV98" s="1" t="str">
        <f t="shared" si="502"/>
        <v>-0.0125</v>
      </c>
      <c r="EW98" s="1" t="str">
        <f t="shared" si="503"/>
        <v>0.411745988417221-807.022137297753i</v>
      </c>
      <c r="EX98" s="1" t="str">
        <f t="shared" si="504"/>
        <v>-0.0125</v>
      </c>
      <c r="EY98" s="1" t="str">
        <f t="shared" si="505"/>
        <v>0.0125798697746438+0.199302874856169i</v>
      </c>
      <c r="EZ98" s="1" t="str">
        <f t="shared" si="506"/>
        <v>0.575027063557034-1127.05304457178i</v>
      </c>
      <c r="FB98" s="1" t="str">
        <f t="shared" si="507"/>
        <v>0.00501181172723605+0.33259640900541i</v>
      </c>
      <c r="FC98" s="1" t="str">
        <f t="shared" si="508"/>
        <v>0.0850392136246312-166.676858704278i</v>
      </c>
      <c r="FD98" s="1" t="str">
        <f t="shared" si="509"/>
        <v>-0.000226480616067971+0.0150298222904478i</v>
      </c>
      <c r="FE98" s="1" t="str">
        <f t="shared" si="510"/>
        <v>0.015022008940076+0.310317344568066i</v>
      </c>
      <c r="FF98" s="1" t="str">
        <f t="shared" si="511"/>
        <v>-2.33849686758383-326.589607520498i</v>
      </c>
      <c r="FG98" s="1" t="str">
        <f t="shared" si="512"/>
        <v>-0.00155632174790514+0.0321497366983334i</v>
      </c>
      <c r="FH98" s="1" t="str">
        <f t="shared" si="513"/>
        <v>0.0225416272373526+0.244110603091024i</v>
      </c>
      <c r="FI98" s="1" t="str">
        <f t="shared" si="514"/>
        <v>-10.0916633553113-807.455233748014i</v>
      </c>
      <c r="FJ98" s="1" t="str">
        <f t="shared" si="515"/>
        <v>-0.00468850573560939+0.0507733514827544i</v>
      </c>
      <c r="FK98" s="1" t="str">
        <f t="shared" si="516"/>
        <v>0.0125212634529487+0.199937541749703i</v>
      </c>
      <c r="FL98" s="1" t="str">
        <f t="shared" si="517"/>
        <v>-40.3982610943972-1130.85767821506i</v>
      </c>
      <c r="FM98" s="1" t="str">
        <f t="shared" si="518"/>
        <v>-5646.56274121564-151.566525859884i</v>
      </c>
      <c r="FN98" s="1" t="str">
        <f t="shared" si="519"/>
        <v>-3317.73133918523+24.1146202761036i</v>
      </c>
      <c r="FO98" s="1" t="str">
        <f t="shared" si="520"/>
        <v>-1054.72911311727+63.3920740724666i</v>
      </c>
      <c r="FP98" s="1" t="str">
        <f t="shared" si="521"/>
        <v>-500.306965395769+8.06130782828059i</v>
      </c>
      <c r="FQ98" s="92" t="str">
        <f t="shared" si="522"/>
        <v>-0.0956785166634759-178.259553164969i</v>
      </c>
      <c r="FR98" s="1" t="str">
        <f t="shared" si="523"/>
        <v>-2.86778925527098-177.982899333748i</v>
      </c>
      <c r="FS98" s="1" t="str">
        <f t="shared" si="524"/>
        <v>2.77211073860751-0.27665383122093i</v>
      </c>
      <c r="FT98" s="1" t="str">
        <f t="shared" si="525"/>
        <v>-2.68426108214513-374.391430049852i</v>
      </c>
      <c r="FU98" s="1" t="str">
        <f t="shared" si="526"/>
        <v>-2.1015986065862-1178.91894244674i</v>
      </c>
      <c r="FV98" s="1" t="str">
        <f t="shared" si="527"/>
        <v>24.7529619145899-2010.98073854711i</v>
      </c>
      <c r="FW98" s="1" t="str">
        <f t="shared" si="528"/>
        <v>-2.86778925527098-177.982899333748i</v>
      </c>
      <c r="FX98" s="1" t="str">
        <f t="shared" si="529"/>
        <v>-22.5421726042172-375.060858419035i</v>
      </c>
      <c r="FY98" s="1" t="str">
        <f t="shared" si="530"/>
        <v>-8.58196887128693-1180.72218223547i</v>
      </c>
      <c r="FZ98" s="1" t="str">
        <f t="shared" si="531"/>
        <v>53.9345894932167-2009.31598693959i</v>
      </c>
      <c r="GA98" s="1" t="str">
        <f t="shared" si="532"/>
        <v>2.77211073860751-0.27665383122093i</v>
      </c>
      <c r="GB98" s="1" t="str">
        <f t="shared" si="533"/>
        <v>22.6300222606796+0.39277453796363i</v>
      </c>
      <c r="GC98" s="1" t="str">
        <f t="shared" si="534"/>
        <v>29.1103925253801+2.19601432669985i</v>
      </c>
      <c r="GD98" s="92" t="str">
        <f t="shared" si="535"/>
        <v>19.8714237091951-3742.55066420867i</v>
      </c>
      <c r="GE98" s="1" t="str">
        <f t="shared" si="463"/>
        <v>0.010213796247356+1.9236492809494i</v>
      </c>
      <c r="GF98" s="1">
        <f t="shared" si="464"/>
        <v>19.600000000000001</v>
      </c>
      <c r="GG98" s="56">
        <f t="shared" si="465"/>
        <v>0.1698821595200527</v>
      </c>
      <c r="GH98" s="1">
        <f t="shared" si="466"/>
        <v>0.83011859386251852</v>
      </c>
      <c r="GJ98" s="1">
        <f t="shared" si="536"/>
        <v>3742.6034184306764</v>
      </c>
      <c r="GK98" s="1">
        <f t="shared" si="537"/>
        <v>1.9236763963127803</v>
      </c>
      <c r="GM98" s="1" t="str">
        <f t="shared" si="467"/>
        <v>0.0191834803010191+9.39990534749939i</v>
      </c>
      <c r="GP98" s="1">
        <f t="shared" si="453"/>
        <v>19.600000000000001</v>
      </c>
      <c r="GQ98" s="1">
        <f t="shared" si="454"/>
        <v>1.9236763963127803</v>
      </c>
      <c r="GR98" s="1">
        <f t="shared" si="468"/>
        <v>9.3999249224589061</v>
      </c>
      <c r="GS98" s="1">
        <f t="shared" si="469"/>
        <v>1.5968795451536892</v>
      </c>
    </row>
    <row r="99" spans="2:201" ht="18" customHeight="1" x14ac:dyDescent="0.25">
      <c r="EA99" s="1">
        <f t="shared" si="420"/>
        <v>19.8</v>
      </c>
      <c r="EB99" s="1" t="str">
        <f t="shared" si="455"/>
        <v>0.0000115743116996816-0.0229171371653697i</v>
      </c>
      <c r="EC99" s="1" t="str">
        <f t="shared" si="456"/>
        <v>0.000022676202513662-0.0448988809770508i</v>
      </c>
      <c r="ED99" s="1" t="str">
        <f t="shared" si="457"/>
        <v>0.0000560409275663159-0.110961036581305i</v>
      </c>
      <c r="EE99" s="1" t="str">
        <f t="shared" si="458"/>
        <v>0.0000782643933978475-0.154963498927738i</v>
      </c>
      <c r="EF99" s="1" t="str">
        <f t="shared" si="459"/>
        <v>0.35937746984101i</v>
      </c>
      <c r="EG99" s="1" t="str">
        <f t="shared" si="460"/>
        <v>0.359227791594513i</v>
      </c>
      <c r="EH99" s="1" t="str">
        <f t="shared" si="461"/>
        <v>0.359513850226766i</v>
      </c>
      <c r="EI99" s="1" t="str">
        <f t="shared" si="462"/>
        <v>0.359478731455505i</v>
      </c>
      <c r="EJ99" s="1" t="str">
        <f t="shared" si="450"/>
        <v>0.005</v>
      </c>
      <c r="EK99" s="1" t="str">
        <f t="shared" si="451"/>
        <v>0.01</v>
      </c>
      <c r="EL99" s="1" t="str">
        <f t="shared" si="452"/>
        <v>0.0125</v>
      </c>
      <c r="EM99" s="1" t="str">
        <f t="shared" si="493"/>
        <v>0.00501157431169968+0.33646033267564i</v>
      </c>
      <c r="EN99" s="1" t="str">
        <f t="shared" si="494"/>
        <v>-0.005</v>
      </c>
      <c r="EO99" s="1" t="str">
        <f t="shared" si="495"/>
        <v>0.0833299267344327-164.993254934178i</v>
      </c>
      <c r="EP99" s="1" t="str">
        <f t="shared" si="496"/>
        <v>-0.005</v>
      </c>
      <c r="EQ99" s="1" t="str">
        <f t="shared" si="497"/>
        <v>0.0150226762025137+0.314328910617462i</v>
      </c>
      <c r="ER99" s="1" t="str">
        <f t="shared" si="498"/>
        <v>-0.01</v>
      </c>
      <c r="ES99" s="1" t="str">
        <f t="shared" si="499"/>
        <v>0.163258631969501-323.252091299613i</v>
      </c>
      <c r="ET99" s="1" t="str">
        <f t="shared" si="500"/>
        <v>-0.01</v>
      </c>
      <c r="EU99" s="1" t="str">
        <f t="shared" si="501"/>
        <v>0.0225560409275663+0.248552813645461i</v>
      </c>
      <c r="EV99" s="1" t="str">
        <f t="shared" si="502"/>
        <v>-0.0125</v>
      </c>
      <c r="EW99" s="1" t="str">
        <f t="shared" si="503"/>
        <v>0.403469900362129-798.870402717011i</v>
      </c>
      <c r="EX99" s="1" t="str">
        <f t="shared" si="504"/>
        <v>-0.0125</v>
      </c>
      <c r="EY99" s="1" t="str">
        <f t="shared" si="505"/>
        <v>0.0125782643933978+0.204515232527767i</v>
      </c>
      <c r="EZ99" s="1" t="str">
        <f t="shared" si="506"/>
        <v>0.563469028394739-1115.66867622158i</v>
      </c>
      <c r="FB99" s="1" t="str">
        <f t="shared" si="507"/>
        <v>0.00501157431169968+0.33646033267564i</v>
      </c>
      <c r="FC99" s="1" t="str">
        <f t="shared" si="508"/>
        <v>0.0833299267344327-164.993254934178i</v>
      </c>
      <c r="FD99" s="1" t="str">
        <f t="shared" si="509"/>
        <v>-0.000221299328721389+0.0148572965562276i</v>
      </c>
      <c r="FE99" s="1" t="str">
        <f t="shared" si="510"/>
        <v>0.0150215697058701+0.314403197100243i</v>
      </c>
      <c r="FF99" s="1" t="str">
        <f t="shared" si="511"/>
        <v>-2.288076645508-323.289842253607i</v>
      </c>
      <c r="FG99" s="1" t="str">
        <f t="shared" si="512"/>
        <v>-0.00151618137687689+0.0317338521611134i</v>
      </c>
      <c r="FH99" s="1" t="str">
        <f t="shared" si="513"/>
        <v>0.0225408791137975+0.248870152167072i</v>
      </c>
      <c r="FI99" s="1" t="str">
        <f t="shared" si="514"/>
        <v>-9.85923129810227-799.287959269167i</v>
      </c>
      <c r="FJ99" s="1" t="str">
        <f t="shared" si="515"/>
        <v>-0.00451218669678703+0.0498183138362273i</v>
      </c>
      <c r="FK99" s="1" t="str">
        <f t="shared" si="516"/>
        <v>0.012521862059688+0.20513796145072i</v>
      </c>
      <c r="FL99" s="1" t="str">
        <f t="shared" si="517"/>
        <v>-39.2330868771177-1119.2934288153i</v>
      </c>
      <c r="FM99" s="1" t="str">
        <f t="shared" si="518"/>
        <v>-5447.67204971151-141.280096920286i</v>
      </c>
      <c r="FN99" s="1" t="str">
        <f t="shared" si="519"/>
        <v>-3220.71245697379+21.5270562576415i</v>
      </c>
      <c r="FO99" s="1" t="str">
        <f t="shared" si="520"/>
        <v>-1030.47016767324+60.4825966692055i</v>
      </c>
      <c r="FP99" s="1" t="str">
        <f t="shared" si="521"/>
        <v>-489.596489976668+7.77319483271059i</v>
      </c>
      <c r="FQ99" s="92" t="str">
        <f t="shared" si="522"/>
        <v>-0.0891427030778789-176.213494820036i</v>
      </c>
      <c r="FR99" s="1" t="str">
        <f t="shared" si="523"/>
        <v>-2.79351109156074-175.949947810854i</v>
      </c>
      <c r="FS99" s="1" t="str">
        <f t="shared" si="524"/>
        <v>2.70436838848286-0.263547009182474i</v>
      </c>
      <c r="FT99" s="1" t="str">
        <f t="shared" si="525"/>
        <v>-2.52897512685768-369.520420223986i</v>
      </c>
      <c r="FU99" s="1" t="str">
        <f t="shared" si="526"/>
        <v>-1.80470286301664-1156.24520186934i</v>
      </c>
      <c r="FV99" s="1" t="str">
        <f t="shared" si="527"/>
        <v>22.8830859244133-1959.84794085463i</v>
      </c>
      <c r="FW99" s="1" t="str">
        <f t="shared" si="528"/>
        <v>-2.79351109156074-175.949947810854i</v>
      </c>
      <c r="FX99" s="1" t="str">
        <f t="shared" si="529"/>
        <v>-21.7270296313803-370.173522637286i</v>
      </c>
      <c r="FY99" s="1" t="str">
        <f t="shared" si="530"/>
        <v>-7.73927487923289-1157.89073587995i</v>
      </c>
      <c r="FZ99" s="1" t="str">
        <f t="shared" si="531"/>
        <v>50.7871900208152-1958.3222378159i</v>
      </c>
      <c r="GA99" s="1" t="str">
        <f t="shared" si="532"/>
        <v>2.70436838848286-0.263547009182474i</v>
      </c>
      <c r="GB99" s="1" t="str">
        <f t="shared" si="533"/>
        <v>21.9024228930055+0.38955540411564i</v>
      </c>
      <c r="GC99" s="1" t="str">
        <f t="shared" si="534"/>
        <v>27.8369949092215+2.0350894147241i</v>
      </c>
      <c r="GD99" s="92" t="str">
        <f t="shared" si="535"/>
        <v>18.4602652314611-3661.82705776799i</v>
      </c>
      <c r="GE99" s="1" t="str">
        <f t="shared" si="463"/>
        <v>0.00991144708313191+1.96606086941772i</v>
      </c>
      <c r="GF99" s="1">
        <f t="shared" si="464"/>
        <v>19.8</v>
      </c>
      <c r="GG99" s="56">
        <f t="shared" si="465"/>
        <v>0.17153197359558009</v>
      </c>
      <c r="GH99" s="1">
        <f t="shared" si="466"/>
        <v>0.8284686748905854</v>
      </c>
      <c r="GJ99" s="1">
        <f t="shared" si="536"/>
        <v>3661.8735890789831</v>
      </c>
      <c r="GK99" s="1">
        <f t="shared" si="537"/>
        <v>1.9660858524079876</v>
      </c>
      <c r="GM99" s="1" t="str">
        <f t="shared" si="467"/>
        <v>0.0191834803010191+9.49582274900449i</v>
      </c>
      <c r="GP99" s="1">
        <f t="shared" si="453"/>
        <v>19.8</v>
      </c>
      <c r="GQ99" s="1">
        <f t="shared" si="454"/>
        <v>1.9660858524079876</v>
      </c>
      <c r="GR99" s="1">
        <f t="shared" si="468"/>
        <v>9.4958421262375481</v>
      </c>
      <c r="GS99" s="1">
        <f t="shared" si="469"/>
        <v>1.6288405408655728</v>
      </c>
    </row>
    <row r="100" spans="2:201" ht="18" customHeight="1" x14ac:dyDescent="0.25">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5"/>
      <c r="AR100" s="3"/>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5"/>
      <c r="EA100" s="1">
        <f t="shared" si="420"/>
        <v>20</v>
      </c>
      <c r="EB100" s="1" t="str">
        <f t="shared" si="455"/>
        <v>0.0000113439829544402-0.0226879659088804i</v>
      </c>
      <c r="EC100" s="1" t="str">
        <f t="shared" si="456"/>
        <v>0.0000222249461964543-0.0444498923929086i</v>
      </c>
      <c r="ED100" s="1" t="str">
        <f t="shared" si="457"/>
        <v>0.0000549257133865497-0.109851426773099i</v>
      </c>
      <c r="EE100" s="1" t="str">
        <f t="shared" si="458"/>
        <v>0.0000767069323585957-0.153413864717191i</v>
      </c>
      <c r="EF100" s="1" t="str">
        <f t="shared" si="459"/>
        <v>0.363007545293949i</v>
      </c>
      <c r="EG100" s="1" t="str">
        <f t="shared" si="460"/>
        <v>0.362856355145973i</v>
      </c>
      <c r="EH100" s="1" t="str">
        <f t="shared" si="461"/>
        <v>0.363145303259359i</v>
      </c>
      <c r="EI100" s="1" t="str">
        <f t="shared" si="462"/>
        <v>0.363109829753036i</v>
      </c>
      <c r="EJ100" s="1" t="str">
        <f t="shared" si="450"/>
        <v>0.005</v>
      </c>
      <c r="EK100" s="1" t="str">
        <f t="shared" si="451"/>
        <v>0.01</v>
      </c>
      <c r="EL100" s="1" t="str">
        <f t="shared" si="452"/>
        <v>0.0125</v>
      </c>
      <c r="EM100" s="1" t="str">
        <f t="shared" si="493"/>
        <v>0.00501134398295444+0.340319579385069i</v>
      </c>
      <c r="EN100" s="1" t="str">
        <f t="shared" si="494"/>
        <v>-0.005</v>
      </c>
      <c r="EO100" s="1" t="str">
        <f t="shared" si="495"/>
        <v>0.0816716616069843-163.343323213969i</v>
      </c>
      <c r="EP100" s="1" t="str">
        <f t="shared" si="496"/>
        <v>-0.005</v>
      </c>
      <c r="EQ100" s="1" t="str">
        <f t="shared" si="497"/>
        <v>0.0150222249461965+0.318406462753064i</v>
      </c>
      <c r="ER100" s="1" t="str">
        <f t="shared" si="498"/>
        <v>-0.01</v>
      </c>
      <c r="ES100" s="1" t="str">
        <f t="shared" si="499"/>
        <v>0.160009786005521-320.019572011041i</v>
      </c>
      <c r="ET100" s="1" t="str">
        <f t="shared" si="500"/>
        <v>-0.01</v>
      </c>
      <c r="EU100" s="1" t="str">
        <f t="shared" si="501"/>
        <v>0.0225549257133866+0.25329387648626i</v>
      </c>
      <c r="EV100" s="1" t="str">
        <f t="shared" si="502"/>
        <v>-0.0125</v>
      </c>
      <c r="EW100" s="1" t="str">
        <f t="shared" si="503"/>
        <v>0.395440851352184-790.881702704365i</v>
      </c>
      <c r="EX100" s="1" t="str">
        <f t="shared" si="504"/>
        <v>-0.0125</v>
      </c>
      <c r="EY100" s="1" t="str">
        <f t="shared" si="505"/>
        <v>0.0125767069323586+0.209695965035845i</v>
      </c>
      <c r="EZ100" s="1" t="str">
        <f t="shared" si="506"/>
        <v>0.552255997532942-1104.51199506588i</v>
      </c>
      <c r="FB100" s="1" t="str">
        <f t="shared" si="507"/>
        <v>0.00501134398295444+0.340319579385069i</v>
      </c>
      <c r="FC100" s="1" t="str">
        <f t="shared" si="508"/>
        <v>0.0816716616069843-163.343323213969i</v>
      </c>
      <c r="FD100" s="1" t="str">
        <f t="shared" si="509"/>
        <v>-0.000216299833780366+0.014688887592545i</v>
      </c>
      <c r="FE100" s="1" t="str">
        <f t="shared" si="510"/>
        <v>0.0150211434470276+0.318479907191027i</v>
      </c>
      <c r="FF100" s="1" t="str">
        <f t="shared" si="511"/>
        <v>-2.23930426211039-320.056102810558i</v>
      </c>
      <c r="FG100" s="1" t="str">
        <f t="shared" si="512"/>
        <v>-0.00147765783621257+0.0313294611822775i</v>
      </c>
      <c r="FH100" s="1" t="str">
        <f t="shared" si="513"/>
        <v>0.0225401491350245+0.253607171098083i</v>
      </c>
      <c r="FI100" s="1" t="str">
        <f t="shared" si="514"/>
        <v>-9.63505332329282-791.284479916756i</v>
      </c>
      <c r="FJ100" s="1" t="str">
        <f t="shared" si="515"/>
        <v>-0.00434636885879032+0.0489025296249629i</v>
      </c>
      <c r="FK100" s="1" t="str">
        <f t="shared" si="516"/>
        <v>0.0125223773216237+0.210307246656157i</v>
      </c>
      <c r="FL100" s="1" t="str">
        <f t="shared" si="517"/>
        <v>-38.1221411670066-1107.96879672745i</v>
      </c>
      <c r="FM100" s="1" t="str">
        <f t="shared" si="518"/>
        <v>-5260.47674425153-131.957095903168i</v>
      </c>
      <c r="FN100" s="1" t="str">
        <f t="shared" si="519"/>
        <v>-3128.33222542481+19.2342263049497i</v>
      </c>
      <c r="FO100" s="1" t="str">
        <f t="shared" si="520"/>
        <v>-1007.06942414528+57.7596633878794i</v>
      </c>
      <c r="FP100" s="1" t="str">
        <f t="shared" si="521"/>
        <v>-479.232213369342+7.49906307131795i</v>
      </c>
      <c r="FQ100" s="92" t="str">
        <f t="shared" si="522"/>
        <v>-0.0830304236439407-174.216212402573i</v>
      </c>
      <c r="FR100" s="1" t="str">
        <f t="shared" si="523"/>
        <v>-2.72221647752363-173.964909400991i</v>
      </c>
      <c r="FS100" s="1" t="str">
        <f t="shared" si="524"/>
        <v>2.63918605387969-0.251303001582807i</v>
      </c>
      <c r="FT100" s="1" t="str">
        <f t="shared" si="525"/>
        <v>-2.38501897246862-364.784983251898i</v>
      </c>
      <c r="FU100" s="1" t="str">
        <f t="shared" si="526"/>
        <v>-1.54564047193162-1134.53451754114i</v>
      </c>
      <c r="FV100" s="1" t="str">
        <f t="shared" si="527"/>
        <v>21.1998190906902-1911.53194063239i</v>
      </c>
      <c r="FW100" s="1" t="str">
        <f t="shared" si="528"/>
        <v>-2.72221647752363-173.964909400991i</v>
      </c>
      <c r="FX100" s="1" t="str">
        <f t="shared" si="529"/>
        <v>-20.9584609313842-365.42154062431i</v>
      </c>
      <c r="FY100" s="1" t="str">
        <f t="shared" si="530"/>
        <v>-6.9848189444701-1136.03915469792i</v>
      </c>
      <c r="FZ100" s="1" t="str">
        <f t="shared" si="531"/>
        <v>47.9149186281044-1910.13081502498i</v>
      </c>
      <c r="GA100" s="1" t="str">
        <f t="shared" si="532"/>
        <v>2.63918605387969-0.251303001582807i</v>
      </c>
      <c r="GB100" s="1" t="str">
        <f t="shared" si="533"/>
        <v>21.2126280127953+0.385254370829297i</v>
      </c>
      <c r="GC100" s="1" t="str">
        <f t="shared" si="534"/>
        <v>26.651806485334+1.88989152760148i</v>
      </c>
      <c r="GD100" s="92" t="str">
        <f t="shared" si="535"/>
        <v>17.186129222646-3585.067653828i</v>
      </c>
      <c r="GE100" s="1" t="str">
        <f t="shared" si="463"/>
        <v>0.00962673922428918+2.00816082305256i</v>
      </c>
      <c r="GF100" s="1">
        <f t="shared" si="464"/>
        <v>20</v>
      </c>
      <c r="GG100" s="56">
        <f t="shared" si="465"/>
        <v>0.17312024543029611</v>
      </c>
      <c r="GH100" s="1">
        <f t="shared" si="466"/>
        <v>0.82688031322371347</v>
      </c>
      <c r="GJ100" s="1">
        <f t="shared" si="536"/>
        <v>3585.108847100943</v>
      </c>
      <c r="GK100" s="1">
        <f t="shared" si="537"/>
        <v>2.0081838972940766</v>
      </c>
      <c r="GM100" s="1" t="str">
        <f t="shared" si="467"/>
        <v>0.0191834803010191+9.59174015050959i</v>
      </c>
      <c r="GP100" s="1">
        <f t="shared" si="453"/>
        <v>20</v>
      </c>
      <c r="GQ100" s="1">
        <f t="shared" si="454"/>
        <v>2.0081838972940766</v>
      </c>
      <c r="GR100" s="1">
        <f t="shared" si="468"/>
        <v>9.5917593339707068</v>
      </c>
      <c r="GS100" s="1">
        <f t="shared" si="469"/>
        <v>1.6605277300053396</v>
      </c>
    </row>
    <row r="101" spans="2:201" ht="18" customHeight="1" x14ac:dyDescent="0.25">
      <c r="B101" s="6"/>
      <c r="AN101" s="7"/>
      <c r="AP101" s="8"/>
      <c r="AR101" s="6"/>
      <c r="CD101" s="7"/>
      <c r="CF101" s="8"/>
      <c r="EA101" s="1">
        <f t="shared" si="420"/>
        <v>20.2</v>
      </c>
      <c r="EB101" s="1" t="str">
        <f t="shared" si="455"/>
        <v>0.0000111204617295564-0.022463332693704i</v>
      </c>
      <c r="EC101" s="1" t="str">
        <f t="shared" si="456"/>
        <v>0.000021787027061988-0.0440097946652159i</v>
      </c>
      <c r="ED101" s="1" t="str">
        <f t="shared" si="457"/>
        <v>0.0000538434601089237-0.108763789420026i</v>
      </c>
      <c r="EE101" s="1" t="str">
        <f t="shared" si="458"/>
        <v>0.0000751955031236672-0.151894916309808i</v>
      </c>
      <c r="EF101" s="1" t="str">
        <f t="shared" si="459"/>
        <v>0.366637620746889i</v>
      </c>
      <c r="EG101" s="1" t="str">
        <f t="shared" si="460"/>
        <v>0.366484918697432i</v>
      </c>
      <c r="EH101" s="1" t="str">
        <f t="shared" si="461"/>
        <v>0.366776756291953i</v>
      </c>
      <c r="EI101" s="1" t="str">
        <f t="shared" si="462"/>
        <v>0.366740928050565i</v>
      </c>
      <c r="EJ101" s="1" t="str">
        <f t="shared" si="450"/>
        <v>0.005</v>
      </c>
      <c r="EK101" s="1" t="str">
        <f t="shared" si="451"/>
        <v>0.01</v>
      </c>
      <c r="EL101" s="1" t="str">
        <f t="shared" si="452"/>
        <v>0.0125</v>
      </c>
      <c r="EM101" s="1" t="str">
        <f t="shared" si="493"/>
        <v>0.00501112046172956+0.344174288053185i</v>
      </c>
      <c r="EN101" s="1" t="str">
        <f t="shared" si="494"/>
        <v>-0.005</v>
      </c>
      <c r="EO101" s="1" t="str">
        <f t="shared" si="495"/>
        <v>0.0800624076162118-161.726063384748i</v>
      </c>
      <c r="EP101" s="1" t="str">
        <f t="shared" si="496"/>
        <v>-0.005</v>
      </c>
      <c r="EQ101" s="1" t="str">
        <f t="shared" si="497"/>
        <v>0.015021787027062+0.322475124032216i</v>
      </c>
      <c r="ER101" s="1" t="str">
        <f t="shared" si="498"/>
        <v>-0.01</v>
      </c>
      <c r="ES101" s="1" t="str">
        <f t="shared" si="499"/>
        <v>0.156856961860333-316.851062957874i</v>
      </c>
      <c r="ET101" s="1" t="str">
        <f t="shared" si="500"/>
        <v>-0.01</v>
      </c>
      <c r="EU101" s="1" t="str">
        <f t="shared" si="501"/>
        <v>0.0225538434601089+0.258012966871927i</v>
      </c>
      <c r="EV101" s="1" t="str">
        <f t="shared" si="502"/>
        <v>-0.0125</v>
      </c>
      <c r="EW101" s="1" t="str">
        <f t="shared" si="503"/>
        <v>0.38764910626421-783.051194653705i</v>
      </c>
      <c r="EX101" s="1" t="str">
        <f t="shared" si="504"/>
        <v>-0.0125</v>
      </c>
      <c r="EY101" s="1" t="str">
        <f t="shared" si="505"/>
        <v>0.0125751955031237+0.214846011740757i</v>
      </c>
      <c r="EZ101" s="1" t="str">
        <f t="shared" si="506"/>
        <v>0.541374375309624-1093.57623812544i</v>
      </c>
      <c r="FB101" s="1" t="str">
        <f t="shared" si="507"/>
        <v>0.00501112046172956+0.344174288053185i</v>
      </c>
      <c r="FC101" s="1" t="str">
        <f t="shared" si="508"/>
        <v>0.0800624076162118-161.726063384748i</v>
      </c>
      <c r="FD101" s="1" t="str">
        <f t="shared" si="509"/>
        <v>-0.000211473496478789+0.0145244443131156i</v>
      </c>
      <c r="FE101" s="1" t="str">
        <f t="shared" si="510"/>
        <v>0.0150207296595796+0.322547746253782i</v>
      </c>
      <c r="FF101" s="1" t="str">
        <f t="shared" si="511"/>
        <v>-2.19210730867357-316.886426595951i</v>
      </c>
      <c r="FG101" s="1" t="str">
        <f t="shared" si="512"/>
        <v>-0.00144066227396442+0.030936071689681i</v>
      </c>
      <c r="FH101" s="1" t="str">
        <f t="shared" si="513"/>
        <v>0.0225394368373693+0.258322327588824i</v>
      </c>
      <c r="FI101" s="1" t="str">
        <f t="shared" si="514"/>
        <v>-9.41873019069505-783.439905784781i</v>
      </c>
      <c r="FJ101" s="1" t="str">
        <f t="shared" si="515"/>
        <v>-0.00419020598592226+0.048023549619725i</v>
      </c>
      <c r="FK101" s="1" t="str">
        <f t="shared" si="516"/>
        <v>0.0125228179282997+0.215446306111004i</v>
      </c>
      <c r="FL101" s="1" t="str">
        <f t="shared" si="517"/>
        <v>-37.061899196322-1096.87600021465i</v>
      </c>
      <c r="FM101" s="1" t="str">
        <f t="shared" si="518"/>
        <v>-5084.00284977144-123.483866205695i</v>
      </c>
      <c r="FN101" s="1" t="str">
        <f t="shared" si="519"/>
        <v>-3040.27568148176+17.1981421945126i</v>
      </c>
      <c r="FO101" s="1" t="str">
        <f t="shared" si="520"/>
        <v>-984.485897212829+55.2078500457971i</v>
      </c>
      <c r="FP101" s="1" t="str">
        <f t="shared" si="521"/>
        <v>-469.19918343806+7.23805797285389i</v>
      </c>
      <c r="FQ101" s="92" t="str">
        <f t="shared" si="522"/>
        <v>-0.0773107851213598-172.265921232478i</v>
      </c>
      <c r="FR101" s="1" t="str">
        <f t="shared" si="523"/>
        <v>-2.6537443539952-172.026072272113i</v>
      </c>
      <c r="FS101" s="1" t="str">
        <f t="shared" si="524"/>
        <v>2.57643356887385-0.239848960364716i</v>
      </c>
      <c r="FT101" s="1" t="str">
        <f t="shared" si="525"/>
        <v>-2.25138016167851-360.179287959934i</v>
      </c>
      <c r="FU101" s="1" t="str">
        <f t="shared" si="526"/>
        <v>-1.31918704741943-1113.7240246607i</v>
      </c>
      <c r="FV101" s="1" t="str">
        <f t="shared" si="527"/>
        <v>19.6802400504059-1865.80114007886i</v>
      </c>
      <c r="FW101" s="1" t="str">
        <f t="shared" si="528"/>
        <v>-2.6537443539952-172.026072272113i</v>
      </c>
      <c r="FX101" s="1" t="str">
        <f t="shared" si="529"/>
        <v>-20.232844435494-360.799233998812i</v>
      </c>
      <c r="FY101" s="1" t="str">
        <f t="shared" si="530"/>
        <v>-6.3078788083511-1115.10245268719i</v>
      </c>
      <c r="FZ101" s="1" t="str">
        <f t="shared" si="531"/>
        <v>45.2865876915484-1864.5119233369i</v>
      </c>
      <c r="GA101" s="1" t="str">
        <f t="shared" si="532"/>
        <v>2.57643356887385-0.239848960364716i</v>
      </c>
      <c r="GB101" s="1" t="str">
        <f t="shared" si="533"/>
        <v>20.5578978426893+0.380097078512845i</v>
      </c>
      <c r="GC101" s="1" t="str">
        <f t="shared" si="534"/>
        <v>25.546589603621+1.7585251050026i</v>
      </c>
      <c r="GD101" s="92" t="str">
        <f t="shared" si="535"/>
        <v>16.0323620561866-3511.97037393197i</v>
      </c>
      <c r="GE101" s="1" t="str">
        <f t="shared" si="463"/>
        <v>0.00935820598304+2.04996257260215i</v>
      </c>
      <c r="GF101" s="1">
        <f t="shared" si="464"/>
        <v>20.2</v>
      </c>
      <c r="GG101" s="56">
        <f t="shared" si="465"/>
        <v>0.17465021448064311</v>
      </c>
      <c r="GH101" s="1">
        <f t="shared" si="466"/>
        <v>0.82535026707074721</v>
      </c>
      <c r="GJ101" s="1">
        <f t="shared" si="536"/>
        <v>3512.0069681037025</v>
      </c>
      <c r="GK101" s="1">
        <f t="shared" si="537"/>
        <v>2.0499839328855352</v>
      </c>
      <c r="GM101" s="1" t="str">
        <f t="shared" si="467"/>
        <v>0.0191834803010191+9.68765755201468i</v>
      </c>
      <c r="GP101" s="1">
        <f t="shared" si="453"/>
        <v>20.2</v>
      </c>
      <c r="GQ101" s="1">
        <f t="shared" si="454"/>
        <v>2.0499839328855352</v>
      </c>
      <c r="GR101" s="1">
        <f t="shared" si="468"/>
        <v>9.6876765455409135</v>
      </c>
      <c r="GS101" s="1">
        <f t="shared" si="469"/>
        <v>1.6919547864978153</v>
      </c>
    </row>
    <row r="102" spans="2:201" ht="18" customHeight="1" x14ac:dyDescent="0.25">
      <c r="B102" s="6"/>
      <c r="AN102" s="9"/>
      <c r="AP102" s="8"/>
      <c r="AR102" s="6"/>
      <c r="CD102" s="9"/>
      <c r="CF102" s="8"/>
      <c r="EA102" s="1">
        <f t="shared" si="420"/>
        <v>20.399999999999999</v>
      </c>
      <c r="EB102" s="1" t="str">
        <f t="shared" si="455"/>
        <v>0.0000109034823765526-0.0222431040481673i</v>
      </c>
      <c r="EC102" s="1" t="str">
        <f t="shared" si="456"/>
        <v>0.0000213619246561031-0.0435783262984503i</v>
      </c>
      <c r="ED102" s="1" t="str">
        <f t="shared" si="457"/>
        <v>0.0000527928815068797-0.107697478274035i</v>
      </c>
      <c r="EE102" s="1" t="str">
        <f t="shared" si="458"/>
        <v>0.0000737283094033558-0.150405751182846i</v>
      </c>
      <c r="EF102" s="1" t="str">
        <f t="shared" si="459"/>
        <v>0.370267696199829i</v>
      </c>
      <c r="EG102" s="1" t="str">
        <f t="shared" si="460"/>
        <v>0.370113482248891i</v>
      </c>
      <c r="EH102" s="1" t="str">
        <f t="shared" si="461"/>
        <v>0.370408209324546i</v>
      </c>
      <c r="EI102" s="1" t="str">
        <f t="shared" si="462"/>
        <v>0.370372026348095i</v>
      </c>
      <c r="EJ102" s="1" t="str">
        <f t="shared" si="450"/>
        <v>0.005</v>
      </c>
      <c r="EK102" s="1" t="str">
        <f t="shared" si="451"/>
        <v>0.01</v>
      </c>
      <c r="EL102" s="1" t="str">
        <f t="shared" si="452"/>
        <v>0.0125</v>
      </c>
      <c r="EM102" s="1" t="str">
        <f t="shared" si="493"/>
        <v>0.00501090348237655+0.348024592151662i</v>
      </c>
      <c r="EN102" s="1" t="str">
        <f t="shared" si="494"/>
        <v>-0.005</v>
      </c>
      <c r="EO102" s="1" t="str">
        <f t="shared" si="495"/>
        <v>0.0785002522105311-160.140514509483i</v>
      </c>
      <c r="EP102" s="1" t="str">
        <f t="shared" si="496"/>
        <v>-0.005</v>
      </c>
      <c r="EQ102" s="1" t="str">
        <f t="shared" si="497"/>
        <v>0.0150213619246561+0.326535155950441i</v>
      </c>
      <c r="ER102" s="1" t="str">
        <f t="shared" si="498"/>
        <v>-0.01</v>
      </c>
      <c r="ES102" s="1" t="str">
        <f t="shared" si="499"/>
        <v>0.153796412494102-313.744681487968i</v>
      </c>
      <c r="ET102" s="1" t="str">
        <f t="shared" si="500"/>
        <v>-0.01</v>
      </c>
      <c r="EU102" s="1" t="str">
        <f t="shared" si="501"/>
        <v>0.0225527928815069+0.262710731050511i</v>
      </c>
      <c r="EV102" s="1" t="str">
        <f t="shared" si="502"/>
        <v>-0.0125</v>
      </c>
      <c r="EW102" s="1" t="str">
        <f t="shared" si="503"/>
        <v>0.380085404835684-775.374225864798i</v>
      </c>
      <c r="EX102" s="1" t="str">
        <f t="shared" si="504"/>
        <v>-0.0125</v>
      </c>
      <c r="EY102" s="1" t="str">
        <f t="shared" si="505"/>
        <v>0.0125737283094034+0.219966275165249i</v>
      </c>
      <c r="EZ102" s="1" t="str">
        <f t="shared" si="506"/>
        <v>0.530811229233116-1082.85490763556i</v>
      </c>
      <c r="FB102" s="1" t="str">
        <f t="shared" si="507"/>
        <v>0.00501090348237655+0.348024592151662i</v>
      </c>
      <c r="FC102" s="1" t="str">
        <f t="shared" si="508"/>
        <v>0.0785002522105311-160.140514509483i</v>
      </c>
      <c r="FD102" s="1" t="str">
        <f t="shared" si="509"/>
        <v>-0.00020681219927877+0.0143638231227407i</v>
      </c>
      <c r="FE102" s="1" t="str">
        <f t="shared" si="510"/>
        <v>0.0150203278636597+0.326606975066055i</v>
      </c>
      <c r="FF102" s="1" t="str">
        <f t="shared" si="511"/>
        <v>-2.146417377895-313.778928063705i</v>
      </c>
      <c r="FG102" s="1" t="str">
        <f t="shared" si="512"/>
        <v>-0.00140511200452658+0.030553219982484i</v>
      </c>
      <c r="FH102" s="1" t="str">
        <f t="shared" si="513"/>
        <v>0.0225387417614616+0.263016263250336i</v>
      </c>
      <c r="FI102" s="1" t="str">
        <f t="shared" si="514"/>
        <v>-9.20988716698713-775.749540441067i</v>
      </c>
      <c r="FJ102" s="1" t="str">
        <f t="shared" si="515"/>
        <v>-0.00404293678642686+0.0471791254976586i</v>
      </c>
      <c r="FK102" s="1" t="str">
        <f t="shared" si="516"/>
        <v>0.0125231915995731+0.22055601423397i</v>
      </c>
      <c r="FL102" s="1" t="str">
        <f t="shared" si="517"/>
        <v>-36.0491300192269-1086.00762871357i</v>
      </c>
      <c r="FM102" s="1" t="str">
        <f t="shared" si="518"/>
        <v>-4917.38079923222-115.762755263319i</v>
      </c>
      <c r="FN102" s="1" t="str">
        <f t="shared" si="519"/>
        <v>-2956.25583847232+15.3863498144123i</v>
      </c>
      <c r="FO102" s="1" t="str">
        <f t="shared" si="520"/>
        <v>-962.681025218763+52.8132968753032i</v>
      </c>
      <c r="FP102" s="1" t="str">
        <f t="shared" si="521"/>
        <v>-459.483251403002+6.98938725650242i</v>
      </c>
      <c r="FQ102" s="92" t="str">
        <f t="shared" si="522"/>
        <v>-0.071955448234793-170.360924487491i</v>
      </c>
      <c r="FR102" s="1" t="str">
        <f t="shared" si="523"/>
        <v>-2.58794431731359-170.131804939396i</v>
      </c>
      <c r="FS102" s="1" t="str">
        <f t="shared" si="524"/>
        <v>2.51598886907881-0.229119548094004i</v>
      </c>
      <c r="FT102" s="1" t="str">
        <f t="shared" si="525"/>
        <v>-2.1271539521062-355.697837519947i</v>
      </c>
      <c r="FU102" s="1" t="str">
        <f t="shared" si="526"/>
        <v>-1.12091640583419-1093.75633709091i</v>
      </c>
      <c r="FV102" s="1" t="str">
        <f t="shared" si="527"/>
        <v>18.3047455666285-1822.44872560395i</v>
      </c>
      <c r="FW102" s="1" t="str">
        <f t="shared" si="528"/>
        <v>-2.58794431731359-170.131804939396i</v>
      </c>
      <c r="FX102" s="1" t="str">
        <f t="shared" si="529"/>
        <v>-19.5469132155629-356.301226538649i</v>
      </c>
      <c r="FY102" s="1" t="str">
        <f t="shared" si="530"/>
        <v>-5.69923028279752-1095.02143143377i</v>
      </c>
      <c r="FZ102" s="1" t="str">
        <f t="shared" si="531"/>
        <v>42.8752862425141-1821.26029093685i</v>
      </c>
      <c r="GA102" s="1" t="str">
        <f t="shared" si="532"/>
        <v>2.51598886907881-0.229119548094004i</v>
      </c>
      <c r="GB102" s="1" t="str">
        <f t="shared" si="533"/>
        <v>19.9357481325356+0.374269470608909i</v>
      </c>
      <c r="GC102" s="1" t="str">
        <f t="shared" si="534"/>
        <v>24.5140620094988+1.63936381347164i</v>
      </c>
      <c r="GD102" s="92" t="str">
        <f t="shared" si="535"/>
        <v>14.9847197604533-3442.2638247023i</v>
      </c>
      <c r="GE102" s="1" t="str">
        <f t="shared" si="463"/>
        <v>0.00910453806583883+2.09147868800144i</v>
      </c>
      <c r="GF102" s="1">
        <f t="shared" si="464"/>
        <v>20.399999999999999</v>
      </c>
      <c r="GG102" s="56">
        <f t="shared" si="465"/>
        <v>0.17612489455863156</v>
      </c>
      <c r="GH102" s="1">
        <f t="shared" si="466"/>
        <v>0.82387552068326941</v>
      </c>
      <c r="GJ102" s="1">
        <f t="shared" si="536"/>
        <v>3442.2964399773018</v>
      </c>
      <c r="GK102" s="1">
        <f t="shared" si="537"/>
        <v>2.0914985046558408</v>
      </c>
      <c r="GM102" s="1" t="str">
        <f t="shared" si="467"/>
        <v>0.0191834803010191+9.78357495351978i</v>
      </c>
      <c r="GP102" s="1">
        <f t="shared" si="453"/>
        <v>20.399999999999999</v>
      </c>
      <c r="GQ102" s="1">
        <f t="shared" si="454"/>
        <v>2.0914985046558408</v>
      </c>
      <c r="GR102" s="1">
        <f t="shared" si="468"/>
        <v>9.7835937608353323</v>
      </c>
      <c r="GS102" s="1">
        <f t="shared" si="469"/>
        <v>1.7231344195316041</v>
      </c>
    </row>
    <row r="103" spans="2:201" ht="18" customHeight="1" thickBot="1" x14ac:dyDescent="0.3">
      <c r="B103" s="6"/>
      <c r="C103" s="10" t="str">
        <f>"Harmonic Filter Design - H - Type | "&amp; H12 &amp; " | " &amp; AE13</f>
        <v xml:space="preserve">Harmonic Filter Design - H - Type | Enter Customer PO #  | </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1"/>
      <c r="AO103" s="10"/>
      <c r="AP103" s="8"/>
      <c r="AR103" s="6"/>
      <c r="AS103" s="10" t="str">
        <f>"Harmonic Filter Design - H - Type | "&amp; H12 &amp; " | " &amp; AE13</f>
        <v xml:space="preserve">Harmonic Filter Design - H - Type | Enter Customer PO #  | </v>
      </c>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1"/>
      <c r="CE103" s="10"/>
      <c r="CF103" s="8"/>
      <c r="EA103" s="1">
        <f t="shared" si="420"/>
        <v>20.6</v>
      </c>
      <c r="EB103" s="1" t="str">
        <f t="shared" si="455"/>
        <v>0.0000106927920795908-0.0220271516839571i</v>
      </c>
      <c r="EC103" s="1" t="str">
        <f t="shared" si="456"/>
        <v>0.0000209491436661371-0.0431552359522425i</v>
      </c>
      <c r="ED103" s="1" t="str">
        <f t="shared" si="457"/>
        <v>0.0000517727534874066-0.106651872184058i</v>
      </c>
      <c r="EE103" s="1" t="str">
        <f t="shared" si="458"/>
        <v>0.0000723036416810427-0.148945501862948i</v>
      </c>
      <c r="EF103" s="1" t="str">
        <f t="shared" si="459"/>
        <v>0.373897771652769i</v>
      </c>
      <c r="EG103" s="1" t="str">
        <f t="shared" si="460"/>
        <v>0.373742045800352i</v>
      </c>
      <c r="EH103" s="1" t="str">
        <f t="shared" si="461"/>
        <v>0.37403966235714i</v>
      </c>
      <c r="EI103" s="1" t="str">
        <f t="shared" si="462"/>
        <v>0.374003124645626i</v>
      </c>
      <c r="EJ103" s="1" t="str">
        <f t="shared" si="450"/>
        <v>0.005</v>
      </c>
      <c r="EK103" s="1" t="str">
        <f t="shared" si="451"/>
        <v>0.01</v>
      </c>
      <c r="EL103" s="1" t="str">
        <f t="shared" si="452"/>
        <v>0.0125</v>
      </c>
      <c r="EM103" s="1" t="str">
        <f t="shared" si="493"/>
        <v>0.00501069279207959+0.351870619968812i</v>
      </c>
      <c r="EN103" s="1" t="str">
        <f t="shared" si="494"/>
        <v>-0.005</v>
      </c>
      <c r="EO103" s="1" t="str">
        <f t="shared" si="495"/>
        <v>0.0769833752276894-158.58575296904i</v>
      </c>
      <c r="EP103" s="1" t="str">
        <f t="shared" si="496"/>
        <v>-0.005</v>
      </c>
      <c r="EQ103" s="1" t="str">
        <f t="shared" si="497"/>
        <v>0.0150209491436661+0.330586809848109i</v>
      </c>
      <c r="ER103" s="1" t="str">
        <f t="shared" si="498"/>
        <v>-0.01</v>
      </c>
      <c r="ES103" s="1" t="str">
        <f t="shared" si="499"/>
        <v>0.150824571874657-310.698618061794i</v>
      </c>
      <c r="ET103" s="1" t="str">
        <f t="shared" si="500"/>
        <v>-0.01</v>
      </c>
      <c r="EU103" s="1" t="str">
        <f t="shared" si="501"/>
        <v>0.0225517727534874+0.267387790173082i</v>
      </c>
      <c r="EV103" s="1" t="str">
        <f t="shared" si="502"/>
        <v>-0.0125</v>
      </c>
      <c r="EW103" s="1" t="str">
        <f t="shared" si="503"/>
        <v>0.37274093413815-767.846324324592i</v>
      </c>
      <c r="EX103" s="1" t="str">
        <f t="shared" si="504"/>
        <v>-0.0125</v>
      </c>
      <c r="EY103" s="1" t="str">
        <f t="shared" si="505"/>
        <v>0.012572303641681+0.225057622782678i</v>
      </c>
      <c r="EZ103" s="1" t="str">
        <f t="shared" si="506"/>
        <v>0.520554251539615-1072.34175817161i</v>
      </c>
      <c r="FB103" s="1" t="str">
        <f t="shared" si="507"/>
        <v>0.00501069279207959+0.351870619968812i</v>
      </c>
      <c r="FC103" s="1" t="str">
        <f t="shared" si="508"/>
        <v>0.0769833752276894-158.58575296904i</v>
      </c>
      <c r="FD103" s="1" t="str">
        <f t="shared" si="509"/>
        <v>-0.000202308304556068+0.0142068874510741i</v>
      </c>
      <c r="FE103" s="1" t="str">
        <f t="shared" si="510"/>
        <v>0.0150199376021433+0.330657844285364i</v>
      </c>
      <c r="FF103" s="1" t="str">
        <f t="shared" si="511"/>
        <v>-2.10216979752421-310.731794970751i</v>
      </c>
      <c r="FG103" s="1" t="str">
        <f t="shared" si="512"/>
        <v>-0.00137092999420121+0.0301804686914301i</v>
      </c>
      <c r="FH103" s="1" t="str">
        <f t="shared" si="513"/>
        <v>0.0225380634535454+0.267689594859996i</v>
      </c>
      <c r="FI103" s="1" t="str">
        <f t="shared" si="514"/>
        <v>-9.00817220303681-768.208871392711i</v>
      </c>
      <c r="FJ103" s="1" t="str">
        <f t="shared" si="515"/>
        <v>-0.00390387479898518+0.0463671896868362i</v>
      </c>
      <c r="FK103" s="1" t="str">
        <f t="shared" si="516"/>
        <v>0.0125235052066937+0.225637212653763i</v>
      </c>
      <c r="FL103" s="1" t="str">
        <f t="shared" si="517"/>
        <v>-35.0808667848194-1075.35661703623i</v>
      </c>
      <c r="FM103" s="1" t="str">
        <f t="shared" si="518"/>
        <v>-4759.83185668221-108.709516337476i</v>
      </c>
      <c r="FN103" s="1" t="str">
        <f t="shared" si="519"/>
        <v>-2876.01060123146+13.7710283056336i</v>
      </c>
      <c r="FO103" s="1" t="str">
        <f t="shared" si="520"/>
        <v>-941.618506825738+50.5635202105287i</v>
      </c>
      <c r="FP103" s="1" t="str">
        <f t="shared" si="521"/>
        <v>-450.071020882667+6.7523157768924i</v>
      </c>
      <c r="FQ103" s="92" t="str">
        <f t="shared" si="522"/>
        <v>-0.0669383927605486-168.499607815685i</v>
      </c>
      <c r="FR103" s="1" t="str">
        <f t="shared" si="523"/>
        <v>-2.5246758224759-168.280551793516i</v>
      </c>
      <c r="FS103" s="1" t="str">
        <f t="shared" si="524"/>
        <v>2.45773742971536-0.219056022168181i</v>
      </c>
      <c r="FT103" s="1" t="str">
        <f t="shared" si="525"/>
        <v>-2.01152997200851-351.335446163306i</v>
      </c>
      <c r="FU103" s="1" t="str">
        <f t="shared" si="526"/>
        <v>-0.947066028672605-1074.57895233118i</v>
      </c>
      <c r="FV103" s="1" t="str">
        <f t="shared" si="527"/>
        <v>17.0565008967309-1781.28944275446i</v>
      </c>
      <c r="FW103" s="1" t="str">
        <f t="shared" si="528"/>
        <v>-2.5246758224759-168.280551793516i</v>
      </c>
      <c r="FX103" s="1" t="str">
        <f t="shared" si="529"/>
        <v>-18.8977134863504-351.922427104524i</v>
      </c>
      <c r="FY103" s="1" t="str">
        <f t="shared" si="530"/>
        <v>-5.15091077774981-1075.74203422017i</v>
      </c>
      <c r="FZ103" s="1" t="str">
        <f t="shared" si="531"/>
        <v>40.6576987889308-1780.19198718694i</v>
      </c>
      <c r="GA103" s="1" t="str">
        <f t="shared" si="532"/>
        <v>2.45773742971536-0.219056022168181i</v>
      </c>
      <c r="GB103" s="1" t="str">
        <f t="shared" si="533"/>
        <v>19.3439209440572+0.367924919048951i</v>
      </c>
      <c r="GC103" s="1" t="str">
        <f t="shared" si="534"/>
        <v>23.5477656931344+1.53100680803888i</v>
      </c>
      <c r="GD103" s="92" t="str">
        <f t="shared" si="535"/>
        <v>14.0309665032892-3375.70344906463i</v>
      </c>
      <c r="GE103" s="1" t="str">
        <f t="shared" si="463"/>
        <v>0.00886456310811791+2.13272095343608i</v>
      </c>
      <c r="GF103" s="1">
        <f t="shared" si="464"/>
        <v>20.6</v>
      </c>
      <c r="GG103" s="56">
        <f t="shared" si="465"/>
        <v>0.1775470937213062</v>
      </c>
      <c r="GH103" s="1">
        <f t="shared" si="466"/>
        <v>0.82245326439133415</v>
      </c>
      <c r="GJ103" s="1">
        <f t="shared" si="536"/>
        <v>3375.7326084937267</v>
      </c>
      <c r="GK103" s="1">
        <f t="shared" si="537"/>
        <v>2.1327393759445621</v>
      </c>
      <c r="GM103" s="1" t="str">
        <f t="shared" si="467"/>
        <v>0.0191834803010191+9.87949235502487i</v>
      </c>
      <c r="GP103" s="1">
        <f t="shared" si="453"/>
        <v>20.6</v>
      </c>
      <c r="GQ103" s="1">
        <f t="shared" si="454"/>
        <v>2.1327393759445621</v>
      </c>
      <c r="GR103" s="1">
        <f t="shared" si="468"/>
        <v>9.8795109797454721</v>
      </c>
      <c r="GS103" s="1">
        <f t="shared" si="469"/>
        <v>1.7540784618415466</v>
      </c>
    </row>
    <row r="104" spans="2:201" ht="18" customHeight="1" x14ac:dyDescent="0.25">
      <c r="B104" s="6"/>
      <c r="AN104" s="9"/>
      <c r="AP104" s="8"/>
      <c r="AR104" s="6"/>
      <c r="CD104" s="9"/>
      <c r="CF104" s="8"/>
      <c r="EA104" s="1">
        <f t="shared" si="420"/>
        <v>20.8</v>
      </c>
      <c r="EB104" s="1" t="str">
        <f t="shared" si="455"/>
        <v>0.0000104881501187115-0.02181535224692i</v>
      </c>
      <c r="EC104" s="1" t="str">
        <f t="shared" si="456"/>
        <v>0.0000205482124774757-0.0427402819531494i</v>
      </c>
      <c r="ED104" s="1" t="str">
        <f t="shared" si="457"/>
        <v>0.0000507819105237615-0.105626373889424i</v>
      </c>
      <c r="EE104" s="1" t="str">
        <f t="shared" si="458"/>
        <v>0.0000709198722312876-0.147513334241078i</v>
      </c>
      <c r="EF104" s="1" t="str">
        <f t="shared" si="459"/>
        <v>0.377527847105707i</v>
      </c>
      <c r="EG104" s="1" t="str">
        <f t="shared" si="460"/>
        <v>0.377370609351811i</v>
      </c>
      <c r="EH104" s="1" t="str">
        <f t="shared" si="461"/>
        <v>0.377671115389733i</v>
      </c>
      <c r="EI104" s="1" t="str">
        <f t="shared" si="462"/>
        <v>0.377634222943157i</v>
      </c>
      <c r="EJ104" s="1" t="str">
        <f t="shared" si="450"/>
        <v>0.005</v>
      </c>
      <c r="EK104" s="1" t="str">
        <f t="shared" si="451"/>
        <v>0.01</v>
      </c>
      <c r="EL104" s="1" t="str">
        <f t="shared" si="452"/>
        <v>0.0125</v>
      </c>
      <c r="EM104" s="1" t="str">
        <f t="shared" si="493"/>
        <v>0.00501048815011871+0.355712494858787i</v>
      </c>
      <c r="EN104" s="1" t="str">
        <f t="shared" si="494"/>
        <v>-0.005</v>
      </c>
      <c r="EO104" s="1" t="str">
        <f t="shared" si="495"/>
        <v>0.075510043590411-157.060890668055i</v>
      </c>
      <c r="EP104" s="1" t="str">
        <f t="shared" si="496"/>
        <v>-0.005</v>
      </c>
      <c r="EQ104" s="1" t="str">
        <f t="shared" si="497"/>
        <v>0.0150205482124775+0.334630327398662i</v>
      </c>
      <c r="ER104" s="1" t="str">
        <f t="shared" si="498"/>
        <v>-0.01</v>
      </c>
      <c r="ES104" s="1" t="str">
        <f t="shared" si="499"/>
        <v>0.147938044585296-307.711132737415i</v>
      </c>
      <c r="ET104" s="1" t="str">
        <f t="shared" si="500"/>
        <v>-0.01</v>
      </c>
      <c r="EU104" s="1" t="str">
        <f t="shared" si="501"/>
        <v>0.0225507819105238+0.272044741500309i</v>
      </c>
      <c r="EV104" s="1" t="str">
        <f t="shared" si="502"/>
        <v>-0.0125</v>
      </c>
      <c r="EW104" s="1" t="str">
        <f t="shared" si="503"/>
        <v>0.365607302894389-760.46319002033i</v>
      </c>
      <c r="EX104" s="1" t="str">
        <f t="shared" si="504"/>
        <v>-0.0125</v>
      </c>
      <c r="EY104" s="1" t="str">
        <f t="shared" si="505"/>
        <v>0.0125709198722313+0.230120888702079i</v>
      </c>
      <c r="EZ104" s="1" t="str">
        <f t="shared" si="506"/>
        <v>0.510591723325638-1062.03078451733i</v>
      </c>
      <c r="FB104" s="1" t="str">
        <f t="shared" si="507"/>
        <v>0.00501048815011871+0.355712494858787i</v>
      </c>
      <c r="FC104" s="1" t="str">
        <f t="shared" si="508"/>
        <v>0.075510043590411-157.060890668055i</v>
      </c>
      <c r="FD104" s="1" t="str">
        <f t="shared" si="509"/>
        <v>-0.000197954620424983+0.0140535073211433i</v>
      </c>
      <c r="FE104" s="1" t="str">
        <f t="shared" si="510"/>
        <v>0.0150195584393754+0.334700594935268i</v>
      </c>
      <c r="FF104" s="1" t="str">
        <f t="shared" si="511"/>
        <v>-2.05930338472148-307.743284847361i</v>
      </c>
      <c r="FG104" s="1" t="str">
        <f t="shared" si="512"/>
        <v>-0.00133804439665294+0.0298174049135471i</v>
      </c>
      <c r="FH104" s="1" t="str">
        <f t="shared" si="513"/>
        <v>0.0225374014665573+0.272342915549444i</v>
      </c>
      <c r="FI104" s="1" t="str">
        <f t="shared" si="514"/>
        <v>-8.81325427017937-760.813561115365i</v>
      </c>
      <c r="FJ104" s="1" t="str">
        <f t="shared" si="515"/>
        <v>-0.00377239966260156+0.0455858375800405i</v>
      </c>
      <c r="FK104" s="1" t="str">
        <f t="shared" si="516"/>
        <v>0.0125237648764488+0.23069071167183i</v>
      </c>
      <c r="FL104" s="1" t="str">
        <f t="shared" si="517"/>
        <v>-34.1543805256746-1064.91622211391i</v>
      </c>
      <c r="FM104" s="1" t="str">
        <f t="shared" si="518"/>
        <v>-4610.65659993528-102.251185091134i</v>
      </c>
      <c r="FN104" s="1" t="str">
        <f t="shared" si="519"/>
        <v>-2799.3000887685+12.3282510824693i</v>
      </c>
      <c r="FO104" s="1" t="str">
        <f t="shared" si="520"/>
        <v>-921.2641486513+48.44725046507i</v>
      </c>
      <c r="FP104" s="1" t="str">
        <f t="shared" si="521"/>
        <v>-440.949800567114+6.52616082560985i</v>
      </c>
      <c r="FQ104" s="92" t="str">
        <f t="shared" si="522"/>
        <v>-0.0622357059371544-166.680434337991i</v>
      </c>
      <c r="FR104" s="1" t="str">
        <f t="shared" si="523"/>
        <v>-2.46380744635809-166.470828889793i</v>
      </c>
      <c r="FS104" s="1" t="str">
        <f t="shared" si="524"/>
        <v>2.40157174042093-0.209605448197301i</v>
      </c>
      <c r="FT104" s="1" t="str">
        <f t="shared" si="525"/>
        <v>-1.90378076867228-347.087217708496i</v>
      </c>
      <c r="FU104" s="1" t="str">
        <f t="shared" si="526"/>
        <v>-0.79442734870821-1056.14373387743i</v>
      </c>
      <c r="FV104" s="1" t="str">
        <f t="shared" si="527"/>
        <v>15.9209921431902-1742.15686097343i</v>
      </c>
      <c r="FW104" s="1" t="str">
        <f t="shared" si="528"/>
        <v>-2.46380744635809-166.470828889793i</v>
      </c>
      <c r="FX104" s="1" t="str">
        <f t="shared" si="529"/>
        <v>-18.2825684294233-347.658013150518i</v>
      </c>
      <c r="FY104" s="1" t="str">
        <f t="shared" si="530"/>
        <v>-4.65602433712086-1057.21478683578i</v>
      </c>
      <c r="FZ104" s="1" t="str">
        <f t="shared" si="531"/>
        <v>38.6135468269073-1741.1417223743i</v>
      </c>
      <c r="GA104" s="1" t="str">
        <f t="shared" si="532"/>
        <v>2.40157174042093-0.209605448197301i</v>
      </c>
      <c r="GB104" s="1" t="str">
        <f t="shared" si="533"/>
        <v>18.780359401172+0.361189993826007i</v>
      </c>
      <c r="GC104" s="1" t="str">
        <f t="shared" si="534"/>
        <v>22.6419563895847+1.43224295217004i</v>
      </c>
      <c r="GD104" s="92" t="str">
        <f t="shared" si="535"/>
        <v>13.1605483198726-3312.06824689735i</v>
      </c>
      <c r="GE104" s="1" t="str">
        <f t="shared" si="463"/>
        <v>0.00863722830078628+2.17370043412555i</v>
      </c>
      <c r="GF104" s="1">
        <f t="shared" si="464"/>
        <v>20.8</v>
      </c>
      <c r="GG104" s="56">
        <f t="shared" si="465"/>
        <v>0.17891943202037419</v>
      </c>
      <c r="GH104" s="1">
        <f t="shared" si="466"/>
        <v>0.82108087679443387</v>
      </c>
      <c r="GJ104" s="1">
        <f t="shared" si="536"/>
        <v>3312.0943936032027</v>
      </c>
      <c r="GK104" s="1">
        <f t="shared" si="537"/>
        <v>2.173717594130002</v>
      </c>
      <c r="GM104" s="1" t="str">
        <f t="shared" si="467"/>
        <v>0.0191834803010191+9.97540975652997i</v>
      </c>
      <c r="GP104" s="1">
        <f t="shared" si="453"/>
        <v>20.8</v>
      </c>
      <c r="GQ104" s="1">
        <f t="shared" si="454"/>
        <v>2.173717594130002</v>
      </c>
      <c r="GR104" s="1">
        <f t="shared" si="468"/>
        <v>9.9754282021670537</v>
      </c>
      <c r="GS104" s="1">
        <f t="shared" si="469"/>
        <v>1.784797948091748</v>
      </c>
    </row>
    <row r="105" spans="2:201" ht="18" customHeight="1" x14ac:dyDescent="0.3">
      <c r="B105" s="6"/>
      <c r="C105" s="30" t="s">
        <v>101</v>
      </c>
      <c r="D105" s="21"/>
      <c r="E105" s="21"/>
      <c r="F105" s="21"/>
      <c r="G105" s="21"/>
      <c r="H105" s="21"/>
      <c r="I105" s="21"/>
      <c r="J105" s="21"/>
      <c r="K105" s="21"/>
      <c r="L105" s="21"/>
      <c r="M105" s="21"/>
      <c r="N105" s="21"/>
      <c r="AO105" s="17"/>
      <c r="AP105" s="8"/>
      <c r="AR105" s="6"/>
      <c r="AS105" s="178" t="s">
        <v>145</v>
      </c>
      <c r="AT105" s="178"/>
      <c r="AU105" s="178"/>
      <c r="AV105" s="178"/>
      <c r="AW105" s="178"/>
      <c r="AX105" s="178"/>
      <c r="AY105" s="178"/>
      <c r="AZ105" s="178"/>
      <c r="BA105" s="178"/>
      <c r="BB105" s="178"/>
      <c r="BC105" s="178"/>
      <c r="BD105" s="178"/>
      <c r="BE105" s="178"/>
      <c r="BF105" s="178"/>
      <c r="BG105" s="178"/>
      <c r="BH105" s="178"/>
      <c r="BI105" s="178"/>
      <c r="BJ105" s="178"/>
      <c r="BK105" s="178"/>
      <c r="BL105" s="178"/>
      <c r="BM105" s="178"/>
      <c r="BN105" s="178"/>
      <c r="BO105" s="178"/>
      <c r="BP105" s="178"/>
      <c r="BQ105" s="178"/>
      <c r="BR105" s="178"/>
      <c r="BS105" s="178"/>
      <c r="BT105" s="178"/>
      <c r="BU105" s="178"/>
      <c r="BV105" s="178"/>
      <c r="BW105" s="178"/>
      <c r="BX105" s="178"/>
      <c r="BY105" s="178"/>
      <c r="BZ105" s="178"/>
      <c r="CA105" s="178"/>
      <c r="CB105" s="178"/>
      <c r="CC105" s="178"/>
      <c r="CD105" s="178"/>
      <c r="CE105" s="178"/>
      <c r="CF105" s="8"/>
      <c r="EA105" s="1">
        <f t="shared" si="420"/>
        <v>21</v>
      </c>
      <c r="EB105" s="1" t="str">
        <f t="shared" si="455"/>
        <v>0.0000102893271819538-0.0216075870821031i</v>
      </c>
      <c r="EC105" s="1" t="str">
        <f t="shared" si="456"/>
        <v>0.0000201586818258687-0.0423332318343244i</v>
      </c>
      <c r="ED105" s="1" t="str">
        <f t="shared" si="457"/>
        <v>0.0000498192423248684-0.104620408882224i</v>
      </c>
      <c r="EE105" s="1" t="str">
        <f t="shared" si="458"/>
        <v>0.0000695754504684499-0.146108445983745i</v>
      </c>
      <c r="EF105" s="1" t="str">
        <f t="shared" si="459"/>
        <v>0.381157922558647i</v>
      </c>
      <c r="EG105" s="1" t="str">
        <f t="shared" si="460"/>
        <v>0.380999172903271i</v>
      </c>
      <c r="EH105" s="1" t="str">
        <f t="shared" si="461"/>
        <v>0.381302568422327i</v>
      </c>
      <c r="EI105" s="1" t="str">
        <f t="shared" si="462"/>
        <v>0.381265321240687i</v>
      </c>
      <c r="EJ105" s="1" t="str">
        <f t="shared" si="450"/>
        <v>0.005</v>
      </c>
      <c r="EK105" s="1" t="str">
        <f t="shared" si="451"/>
        <v>0.01</v>
      </c>
      <c r="EL105" s="1" t="str">
        <f t="shared" si="452"/>
        <v>0.0125</v>
      </c>
      <c r="EM105" s="1" t="str">
        <f t="shared" si="493"/>
        <v>0.00501028932718195+0.359550335476544i</v>
      </c>
      <c r="EN105" s="1" t="str">
        <f t="shared" si="494"/>
        <v>-0.005</v>
      </c>
      <c r="EO105" s="1" t="str">
        <f t="shared" si="495"/>
        <v>0.0740786063539661-155.56507334333i</v>
      </c>
      <c r="EP105" s="1" t="str">
        <f t="shared" si="496"/>
        <v>-0.005</v>
      </c>
      <c r="EQ105" s="1" t="str">
        <f t="shared" si="497"/>
        <v>0.0150201586818259+0.338665941068947i</v>
      </c>
      <c r="ER105" s="1" t="str">
        <f t="shared" si="498"/>
        <v>-0.01</v>
      </c>
      <c r="ES105" s="1" t="str">
        <f t="shared" si="499"/>
        <v>0.145133596122056-304.780551856319i</v>
      </c>
      <c r="ET105" s="1" t="str">
        <f t="shared" si="500"/>
        <v>-0.01</v>
      </c>
      <c r="EU105" s="1" t="str">
        <f t="shared" si="501"/>
        <v>0.0225498192423249+0.276682159540103i</v>
      </c>
      <c r="EV105" s="1" t="str">
        <f t="shared" si="502"/>
        <v>-0.0125</v>
      </c>
      <c r="EW105" s="1" t="str">
        <f t="shared" si="503"/>
        <v>0.358676517499562-753.220686749083i</v>
      </c>
      <c r="EX105" s="1" t="str">
        <f t="shared" si="504"/>
        <v>-0.0125</v>
      </c>
      <c r="EY105" s="1" t="str">
        <f t="shared" si="505"/>
        <v>0.0125695754504685+0.235156875256942i</v>
      </c>
      <c r="EZ105" s="1" t="str">
        <f t="shared" si="506"/>
        <v>0.500912481060154-1051.91621022633i</v>
      </c>
      <c r="FB105" s="1" t="str">
        <f t="shared" si="507"/>
        <v>0.00501028932718195+0.359550335476544i</v>
      </c>
      <c r="FC105" s="1" t="str">
        <f t="shared" si="508"/>
        <v>0.0740786063539661-155.56507334333i</v>
      </c>
      <c r="FD105" s="1" t="str">
        <f t="shared" si="509"/>
        <v>-0.000193744369401849+0.01390355894962i</v>
      </c>
      <c r="FE105" s="1" t="str">
        <f t="shared" si="510"/>
        <v>0.0150191899599789+0.338735458863695i</v>
      </c>
      <c r="FF105" s="1" t="str">
        <f t="shared" si="511"/>
        <v>-2.01776021929601-304.811721669625i</v>
      </c>
      <c r="FG105" s="1" t="str">
        <f t="shared" si="512"/>
        <v>-0.001306388132761+0.0294636385040771i</v>
      </c>
      <c r="FH105" s="1" t="str">
        <f t="shared" si="513"/>
        <v>0.0225367553609973+0.276976795925144i</v>
      </c>
      <c r="FI105" s="1" t="str">
        <f t="shared" si="514"/>
        <v>-8.62482183958488-753.559438607309i</v>
      </c>
      <c r="FJ105" s="1" t="str">
        <f t="shared" si="515"/>
        <v>-0.00364794955728972+0.044833311800654i</v>
      </c>
      <c r="FK105" s="1" t="str">
        <f t="shared" si="516"/>
        <v>0.0125239760810024+0.23571729165445i</v>
      </c>
      <c r="FL105" s="1" t="str">
        <f t="shared" si="517"/>
        <v>-33.267156988821-1054.68000195324i</v>
      </c>
      <c r="FM105" s="1" t="str">
        <f t="shared" si="518"/>
        <v>-4469.22510814372-96.3243349981774i</v>
      </c>
      <c r="FN105" s="1" t="str">
        <f t="shared" si="519"/>
        <v>-2725.90430161314+11.0373769695208i</v>
      </c>
      <c r="FO105" s="1" t="str">
        <f t="shared" si="520"/>
        <v>-901.585723454052+46.4542922150879i</v>
      </c>
      <c r="FP105" s="1" t="str">
        <f t="shared" si="521"/>
        <v>-432.107560250793+6.31028785048963i</v>
      </c>
      <c r="FQ105" s="92" t="str">
        <f t="shared" si="522"/>
        <v>-0.0578253918234095-164.9019400089i</v>
      </c>
      <c r="FR105" s="1" t="str">
        <f t="shared" si="523"/>
        <v>-2.4052162078397-164.701219987078i</v>
      </c>
      <c r="FS105" s="1" t="str">
        <f t="shared" si="524"/>
        <v>2.34739081601629-0.200720021822992i</v>
      </c>
      <c r="FT105" s="1" t="str">
        <f t="shared" si="525"/>
        <v>-1.80325194618085-342.948525763113i</v>
      </c>
      <c r="FU105" s="1" t="str">
        <f t="shared" si="526"/>
        <v>-0.66025588708248-1038.40645923142i</v>
      </c>
      <c r="FV105" s="1" t="str">
        <f t="shared" si="527"/>
        <v>14.8856597282055-1704.90104371975i</v>
      </c>
      <c r="FW105" s="1" t="str">
        <f t="shared" si="528"/>
        <v>-2.4052162078397-164.701219987078i</v>
      </c>
      <c r="FX105" s="1" t="str">
        <f t="shared" si="529"/>
        <v>-17.6990469117553-343.503414937391i</v>
      </c>
      <c r="FY105" s="1" t="str">
        <f t="shared" si="530"/>
        <v>-4.20858018712372-1039.39431147856i</v>
      </c>
      <c r="FZ105" s="1" t="str">
        <f t="shared" si="531"/>
        <v>36.7251285263757-1703.96054655336i</v>
      </c>
      <c r="GA105" s="1" t="str">
        <f t="shared" si="532"/>
        <v>2.34739081601629-0.200720021822992i</v>
      </c>
      <c r="GB105" s="1" t="str">
        <f t="shared" si="533"/>
        <v>18.2431857815909+0.354169152455671i</v>
      </c>
      <c r="GC105" s="1" t="str">
        <f t="shared" si="534"/>
        <v>21.7915100816323+1.34202139959623i</v>
      </c>
      <c r="GD105" s="92" t="str">
        <f t="shared" si="535"/>
        <v>12.3643265031188-3251.15796872318i</v>
      </c>
      <c r="GE105" s="1" t="str">
        <f t="shared" si="463"/>
        <v>0.00842158558119635+2.21442753591831i</v>
      </c>
      <c r="GF105" s="1">
        <f t="shared" si="464"/>
        <v>21</v>
      </c>
      <c r="GG105" s="56">
        <f t="shared" si="465"/>
        <v>0.18024435738429184</v>
      </c>
      <c r="GH105" s="1">
        <f t="shared" si="466"/>
        <v>0.81975590883185723</v>
      </c>
      <c r="GJ105" s="1">
        <f t="shared" si="536"/>
        <v>3251.1814797335001</v>
      </c>
      <c r="GK105" s="1">
        <f t="shared" si="537"/>
        <v>2.2144435497291277</v>
      </c>
      <c r="GM105" s="1" t="str">
        <f t="shared" si="467"/>
        <v>0.0191834803010191+10.0713271580351i</v>
      </c>
      <c r="GP105" s="1">
        <f t="shared" si="453"/>
        <v>21</v>
      </c>
      <c r="GQ105" s="1">
        <f t="shared" si="454"/>
        <v>2.2144435497291277</v>
      </c>
      <c r="GR105" s="1">
        <f t="shared" si="468"/>
        <v>10.071345427999766</v>
      </c>
      <c r="GS105" s="1">
        <f t="shared" si="469"/>
        <v>1.8153031846650443</v>
      </c>
    </row>
    <row r="106" spans="2:201" ht="18" customHeight="1" x14ac:dyDescent="0.25">
      <c r="B106" s="6"/>
      <c r="AP106" s="8"/>
      <c r="AR106" s="6"/>
      <c r="AS106" s="233" t="s">
        <v>467</v>
      </c>
      <c r="AT106" s="233"/>
      <c r="AU106" s="233"/>
      <c r="AV106" s="233"/>
      <c r="AW106" s="233"/>
      <c r="AX106" s="233"/>
      <c r="AY106" s="233"/>
      <c r="AZ106" s="233"/>
      <c r="BA106" s="233"/>
      <c r="BB106" s="233"/>
      <c r="BC106" s="233"/>
      <c r="BD106" s="233"/>
      <c r="BE106" s="233"/>
      <c r="BF106" s="233"/>
      <c r="BG106" s="233"/>
      <c r="BH106" s="233"/>
      <c r="BI106" s="233"/>
      <c r="BJ106" s="233"/>
      <c r="BK106" s="233"/>
      <c r="BL106" s="233"/>
      <c r="BM106" s="233"/>
      <c r="BN106" s="233"/>
      <c r="BO106" s="233"/>
      <c r="BP106" s="233"/>
      <c r="BQ106" s="233"/>
      <c r="BR106" s="233"/>
      <c r="BS106" s="233"/>
      <c r="BT106" s="233"/>
      <c r="BU106" s="233"/>
      <c r="BV106" s="233"/>
      <c r="BW106" s="233"/>
      <c r="BX106" s="233"/>
      <c r="BY106" s="233"/>
      <c r="BZ106" s="233"/>
      <c r="CA106" s="233"/>
      <c r="CB106" s="233"/>
      <c r="CC106" s="233"/>
      <c r="CD106" s="233"/>
      <c r="CE106" s="233"/>
      <c r="CF106" s="8"/>
      <c r="EA106" s="1">
        <f t="shared" si="420"/>
        <v>21.2</v>
      </c>
      <c r="EB106" s="1" t="str">
        <f t="shared" si="455"/>
        <v>0.0000100961047226858-0.0214037420120939i</v>
      </c>
      <c r="EC106" s="1" t="str">
        <f t="shared" si="456"/>
        <v>0.0000197801235383232-0.0419338619012452i</v>
      </c>
      <c r="ED106" s="1" t="str">
        <f t="shared" si="457"/>
        <v>0.0000488836907236164-0.103633424334067i</v>
      </c>
      <c r="EE106" s="1" t="str">
        <f t="shared" si="458"/>
        <v>0.0000682688986010183-0.144730065034159i</v>
      </c>
      <c r="EF106" s="1" t="str">
        <f t="shared" si="459"/>
        <v>0.384787998011587i</v>
      </c>
      <c r="EG106" s="1" t="str">
        <f t="shared" si="460"/>
        <v>0.38462773645473i</v>
      </c>
      <c r="EH106" s="1" t="str">
        <f t="shared" si="461"/>
        <v>0.384934021454921i</v>
      </c>
      <c r="EI106" s="1" t="str">
        <f t="shared" si="462"/>
        <v>0.384896419538217i</v>
      </c>
      <c r="EJ106" s="1" t="str">
        <f t="shared" si="450"/>
        <v>0.005</v>
      </c>
      <c r="EK106" s="1" t="str">
        <f t="shared" si="451"/>
        <v>0.01</v>
      </c>
      <c r="EL106" s="1" t="str">
        <f t="shared" si="452"/>
        <v>0.0125</v>
      </c>
      <c r="EM106" s="1" t="str">
        <f t="shared" si="493"/>
        <v>0.00501009610472269+0.363384255999493i</v>
      </c>
      <c r="EN106" s="1" t="str">
        <f t="shared" si="494"/>
        <v>-0.005</v>
      </c>
      <c r="EO106" s="1" t="str">
        <f t="shared" si="495"/>
        <v>0.072687490079234-154.097478967976i</v>
      </c>
      <c r="EP106" s="1" t="str">
        <f t="shared" si="496"/>
        <v>-0.005</v>
      </c>
      <c r="EQ106" s="1" t="str">
        <f t="shared" si="497"/>
        <v>0.0150197801235383+0.342693874553485i</v>
      </c>
      <c r="ER106" s="1" t="str">
        <f t="shared" si="498"/>
        <v>-0.01</v>
      </c>
      <c r="ES106" s="1" t="str">
        <f t="shared" si="499"/>
        <v>0.142408143828703-301.905264916851i</v>
      </c>
      <c r="ET106" s="1" t="str">
        <f t="shared" si="500"/>
        <v>-0.01</v>
      </c>
      <c r="EU106" s="1" t="str">
        <f t="shared" si="501"/>
        <v>0.0225488836907236+0.281300597120854i</v>
      </c>
      <c r="EV106" s="1" t="str">
        <f t="shared" si="502"/>
        <v>-0.0125</v>
      </c>
      <c r="EW106" s="1" t="str">
        <f t="shared" si="503"/>
        <v>0.351940959618331-746.114834390864i</v>
      </c>
      <c r="EX106" s="1" t="str">
        <f t="shared" si="504"/>
        <v>-0.0125</v>
      </c>
      <c r="EY106" s="1" t="str">
        <f t="shared" si="505"/>
        <v>0.012568268898601+0.240166354504058i</v>
      </c>
      <c r="EZ106" s="1" t="str">
        <f t="shared" si="506"/>
        <v>0.491505885297677-1041.99247683108i</v>
      </c>
      <c r="FB106" s="1" t="str">
        <f t="shared" si="507"/>
        <v>0.00501009610472269+0.363384255999493i</v>
      </c>
      <c r="FC106" s="1" t="str">
        <f t="shared" si="508"/>
        <v>0.072687490079234-154.097478967976i</v>
      </c>
      <c r="FD106" s="1" t="str">
        <f t="shared" si="509"/>
        <v>-0.000189671159638568+0.0137569243761317i</v>
      </c>
      <c r="FE106" s="1" t="str">
        <f t="shared" si="510"/>
        <v>0.0150188317677401+0.342762659175366i</v>
      </c>
      <c r="FF106" s="1" t="str">
        <f t="shared" si="511"/>
        <v>-1.97748543416576-301.935492720688i</v>
      </c>
      <c r="FG106" s="1" t="str">
        <f t="shared" si="512"/>
        <v>-0.00127589851005209+0.0291188005103507i</v>
      </c>
      <c r="FH106" s="1" t="str">
        <f t="shared" si="513"/>
        <v>0.0225361247056231+0.281591785125958i</v>
      </c>
      <c r="FI106" s="1" t="str">
        <f t="shared" si="514"/>
        <v>-8.44258149062893-746.442491432289i</v>
      </c>
      <c r="FJ106" s="1" t="str">
        <f t="shared" si="515"/>
        <v>-0.00353001463906858+0.0441079882508842i</v>
      </c>
      <c r="FK106" s="1" t="str">
        <f t="shared" si="516"/>
        <v>0.0125241437156126+0.240717704357194i</v>
      </c>
      <c r="FL106" s="1" t="str">
        <f t="shared" si="517"/>
        <v>-32.4168761070854-1044.64179652662i</v>
      </c>
      <c r="FM106" s="1" t="str">
        <f t="shared" si="518"/>
        <v>-4334.96856754265-90.873636793339i</v>
      </c>
      <c r="FN106" s="1" t="str">
        <f t="shared" si="519"/>
        <v>-2655.62108207209+9.88054643429681i</v>
      </c>
      <c r="FO106" s="1" t="str">
        <f t="shared" si="520"/>
        <v>-882.552838346052+44.5754029519558i</v>
      </c>
      <c r="FP106" s="1" t="str">
        <f t="shared" si="521"/>
        <v>-423.532889971737+6.10410655596697i</v>
      </c>
      <c r="FQ106" s="92" t="str">
        <f t="shared" si="522"/>
        <v>-0.0536871994483577-163.162729306267i</v>
      </c>
      <c r="FR106" s="1" t="str">
        <f t="shared" si="523"/>
        <v>-2.34878694131993-162.970372824286i</v>
      </c>
      <c r="FS106" s="1" t="str">
        <f t="shared" si="524"/>
        <v>2.29509974187157-0.192356481979944i</v>
      </c>
      <c r="FT106" s="1" t="str">
        <f t="shared" si="525"/>
        <v>-1.70935364357939-338.914995467584i</v>
      </c>
      <c r="FU106" s="1" t="str">
        <f t="shared" si="526"/>
        <v>-0.542197342004475-1021.32642385731i</v>
      </c>
      <c r="FV106" s="1" t="str">
        <f t="shared" si="527"/>
        <v>13.9395967778643-1669.38655568947i</v>
      </c>
      <c r="FW106" s="1" t="str">
        <f t="shared" si="528"/>
        <v>-2.34878694131993-162.970372824286i</v>
      </c>
      <c r="FX106" s="1" t="str">
        <f t="shared" si="529"/>
        <v>-17.1449363389683-339.454300514739i</v>
      </c>
      <c r="FY106" s="1" t="str">
        <f t="shared" si="530"/>
        <v>-3.80335847312595-1022.23890258248i</v>
      </c>
      <c r="FZ106" s="1" t="str">
        <f t="shared" si="531"/>
        <v>34.9769374321726-1668.51388045788i</v>
      </c>
      <c r="GA106" s="1" t="str">
        <f t="shared" si="532"/>
        <v>2.29509974187157-0.192356481979944i</v>
      </c>
      <c r="GB106" s="1" t="str">
        <f t="shared" si="533"/>
        <v>17.7306824372604+0.34694856517659i</v>
      </c>
      <c r="GC106" s="1" t="str">
        <f t="shared" si="534"/>
        <v>20.991843568382+1.25942729034545i</v>
      </c>
      <c r="GD106" s="92" t="str">
        <f t="shared" si="535"/>
        <v>11.6343585928321-3192.79070432063i</v>
      </c>
      <c r="GE106" s="1" t="str">
        <f t="shared" si="463"/>
        <v>0.00821677896075523+2.25491205862604i</v>
      </c>
      <c r="GF106" s="1">
        <f t="shared" si="464"/>
        <v>21.2</v>
      </c>
      <c r="GG106" s="56">
        <f t="shared" si="465"/>
        <v>0.18152415986527345</v>
      </c>
      <c r="GH106" s="1">
        <f t="shared" si="466"/>
        <v>0.81847606949758522</v>
      </c>
      <c r="GJ106" s="1">
        <f t="shared" si="536"/>
        <v>3192.8119017405475</v>
      </c>
      <c r="GK106" s="1">
        <f t="shared" si="537"/>
        <v>2.2549270293279151</v>
      </c>
      <c r="GM106" s="1" t="str">
        <f t="shared" si="467"/>
        <v>0.0191834803010191+10.1672445595402i</v>
      </c>
      <c r="GP106" s="1">
        <f t="shared" si="453"/>
        <v>21.2</v>
      </c>
      <c r="GQ106" s="1">
        <f t="shared" si="454"/>
        <v>2.2549270293279151</v>
      </c>
      <c r="GR106" s="1">
        <f t="shared" si="468"/>
        <v>10.167262657147017</v>
      </c>
      <c r="GS106" s="1">
        <f t="shared" si="469"/>
        <v>1.8456038119681673</v>
      </c>
    </row>
    <row r="107" spans="2:201" ht="18" customHeight="1" x14ac:dyDescent="0.3">
      <c r="B107" s="6"/>
      <c r="C107" s="154" t="s">
        <v>103</v>
      </c>
      <c r="D107" s="154"/>
      <c r="E107" s="154"/>
      <c r="F107" s="154"/>
      <c r="G107" s="154"/>
      <c r="H107" s="154"/>
      <c r="I107" s="154"/>
      <c r="J107" s="154"/>
      <c r="K107" s="154"/>
      <c r="L107" s="154"/>
      <c r="M107" s="154"/>
      <c r="N107" s="154"/>
      <c r="O107" s="154"/>
      <c r="P107" s="154"/>
      <c r="Q107" s="154"/>
      <c r="R107" s="154"/>
      <c r="S107" s="154"/>
      <c r="T107" s="154"/>
      <c r="U107" s="154"/>
      <c r="V107" s="154"/>
      <c r="W107" s="154"/>
      <c r="X107" s="154"/>
      <c r="Y107" s="154"/>
      <c r="Z107" s="154"/>
      <c r="AA107" s="154"/>
      <c r="AB107" s="154"/>
      <c r="AC107" s="154"/>
      <c r="AD107" s="154"/>
      <c r="AE107" s="154"/>
      <c r="AF107" s="154"/>
      <c r="AG107" s="154"/>
      <c r="AH107" s="154"/>
      <c r="AI107" s="154"/>
      <c r="AJ107" s="154"/>
      <c r="AK107" s="154"/>
      <c r="AL107" s="154"/>
      <c r="AM107" s="154"/>
      <c r="AN107" s="154"/>
      <c r="AO107" s="154"/>
      <c r="AP107" s="8"/>
      <c r="AR107" s="6"/>
      <c r="AS107" s="153"/>
      <c r="AT107" s="153"/>
      <c r="AU107" s="153"/>
      <c r="AV107" s="153"/>
      <c r="AW107" s="153"/>
      <c r="AX107" s="153"/>
      <c r="AY107" s="153"/>
      <c r="AZ107" s="153"/>
      <c r="BA107" s="153"/>
      <c r="BB107" s="153"/>
      <c r="BC107" s="153"/>
      <c r="BD107" s="153"/>
      <c r="BE107" s="153"/>
      <c r="BF107" s="153"/>
      <c r="BG107" s="153"/>
      <c r="BH107" s="153"/>
      <c r="BI107" s="153"/>
      <c r="BJ107" s="153"/>
      <c r="BK107" s="153"/>
      <c r="BL107" s="153"/>
      <c r="BM107" s="153"/>
      <c r="BN107" s="153"/>
      <c r="BO107" s="153"/>
      <c r="BP107" s="153"/>
      <c r="BQ107" s="153"/>
      <c r="BR107" s="153"/>
      <c r="BS107" s="153"/>
      <c r="BT107" s="153"/>
      <c r="BU107" s="153"/>
      <c r="BV107" s="153"/>
      <c r="BW107" s="153"/>
      <c r="BX107" s="153"/>
      <c r="BY107" s="153"/>
      <c r="BZ107" s="153"/>
      <c r="CA107" s="153"/>
      <c r="CB107" s="153"/>
      <c r="CC107" s="153"/>
      <c r="CD107" s="153"/>
      <c r="CE107" s="153"/>
      <c r="CF107" s="8"/>
      <c r="EA107" s="1">
        <f t="shared" si="420"/>
        <v>21.4</v>
      </c>
      <c r="EB107" s="1" t="str">
        <f t="shared" si="455"/>
        <v>9.90827435878009E-06-0.0212037071277894i</v>
      </c>
      <c r="EC107" s="1" t="str">
        <f t="shared" si="456"/>
        <v>0.0000194121293559773-0.0415419568217915i</v>
      </c>
      <c r="ED107" s="1" t="str">
        <f t="shared" si="457"/>
        <v>0.0000479742467677669-0.102664888083021i</v>
      </c>
      <c r="EE107" s="1" t="str">
        <f t="shared" si="458"/>
        <v>0.000066998807568894-0.143377448197433i</v>
      </c>
      <c r="EF107" s="1" t="str">
        <f t="shared" si="459"/>
        <v>0.388418073464527i</v>
      </c>
      <c r="EG107" s="1" t="str">
        <f t="shared" si="460"/>
        <v>0.388256300006191i</v>
      </c>
      <c r="EH107" s="1" t="str">
        <f t="shared" si="461"/>
        <v>0.388565474487514i</v>
      </c>
      <c r="EI107" s="1" t="str">
        <f t="shared" si="462"/>
        <v>0.388527517835749i</v>
      </c>
      <c r="EJ107" s="1" t="str">
        <f t="shared" si="450"/>
        <v>0.005</v>
      </c>
      <c r="EK107" s="1" t="str">
        <f t="shared" si="451"/>
        <v>0.01</v>
      </c>
      <c r="EL107" s="1" t="str">
        <f t="shared" si="452"/>
        <v>0.0125</v>
      </c>
      <c r="EM107" s="1" t="str">
        <f t="shared" si="493"/>
        <v>0.00500990827435878+0.367214366336738i</v>
      </c>
      <c r="EN107" s="1" t="str">
        <f t="shared" si="494"/>
        <v>-0.005</v>
      </c>
      <c r="EO107" s="1" t="str">
        <f t="shared" si="495"/>
        <v>0.071335194507032-152.657316245049i</v>
      </c>
      <c r="EP107" s="1" t="str">
        <f t="shared" si="496"/>
        <v>-0.005</v>
      </c>
      <c r="EQ107" s="1" t="str">
        <f t="shared" si="497"/>
        <v>0.015019412129356+0.346714343184399i</v>
      </c>
      <c r="ER107" s="1" t="str">
        <f t="shared" si="498"/>
        <v>-0.01</v>
      </c>
      <c r="ES107" s="1" t="str">
        <f t="shared" si="499"/>
        <v>0.13975874842194-299.083721622952i</v>
      </c>
      <c r="ET107" s="1" t="str">
        <f t="shared" si="500"/>
        <v>-0.01</v>
      </c>
      <c r="EU107" s="1" t="str">
        <f t="shared" si="501"/>
        <v>0.0225479742467678+0.285900586404493i</v>
      </c>
      <c r="EV107" s="1" t="str">
        <f t="shared" si="502"/>
        <v>-0.0125</v>
      </c>
      <c r="EW107" s="1" t="str">
        <f t="shared" si="503"/>
        <v>0.345393365240681-739.141801615056i</v>
      </c>
      <c r="EX107" s="1" t="str">
        <f t="shared" si="504"/>
        <v>-0.0125</v>
      </c>
      <c r="EY107" s="1" t="str">
        <f t="shared" si="505"/>
        <v>0.0125669988075689+0.245150069638316i</v>
      </c>
      <c r="EZ107" s="1" t="str">
        <f t="shared" si="506"/>
        <v>0.482361791428503-1032.25423365699i</v>
      </c>
      <c r="FB107" s="1" t="str">
        <f t="shared" si="507"/>
        <v>0.00500990827435878+0.367214366336738i</v>
      </c>
      <c r="FC107" s="1" t="str">
        <f t="shared" si="508"/>
        <v>0.071335194507032-152.657316245049i</v>
      </c>
      <c r="FD107" s="1" t="str">
        <f t="shared" si="509"/>
        <v>-0.000185728958485955+0.0136134911191626i</v>
      </c>
      <c r="FE107" s="1" t="str">
        <f t="shared" si="510"/>
        <v>0.0150184834845636+0.346782410639995i</v>
      </c>
      <c r="FF107" s="1" t="str">
        <f t="shared" si="511"/>
        <v>-1.93842702154385-299.11304562834i</v>
      </c>
      <c r="FG107" s="1" t="str">
        <f t="shared" si="512"/>
        <v>-0.00124651687747962+0.0287825417339987i</v>
      </c>
      <c r="FH107" s="1" t="str">
        <f t="shared" si="513"/>
        <v>0.022535509077993+0.286188411821833i</v>
      </c>
      <c r="FI107" s="1" t="str">
        <f t="shared" si="514"/>
        <v>-8.26625663573859-739.45885821806i</v>
      </c>
      <c r="FJ107" s="1" t="str">
        <f t="shared" si="515"/>
        <v>-0.00341813132218831+0.0434083637121303i</v>
      </c>
      <c r="FK107" s="1" t="str">
        <f t="shared" si="516"/>
        <v>0.0125242721660415+0.245692674184718i</v>
      </c>
      <c r="FL107" s="1" t="str">
        <f t="shared" si="517"/>
        <v>-31.6013937680369-1034.79571036145i</v>
      </c>
      <c r="FM107" s="1" t="str">
        <f t="shared" si="518"/>
        <v>-4207.37206234963-85.8506632915354i</v>
      </c>
      <c r="FN107" s="1" t="str">
        <f t="shared" si="519"/>
        <v>-2588.2643245203+8.84226310047698i</v>
      </c>
      <c r="FO107" s="1" t="str">
        <f t="shared" si="520"/>
        <v>-864.136812455108+42.8021876688992i</v>
      </c>
      <c r="FP107" s="1" t="str">
        <f t="shared" si="521"/>
        <v>-415.214962021614+5.90706735016387i</v>
      </c>
      <c r="FQ107" s="92" t="str">
        <f t="shared" si="522"/>
        <v>-0.0498024678083891-161.461471223675i</v>
      </c>
      <c r="FR107" s="1" t="str">
        <f t="shared" si="523"/>
        <v>-2.29441171997586-161.276995622082i</v>
      </c>
      <c r="FS107" s="1" t="str">
        <f t="shared" si="524"/>
        <v>2.24460925216747-0.184475601593677i</v>
      </c>
      <c r="FT107" s="1" t="str">
        <f t="shared" si="525"/>
        <v>-1.62155314801305-334.982486655687i</v>
      </c>
      <c r="FU107" s="1" t="str">
        <f t="shared" si="526"/>
        <v>-0.438226554965671-1004.86609302212i</v>
      </c>
      <c r="FV107" s="1" t="str">
        <f t="shared" si="527"/>
        <v>13.073299731402-1635.49075168179i</v>
      </c>
      <c r="FW107" s="1" t="str">
        <f t="shared" si="528"/>
        <v>-2.29441171997586-161.276995622082i</v>
      </c>
      <c r="FX107" s="1" t="str">
        <f t="shared" si="529"/>
        <v>-16.6182190164974-335.506561502964i</v>
      </c>
      <c r="FY107" s="1" t="str">
        <f t="shared" si="530"/>
        <v>-3.43579815718027-1005.71015535634i</v>
      </c>
      <c r="FZ107" s="1" t="str">
        <f t="shared" si="531"/>
        <v>33.3553451132129-1634.67982399618i</v>
      </c>
      <c r="GA107" s="1" t="str">
        <f t="shared" si="532"/>
        <v>2.24460925216747-0.184475601593677i</v>
      </c>
      <c r="GB107" s="1" t="str">
        <f t="shared" si="533"/>
        <v>17.2412751206519+0.339599245684222i</v>
      </c>
      <c r="GC107" s="1" t="str">
        <f t="shared" si="534"/>
        <v>20.2388467228666+1.18366157990016i</v>
      </c>
      <c r="GD107" s="92" t="str">
        <f t="shared" si="535"/>
        <v>10.9637175606149-3136.80080258327i</v>
      </c>
      <c r="GE107" s="1" t="str">
        <f t="shared" si="463"/>
        <v>0.00802203364037519+2.29516324388674i</v>
      </c>
      <c r="GF107" s="1">
        <f t="shared" si="464"/>
        <v>21.4</v>
      </c>
      <c r="GG107" s="56">
        <f t="shared" si="465"/>
        <v>0.18276098445031053</v>
      </c>
      <c r="GH107" s="1">
        <f t="shared" si="466"/>
        <v>0.81723921299839719</v>
      </c>
      <c r="GJ107" s="1">
        <f t="shared" si="536"/>
        <v>3136.8199626675732</v>
      </c>
      <c r="GK107" s="1">
        <f t="shared" si="537"/>
        <v>2.2951772631133376</v>
      </c>
      <c r="GM107" s="1" t="str">
        <f t="shared" si="467"/>
        <v>0.0191834803010191+10.2631619610453i</v>
      </c>
      <c r="GP107" s="1">
        <f t="shared" si="453"/>
        <v>21.4</v>
      </c>
      <c r="GQ107" s="1">
        <f t="shared" si="454"/>
        <v>2.2951772631133376</v>
      </c>
      <c r="GR107" s="1">
        <f t="shared" si="468"/>
        <v>10.263179889515904</v>
      </c>
      <c r="GS107" s="1">
        <f t="shared" si="469"/>
        <v>1.8757088601985508</v>
      </c>
    </row>
    <row r="108" spans="2:201" ht="18" customHeight="1" x14ac:dyDescent="0.25">
      <c r="B108" s="6"/>
      <c r="G108" s="35" t="s">
        <v>105</v>
      </c>
      <c r="H108" s="53" t="s">
        <v>422</v>
      </c>
      <c r="I108" s="38"/>
      <c r="J108" s="38"/>
      <c r="K108" s="38"/>
      <c r="L108" s="38"/>
      <c r="M108" s="38"/>
      <c r="N108" s="38"/>
      <c r="O108" s="38"/>
      <c r="Q108" s="24"/>
      <c r="R108" s="24"/>
      <c r="S108" s="24"/>
      <c r="T108" s="24"/>
      <c r="U108" s="24"/>
      <c r="V108" s="24"/>
      <c r="W108" s="32" t="s">
        <v>107</v>
      </c>
      <c r="X108" s="234" t="s">
        <v>108</v>
      </c>
      <c r="Y108" s="234"/>
      <c r="Z108" s="234"/>
      <c r="AA108" s="234"/>
      <c r="AB108" s="234"/>
      <c r="AC108" s="234"/>
      <c r="AD108" s="234"/>
      <c r="AE108" s="234"/>
      <c r="AF108" s="234"/>
      <c r="AG108" s="234"/>
      <c r="AH108" s="234"/>
      <c r="AI108" s="234"/>
      <c r="AJ108" s="234"/>
      <c r="AK108" s="234"/>
      <c r="AL108" s="234"/>
      <c r="AM108" s="234"/>
      <c r="AN108" s="234"/>
      <c r="AO108" s="234"/>
      <c r="AP108" s="8"/>
      <c r="AR108" s="6"/>
      <c r="AS108" s="153"/>
      <c r="AT108" s="153"/>
      <c r="AU108" s="153"/>
      <c r="AV108" s="153"/>
      <c r="AW108" s="153"/>
      <c r="AX108" s="153"/>
      <c r="AY108" s="153"/>
      <c r="AZ108" s="153"/>
      <c r="BA108" s="153"/>
      <c r="BB108" s="153"/>
      <c r="BC108" s="153"/>
      <c r="BD108" s="153"/>
      <c r="BE108" s="153"/>
      <c r="BF108" s="153"/>
      <c r="BG108" s="153"/>
      <c r="BH108" s="153"/>
      <c r="BI108" s="153"/>
      <c r="BJ108" s="153"/>
      <c r="BK108" s="153"/>
      <c r="BL108" s="153"/>
      <c r="BM108" s="153"/>
      <c r="BN108" s="153"/>
      <c r="BO108" s="153"/>
      <c r="BP108" s="153"/>
      <c r="BQ108" s="153"/>
      <c r="BR108" s="153"/>
      <c r="BS108" s="153"/>
      <c r="BT108" s="153"/>
      <c r="BU108" s="153"/>
      <c r="BV108" s="153"/>
      <c r="BW108" s="153"/>
      <c r="BX108" s="153"/>
      <c r="BY108" s="153"/>
      <c r="BZ108" s="153"/>
      <c r="CA108" s="153"/>
      <c r="CB108" s="153"/>
      <c r="CC108" s="153"/>
      <c r="CD108" s="153"/>
      <c r="CE108" s="153"/>
      <c r="CF108" s="8"/>
      <c r="EA108" s="1">
        <f t="shared" si="420"/>
        <v>21.6</v>
      </c>
      <c r="EB108" s="1" t="str">
        <f t="shared" si="455"/>
        <v>9.72563731055093E-06-0.02100737659079i</v>
      </c>
      <c r="EC108" s="1" t="str">
        <f t="shared" si="456"/>
        <v>0.0000190543098329161-0.0411573092390988i</v>
      </c>
      <c r="ED108" s="1" t="str">
        <f t="shared" si="457"/>
        <v>0.0000470899479985349-0.101714287676835i</v>
      </c>
      <c r="EE108" s="1" t="str">
        <f t="shared" si="458"/>
        <v>0.000065763833242773-0.14204987980439i</v>
      </c>
      <c r="EF108" s="1" t="str">
        <f t="shared" si="459"/>
        <v>0.392048148917467i</v>
      </c>
      <c r="EG108" s="1" t="str">
        <f t="shared" si="460"/>
        <v>0.39188486355765i</v>
      </c>
      <c r="EH108" s="1" t="str">
        <f t="shared" si="461"/>
        <v>0.392196927520108i</v>
      </c>
      <c r="EI108" s="1" t="str">
        <f t="shared" si="462"/>
        <v>0.392158616133278i</v>
      </c>
      <c r="EJ108" s="1" t="str">
        <f t="shared" si="450"/>
        <v>0.005</v>
      </c>
      <c r="EK108" s="1" t="str">
        <f t="shared" si="451"/>
        <v>0.01</v>
      </c>
      <c r="EL108" s="1" t="str">
        <f t="shared" si="452"/>
        <v>0.0125</v>
      </c>
      <c r="EM108" s="1" t="str">
        <f t="shared" si="493"/>
        <v>0.00500972563731055+0.371040772326677i</v>
      </c>
      <c r="EN108" s="1" t="str">
        <f t="shared" si="494"/>
        <v>-0.005</v>
      </c>
      <c r="EO108" s="1" t="str">
        <f t="shared" si="495"/>
        <v>0.070020288511512-151.243823184866i</v>
      </c>
      <c r="EP108" s="1" t="str">
        <f t="shared" si="496"/>
        <v>-0.005</v>
      </c>
      <c r="EQ108" s="1" t="str">
        <f t="shared" si="497"/>
        <v>0.0150190543098329+0.350727554318551i</v>
      </c>
      <c r="ER108" s="1" t="str">
        <f t="shared" si="498"/>
        <v>-0.01</v>
      </c>
      <c r="ES108" s="1" t="str">
        <f t="shared" si="499"/>
        <v>0.13718260606337-296.31442909688i</v>
      </c>
      <c r="ET108" s="1" t="str">
        <f t="shared" si="500"/>
        <v>-0.01</v>
      </c>
      <c r="EU108" s="1" t="str">
        <f t="shared" si="501"/>
        <v>0.0225470899479985+0.290482639843273i</v>
      </c>
      <c r="EV108" s="1" t="str">
        <f t="shared" si="502"/>
        <v>-0.0125</v>
      </c>
      <c r="EW108" s="1" t="str">
        <f t="shared" si="503"/>
        <v>0.339026805088903-732.297898992027i</v>
      </c>
      <c r="EX108" s="1" t="str">
        <f t="shared" si="504"/>
        <v>-0.0125</v>
      </c>
      <c r="EY108" s="1" t="str">
        <f t="shared" si="505"/>
        <v>0.0125657638332428+0.250108736328888i</v>
      </c>
      <c r="EZ108" s="1" t="str">
        <f t="shared" si="506"/>
        <v>0.473470522315938-1022.69632820243i</v>
      </c>
      <c r="FB108" s="1" t="str">
        <f t="shared" si="507"/>
        <v>0.00500972563731055+0.371040772326677i</v>
      </c>
      <c r="FC108" s="1" t="str">
        <f t="shared" si="508"/>
        <v>0.070020288511512-151.243823184866i</v>
      </c>
      <c r="FD108" s="1" t="str">
        <f t="shared" si="509"/>
        <v>-0.000181912068171911+0.0134731518563329i</v>
      </c>
      <c r="FE108" s="1" t="str">
        <f t="shared" si="510"/>
        <v>0.015018144749492+0.350794920077833i</v>
      </c>
      <c r="FF108" s="1" t="str">
        <f t="shared" si="511"/>
        <v>-1.9005356535032-296.342885567534i</v>
      </c>
      <c r="FG108" s="1" t="str">
        <f t="shared" si="512"/>
        <v>-0.00121818831182053+0.0284545314093666i</v>
      </c>
      <c r="FH108" s="1" t="str">
        <f t="shared" si="513"/>
        <v>0.0225349080648803+0.290767185157367i</v>
      </c>
      <c r="FI108" s="1" t="str">
        <f t="shared" si="514"/>
        <v>-8.09558635055412-732.604821580069i</v>
      </c>
      <c r="FJ108" s="1" t="str">
        <f t="shared" si="515"/>
        <v>-0.00331187728557021+0.0427330448005085i</v>
      </c>
      <c r="FK108" s="1" t="str">
        <f t="shared" si="516"/>
        <v>0.0125243653671732+0.250642899388894i</v>
      </c>
      <c r="FL108" s="1" t="str">
        <f t="shared" si="517"/>
        <v>-30.8187255874537-1025.13609662802i</v>
      </c>
      <c r="FM108" s="1" t="str">
        <f t="shared" si="518"/>
        <v>-4085.9683604726-81.212893273436i</v>
      </c>
      <c r="FN108" s="1" t="str">
        <f t="shared" si="519"/>
        <v>-2523.66240002503+7.90904477015767i</v>
      </c>
      <c r="FO108" s="1" t="str">
        <f t="shared" si="520"/>
        <v>-846.310563440162+41.1270069298152i</v>
      </c>
      <c r="FP108" s="1" t="str">
        <f t="shared" si="521"/>
        <v>-407.143495608461+5.71865810695112i</v>
      </c>
      <c r="FQ108" s="92" t="str">
        <f t="shared" si="522"/>
        <v>-0.0461539859635466-159.796895541198i</v>
      </c>
      <c r="FR108" s="1" t="str">
        <f t="shared" si="523"/>
        <v>-2.24198932512205-159.619853797084i</v>
      </c>
      <c r="FS108" s="1" t="str">
        <f t="shared" si="524"/>
        <v>2.19583533915851-0.17704174411432i</v>
      </c>
      <c r="FT108" s="1" t="str">
        <f t="shared" si="525"/>
        <v>-1.53936847253493-331.147078315436i</v>
      </c>
      <c r="FU108" s="1" t="str">
        <f t="shared" si="526"/>
        <v>-0.346596918728846-988.990794783891i</v>
      </c>
      <c r="FV108" s="1" t="str">
        <f t="shared" si="527"/>
        <v>12.2784611922676-1603.10230182093i</v>
      </c>
      <c r="FW108" s="1" t="str">
        <f t="shared" si="528"/>
        <v>-2.24198932512205-159.619853797084i</v>
      </c>
      <c r="FX108" s="1" t="str">
        <f t="shared" si="529"/>
        <v>-16.1170514992252-331.656299681146i</v>
      </c>
      <c r="FY108" s="1" t="str">
        <f t="shared" si="530"/>
        <v>-3.10190305847482-989.772639387838i</v>
      </c>
      <c r="FZ108" s="1" t="str">
        <f t="shared" si="531"/>
        <v>31.8483358382903-1602.34769780729i</v>
      </c>
      <c r="GA108" s="1" t="str">
        <f t="shared" si="532"/>
        <v>2.19583533915851-0.17704174411432i</v>
      </c>
      <c r="GB108" s="1" t="str">
        <f t="shared" si="533"/>
        <v>16.7735183658487+0.332179621596575i</v>
      </c>
      <c r="GC108" s="1" t="str">
        <f t="shared" si="534"/>
        <v>19.5288245055946+1.11402422554492i</v>
      </c>
      <c r="GD108" s="92" t="str">
        <f t="shared" si="535"/>
        <v>10.3463418150403-3083.03707046146i</v>
      </c>
      <c r="GE108" s="1" t="str">
        <f t="shared" si="463"/>
        <v>0.00783664662806086+2.33518981823087i</v>
      </c>
      <c r="GF108" s="1">
        <f t="shared" si="464"/>
        <v>21.6</v>
      </c>
      <c r="GG108" s="56">
        <f t="shared" si="465"/>
        <v>0.18395684260740752</v>
      </c>
      <c r="GH108" s="1">
        <f t="shared" si="466"/>
        <v>0.8160433271826647</v>
      </c>
      <c r="GJ108" s="1">
        <f t="shared" si="536"/>
        <v>3083.0544310194291</v>
      </c>
      <c r="GK108" s="1">
        <f t="shared" si="537"/>
        <v>2.3352029676667283</v>
      </c>
      <c r="GM108" s="1" t="str">
        <f t="shared" si="467"/>
        <v>0.0191834803010191+10.3590793625504i</v>
      </c>
      <c r="GP108" s="1">
        <f t="shared" si="453"/>
        <v>21.6</v>
      </c>
      <c r="GQ108" s="1">
        <f t="shared" si="454"/>
        <v>2.3352029676667283</v>
      </c>
      <c r="GR108" s="1">
        <f t="shared" si="468"/>
        <v>10.359097125016932</v>
      </c>
      <c r="GS108" s="1">
        <f t="shared" si="469"/>
        <v>1.9056267993815943</v>
      </c>
    </row>
    <row r="109" spans="2:201" ht="18" customHeight="1" x14ac:dyDescent="0.25">
      <c r="B109" s="6"/>
      <c r="AP109" s="8"/>
      <c r="AR109" s="6"/>
      <c r="AS109" s="153"/>
      <c r="AT109" s="153"/>
      <c r="AU109" s="153"/>
      <c r="AV109" s="153"/>
      <c r="AW109" s="153"/>
      <c r="AX109" s="153"/>
      <c r="AY109" s="153"/>
      <c r="AZ109" s="153"/>
      <c r="BA109" s="153"/>
      <c r="BB109" s="153"/>
      <c r="BC109" s="153"/>
      <c r="BD109" s="153"/>
      <c r="BE109" s="153"/>
      <c r="BF109" s="153"/>
      <c r="BG109" s="153"/>
      <c r="BH109" s="153"/>
      <c r="BI109" s="153"/>
      <c r="BJ109" s="153"/>
      <c r="BK109" s="153"/>
      <c r="BL109" s="153"/>
      <c r="BM109" s="153"/>
      <c r="BN109" s="153"/>
      <c r="BO109" s="153"/>
      <c r="BP109" s="153"/>
      <c r="BQ109" s="153"/>
      <c r="BR109" s="153"/>
      <c r="BS109" s="153"/>
      <c r="BT109" s="153"/>
      <c r="BU109" s="153"/>
      <c r="BV109" s="153"/>
      <c r="BW109" s="153"/>
      <c r="BX109" s="153"/>
      <c r="BY109" s="153"/>
      <c r="BZ109" s="153"/>
      <c r="CA109" s="153"/>
      <c r="CB109" s="153"/>
      <c r="CC109" s="153"/>
      <c r="CD109" s="153"/>
      <c r="CE109" s="153"/>
      <c r="CF109" s="8"/>
      <c r="EA109" s="1">
        <f t="shared" si="420"/>
        <v>21.8</v>
      </c>
      <c r="EB109" s="1" t="str">
        <f t="shared" si="455"/>
        <v>9.54800387461911E-06-0.0208146484466697i</v>
      </c>
      <c r="EC109" s="1" t="str">
        <f t="shared" si="456"/>
        <v>0.0000187062933053761-0.0407797194057201i</v>
      </c>
      <c r="ED109" s="1" t="str">
        <f t="shared" si="457"/>
        <v>0.0000462298759031303-0.100781129468824i</v>
      </c>
      <c r="EE109" s="1" t="str">
        <f t="shared" si="458"/>
        <v>0.000064562692866472-0.140746670448909i</v>
      </c>
      <c r="EF109" s="1" t="str">
        <f t="shared" si="459"/>
        <v>0.395678224370405i</v>
      </c>
      <c r="EG109" s="1" t="str">
        <f t="shared" si="460"/>
        <v>0.39551342710911i</v>
      </c>
      <c r="EH109" s="1" t="str">
        <f t="shared" si="461"/>
        <v>0.395828380552701i</v>
      </c>
      <c r="EI109" s="1" t="str">
        <f t="shared" si="462"/>
        <v>0.395789714430809i</v>
      </c>
      <c r="EJ109" s="1" t="str">
        <f t="shared" si="450"/>
        <v>0.005</v>
      </c>
      <c r="EK109" s="1" t="str">
        <f t="shared" si="451"/>
        <v>0.01</v>
      </c>
      <c r="EL109" s="1" t="str">
        <f t="shared" si="452"/>
        <v>0.0125</v>
      </c>
      <c r="EM109" s="1" t="str">
        <f t="shared" si="493"/>
        <v>0.00500954800387462+0.374863575923735i</v>
      </c>
      <c r="EN109" s="1" t="str">
        <f t="shared" si="494"/>
        <v>-0.005</v>
      </c>
      <c r="EO109" s="1" t="str">
        <f t="shared" si="495"/>
        <v>0.0687414063122196-149.856265760639i</v>
      </c>
      <c r="EP109" s="1" t="str">
        <f t="shared" si="496"/>
        <v>-0.005</v>
      </c>
      <c r="EQ109" s="1" t="str">
        <f t="shared" si="497"/>
        <v>0.0150187062933054+0.35473370770339i</v>
      </c>
      <c r="ER109" s="1" t="str">
        <f t="shared" si="498"/>
        <v>-0.01</v>
      </c>
      <c r="ES109" s="1" t="str">
        <f t="shared" si="499"/>
        <v>0.134677040938225-293.595949245333i</v>
      </c>
      <c r="ET109" s="1" t="str">
        <f t="shared" si="500"/>
        <v>-0.01</v>
      </c>
      <c r="EU109" s="1" t="str">
        <f t="shared" si="501"/>
        <v>0.0225462298759031+0.295047251083877i</v>
      </c>
      <c r="EV109" s="1" t="str">
        <f t="shared" si="502"/>
        <v>-0.0125</v>
      </c>
      <c r="EW109" s="1" t="str">
        <f t="shared" si="503"/>
        <v>0.332834666277023-725.579572483909i</v>
      </c>
      <c r="EX109" s="1" t="str">
        <f t="shared" si="504"/>
        <v>-0.0125</v>
      </c>
      <c r="EY109" s="1" t="str">
        <f t="shared" si="505"/>
        <v>0.0125645626928665+0.2550430439819i</v>
      </c>
      <c r="EZ109" s="1" t="str">
        <f t="shared" si="506"/>
        <v>0.464822842682627-1013.31379704813i</v>
      </c>
      <c r="FB109" s="1" t="str">
        <f t="shared" si="507"/>
        <v>0.00500954800387462+0.374863575923735i</v>
      </c>
      <c r="FC109" s="1" t="str">
        <f t="shared" si="508"/>
        <v>0.0687414063122196-149.856265760639i</v>
      </c>
      <c r="FD109" s="1" t="str">
        <f t="shared" si="509"/>
        <v>-0.000178215103401559+0.0133358041270501i</v>
      </c>
      <c r="FE109" s="1" t="str">
        <f t="shared" si="510"/>
        <v>0.0150178152177884+0.354800386724025i</v>
      </c>
      <c r="FF109" s="1" t="str">
        <f t="shared" si="511"/>
        <v>-1.86376451569999-293.623572617161i</v>
      </c>
      <c r="FG109" s="1" t="str">
        <f t="shared" si="512"/>
        <v>-0.00119086133239969+0.0281344559872885i</v>
      </c>
      <c r="FH109" s="1" t="str">
        <f t="shared" si="513"/>
        <v>0.0225343212625791+0.29532859564375i</v>
      </c>
      <c r="FI109" s="1" t="str">
        <f t="shared" si="514"/>
        <v>-7.93032429944535-725.876801442082i</v>
      </c>
      <c r="FJ109" s="1" t="str">
        <f t="shared" si="515"/>
        <v>-0.00321086710020799+0.0420807381084889i</v>
      </c>
      <c r="FK109" s="1" t="str">
        <f t="shared" si="516"/>
        <v>0.0125244268541139+0.255569053208256i</v>
      </c>
      <c r="FL109" s="1" t="str">
        <f t="shared" si="517"/>
        <v>-30.0670324360024-1015.65754255443i</v>
      </c>
      <c r="FM109" s="1" t="str">
        <f t="shared" si="518"/>
        <v>-3970.33253776865-76.9228776841375i</v>
      </c>
      <c r="FN109" s="1" t="str">
        <f t="shared" si="519"/>
        <v>-2461.6567654247+7.06913134070624i</v>
      </c>
      <c r="FO109" s="1" t="str">
        <f t="shared" si="520"/>
        <v>-829.048502263248+39.5428964604995i</v>
      </c>
      <c r="FP109" s="1" t="str">
        <f t="shared" si="521"/>
        <v>-399.308723970383+5.53840121380812i</v>
      </c>
      <c r="FQ109" s="92" t="str">
        <f t="shared" si="522"/>
        <v>-0.0427258666661667-158.167789352447i</v>
      </c>
      <c r="FR109" s="1" t="str">
        <f t="shared" si="523"/>
        <v>-2.19142475813049-157.997766876213i</v>
      </c>
      <c r="FS109" s="1" t="str">
        <f t="shared" si="524"/>
        <v>2.14869889146433-0.170022476233457i</v>
      </c>
      <c r="FT109" s="1" t="str">
        <f t="shared" si="525"/>
        <v>-1.46236275676267-327.40505424238i</v>
      </c>
      <c r="FU109" s="1" t="str">
        <f t="shared" si="526"/>
        <v>-0.26579828782113-973.668448473047i</v>
      </c>
      <c r="FV109" s="1" t="str">
        <f t="shared" si="527"/>
        <v>11.5477971182874-1572.11991596591i</v>
      </c>
      <c r="FW109" s="1" t="str">
        <f t="shared" si="528"/>
        <v>-2.19142475813049-157.997766876213i</v>
      </c>
      <c r="FX109" s="1" t="str">
        <f t="shared" si="529"/>
        <v>-15.6397464969129-327.899814369812i</v>
      </c>
      <c r="FY109" s="1" t="str">
        <f t="shared" si="530"/>
        <v>-2.79816281050609-974.393610934659i</v>
      </c>
      <c r="FZ109" s="1" t="str">
        <f t="shared" si="531"/>
        <v>30.4452837918008-1571.4167813188i</v>
      </c>
      <c r="GA109" s="1" t="str">
        <f t="shared" si="532"/>
        <v>2.14869889146433-0.170022476233457i</v>
      </c>
      <c r="GB109" s="1" t="str">
        <f t="shared" si="533"/>
        <v>16.3260826316145+0.324737651197933i</v>
      </c>
      <c r="GC109" s="1" t="str">
        <f t="shared" si="534"/>
        <v>18.8584471542994+1.04990011281055i</v>
      </c>
      <c r="GD109" s="92" t="str">
        <f t="shared" si="535"/>
        <v>9.77691020703743-3031.36120803378i</v>
      </c>
      <c r="GE109" s="1" t="str">
        <f t="shared" si="463"/>
        <v>0.00765997862358058+2.37500003192995i</v>
      </c>
      <c r="GF109" s="1">
        <f t="shared" si="464"/>
        <v>21.8</v>
      </c>
      <c r="GG109" s="56">
        <f t="shared" si="465"/>
        <v>0.18511362271469783</v>
      </c>
      <c r="GH109" s="1">
        <f t="shared" si="466"/>
        <v>0.81488652309085285</v>
      </c>
      <c r="GJ109" s="1">
        <f t="shared" si="536"/>
        <v>3031.3769745027116</v>
      </c>
      <c r="GK109" s="1">
        <f t="shared" si="537"/>
        <v>2.37501238458661</v>
      </c>
      <c r="GM109" s="1" t="str">
        <f t="shared" si="467"/>
        <v>0.0191834803010191+10.4549967640554i</v>
      </c>
      <c r="GP109" s="1">
        <f t="shared" si="453"/>
        <v>21.8</v>
      </c>
      <c r="GQ109" s="1">
        <f t="shared" si="454"/>
        <v>2.37501238458661</v>
      </c>
      <c r="GR109" s="1">
        <f t="shared" si="468"/>
        <v>10.455014363563798</v>
      </c>
      <c r="GS109" s="1">
        <f t="shared" si="469"/>
        <v>1.9353655843735111</v>
      </c>
    </row>
    <row r="110" spans="2:201" ht="18" customHeight="1" x14ac:dyDescent="0.25">
      <c r="B110" s="6"/>
      <c r="L110" s="35" t="s">
        <v>120</v>
      </c>
      <c r="M110" s="236" t="str">
        <f>S17&amp;" kV"</f>
        <v>12.47 kV</v>
      </c>
      <c r="N110" s="236"/>
      <c r="O110" s="236"/>
      <c r="P110" s="236"/>
      <c r="Q110" s="236"/>
      <c r="R110" s="236"/>
      <c r="S110" s="236"/>
      <c r="T110" s="236"/>
      <c r="U110" s="236"/>
      <c r="V110" s="236"/>
      <c r="AP110" s="8"/>
      <c r="AR110" s="6"/>
      <c r="AS110" s="178" t="s">
        <v>289</v>
      </c>
      <c r="AT110" s="178"/>
      <c r="AU110" s="178"/>
      <c r="AV110" s="178"/>
      <c r="AW110" s="178"/>
      <c r="AX110" s="178"/>
      <c r="AY110" s="178"/>
      <c r="AZ110" s="178"/>
      <c r="BA110" s="178"/>
      <c r="BB110" s="178"/>
      <c r="BC110" s="178"/>
      <c r="BD110" s="178"/>
      <c r="BE110" s="178"/>
      <c r="BF110" s="178"/>
      <c r="BG110" s="178"/>
      <c r="BH110" s="178"/>
      <c r="BI110" s="178"/>
      <c r="BJ110" s="178"/>
      <c r="BK110" s="178"/>
      <c r="BL110" s="178"/>
      <c r="BM110" s="178"/>
      <c r="BN110" s="178"/>
      <c r="BO110" s="178"/>
      <c r="BP110" s="178"/>
      <c r="BQ110" s="178"/>
      <c r="BR110" s="178"/>
      <c r="BS110" s="178"/>
      <c r="BT110" s="178"/>
      <c r="BU110" s="178"/>
      <c r="BV110" s="178"/>
      <c r="BW110" s="178"/>
      <c r="BX110" s="178"/>
      <c r="BY110" s="178"/>
      <c r="BZ110" s="178"/>
      <c r="CA110" s="178"/>
      <c r="CB110" s="178"/>
      <c r="CC110" s="178"/>
      <c r="CD110" s="178"/>
      <c r="CE110" s="178"/>
      <c r="CF110" s="8"/>
      <c r="EA110" s="1">
        <f t="shared" si="420"/>
        <v>22</v>
      </c>
      <c r="EB110" s="1" t="str">
        <f t="shared" si="455"/>
        <v>9.37519293110551E-06-0.0206254244484322i</v>
      </c>
      <c r="EC110" s="1" t="str">
        <f t="shared" si="456"/>
        <v>0.0000183677249262476-0.0404089948377447i</v>
      </c>
      <c r="ED110" s="1" t="str">
        <f t="shared" si="457"/>
        <v>0.0000453931535286696-0.0998649377630727i</v>
      </c>
      <c r="EE110" s="1" t="str">
        <f t="shared" si="458"/>
        <v>0.0000633941617246184-0.139467155794161i</v>
      </c>
      <c r="EF110" s="1" t="str">
        <f t="shared" si="459"/>
        <v>0.399308299823344i</v>
      </c>
      <c r="EG110" s="1" t="str">
        <f t="shared" si="460"/>
        <v>0.399141990660569i</v>
      </c>
      <c r="EH110" s="1" t="str">
        <f t="shared" si="461"/>
        <v>0.399459833585295i</v>
      </c>
      <c r="EI110" s="1" t="str">
        <f t="shared" si="462"/>
        <v>0.399420812728338i</v>
      </c>
      <c r="EJ110" s="1" t="str">
        <f t="shared" si="450"/>
        <v>0.005</v>
      </c>
      <c r="EK110" s="1" t="str">
        <f t="shared" si="451"/>
        <v>0.01</v>
      </c>
      <c r="EL110" s="1" t="str">
        <f t="shared" si="452"/>
        <v>0.0125</v>
      </c>
      <c r="EM110" s="1" t="str">
        <f t="shared" si="493"/>
        <v>0.00500937519293111+0.378682875374912i</v>
      </c>
      <c r="EN110" s="1" t="str">
        <f t="shared" si="494"/>
        <v>-0.005</v>
      </c>
      <c r="EO110" s="1" t="str">
        <f t="shared" si="495"/>
        <v>0.0674972439261062-148.493936637434i</v>
      </c>
      <c r="EP110" s="1" t="str">
        <f t="shared" si="496"/>
        <v>-0.005</v>
      </c>
      <c r="EQ110" s="1" t="str">
        <f t="shared" si="497"/>
        <v>0.0150183677249262+0.358732995822824i</v>
      </c>
      <c r="ER110" s="1" t="str">
        <f t="shared" si="498"/>
        <v>-0.01</v>
      </c>
      <c r="ES110" s="1" t="str">
        <f t="shared" si="499"/>
        <v>0.132239498304209-290.926896269259i</v>
      </c>
      <c r="ET110" s="1" t="str">
        <f t="shared" si="500"/>
        <v>-0.01</v>
      </c>
      <c r="EU110" s="1" t="str">
        <f t="shared" si="501"/>
        <v>0.0225453931535287+0.299594895822222i</v>
      </c>
      <c r="EV110" s="1" t="str">
        <f t="shared" si="502"/>
        <v>-0.0125</v>
      </c>
      <c r="EW110" s="1" t="str">
        <f t="shared" si="503"/>
        <v>0.326810635132018-718.983397290437i</v>
      </c>
      <c r="EX110" s="1" t="str">
        <f t="shared" si="504"/>
        <v>-0.0125</v>
      </c>
      <c r="EY110" s="1" t="str">
        <f t="shared" si="505"/>
        <v>0.0125633941617246+0.259953656934177i</v>
      </c>
      <c r="EZ110" s="1" t="str">
        <f t="shared" si="506"/>
        <v>0.456409935119386-1004.10185726265i</v>
      </c>
      <c r="FB110" s="1" t="str">
        <f t="shared" si="507"/>
        <v>0.00500937519293111+0.378682875374912i</v>
      </c>
      <c r="FC110" s="1" t="str">
        <f t="shared" si="508"/>
        <v>0.0674972439261062-148.493936637434i</v>
      </c>
      <c r="FD110" s="1" t="str">
        <f t="shared" si="509"/>
        <v>-0.000174632970706223+0.0132013500557144i</v>
      </c>
      <c r="FE110" s="1" t="str">
        <f t="shared" si="510"/>
        <v>0.0150174945600727+0.358799002573103i</v>
      </c>
      <c r="FF110" s="1" t="str">
        <f t="shared" si="511"/>
        <v>-1.82806915315341-290.953719261291i</v>
      </c>
      <c r="FG110" s="1" t="str">
        <f t="shared" si="512"/>
        <v>-0.00116448764123375+0.0278220180145251i</v>
      </c>
      <c r="FH110" s="1" t="str">
        <f t="shared" si="513"/>
        <v>0.0225337482771164+0.299873116002367i</v>
      </c>
      <c r="FI110" s="1" t="str">
        <f t="shared" si="514"/>
        <v>-7.77023774748486-719.271348727777i</v>
      </c>
      <c r="FJ110" s="1" t="str">
        <f t="shared" si="515"/>
        <v>-0.0031147483905719+0.0414502413871679i</v>
      </c>
      <c r="FK110" s="1" t="str">
        <f t="shared" si="516"/>
        <v>0.0125244598068425+0.260471784951517i</v>
      </c>
      <c r="FL110" s="1" t="str">
        <f t="shared" si="517"/>
        <v>-29.3446075030355-1006.35485602192i</v>
      </c>
      <c r="FM110" s="1" t="str">
        <f t="shared" si="518"/>
        <v>-3860.07731198681-72.9475388122542i</v>
      </c>
      <c r="FN110" s="1" t="str">
        <f t="shared" si="519"/>
        <v>-2402.10073174004+6.31223948064051i</v>
      </c>
      <c r="FO110" s="1" t="str">
        <f t="shared" si="520"/>
        <v>-812.326435636256+38.0434966220453i</v>
      </c>
      <c r="FP110" s="1" t="str">
        <f t="shared" si="521"/>
        <v>-391.701363753911+5.36585087883185i</v>
      </c>
      <c r="FQ110" s="92" t="str">
        <f t="shared" si="522"/>
        <v>-0.0395034321202236-156.572993827776i</v>
      </c>
      <c r="FR110" s="1" t="str">
        <f t="shared" si="523"/>
        <v>-2.14262879153194-156.409605599059i</v>
      </c>
      <c r="FS110" s="1" t="str">
        <f t="shared" si="524"/>
        <v>2.10312535941173-0.163388228716068i</v>
      </c>
      <c r="FT110" s="1" t="str">
        <f t="shared" si="525"/>
        <v>-1.39013937178569-323.752889785929i</v>
      </c>
      <c r="FU110" s="1" t="str">
        <f t="shared" si="526"/>
        <v>-0.194521840440552-958.869323898743i</v>
      </c>
      <c r="FV110" s="1" t="str">
        <f t="shared" si="527"/>
        <v>10.8749020608343-1542.45123666294i</v>
      </c>
      <c r="FW110" s="1" t="str">
        <f t="shared" si="528"/>
        <v>-2.14262879153194-156.409605599059i</v>
      </c>
      <c r="FX110" s="1" t="str">
        <f t="shared" si="529"/>
        <v>-15.1847569734118-324.23359058606i</v>
      </c>
      <c r="FY110" s="1" t="str">
        <f t="shared" si="530"/>
        <v>-2.52148613248719-959.542758555992i</v>
      </c>
      <c r="FZ110" s="1" t="str">
        <f t="shared" si="531"/>
        <v>29.1367652389225-1541.79521714799i</v>
      </c>
      <c r="GA110" s="1" t="str">
        <f t="shared" si="532"/>
        <v>2.10312535941173-0.163388228716068i</v>
      </c>
      <c r="GB110" s="1" t="str">
        <f t="shared" si="533"/>
        <v>15.8977429610378+0.317312571414048i</v>
      </c>
      <c r="GC110" s="1" t="str">
        <f t="shared" si="534"/>
        <v>18.2247072530846+0.990747228661184i</v>
      </c>
      <c r="GD110" s="92" t="str">
        <f t="shared" si="535"/>
        <v>9.25073741648783-2981.64644417539i</v>
      </c>
      <c r="GE110" s="1" t="str">
        <f t="shared" si="463"/>
        <v>0.00749144697601083+2.41460169412437i</v>
      </c>
      <c r="GF110" s="1">
        <f t="shared" si="464"/>
        <v>22</v>
      </c>
      <c r="GG110" s="56">
        <f t="shared" si="465"/>
        <v>0.18623309950015546</v>
      </c>
      <c r="GH110" s="1">
        <f t="shared" si="466"/>
        <v>0.81376702549909952</v>
      </c>
      <c r="GJ110" s="1">
        <f t="shared" si="536"/>
        <v>2981.6607946254544</v>
      </c>
      <c r="GK110" s="1">
        <f t="shared" si="537"/>
        <v>2.4146133154288023</v>
      </c>
      <c r="GM110" s="1" t="str">
        <f t="shared" si="467"/>
        <v>0.0191834803010191+10.5509141655605i</v>
      </c>
      <c r="GP110" s="1">
        <f t="shared" si="453"/>
        <v>22</v>
      </c>
      <c r="GQ110" s="1">
        <f t="shared" si="454"/>
        <v>2.4146133154288023</v>
      </c>
      <c r="GR110" s="1">
        <f t="shared" si="468"/>
        <v>10.550931605073632</v>
      </c>
      <c r="GS110" s="1">
        <f t="shared" si="469"/>
        <v>1.9649326954270232</v>
      </c>
    </row>
    <row r="111" spans="2:201" ht="18" customHeight="1" x14ac:dyDescent="0.25">
      <c r="B111" s="6"/>
      <c r="L111" s="35" t="s">
        <v>122</v>
      </c>
      <c r="M111" s="231">
        <v>95</v>
      </c>
      <c r="N111" s="231"/>
      <c r="O111" s="231"/>
      <c r="P111" s="231"/>
      <c r="Q111" s="231"/>
      <c r="R111" s="231"/>
      <c r="S111" s="231"/>
      <c r="T111" s="231"/>
      <c r="U111" s="231"/>
      <c r="V111" s="231"/>
      <c r="AP111" s="8"/>
      <c r="AR111" s="6"/>
      <c r="AS111" s="233" t="s">
        <v>468</v>
      </c>
      <c r="AT111" s="233"/>
      <c r="AU111" s="233"/>
      <c r="AV111" s="233"/>
      <c r="AW111" s="233"/>
      <c r="AX111" s="233"/>
      <c r="AY111" s="233"/>
      <c r="AZ111" s="233"/>
      <c r="BA111" s="233"/>
      <c r="BB111" s="233"/>
      <c r="BC111" s="233"/>
      <c r="BD111" s="233"/>
      <c r="BE111" s="233"/>
      <c r="BF111" s="233"/>
      <c r="BG111" s="233"/>
      <c r="BH111" s="233"/>
      <c r="BI111" s="233"/>
      <c r="BJ111" s="233"/>
      <c r="BK111" s="233"/>
      <c r="BL111" s="233"/>
      <c r="BM111" s="233"/>
      <c r="BN111" s="233"/>
      <c r="BO111" s="233"/>
      <c r="BP111" s="233"/>
      <c r="BQ111" s="233"/>
      <c r="BR111" s="233"/>
      <c r="BS111" s="233"/>
      <c r="BT111" s="233"/>
      <c r="BU111" s="233"/>
      <c r="BV111" s="233"/>
      <c r="BW111" s="233"/>
      <c r="BX111" s="233"/>
      <c r="BY111" s="233"/>
      <c r="BZ111" s="233"/>
      <c r="CA111" s="233"/>
      <c r="CB111" s="233"/>
      <c r="CC111" s="233"/>
      <c r="CD111" s="233"/>
      <c r="CE111" s="233"/>
      <c r="CF111" s="8"/>
      <c r="EA111" s="1">
        <f t="shared" ref="EA111:EA174" si="538">ROUND(EA110+0.2,1)</f>
        <v>22.2</v>
      </c>
      <c r="EB111" s="1" t="str">
        <f t="shared" si="455"/>
        <v>9.20703148176124E-06-0.02043960988951i</v>
      </c>
      <c r="EC111" s="1" t="str">
        <f t="shared" si="456"/>
        <v>0.0000180382657601854-0.0400449499876116i</v>
      </c>
      <c r="ED111" s="1" t="str">
        <f t="shared" si="457"/>
        <v>0.0000445789432458749-0.0989652540058422i</v>
      </c>
      <c r="EE111" s="1" t="str">
        <f t="shared" si="458"/>
        <v>0.0000622570700195286-0.138210695443354i</v>
      </c>
      <c r="EF111" s="1" t="str">
        <f t="shared" si="459"/>
        <v>0.402938375276285i</v>
      </c>
      <c r="EG111" s="1" t="str">
        <f t="shared" si="460"/>
        <v>0.40277055421203i</v>
      </c>
      <c r="EH111" s="1" t="str">
        <f t="shared" si="461"/>
        <v>0.403091286617889i</v>
      </c>
      <c r="EI111" s="1" t="str">
        <f t="shared" si="462"/>
        <v>0.40305191102587i</v>
      </c>
      <c r="EJ111" s="1" t="str">
        <f t="shared" si="450"/>
        <v>0.005</v>
      </c>
      <c r="EK111" s="1" t="str">
        <f t="shared" si="451"/>
        <v>0.01</v>
      </c>
      <c r="EL111" s="1" t="str">
        <f t="shared" si="452"/>
        <v>0.0125</v>
      </c>
      <c r="EM111" s="1" t="str">
        <f t="shared" si="493"/>
        <v>0.00500920703148176+0.382498765386775i</v>
      </c>
      <c r="EN111" s="1" t="str">
        <f t="shared" si="494"/>
        <v>-0.005</v>
      </c>
      <c r="EO111" s="1" t="str">
        <f t="shared" si="495"/>
        <v>0.0662865558422697-147.156153969839i</v>
      </c>
      <c r="EP111" s="1" t="str">
        <f t="shared" si="496"/>
        <v>-0.005</v>
      </c>
      <c r="EQ111" s="1" t="str">
        <f t="shared" si="497"/>
        <v>0.0150180382657602+0.362725604224418i</v>
      </c>
      <c r="ER111" s="1" t="str">
        <f t="shared" si="498"/>
        <v>-0.01</v>
      </c>
      <c r="ES111" s="1" t="str">
        <f t="shared" si="499"/>
        <v>0.129867537976692-288.305934308257i</v>
      </c>
      <c r="ET111" s="1" t="str">
        <f t="shared" si="500"/>
        <v>-0.01</v>
      </c>
      <c r="EU111" s="1" t="str">
        <f t="shared" si="501"/>
        <v>0.0225445789432459+0.304126032612047i</v>
      </c>
      <c r="EV111" s="1" t="str">
        <f t="shared" si="502"/>
        <v>-0.0125</v>
      </c>
      <c r="EW111" s="1" t="str">
        <f t="shared" si="503"/>
        <v>0.320948681093441-712.506072027438i</v>
      </c>
      <c r="EX111" s="1" t="str">
        <f t="shared" si="504"/>
        <v>-0.0125</v>
      </c>
      <c r="EY111" s="1" t="str">
        <f t="shared" si="505"/>
        <v>0.0125622570700195+0.264841215582516i</v>
      </c>
      <c r="EZ111" s="1" t="str">
        <f t="shared" si="506"/>
        <v>0.448223377600111-995.05589827225i</v>
      </c>
      <c r="FB111" s="1" t="str">
        <f t="shared" si="507"/>
        <v>0.00500920703148176+0.382498765386775i</v>
      </c>
      <c r="FC111" s="1" t="str">
        <f t="shared" si="508"/>
        <v>0.0662865558422697-147.156153969839i</v>
      </c>
      <c r="FD111" s="1" t="str">
        <f t="shared" si="509"/>
        <v>-0.000171160849385578+0.0130696960938285i</v>
      </c>
      <c r="FE111" s="1" t="str">
        <f t="shared" si="510"/>
        <v>0.0150171824615133+0.362790952704887i</v>
      </c>
      <c r="FF111" s="1" t="str">
        <f t="shared" si="511"/>
        <v>-1.79340732708254-288.331988025703i</v>
      </c>
      <c r="FG111" s="1" t="str">
        <f t="shared" si="512"/>
        <v>-0.00113902188601998+0.0275169351001721i</v>
      </c>
      <c r="FH111" s="1" t="str">
        <f t="shared" si="513"/>
        <v>0.0225331887243857+0.304401201963049i</v>
      </c>
      <c r="FI111" s="1" t="str">
        <f t="shared" si="514"/>
        <v>-7.61510665090953-712.785139399211i</v>
      </c>
      <c r="FJ111" s="1" t="str">
        <f t="shared" si="515"/>
        <v>-0.00302319845654431+0.0408404356436691i</v>
      </c>
      <c r="FK111" s="1" t="str">
        <f t="shared" si="516"/>
        <v>0.0125244670893127+0.265351721028062i</v>
      </c>
      <c r="FL111" s="1" t="str">
        <f t="shared" si="517"/>
        <v>-28.6498647112026-997.223053213437i</v>
      </c>
      <c r="FM111" s="1" t="str">
        <f t="shared" si="518"/>
        <v>-3754.84897963128-69.2575789157409i</v>
      </c>
      <c r="FN111" s="1" t="str">
        <f t="shared" si="519"/>
        <v>-2344.85837069997+5.62935588398383i</v>
      </c>
      <c r="FO111" s="1" t="str">
        <f t="shared" si="520"/>
        <v>-796.121475583625+36.6229903878601i</v>
      </c>
      <c r="FP111" s="1" t="str">
        <f t="shared" si="521"/>
        <v>-384.312586485404+5.20059067263857i</v>
      </c>
      <c r="FQ111" s="92" t="str">
        <f t="shared" si="522"/>
        <v>-0.0364731106188789-155.011401195231i</v>
      </c>
      <c r="FR111" s="1" t="str">
        <f t="shared" si="523"/>
        <v>-2.09551755610999-154.854289196655i</v>
      </c>
      <c r="FS111" s="1" t="str">
        <f t="shared" si="524"/>
        <v>2.0590444454911-0.157111998576107i</v>
      </c>
      <c r="FT111" s="1" t="str">
        <f t="shared" si="525"/>
        <v>-1.32233762974798-320.187239597301i</v>
      </c>
      <c r="FU111" s="1" t="str">
        <f t="shared" si="526"/>
        <v>-0.131630645627253-944.565827242222i</v>
      </c>
      <c r="FV111" s="1" t="str">
        <f t="shared" si="527"/>
        <v>10.2541274201053-1514.01187525792i</v>
      </c>
      <c r="FW111" s="1" t="str">
        <f t="shared" si="528"/>
        <v>-2.09551755610999-154.854289196655i</v>
      </c>
      <c r="FX111" s="1" t="str">
        <f t="shared" si="529"/>
        <v>-14.7506621354203-320.654287940916i</v>
      </c>
      <c r="FY111" s="1" t="str">
        <f t="shared" si="530"/>
        <v>-2.26914430610503-945.191977582178i</v>
      </c>
      <c r="FZ111" s="1" t="str">
        <f t="shared" si="531"/>
        <v>27.9143995350144-1513.39905685393i</v>
      </c>
      <c r="GA111" s="1" t="str">
        <f t="shared" si="532"/>
        <v>2.0590444454911-0.157111998576107i</v>
      </c>
      <c r="GB111" s="1" t="str">
        <f t="shared" si="533"/>
        <v>15.4873689511634+0.309936345038763i</v>
      </c>
      <c r="GC111" s="1" t="str">
        <f t="shared" si="534"/>
        <v>17.6248826116414+0.936086684996559i</v>
      </c>
      <c r="GD111" s="92" t="str">
        <f t="shared" si="535"/>
        <v>8.76368603411119-2933.77634329267i</v>
      </c>
      <c r="GE111" s="1" t="str">
        <f t="shared" si="463"/>
        <v>0.00733051955301051+2.4540022046611i</v>
      </c>
      <c r="GF111" s="1">
        <f t="shared" si="464"/>
        <v>22.2</v>
      </c>
      <c r="GG111" s="56">
        <f t="shared" si="465"/>
        <v>0.18731694260289827</v>
      </c>
      <c r="GH111" s="1">
        <f t="shared" si="466"/>
        <v>0.81268316434421206</v>
      </c>
      <c r="GJ111" s="1">
        <f t="shared" si="536"/>
        <v>2933.7894325695247</v>
      </c>
      <c r="GK111" s="1">
        <f t="shared" si="537"/>
        <v>2.4540131533874177</v>
      </c>
      <c r="GM111" s="1" t="str">
        <f t="shared" si="467"/>
        <v>0.0191834803010191+10.6468315670656i</v>
      </c>
      <c r="GP111" s="1">
        <f t="shared" si="453"/>
        <v>22.2</v>
      </c>
      <c r="GQ111" s="1">
        <f t="shared" si="454"/>
        <v>2.4540131533874177</v>
      </c>
      <c r="GR111" s="1">
        <f t="shared" si="468"/>
        <v>10.646848849466261</v>
      </c>
      <c r="GS111" s="1">
        <f t="shared" si="469"/>
        <v>1.9943351748372034</v>
      </c>
    </row>
    <row r="112" spans="2:201" ht="18" customHeight="1" x14ac:dyDescent="0.25">
      <c r="B112" s="6"/>
      <c r="L112" s="35" t="s">
        <v>124</v>
      </c>
      <c r="M112" s="231">
        <v>35</v>
      </c>
      <c r="N112" s="231"/>
      <c r="O112" s="231"/>
      <c r="P112" s="231"/>
      <c r="Q112" s="231"/>
      <c r="R112" s="231"/>
      <c r="S112" s="231"/>
      <c r="T112" s="231"/>
      <c r="U112" s="231"/>
      <c r="V112" s="231"/>
      <c r="AP112" s="8"/>
      <c r="AR112" s="6"/>
      <c r="AS112" s="153"/>
      <c r="AT112" s="153"/>
      <c r="AU112" s="153"/>
      <c r="AV112" s="153"/>
      <c r="AW112" s="153"/>
      <c r="AX112" s="153"/>
      <c r="AY112" s="153"/>
      <c r="AZ112" s="153"/>
      <c r="BA112" s="153"/>
      <c r="BB112" s="153"/>
      <c r="BC112" s="153"/>
      <c r="BD112" s="153"/>
      <c r="BE112" s="153"/>
      <c r="BF112" s="153"/>
      <c r="BG112" s="153"/>
      <c r="BH112" s="153"/>
      <c r="BI112" s="153"/>
      <c r="BJ112" s="153"/>
      <c r="BK112" s="153"/>
      <c r="BL112" s="153"/>
      <c r="BM112" s="153"/>
      <c r="BN112" s="153"/>
      <c r="BO112" s="153"/>
      <c r="BP112" s="153"/>
      <c r="BQ112" s="153"/>
      <c r="BR112" s="153"/>
      <c r="BS112" s="153"/>
      <c r="BT112" s="153"/>
      <c r="BU112" s="153"/>
      <c r="BV112" s="153"/>
      <c r="BW112" s="153"/>
      <c r="BX112" s="153"/>
      <c r="BY112" s="153"/>
      <c r="BZ112" s="153"/>
      <c r="CA112" s="153"/>
      <c r="CB112" s="153"/>
      <c r="CC112" s="153"/>
      <c r="CD112" s="153"/>
      <c r="CE112" s="153"/>
      <c r="CF112" s="8"/>
      <c r="EA112" s="1">
        <f t="shared" si="538"/>
        <v>22.4</v>
      </c>
      <c r="EB112" s="1" t="str">
        <f t="shared" si="455"/>
        <v>9.04335421683463E-06-0.0202571134457096i</v>
      </c>
      <c r="EC112" s="1" t="str">
        <f t="shared" si="456"/>
        <v>0.000017717591935023-0.0396874059344515i</v>
      </c>
      <c r="ED112" s="1" t="str">
        <f t="shared" si="457"/>
        <v>0.0000437864446519187-0.098081636020298i</v>
      </c>
      <c r="EE112" s="1" t="str">
        <f t="shared" si="458"/>
        <v>0.0000611502999424058-0.136976671870989i</v>
      </c>
      <c r="EF112" s="1" t="str">
        <f t="shared" si="459"/>
        <v>0.406568450729224i</v>
      </c>
      <c r="EG112" s="1" t="str">
        <f t="shared" si="460"/>
        <v>0.406399117763488i</v>
      </c>
      <c r="EH112" s="1" t="str">
        <f t="shared" si="461"/>
        <v>0.406722739650482i</v>
      </c>
      <c r="EI112" s="1" t="str">
        <f t="shared" si="462"/>
        <v>0.4066830093234i</v>
      </c>
      <c r="EJ112" s="1" t="str">
        <f t="shared" si="450"/>
        <v>0.005</v>
      </c>
      <c r="EK112" s="1" t="str">
        <f t="shared" si="451"/>
        <v>0.01</v>
      </c>
      <c r="EL112" s="1" t="str">
        <f t="shared" si="452"/>
        <v>0.0125</v>
      </c>
      <c r="EM112" s="1" t="str">
        <f t="shared" si="493"/>
        <v>0.00500904335421684+0.386311337283514i</v>
      </c>
      <c r="EN112" s="1" t="str">
        <f t="shared" si="494"/>
        <v>-0.005</v>
      </c>
      <c r="EO112" s="1" t="str">
        <f t="shared" si="495"/>
        <v>0.0651081519035887-145.842260264039i</v>
      </c>
      <c r="EP112" s="1" t="str">
        <f t="shared" si="496"/>
        <v>-0.005</v>
      </c>
      <c r="EQ112" s="1" t="str">
        <f t="shared" si="497"/>
        <v>0.015017717591935+0.366711711829037i</v>
      </c>
      <c r="ER112" s="1" t="str">
        <f t="shared" si="498"/>
        <v>-0.01</v>
      </c>
      <c r="ES112" s="1" t="str">
        <f t="shared" si="499"/>
        <v>0.127558828219276-285.731775211178i</v>
      </c>
      <c r="ET112" s="1" t="str">
        <f t="shared" si="500"/>
        <v>-0.01</v>
      </c>
      <c r="EU112" s="1" t="str">
        <f t="shared" si="501"/>
        <v>0.0225437864446519+0.308641103630184i</v>
      </c>
      <c r="EV112" s="1" t="str">
        <f t="shared" si="502"/>
        <v>-0.0125</v>
      </c>
      <c r="EW112" s="1" t="str">
        <f t="shared" si="503"/>
        <v>0.315243041614825-706.144413217208i</v>
      </c>
      <c r="EX112" s="1" t="str">
        <f t="shared" si="504"/>
        <v>-0.0125</v>
      </c>
      <c r="EY112" s="1" t="str">
        <f t="shared" si="505"/>
        <v>0.0125611502999424+0.269706337452411i</v>
      </c>
      <c r="EZ112" s="1" t="str">
        <f t="shared" si="506"/>
        <v>0.440255122395696-986.171474166359i</v>
      </c>
      <c r="FB112" s="1" t="str">
        <f t="shared" si="507"/>
        <v>0.00500904335421684+0.386311337283514i</v>
      </c>
      <c r="FC112" s="1" t="str">
        <f t="shared" si="508"/>
        <v>0.0651081519035887-145.842260264039i</v>
      </c>
      <c r="FD112" s="1" t="str">
        <f t="shared" si="509"/>
        <v>-0.000167794173902802+0.0129407527795112i</v>
      </c>
      <c r="FE112" s="1" t="str">
        <f t="shared" si="510"/>
        <v>0.0150168786210655+0.366776415592935i</v>
      </c>
      <c r="FF112" s="1" t="str">
        <f t="shared" si="511"/>
        <v>-1.75973888189422-285.757089241257i</v>
      </c>
      <c r="FG112" s="1" t="str">
        <f t="shared" si="512"/>
        <v>-0.00111442144368632+0.0272189389612426i</v>
      </c>
      <c r="FH112" s="1" t="str">
        <f t="shared" si="513"/>
        <v>0.022532642230215+0.308913293019796i</v>
      </c>
      <c r="FI112" s="1" t="str">
        <f t="shared" si="514"/>
        <v>-7.46472281893057-706.41496881993i</v>
      </c>
      <c r="FJ112" s="1" t="str">
        <f t="shared" si="515"/>
        <v>-0.00293592129361312+0.0402502780451023i</v>
      </c>
      <c r="FK112" s="1" t="str">
        <f t="shared" si="516"/>
        <v>0.0125244512837722+0.270209465927975i</v>
      </c>
      <c r="FL112" s="1" t="str">
        <f t="shared" si="517"/>
        <v>-27.981328320834-988.257347205566i</v>
      </c>
      <c r="FM112" s="1" t="str">
        <f t="shared" si="518"/>
        <v>-3654.32386692597-65.8269793196201i</v>
      </c>
      <c r="FN112" s="1" t="str">
        <f t="shared" si="519"/>
        <v>-2289.80354138711+5.01256247283275i</v>
      </c>
      <c r="FO112" s="1" t="str">
        <f t="shared" si="520"/>
        <v>-780.411955590904+35.2760486611767i</v>
      </c>
      <c r="FP112" s="1" t="str">
        <f t="shared" si="521"/>
        <v>-377.13399197733+5.04223128315304i</v>
      </c>
      <c r="FQ112" s="92" t="str">
        <f t="shared" si="522"/>
        <v>-0.0336223429420885-153.48195192244i</v>
      </c>
      <c r="FR112" s="1" t="str">
        <f t="shared" si="523"/>
        <v>-2.05001216100996-153.330782835551i</v>
      </c>
      <c r="FS112" s="1" t="str">
        <f t="shared" si="524"/>
        <v>2.01638981806787-0.151169086890119i</v>
      </c>
      <c r="FT112" s="1" t="str">
        <f t="shared" si="525"/>
        <v>-1.25862901418994-316.704926295449i</v>
      </c>
      <c r="FU112" s="1" t="str">
        <f t="shared" si="526"/>
        <v>-0.0761349303458481-930.732310203817i</v>
      </c>
      <c r="FV112" s="1" t="str">
        <f t="shared" si="527"/>
        <v>9.68047866946689-1486.72457005707i</v>
      </c>
      <c r="FW112" s="1" t="str">
        <f t="shared" si="528"/>
        <v>-2.05001216100996-153.330782835551i</v>
      </c>
      <c r="FX112" s="1" t="str">
        <f t="shared" si="529"/>
        <v>-14.3361550540841-317.158730244222i</v>
      </c>
      <c r="FY112" s="1" t="str">
        <f t="shared" si="530"/>
        <v>-2.03872314161973-931.315169614341i</v>
      </c>
      <c r="FZ112" s="1" t="str">
        <f t="shared" si="531"/>
        <v>26.7707140443723-1486.15142724378i</v>
      </c>
      <c r="GA112" s="1" t="str">
        <f t="shared" si="532"/>
        <v>2.01638981806787-0.151169086890119i</v>
      </c>
      <c r="GB112" s="1" t="str">
        <f t="shared" si="533"/>
        <v>15.0939158579621+0.30263486188344i</v>
      </c>
      <c r="GC112" s="1" t="str">
        <f t="shared" si="534"/>
        <v>17.0565040692358+0.88549427240566i</v>
      </c>
      <c r="GD112" s="92" t="str">
        <f t="shared" si="535"/>
        <v>8.31209238198901-2887.64375847878i</v>
      </c>
      <c r="GE112" s="1" t="str">
        <f t="shared" si="463"/>
        <v>0.00717670938761826+2.493208583013i</v>
      </c>
      <c r="GF112" s="1">
        <f t="shared" si="464"/>
        <v>22.4</v>
      </c>
      <c r="GG112" s="56">
        <f t="shared" si="465"/>
        <v>0.18836672435258217</v>
      </c>
      <c r="GH112" s="1">
        <f t="shared" si="466"/>
        <v>0.81163336693294552</v>
      </c>
      <c r="GJ112" s="1">
        <f t="shared" si="536"/>
        <v>2887.6557216470978</v>
      </c>
      <c r="GK112" s="1">
        <f t="shared" si="537"/>
        <v>2.4932189120827974</v>
      </c>
      <c r="GM112" s="1" t="str">
        <f t="shared" si="467"/>
        <v>0.0191834803010191+10.7427489685707i</v>
      </c>
      <c r="GP112" s="1">
        <f t="shared" si="453"/>
        <v>22.4</v>
      </c>
      <c r="GQ112" s="1">
        <f t="shared" si="454"/>
        <v>2.4932189120827974</v>
      </c>
      <c r="GR112" s="1">
        <f t="shared" si="468"/>
        <v>10.742766096664457</v>
      </c>
      <c r="GS112" s="1">
        <f t="shared" si="469"/>
        <v>2.0235796601146583</v>
      </c>
    </row>
    <row r="113" spans="2:201" ht="18" customHeight="1" x14ac:dyDescent="0.25">
      <c r="B113" s="6"/>
      <c r="L113" s="35" t="s">
        <v>129</v>
      </c>
      <c r="M113" s="231" t="s">
        <v>130</v>
      </c>
      <c r="N113" s="231"/>
      <c r="O113" s="231"/>
      <c r="P113" s="231"/>
      <c r="Q113" s="231"/>
      <c r="R113" s="231"/>
      <c r="S113" s="231"/>
      <c r="T113" s="231"/>
      <c r="U113" s="231"/>
      <c r="V113" s="231"/>
      <c r="AP113" s="8"/>
      <c r="AR113" s="6"/>
      <c r="AS113" s="153"/>
      <c r="AT113" s="153"/>
      <c r="AU113" s="153"/>
      <c r="AV113" s="153"/>
      <c r="AW113" s="153"/>
      <c r="AX113" s="153"/>
      <c r="AY113" s="153"/>
      <c r="AZ113" s="153"/>
      <c r="BA113" s="153"/>
      <c r="BB113" s="153"/>
      <c r="BC113" s="153"/>
      <c r="BD113" s="153"/>
      <c r="BE113" s="153"/>
      <c r="BF113" s="153"/>
      <c r="BG113" s="153"/>
      <c r="BH113" s="153"/>
      <c r="BI113" s="153"/>
      <c r="BJ113" s="153"/>
      <c r="BK113" s="153"/>
      <c r="BL113" s="153"/>
      <c r="BM113" s="153"/>
      <c r="BN113" s="153"/>
      <c r="BO113" s="153"/>
      <c r="BP113" s="153"/>
      <c r="BQ113" s="153"/>
      <c r="BR113" s="153"/>
      <c r="BS113" s="153"/>
      <c r="BT113" s="153"/>
      <c r="BU113" s="153"/>
      <c r="BV113" s="153"/>
      <c r="BW113" s="153"/>
      <c r="BX113" s="153"/>
      <c r="BY113" s="153"/>
      <c r="BZ113" s="153"/>
      <c r="CA113" s="153"/>
      <c r="CB113" s="153"/>
      <c r="CC113" s="153"/>
      <c r="CD113" s="153"/>
      <c r="CE113" s="153"/>
      <c r="CF113" s="8"/>
      <c r="EA113" s="1">
        <f t="shared" si="538"/>
        <v>22.6</v>
      </c>
      <c r="EB113" s="1" t="str">
        <f t="shared" si="455"/>
        <v>8.88400310864997E-06-0.020077847025549i</v>
      </c>
      <c r="EC113" s="1" t="str">
        <f t="shared" si="456"/>
        <v>0.0000174053938455184-0.0393361900908715i</v>
      </c>
      <c r="ED113" s="1" t="str">
        <f t="shared" si="457"/>
        <v>0.0000430148926025958-0.0972136572818669i</v>
      </c>
      <c r="EE113" s="1" t="str">
        <f t="shared" si="458"/>
        <v>0.000060072782925157-0.135764489410855i</v>
      </c>
      <c r="EF113" s="1" t="str">
        <f t="shared" si="459"/>
        <v>0.410198526182163i</v>
      </c>
      <c r="EG113" s="1" t="str">
        <f t="shared" si="460"/>
        <v>0.410027681314948i</v>
      </c>
      <c r="EH113" s="1" t="str">
        <f t="shared" si="461"/>
        <v>0.410354192683076i</v>
      </c>
      <c r="EI113" s="1" t="str">
        <f t="shared" si="462"/>
        <v>0.41031410762093i</v>
      </c>
      <c r="EJ113" s="1" t="str">
        <f t="shared" si="450"/>
        <v>0.005</v>
      </c>
      <c r="EK113" s="1" t="str">
        <f t="shared" si="451"/>
        <v>0.01</v>
      </c>
      <c r="EL113" s="1" t="str">
        <f t="shared" si="452"/>
        <v>0.0125</v>
      </c>
      <c r="EM113" s="1" t="str">
        <f t="shared" si="493"/>
        <v>0.00500888400310865+0.390120679156614i</v>
      </c>
      <c r="EN113" s="1" t="str">
        <f t="shared" si="494"/>
        <v>-0.005</v>
      </c>
      <c r="EO113" s="1" t="str">
        <f t="shared" si="495"/>
        <v>0.0639608943806688-144.551621300312i</v>
      </c>
      <c r="EP113" s="1" t="str">
        <f t="shared" si="496"/>
        <v>-0.005</v>
      </c>
      <c r="EQ113" s="1" t="str">
        <f t="shared" si="497"/>
        <v>0.0150174053938455+0.370691491224077i</v>
      </c>
      <c r="ER113" s="1" t="str">
        <f t="shared" si="498"/>
        <v>-0.01</v>
      </c>
      <c r="ES113" s="1" t="str">
        <f t="shared" si="499"/>
        <v>0.125311140011107-283.203176425101i</v>
      </c>
      <c r="ET113" s="1" t="str">
        <f t="shared" si="500"/>
        <v>-0.01</v>
      </c>
      <c r="EU113" s="1" t="str">
        <f t="shared" si="501"/>
        <v>0.0225430148926026+0.313140535401209i</v>
      </c>
      <c r="EV113" s="1" t="str">
        <f t="shared" si="502"/>
        <v>-0.0125</v>
      </c>
      <c r="EW113" s="1" t="str">
        <f t="shared" si="503"/>
        <v>0.309688207996196-699.895350071406i</v>
      </c>
      <c r="EX113" s="1" t="str">
        <f t="shared" si="504"/>
        <v>-0.0125</v>
      </c>
      <c r="EY113" s="1" t="str">
        <f t="shared" si="505"/>
        <v>0.0125600727829252+0.274549618210075i</v>
      </c>
      <c r="EZ113" s="1" t="str">
        <f t="shared" si="506"/>
        <v>0.432497476288333-977.444296411633i</v>
      </c>
      <c r="FB113" s="1" t="str">
        <f t="shared" si="507"/>
        <v>0.00500888400310865+0.390120679156614i</v>
      </c>
      <c r="FC113" s="1" t="str">
        <f t="shared" si="508"/>
        <v>0.0639608943806688-144.551621300312i</v>
      </c>
      <c r="FD113" s="1" t="str">
        <f t="shared" si="509"/>
        <v>-0.000164528617606386+0.0128144345130505i</v>
      </c>
      <c r="FE113" s="1" t="str">
        <f t="shared" si="510"/>
        <v>0.0150165827507575+0.370755563396642i</v>
      </c>
      <c r="FF113" s="1" t="str">
        <f t="shared" si="511"/>
        <v>-1.72702562149948-283.227778926219i</v>
      </c>
      <c r="FG113" s="1" t="str">
        <f t="shared" si="512"/>
        <v>-0.00109064622247421+0.0269277745404126i</v>
      </c>
      <c r="FH113" s="1" t="str">
        <f t="shared" si="513"/>
        <v>0.0225321084303779+0.313409813146613i</v>
      </c>
      <c r="FI113" s="1" t="str">
        <f t="shared" si="514"/>
        <v>-7.31888914048105-700.15774642203i</v>
      </c>
      <c r="FJ113" s="1" t="str">
        <f t="shared" si="515"/>
        <v>-0.00285264495838091+0.0396787955349278i</v>
      </c>
      <c r="FK113" s="1" t="str">
        <f t="shared" si="516"/>
        <v>0.0125244147209454+0.275045603154262i</v>
      </c>
      <c r="FL113" s="1" t="str">
        <f t="shared" si="517"/>
        <v>-27.3376235845365-979.453137408493i</v>
      </c>
      <c r="FM113" s="1" t="str">
        <f t="shared" si="518"/>
        <v>-3558.20522068155-62.6325746129104i</v>
      </c>
      <c r="FN113" s="1" t="str">
        <f t="shared" si="519"/>
        <v>-2236.8190216802+4.45488815220074i</v>
      </c>
      <c r="FO113" s="1" t="str">
        <f t="shared" si="520"/>
        <v>-765.177352840313+33.9977819480066i</v>
      </c>
      <c r="FP113" s="1" t="str">
        <f t="shared" si="521"/>
        <v>-370.157583523843+4.89040846335926i</v>
      </c>
      <c r="FQ113" s="92" t="str">
        <f t="shared" si="522"/>
        <v>-0.0309394975163923-151.983632084055i</v>
      </c>
      <c r="FR113" s="1" t="str">
        <f t="shared" si="523"/>
        <v>-2.00603834409875-151.838095216631i</v>
      </c>
      <c r="FS113" s="1" t="str">
        <f t="shared" si="524"/>
        <v>1.97509884658235-0.145536867423237i</v>
      </c>
      <c r="FT113" s="1" t="str">
        <f t="shared" si="525"/>
        <v>-1.19871386017582-313.302929974442i</v>
      </c>
      <c r="FU113" s="1" t="str">
        <f t="shared" si="526"/>
        <v>-0.0271712320718791-917.344899473121i</v>
      </c>
      <c r="FV113" s="1" t="str">
        <f t="shared" si="527"/>
        <v>9.14952827892256-1460.51844890345i</v>
      </c>
      <c r="FW113" s="1" t="str">
        <f t="shared" si="528"/>
        <v>-2.00603834409875-151.838095216631i</v>
      </c>
      <c r="FX113" s="1" t="str">
        <f t="shared" si="529"/>
        <v>-13.9400317019923-313.743895779823i</v>
      </c>
      <c r="FY113" s="1" t="str">
        <f t="shared" si="530"/>
        <v>-1.82808203118974-917.888063819726i</v>
      </c>
      <c r="FZ113" s="1" t="str">
        <f t="shared" si="531"/>
        <v>25.6990289602976-1459.98179985608i</v>
      </c>
      <c r="GA113" s="1" t="str">
        <f t="shared" si="532"/>
        <v>1.97509884658235-0.145536867423237i</v>
      </c>
      <c r="GB113" s="1" t="str">
        <f t="shared" si="533"/>
        <v>14.7164166883989+0.295428937958059i</v>
      </c>
      <c r="GC113" s="1" t="str">
        <f t="shared" si="534"/>
        <v>16.5173274875169+0.838593284563889i</v>
      </c>
      <c r="GD113" s="92" t="str">
        <f t="shared" si="535"/>
        <v>7.89270368915847-2843.14991043507i</v>
      </c>
      <c r="GE113" s="1" t="str">
        <f t="shared" si="463"/>
        <v>0.0070295699903432+2.53222749460296i</v>
      </c>
      <c r="GF113" s="1">
        <f t="shared" si="464"/>
        <v>22.6</v>
      </c>
      <c r="GG113" s="56">
        <f t="shared" si="465"/>
        <v>0.18938392685122982</v>
      </c>
      <c r="GH113" s="1">
        <f t="shared" si="466"/>
        <v>0.81061615085080752</v>
      </c>
      <c r="GJ113" s="1">
        <f t="shared" si="536"/>
        <v>2843.1608656526055</v>
      </c>
      <c r="GK113" s="1">
        <f t="shared" si="537"/>
        <v>2.5322372517750846</v>
      </c>
      <c r="GM113" s="1" t="str">
        <f t="shared" si="467"/>
        <v>0.0191834803010191+10.8386663700758i</v>
      </c>
      <c r="GP113" s="1">
        <f t="shared" si="453"/>
        <v>22.6</v>
      </c>
      <c r="GQ113" s="1">
        <f t="shared" si="454"/>
        <v>2.5322372517750846</v>
      </c>
      <c r="GR113" s="1">
        <f t="shared" si="468"/>
        <v>10.838683346593745</v>
      </c>
      <c r="GS113" s="1">
        <f t="shared" si="469"/>
        <v>2.0526724140749582</v>
      </c>
    </row>
    <row r="114" spans="2:201" ht="18" customHeight="1" x14ac:dyDescent="0.25">
      <c r="B114" s="6"/>
      <c r="L114" s="35" t="s">
        <v>131</v>
      </c>
      <c r="M114" s="231" t="s">
        <v>132</v>
      </c>
      <c r="N114" s="231"/>
      <c r="O114" s="231"/>
      <c r="P114" s="231"/>
      <c r="Q114" s="231"/>
      <c r="R114" s="231"/>
      <c r="S114" s="231"/>
      <c r="T114" s="231"/>
      <c r="U114" s="231"/>
      <c r="V114" s="231"/>
      <c r="AP114" s="8"/>
      <c r="AR114" s="6"/>
      <c r="AS114" s="153"/>
      <c r="AT114" s="153"/>
      <c r="AU114" s="153"/>
      <c r="AV114" s="153"/>
      <c r="AW114" s="153"/>
      <c r="AX114" s="153"/>
      <c r="AY114" s="153"/>
      <c r="AZ114" s="153"/>
      <c r="BA114" s="153"/>
      <c r="BB114" s="153"/>
      <c r="BC114" s="153"/>
      <c r="BD114" s="153"/>
      <c r="BE114" s="153"/>
      <c r="BF114" s="153"/>
      <c r="BG114" s="153"/>
      <c r="BH114" s="153"/>
      <c r="BI114" s="153"/>
      <c r="BJ114" s="153"/>
      <c r="BK114" s="153"/>
      <c r="BL114" s="153"/>
      <c r="BM114" s="153"/>
      <c r="BN114" s="153"/>
      <c r="BO114" s="153"/>
      <c r="BP114" s="153"/>
      <c r="BQ114" s="153"/>
      <c r="BR114" s="153"/>
      <c r="BS114" s="153"/>
      <c r="BT114" s="153"/>
      <c r="BU114" s="153"/>
      <c r="BV114" s="153"/>
      <c r="BW114" s="153"/>
      <c r="BX114" s="153"/>
      <c r="BY114" s="153"/>
      <c r="BZ114" s="153"/>
      <c r="CA114" s="153"/>
      <c r="CB114" s="153"/>
      <c r="CC114" s="153"/>
      <c r="CD114" s="153"/>
      <c r="CE114" s="153"/>
      <c r="CF114" s="8"/>
      <c r="EA114" s="1">
        <f t="shared" si="538"/>
        <v>22.8</v>
      </c>
      <c r="EB114" s="1" t="str">
        <f t="shared" si="455"/>
        <v>8.72882703003168E-06-0.0199017256284723i</v>
      </c>
      <c r="EC114" s="1" t="str">
        <f t="shared" si="456"/>
        <v>0.0000171013754057763-0.0389911359251701i</v>
      </c>
      <c r="ED114" s="1" t="str">
        <f t="shared" si="457"/>
        <v>0.0000422635553647966-0.0963609062317359i</v>
      </c>
      <c r="EE114" s="1" t="str">
        <f t="shared" si="458"/>
        <v>0.0000590234970602143-0.134573573297289i</v>
      </c>
      <c r="EF114" s="1" t="str">
        <f t="shared" si="459"/>
        <v>0.413828601635103i</v>
      </c>
      <c r="EG114" s="1" t="str">
        <f t="shared" si="460"/>
        <v>0.41365624486641i</v>
      </c>
      <c r="EH114" s="1" t="str">
        <f t="shared" si="461"/>
        <v>0.41398564571567i</v>
      </c>
      <c r="EI114" s="1" t="str">
        <f t="shared" si="462"/>
        <v>0.41394520591846i</v>
      </c>
      <c r="EJ114" s="1" t="str">
        <f t="shared" si="450"/>
        <v>0.005</v>
      </c>
      <c r="EK114" s="1" t="str">
        <f t="shared" si="451"/>
        <v>0.01</v>
      </c>
      <c r="EL114" s="1" t="str">
        <f t="shared" si="452"/>
        <v>0.0125</v>
      </c>
      <c r="EM114" s="1" t="str">
        <f t="shared" si="493"/>
        <v>0.00500872882703003+0.393926876006631i</v>
      </c>
      <c r="EN114" s="1" t="str">
        <f t="shared" si="494"/>
        <v>-0.005</v>
      </c>
      <c r="EO114" s="1" t="str">
        <f t="shared" si="495"/>
        <v>0.0628436952246659-143.283625112239i</v>
      </c>
      <c r="EP114" s="1" t="str">
        <f t="shared" si="496"/>
        <v>-0.005</v>
      </c>
      <c r="EQ114" s="1" t="str">
        <f t="shared" si="497"/>
        <v>0.0150171013754058+0.37466510894124i</v>
      </c>
      <c r="ER114" s="1" t="str">
        <f t="shared" si="498"/>
        <v>-0.01</v>
      </c>
      <c r="ES114" s="1" t="str">
        <f t="shared" si="499"/>
        <v>0.123122341664651-280.718938995406i</v>
      </c>
      <c r="ET114" s="1" t="str">
        <f t="shared" si="500"/>
        <v>-0.01</v>
      </c>
      <c r="EU114" s="1" t="str">
        <f t="shared" si="501"/>
        <v>0.0225422635553648+0.317624739483934i</v>
      </c>
      <c r="EV114" s="1" t="str">
        <f t="shared" si="502"/>
        <v>-0.0125</v>
      </c>
      <c r="EW114" s="1" t="str">
        <f t="shared" si="503"/>
        <v>0.304278912082696-693.755919548545i</v>
      </c>
      <c r="EX114" s="1" t="str">
        <f t="shared" si="504"/>
        <v>-0.0125</v>
      </c>
      <c r="EY114" s="1" t="str">
        <f t="shared" si="505"/>
        <v>0.0125590234970602+0.279371632621171i</v>
      </c>
      <c r="EZ114" s="1" t="str">
        <f t="shared" si="506"/>
        <v>0.424943081995361-968.870226949426i</v>
      </c>
      <c r="FB114" s="1" t="str">
        <f t="shared" si="507"/>
        <v>0.00500872882703003+0.393926876006631i</v>
      </c>
      <c r="FC114" s="1" t="str">
        <f t="shared" si="508"/>
        <v>0.0628436952246659-143.283625112239i</v>
      </c>
      <c r="FD114" s="1" t="str">
        <f t="shared" si="509"/>
        <v>-0.000161360077664594+0.0126906593472524i</v>
      </c>
      <c r="FE114" s="1" t="str">
        <f t="shared" si="510"/>
        <v>0.0150162945750175+0.374728562237976i</v>
      </c>
      <c r="FF114" s="1" t="str">
        <f t="shared" si="511"/>
        <v>-1.69523119421065-280.74285678021i</v>
      </c>
      <c r="FG114" s="1" t="str">
        <f t="shared" si="512"/>
        <v>-0.00106765848074899+0.0266431991896233i</v>
      </c>
      <c r="FH114" s="1" t="str">
        <f t="shared" si="513"/>
        <v>0.0225315869705573+0.31789117147583i</v>
      </c>
      <c r="FI114" s="1" t="str">
        <f t="shared" si="514"/>
        <v>-7.17741887013765-694.010490658116i</v>
      </c>
      <c r="FJ114" s="1" t="str">
        <f t="shared" si="515"/>
        <v>-0.00277311923425251+0.0391250790798994i</v>
      </c>
      <c r="FK114" s="1" t="str">
        <f t="shared" si="516"/>
        <v>0.012524359506632+0.27986069610967i</v>
      </c>
      <c r="FL114" s="1" t="str">
        <f t="shared" si="517"/>
        <v>-26.7174683307861-970.8059997703i</v>
      </c>
      <c r="FM114" s="1" t="str">
        <f t="shared" si="518"/>
        <v>-3466.22047683965-59.6536894336203i</v>
      </c>
      <c r="FN114" s="1" t="str">
        <f t="shared" si="519"/>
        <v>-2185.79573139895+3.95018270848819i</v>
      </c>
      <c r="FO114" s="1" t="str">
        <f t="shared" si="520"/>
        <v>-750.398216067111+32.7836975484324i</v>
      </c>
      <c r="FP114" s="1" t="str">
        <f t="shared" si="521"/>
        <v>-363.375744751753+4.74478115399724i</v>
      </c>
      <c r="FQ114" s="92" t="str">
        <f t="shared" si="522"/>
        <v>-0.0284137934464863-150.515470900704i</v>
      </c>
      <c r="FR114" s="1" t="str">
        <f t="shared" si="523"/>
        <v>-1.96352615002327-150.375276318732i</v>
      </c>
      <c r="FS114" s="1" t="str">
        <f t="shared" si="524"/>
        <v>1.93511235657679-0.140194581972176i</v>
      </c>
      <c r="FT114" s="1" t="str">
        <f t="shared" si="525"/>
        <v>-1.14231842397915-309.978378482403i</v>
      </c>
      <c r="FU114" s="1" t="str">
        <f t="shared" si="526"/>
        <v>0.0160152254219568-904.381344012373i</v>
      </c>
      <c r="FV114" s="1" t="str">
        <f t="shared" si="527"/>
        <v>8.65734168356918-1435.32838138461i</v>
      </c>
      <c r="FW114" s="1" t="str">
        <f t="shared" si="528"/>
        <v>-1.96352615002327-150.375276318732i</v>
      </c>
      <c r="FX114" s="1" t="str">
        <f t="shared" si="529"/>
        <v>-13.5611812207207-310.406908212774i</v>
      </c>
      <c r="FY114" s="1" t="str">
        <f t="shared" si="530"/>
        <v>-1.63531893926836-904.888057265749i</v>
      </c>
      <c r="FZ114" s="1" t="str">
        <f t="shared" si="531"/>
        <v>24.6933587563958-1434.82534904417i</v>
      </c>
      <c r="GA114" s="1" t="str">
        <f t="shared" si="532"/>
        <v>1.93511235657679-0.140194581972176i</v>
      </c>
      <c r="GB114" s="1" t="str">
        <f t="shared" si="533"/>
        <v>14.3539751533184+0.288335148399442i</v>
      </c>
      <c r="GC114" s="1" t="str">
        <f t="shared" si="534"/>
        <v>16.0053093180088+0.795048401776356i</v>
      </c>
      <c r="GD114" s="92" t="str">
        <f t="shared" si="535"/>
        <v>7.5026246915655-2800.20357478009i</v>
      </c>
      <c r="GE114" s="1" t="str">
        <f t="shared" si="463"/>
        <v>0.00688869123237512+2.57106527481492i</v>
      </c>
      <c r="GF114" s="1">
        <f t="shared" si="464"/>
        <v>22.8</v>
      </c>
      <c r="GG114" s="56">
        <f t="shared" si="465"/>
        <v>0.19036994843132796</v>
      </c>
      <c r="GH114" s="1">
        <f t="shared" si="466"/>
        <v>0.80963011749616987</v>
      </c>
      <c r="GJ114" s="1">
        <f t="shared" si="536"/>
        <v>2800.2136257058069</v>
      </c>
      <c r="GK114" s="1">
        <f t="shared" si="537"/>
        <v>2.5710745032818512</v>
      </c>
      <c r="GM114" s="1" t="str">
        <f t="shared" si="467"/>
        <v>0.0191834803010191+10.9345837715809i</v>
      </c>
      <c r="GP114" s="1">
        <f t="shared" si="453"/>
        <v>22.8</v>
      </c>
      <c r="GQ114" s="1">
        <f t="shared" si="454"/>
        <v>2.5710745032818512</v>
      </c>
      <c r="GR114" s="1">
        <f t="shared" si="468"/>
        <v>10.934600599182252</v>
      </c>
      <c r="GS114" s="1">
        <f t="shared" si="469"/>
        <v>2.0816193521834907</v>
      </c>
    </row>
    <row r="115" spans="2:201" ht="18" customHeight="1" x14ac:dyDescent="0.25">
      <c r="B115" s="6"/>
      <c r="L115" s="35" t="s">
        <v>430</v>
      </c>
      <c r="M115" s="231" t="s">
        <v>134</v>
      </c>
      <c r="N115" s="231"/>
      <c r="O115" s="231"/>
      <c r="P115" s="231"/>
      <c r="Q115" s="231"/>
      <c r="R115" s="231"/>
      <c r="S115" s="231"/>
      <c r="T115" s="231"/>
      <c r="U115" s="231"/>
      <c r="V115" s="231"/>
      <c r="AP115" s="8"/>
      <c r="AR115" s="6"/>
      <c r="AS115" s="153"/>
      <c r="AT115" s="153"/>
      <c r="AU115" s="153"/>
      <c r="AV115" s="153"/>
      <c r="AW115" s="153"/>
      <c r="AX115" s="153"/>
      <c r="AY115" s="153"/>
      <c r="AZ115" s="153"/>
      <c r="BA115" s="153"/>
      <c r="BB115" s="153"/>
      <c r="BC115" s="153"/>
      <c r="BD115" s="153"/>
      <c r="BE115" s="153"/>
      <c r="BF115" s="153"/>
      <c r="BG115" s="153"/>
      <c r="BH115" s="153"/>
      <c r="BI115" s="153"/>
      <c r="BJ115" s="153"/>
      <c r="BK115" s="153"/>
      <c r="BL115" s="153"/>
      <c r="BM115" s="153"/>
      <c r="BN115" s="153"/>
      <c r="BO115" s="153"/>
      <c r="BP115" s="153"/>
      <c r="BQ115" s="153"/>
      <c r="BR115" s="153"/>
      <c r="BS115" s="153"/>
      <c r="BT115" s="153"/>
      <c r="BU115" s="153"/>
      <c r="BV115" s="153"/>
      <c r="BW115" s="153"/>
      <c r="BX115" s="153"/>
      <c r="BY115" s="153"/>
      <c r="BZ115" s="153"/>
      <c r="CA115" s="153"/>
      <c r="CB115" s="153"/>
      <c r="CC115" s="153"/>
      <c r="CD115" s="153"/>
      <c r="CE115" s="153"/>
      <c r="CF115" s="8"/>
      <c r="EA115" s="1">
        <f t="shared" si="538"/>
        <v>23</v>
      </c>
      <c r="EB115" s="1" t="str">
        <f t="shared" si="455"/>
        <v>8.57768139585299E-06-0.0197286672104619i</v>
      </c>
      <c r="EC115" s="1" t="str">
        <f t="shared" si="456"/>
        <v>0.0000168052533469773-0.0386520826980479i</v>
      </c>
      <c r="ED115" s="1" t="str">
        <f t="shared" si="457"/>
        <v>0.0000415317328809414-0.0955229856261652i</v>
      </c>
      <c r="EE115" s="1" t="str">
        <f t="shared" si="458"/>
        <v>0.0000580014646767202-0.133403368756457i</v>
      </c>
      <c r="EF115" s="1" t="str">
        <f t="shared" si="459"/>
        <v>0.417458677088043i</v>
      </c>
      <c r="EG115" s="1" t="str">
        <f t="shared" si="460"/>
        <v>0.417284808417868i</v>
      </c>
      <c r="EH115" s="1" t="str">
        <f t="shared" si="461"/>
        <v>0.417617098748263i</v>
      </c>
      <c r="EI115" s="1" t="str">
        <f t="shared" si="462"/>
        <v>0.417576304215991i</v>
      </c>
      <c r="EJ115" s="1" t="str">
        <f t="shared" si="450"/>
        <v>0.005</v>
      </c>
      <c r="EK115" s="1" t="str">
        <f t="shared" si="451"/>
        <v>0.01</v>
      </c>
      <c r="EL115" s="1" t="str">
        <f t="shared" si="452"/>
        <v>0.0125</v>
      </c>
      <c r="EM115" s="1" t="str">
        <f t="shared" si="493"/>
        <v>0.00500857768139585+0.397730009877581i</v>
      </c>
      <c r="EN115" s="1" t="str">
        <f t="shared" si="494"/>
        <v>-0.005</v>
      </c>
      <c r="EO115" s="1" t="str">
        <f t="shared" si="495"/>
        <v>0.0617555134865946-142.037681019168i</v>
      </c>
      <c r="EP115" s="1" t="str">
        <f t="shared" si="496"/>
        <v>-0.005</v>
      </c>
      <c r="EQ115" s="1" t="str">
        <f t="shared" si="497"/>
        <v>0.015016805253347+0.37863272571982i</v>
      </c>
      <c r="ER115" s="1" t="str">
        <f t="shared" si="498"/>
        <v>-0.01</v>
      </c>
      <c r="ES115" s="1" t="str">
        <f t="shared" si="499"/>
        <v>0.120990393769655-278.277905670207i</v>
      </c>
      <c r="ET115" s="1" t="str">
        <f t="shared" si="500"/>
        <v>-0.01</v>
      </c>
      <c r="EU115" s="1" t="str">
        <f t="shared" si="501"/>
        <v>0.0225415317328809+0.322094113122098i</v>
      </c>
      <c r="EV115" s="1" t="str">
        <f t="shared" si="502"/>
        <v>-0.0125</v>
      </c>
      <c r="EW115" s="1" t="str">
        <f t="shared" si="503"/>
        <v>0.299010113769278-687.723261669339i</v>
      </c>
      <c r="EX115" s="1" t="str">
        <f t="shared" si="504"/>
        <v>-0.0125</v>
      </c>
      <c r="EY115" s="1" t="str">
        <f t="shared" si="505"/>
        <v>0.0125580014646767+0.284172935459534i</v>
      </c>
      <c r="EZ115" s="1" t="str">
        <f t="shared" si="506"/>
        <v>0.417584900718877-960.445271653422i</v>
      </c>
      <c r="FB115" s="1" t="str">
        <f t="shared" si="507"/>
        <v>0.00500857768139585+0.397730009877581i</v>
      </c>
      <c r="FC115" s="1" t="str">
        <f t="shared" si="508"/>
        <v>0.0617555134865946-142.037681019168i</v>
      </c>
      <c r="FD115" s="1" t="str">
        <f t="shared" si="509"/>
        <v>-0.000158284661109491+0.0125693487914522i</v>
      </c>
      <c r="FE115" s="1" t="str">
        <f t="shared" si="510"/>
        <v>0.0150160138300415+0.378695572463777i</v>
      </c>
      <c r="FF115" s="1" t="str">
        <f t="shared" si="511"/>
        <v>-1.66432098553878-278.301164283001i</v>
      </c>
      <c r="FG115" s="1" t="str">
        <f t="shared" si="512"/>
        <v>-0.00104542266092942+0.0263649819138571i</v>
      </c>
      <c r="FH115" s="1" t="str">
        <f t="shared" si="513"/>
        <v>0.0225310775062716+0.322357762941237i</v>
      </c>
      <c r="FI115" s="1" t="str">
        <f t="shared" si="514"/>
        <v>-7.04013496803076-687.970324220361i</v>
      </c>
      <c r="FJ115" s="1" t="str">
        <f t="shared" si="515"/>
        <v>-0.00269711355870478+0.0385882784762753i</v>
      </c>
      <c r="FK115" s="1" t="str">
        <f t="shared" si="516"/>
        <v>0.0125242875451929+0.284655288940487i</v>
      </c>
      <c r="FL115" s="1" t="str">
        <f t="shared" si="517"/>
        <v>-26.1196653709579-962.311677672644i</v>
      </c>
      <c r="FM115" s="1" t="str">
        <f t="shared" si="518"/>
        <v>-3378.11885431511-56.8718276150024i</v>
      </c>
      <c r="FN115" s="1" t="str">
        <f t="shared" si="519"/>
        <v>-2136.63203591884+3.49300923615302i</v>
      </c>
      <c r="FO115" s="1" t="str">
        <f t="shared" si="520"/>
        <v>-736.056098603084+31.6296615523875i</v>
      </c>
      <c r="FP115" s="1" t="str">
        <f t="shared" si="521"/>
        <v>-356.781218003604+4.60502976493651i</v>
      </c>
      <c r="FQ115" s="92" t="str">
        <f t="shared" si="522"/>
        <v>-0.0260352306240501-149.076538436582i</v>
      </c>
      <c r="FR115" s="1" t="str">
        <f t="shared" si="523"/>
        <v>-1.92240963362146-148.941415277645i</v>
      </c>
      <c r="FS115" s="1" t="str">
        <f t="shared" si="524"/>
        <v>1.8963744029974-0.135123158937255i</v>
      </c>
      <c r="FT115" s="1" t="str">
        <f t="shared" si="525"/>
        <v>-1.08919229104988-306.728538408291i</v>
      </c>
      <c r="FU115" s="1" t="str">
        <f t="shared" si="526"/>
        <v>0.0540854736928136-891.820877995544i</v>
      </c>
      <c r="FV115" s="1" t="str">
        <f t="shared" si="527"/>
        <v>8.20041413329901-1411.09440822945i</v>
      </c>
      <c r="FW115" s="1" t="str">
        <f t="shared" si="528"/>
        <v>-1.92240963362146-148.941415277645i</v>
      </c>
      <c r="FX115" s="1" t="str">
        <f t="shared" si="529"/>
        <v>-13.19857726121-307.145028090391i</v>
      </c>
      <c r="FY115" s="1" t="str">
        <f t="shared" si="530"/>
        <v>-1.45874038310311-892.29407193302i</v>
      </c>
      <c r="FZ115" s="1" t="str">
        <f t="shared" si="531"/>
        <v>23.7483275894816-1410.62238638726i</v>
      </c>
      <c r="GA115" s="1" t="str">
        <f t="shared" si="532"/>
        <v>1.8963744029974-0.135123158937255i</v>
      </c>
      <c r="GB115" s="1" t="str">
        <f t="shared" si="533"/>
        <v>14.0057593731576+0.281366523162345i</v>
      </c>
      <c r="GC115" s="1" t="str">
        <f t="shared" si="534"/>
        <v>15.5185852299534+0.754560460639443i</v>
      </c>
      <c r="GD115" s="92" t="str">
        <f t="shared" si="535"/>
        <v>7.13927208531789-2758.72036306987i</v>
      </c>
      <c r="GE115" s="1" t="str">
        <f t="shared" si="463"/>
        <v>0.00675369572060122+2.60972795093729i</v>
      </c>
      <c r="GF115" s="1">
        <f t="shared" si="464"/>
        <v>23</v>
      </c>
      <c r="GG115" s="56">
        <f t="shared" si="465"/>
        <v>0.19132610955496623</v>
      </c>
      <c r="GH115" s="1">
        <f t="shared" si="466"/>
        <v>0.80867394617458976</v>
      </c>
      <c r="GJ115" s="1">
        <f t="shared" si="536"/>
        <v>2758.7296008891963</v>
      </c>
      <c r="GK115" s="1">
        <f t="shared" si="537"/>
        <v>2.609736689842336</v>
      </c>
      <c r="GM115" s="1" t="str">
        <f t="shared" si="467"/>
        <v>0.0191834803010191+11.030501173086i</v>
      </c>
      <c r="GP115" s="1">
        <f t="shared" si="453"/>
        <v>23</v>
      </c>
      <c r="GQ115" s="1">
        <f t="shared" si="454"/>
        <v>2.609736689842336</v>
      </c>
      <c r="GR115" s="1">
        <f t="shared" si="468"/>
        <v>11.030517854360605</v>
      </c>
      <c r="GS115" s="1">
        <f t="shared" si="469"/>
        <v>2.1104260674514124</v>
      </c>
    </row>
    <row r="116" spans="2:201" ht="18" customHeight="1" x14ac:dyDescent="0.25">
      <c r="B116" s="6"/>
      <c r="L116" s="35" t="s">
        <v>136</v>
      </c>
      <c r="M116" s="231" t="s">
        <v>137</v>
      </c>
      <c r="N116" s="231"/>
      <c r="O116" s="231"/>
      <c r="P116" s="231"/>
      <c r="Q116" s="231"/>
      <c r="R116" s="231"/>
      <c r="S116" s="231"/>
      <c r="T116" s="231"/>
      <c r="U116" s="231"/>
      <c r="V116" s="231"/>
      <c r="AP116" s="8"/>
      <c r="AR116" s="6"/>
      <c r="AS116" s="153"/>
      <c r="AT116" s="153"/>
      <c r="AU116" s="153"/>
      <c r="AV116" s="153"/>
      <c r="AW116" s="153"/>
      <c r="AX116" s="153"/>
      <c r="AY116" s="153"/>
      <c r="AZ116" s="153"/>
      <c r="BA116" s="153"/>
      <c r="BB116" s="153"/>
      <c r="BC116" s="153"/>
      <c r="BD116" s="153"/>
      <c r="BE116" s="153"/>
      <c r="BF116" s="153"/>
      <c r="BG116" s="153"/>
      <c r="BH116" s="153"/>
      <c r="BI116" s="153"/>
      <c r="BJ116" s="153"/>
      <c r="BK116" s="153"/>
      <c r="BL116" s="153"/>
      <c r="BM116" s="153"/>
      <c r="BN116" s="153"/>
      <c r="BO116" s="153"/>
      <c r="BP116" s="153"/>
      <c r="BQ116" s="153"/>
      <c r="BR116" s="153"/>
      <c r="BS116" s="153"/>
      <c r="BT116" s="153"/>
      <c r="BU116" s="153"/>
      <c r="BV116" s="153"/>
      <c r="BW116" s="153"/>
      <c r="BX116" s="153"/>
      <c r="BY116" s="153"/>
      <c r="BZ116" s="153"/>
      <c r="CA116" s="153"/>
      <c r="CB116" s="153"/>
      <c r="CC116" s="153"/>
      <c r="CD116" s="153"/>
      <c r="CE116" s="153"/>
      <c r="CF116" s="8"/>
      <c r="EA116" s="1">
        <f t="shared" si="538"/>
        <v>23.2</v>
      </c>
      <c r="EB116" s="1" t="str">
        <f t="shared" si="455"/>
        <v>8.43042782612142E-06-0.0195585925566017i</v>
      </c>
      <c r="EC116" s="1" t="str">
        <f t="shared" si="456"/>
        <v>0.0000165167565572991-0.0383188752129339i</v>
      </c>
      <c r="ED116" s="1" t="str">
        <f t="shared" si="457"/>
        <v>0.0000408187551377001-0.0946995119194643i</v>
      </c>
      <c r="EE116" s="1" t="str">
        <f t="shared" si="458"/>
        <v>0.0000570057500623448-0.13225334014464i</v>
      </c>
      <c r="EF116" s="1" t="str">
        <f t="shared" si="459"/>
        <v>0.421088752540981i</v>
      </c>
      <c r="EG116" s="1" t="str">
        <f t="shared" si="460"/>
        <v>0.420913371969327i</v>
      </c>
      <c r="EH116" s="1" t="str">
        <f t="shared" si="461"/>
        <v>0.421248551780857i</v>
      </c>
      <c r="EI116" s="1" t="str">
        <f t="shared" si="462"/>
        <v>0.421207402513521i</v>
      </c>
      <c r="EJ116" s="1" t="str">
        <f t="shared" si="450"/>
        <v>0.005</v>
      </c>
      <c r="EK116" s="1" t="str">
        <f t="shared" si="451"/>
        <v>0.01</v>
      </c>
      <c r="EL116" s="1" t="str">
        <f t="shared" si="452"/>
        <v>0.0125</v>
      </c>
      <c r="EM116" s="1" t="str">
        <f t="shared" si="493"/>
        <v>0.00500843042782612+0.401530159984379i</v>
      </c>
      <c r="EN116" s="1" t="str">
        <f t="shared" si="494"/>
        <v>-0.005</v>
      </c>
      <c r="EO116" s="1" t="str">
        <f t="shared" si="495"/>
        <v>0.0606953528916926-140.813218708727i</v>
      </c>
      <c r="EP116" s="1" t="str">
        <f t="shared" si="496"/>
        <v>-0.005</v>
      </c>
      <c r="EQ116" s="1" t="str">
        <f t="shared" si="497"/>
        <v>0.0150165167565573+0.382594496756393i</v>
      </c>
      <c r="ER116" s="1" t="str">
        <f t="shared" si="498"/>
        <v>-0.01</v>
      </c>
      <c r="ES116" s="1" t="str">
        <f t="shared" si="499"/>
        <v>0.118913344440867-275.878959102811i</v>
      </c>
      <c r="ET116" s="1" t="str">
        <f t="shared" si="500"/>
        <v>-0.01</v>
      </c>
      <c r="EU116" s="1" t="str">
        <f t="shared" si="501"/>
        <v>0.0225408187551377+0.326549039861393i</v>
      </c>
      <c r="EV116" s="1" t="str">
        <f t="shared" si="502"/>
        <v>-0.0125</v>
      </c>
      <c r="EW116" s="1" t="str">
        <f t="shared" si="503"/>
        <v>0.293876989256205-681.794615074396i</v>
      </c>
      <c r="EX116" s="1" t="str">
        <f t="shared" si="504"/>
        <v>-0.0125</v>
      </c>
      <c r="EY116" s="1" t="str">
        <f t="shared" si="505"/>
        <v>0.0125570057500623+0.288954062368881i</v>
      </c>
      <c r="EZ116" s="1" t="str">
        <f t="shared" si="506"/>
        <v>0.410416195743826-952.165574125676i</v>
      </c>
      <c r="FB116" s="1" t="str">
        <f t="shared" si="507"/>
        <v>0.00500843042782612+0.401530159984379i</v>
      </c>
      <c r="FC116" s="1" t="str">
        <f t="shared" si="508"/>
        <v>0.0606953528916926-140.813218708727i</v>
      </c>
      <c r="FD116" s="1" t="str">
        <f t="shared" si="509"/>
        <v>-0.000155298671897312+0.0124504276281532i</v>
      </c>
      <c r="FE116" s="1" t="str">
        <f t="shared" si="510"/>
        <v>0.0150157402631978+0.382656748894534i</v>
      </c>
      <c r="FF116" s="1" t="str">
        <f t="shared" si="511"/>
        <v>-1.63426201827175-275.901582891761i</v>
      </c>
      <c r="FG116" s="1" t="str">
        <f t="shared" si="512"/>
        <v>-0.00102390523710036+0.0260929026699526i</v>
      </c>
      <c r="FH116" s="1" t="str">
        <f t="shared" si="513"/>
        <v>0.0225305797027667+0.326809968888093i</v>
      </c>
      <c r="FI116" s="1" t="str">
        <f t="shared" si="514"/>
        <v>-6.90686948906368-682.034469510263i</v>
      </c>
      <c r="FJ116" s="1" t="str">
        <f t="shared" si="515"/>
        <v>-0.00262441517904988+0.0380675976530425i</v>
      </c>
      <c r="FK116" s="1" t="str">
        <f t="shared" si="516"/>
        <v>0.0125242005603242+0.289429907339544i</v>
      </c>
      <c r="FL116" s="1" t="str">
        <f t="shared" si="517"/>
        <v>-25.5430956376879-953.966073453458i</v>
      </c>
      <c r="FM116" s="1" t="str">
        <f t="shared" si="518"/>
        <v>-3293.669229886-54.2704052983222i</v>
      </c>
      <c r="FN116" s="1" t="str">
        <f t="shared" si="519"/>
        <v>-2089.23312059103+3.07855211677159i</v>
      </c>
      <c r="FO116" s="1" t="str">
        <f t="shared" si="520"/>
        <v>-722.133496204937+30.5318650293397i</v>
      </c>
      <c r="FP116" s="1" t="str">
        <f t="shared" si="521"/>
        <v>-350.367084139515+4.47085460053556i</v>
      </c>
      <c r="FQ116" s="92" t="str">
        <f t="shared" si="522"/>
        <v>-0.0237945262045039-147.665943443873i</v>
      </c>
      <c r="FR116" s="1" t="str">
        <f t="shared" si="523"/>
        <v>-1.88262658653162-147.535638391729i</v>
      </c>
      <c r="FS116" s="1" t="str">
        <f t="shared" si="524"/>
        <v>1.85883206032711-0.13030505214402i</v>
      </c>
      <c r="FT116" s="1" t="str">
        <f t="shared" si="525"/>
        <v>-1.03910607847785-303.55080671835i</v>
      </c>
      <c r="FU116" s="1" t="str">
        <f t="shared" si="526"/>
        <v>0.0876195015542801-879.644097543011i</v>
      </c>
      <c r="FV116" s="1" t="str">
        <f t="shared" si="527"/>
        <v>7.77561665235722-1387.76123738456i</v>
      </c>
      <c r="FW116" s="1" t="str">
        <f t="shared" si="528"/>
        <v>-1.88262658653162-147.535638391729i</v>
      </c>
      <c r="FX116" s="1" t="str">
        <f t="shared" si="529"/>
        <v>-12.8512702620117-303.955644899619i</v>
      </c>
      <c r="FY116" s="1" t="str">
        <f t="shared" si="530"/>
        <v>-1.29683562077192-880.086426381572i</v>
      </c>
      <c r="FZ116" s="1" t="str">
        <f t="shared" si="531"/>
        <v>22.8590964490623-1387.31786105899i</v>
      </c>
      <c r="GA116" s="1" t="str">
        <f t="shared" si="532"/>
        <v>1.85883206032711-0.13030505214402i</v>
      </c>
      <c r="GB116" s="1" t="str">
        <f t="shared" si="533"/>
        <v>13.6709962438609+0.274533129125681i</v>
      </c>
      <c r="GC116" s="1" t="str">
        <f t="shared" si="534"/>
        <v>15.0554513661871+0.716861967688672i</v>
      </c>
      <c r="GD116" s="92" t="str">
        <f t="shared" si="535"/>
        <v>6.80033554922915-2718.62208508979i</v>
      </c>
      <c r="GE116" s="1" t="str">
        <f t="shared" si="463"/>
        <v>0.00662423559740188+2.64822126225464i</v>
      </c>
      <c r="GF116" s="1">
        <f t="shared" si="464"/>
        <v>23.2</v>
      </c>
      <c r="GG116" s="56">
        <f t="shared" si="465"/>
        <v>0.19225365821109522</v>
      </c>
      <c r="GH116" s="1">
        <f t="shared" si="466"/>
        <v>0.80774638869616711</v>
      </c>
      <c r="GJ116" s="1">
        <f t="shared" si="536"/>
        <v>2718.6305902239715</v>
      </c>
      <c r="GK116" s="1">
        <f t="shared" si="537"/>
        <v>2.6482295471417903</v>
      </c>
      <c r="GM116" s="1" t="str">
        <f t="shared" si="467"/>
        <v>0.0191834803010191+11.1264185745911i</v>
      </c>
      <c r="GP116" s="1">
        <f t="shared" si="453"/>
        <v>23.2</v>
      </c>
      <c r="GQ116" s="1">
        <f t="shared" si="454"/>
        <v>2.6482295471417903</v>
      </c>
      <c r="GR116" s="1">
        <f t="shared" si="468"/>
        <v>11.126435112061827</v>
      </c>
      <c r="GS116" s="1">
        <f t="shared" si="469"/>
        <v>2.1390978531422586</v>
      </c>
    </row>
    <row r="117" spans="2:201" ht="18" customHeight="1" x14ac:dyDescent="0.25">
      <c r="B117" s="6"/>
      <c r="L117" s="35" t="s">
        <v>138</v>
      </c>
      <c r="M117" s="231" t="s">
        <v>139</v>
      </c>
      <c r="N117" s="231"/>
      <c r="O117" s="231"/>
      <c r="P117" s="231"/>
      <c r="Q117" s="231"/>
      <c r="R117" s="231"/>
      <c r="S117" s="231"/>
      <c r="T117" s="231"/>
      <c r="U117" s="231"/>
      <c r="V117" s="231"/>
      <c r="AP117" s="8"/>
      <c r="AR117" s="6"/>
      <c r="AS117" s="153"/>
      <c r="AT117" s="153"/>
      <c r="AU117" s="153"/>
      <c r="AV117" s="153"/>
      <c r="AW117" s="153"/>
      <c r="AX117" s="153"/>
      <c r="AY117" s="153"/>
      <c r="AZ117" s="153"/>
      <c r="BA117" s="153"/>
      <c r="BB117" s="153"/>
      <c r="BC117" s="153"/>
      <c r="BD117" s="153"/>
      <c r="BE117" s="153"/>
      <c r="BF117" s="153"/>
      <c r="BG117" s="153"/>
      <c r="BH117" s="153"/>
      <c r="BI117" s="153"/>
      <c r="BJ117" s="153"/>
      <c r="BK117" s="153"/>
      <c r="BL117" s="153"/>
      <c r="BM117" s="153"/>
      <c r="BN117" s="153"/>
      <c r="BO117" s="153"/>
      <c r="BP117" s="153"/>
      <c r="BQ117" s="153"/>
      <c r="BR117" s="153"/>
      <c r="BS117" s="153"/>
      <c r="BT117" s="153"/>
      <c r="BU117" s="153"/>
      <c r="BV117" s="153"/>
      <c r="BW117" s="153"/>
      <c r="BX117" s="153"/>
      <c r="BY117" s="153"/>
      <c r="BZ117" s="153"/>
      <c r="CA117" s="153"/>
      <c r="CB117" s="153"/>
      <c r="CC117" s="153"/>
      <c r="CD117" s="153"/>
      <c r="CE117" s="153"/>
      <c r="CF117" s="8"/>
      <c r="EA117" s="1">
        <f t="shared" si="538"/>
        <v>23.4</v>
      </c>
      <c r="EB117" s="1" t="str">
        <f t="shared" si="455"/>
        <v>8.28693382913467E-06-0.0193914251601752i</v>
      </c>
      <c r="EC117" s="1" t="str">
        <f t="shared" si="456"/>
        <v>0.0000162356254611619-0.0379913635791188i</v>
      </c>
      <c r="ED117" s="1" t="str">
        <f t="shared" si="457"/>
        <v>0.0000401239806318815-0.093890114678603i</v>
      </c>
      <c r="EE117" s="1" t="str">
        <f t="shared" si="458"/>
        <v>0.0000560354573208155-0.131122970130708i</v>
      </c>
      <c r="EF117" s="1" t="str">
        <f t="shared" si="459"/>
        <v>0.424718827993922i</v>
      </c>
      <c r="EG117" s="1" t="str">
        <f t="shared" si="460"/>
        <v>0.424541935520788i</v>
      </c>
      <c r="EH117" s="1" t="str">
        <f t="shared" si="461"/>
        <v>0.42488000481345i</v>
      </c>
      <c r="EI117" s="1" t="str">
        <f t="shared" si="462"/>
        <v>0.424838500811051i</v>
      </c>
      <c r="EJ117" s="1" t="str">
        <f t="shared" si="450"/>
        <v>0.005</v>
      </c>
      <c r="EK117" s="1" t="str">
        <f t="shared" si="451"/>
        <v>0.01</v>
      </c>
      <c r="EL117" s="1" t="str">
        <f t="shared" si="452"/>
        <v>0.0125</v>
      </c>
      <c r="EM117" s="1" t="str">
        <f t="shared" si="493"/>
        <v>0.00500828693382913+0.405327402833747i</v>
      </c>
      <c r="EN117" s="1" t="str">
        <f t="shared" si="494"/>
        <v>-0.005</v>
      </c>
      <c r="EO117" s="1" t="str">
        <f t="shared" si="495"/>
        <v>0.0596622595582838-139.609687366384i</v>
      </c>
      <c r="EP117" s="1" t="str">
        <f t="shared" si="496"/>
        <v>-0.005</v>
      </c>
      <c r="EQ117" s="1" t="str">
        <f t="shared" si="497"/>
        <v>0.0150162356254612+0.386550571941669i</v>
      </c>
      <c r="ER117" s="1" t="str">
        <f t="shared" si="498"/>
        <v>-0.01</v>
      </c>
      <c r="ES117" s="1" t="str">
        <f t="shared" si="499"/>
        <v>0.116889324848883-273.521020146386i</v>
      </c>
      <c r="ET117" s="1" t="str">
        <f t="shared" si="500"/>
        <v>-0.01</v>
      </c>
      <c r="EU117" s="1" t="str">
        <f t="shared" si="501"/>
        <v>0.0225401239806319+0.330989890134847i</v>
      </c>
      <c r="EV117" s="1" t="str">
        <f t="shared" si="502"/>
        <v>-0.0125</v>
      </c>
      <c r="EW117" s="1" t="str">
        <f t="shared" si="503"/>
        <v>0.288874920004138-675.967312809685i</v>
      </c>
      <c r="EX117" s="1" t="str">
        <f t="shared" si="504"/>
        <v>-0.0125</v>
      </c>
      <c r="EY117" s="1" t="str">
        <f t="shared" si="505"/>
        <v>0.0125560354573208+0.293715530680343i</v>
      </c>
      <c r="EZ117" s="1" t="str">
        <f t="shared" si="506"/>
        <v>0.403430517013158-944.027409810787i</v>
      </c>
      <c r="FB117" s="1" t="str">
        <f t="shared" si="507"/>
        <v>0.00500828693382913+0.405327402833747i</v>
      </c>
      <c r="FC117" s="1" t="str">
        <f t="shared" si="508"/>
        <v>0.0596622595582838-139.609687366384i</v>
      </c>
      <c r="FD117" s="1" t="str">
        <f t="shared" si="509"/>
        <v>-0.000152398598900712+0.0123338237413445i</v>
      </c>
      <c r="FE117" s="1" t="str">
        <f t="shared" si="510"/>
        <v>0.0150154736324667+0.386612241060376i</v>
      </c>
      <c r="FF117" s="1" t="str">
        <f t="shared" si="511"/>
        <v>-1.60502285926755-273.543032330927i</v>
      </c>
      <c r="FG117" s="1" t="str">
        <f t="shared" si="512"/>
        <v>-0.00100307457502558+0.0258267517158309i</v>
      </c>
      <c r="FH117" s="1" t="str">
        <f t="shared" si="513"/>
        <v>0.0225300932348816+0.331248157652005i</v>
      </c>
      <c r="FI117" s="1" t="str">
        <f t="shared" si="514"/>
        <v>-6.77746301722468-676.200244343707i</v>
      </c>
      <c r="FJ117" s="1" t="str">
        <f t="shared" si="515"/>
        <v>-0.00255482750824744+0.0375622904176621i</v>
      </c>
      <c r="FK117" s="1" t="str">
        <f t="shared" si="516"/>
        <v>0.0125241001134677+0.294185059310564i</v>
      </c>
      <c r="FL117" s="1" t="str">
        <f t="shared" si="517"/>
        <v>-24.9867119739988-945.765240499869i</v>
      </c>
      <c r="FM117" s="1" t="str">
        <f t="shared" si="518"/>
        <v>-3212.6582566201-51.8345210936496i</v>
      </c>
      <c r="FN117" s="1" t="str">
        <f t="shared" si="519"/>
        <v>-2043.51042762239+2.70253809269866i</v>
      </c>
      <c r="FO117" s="1" t="str">
        <f t="shared" si="520"/>
        <v>-708.613789296308+29.486793887962i</v>
      </c>
      <c r="FP117" s="1" t="str">
        <f t="shared" si="521"/>
        <v>-344.126743653425+4.34197441574043i</v>
      </c>
      <c r="FQ117" s="92" t="str">
        <f t="shared" si="522"/>
        <v>-0.0216830568184507-146.282831343209i</v>
      </c>
      <c r="FR117" s="1" t="str">
        <f t="shared" si="523"/>
        <v>-1.84411828503287-146.157107245848i</v>
      </c>
      <c r="FS117" s="1" t="str">
        <f t="shared" si="524"/>
        <v>1.82243522821441-0.125724097361108i</v>
      </c>
      <c r="FT117" s="1" t="str">
        <f t="shared" si="525"/>
        <v>-0.99184939445159-300.442702989261i</v>
      </c>
      <c r="FU117" s="1" t="str">
        <f t="shared" si="526"/>
        <v>0.117127081376336-867.832849642658i</v>
      </c>
      <c r="FV117" s="1" t="str">
        <f t="shared" si="527"/>
        <v>7.38014965274053-1365.27779786266i</v>
      </c>
      <c r="FW117" s="1" t="str">
        <f t="shared" si="528"/>
        <v>-1.84411828503287-146.157107245848i</v>
      </c>
      <c r="FX117" s="1" t="str">
        <f t="shared" si="529"/>
        <v>-12.5183805494979-300.836269644574i</v>
      </c>
      <c r="FY117" s="1" t="str">
        <f t="shared" si="530"/>
        <v>-1.14825439783434-868.246720324536i</v>
      </c>
      <c r="FZ117" s="1" t="str">
        <f t="shared" si="531"/>
        <v>22.0213002316849-1364.86091736073i</v>
      </c>
      <c r="GA117" s="1" t="str">
        <f t="shared" si="532"/>
        <v>1.82243522821441-0.125724097361108i</v>
      </c>
      <c r="GB117" s="1" t="str">
        <f t="shared" si="533"/>
        <v>13.3489663832608+0.267842557952633i</v>
      </c>
      <c r="GC117" s="1" t="str">
        <f t="shared" si="534"/>
        <v>14.6143478624714+0.681713239829354i</v>
      </c>
      <c r="GD117" s="92" t="str">
        <f t="shared" si="535"/>
        <v>6.48374428284683-2679.83618183779i</v>
      </c>
      <c r="GE117" s="1" t="str">
        <f t="shared" si="463"/>
        <v>0.0064999897084037+2.686550678477i</v>
      </c>
      <c r="GF117" s="1">
        <f t="shared" si="464"/>
        <v>23.4</v>
      </c>
      <c r="GG117" s="56">
        <f t="shared" si="465"/>
        <v>0.19315377486118612</v>
      </c>
      <c r="GH117" s="1">
        <f t="shared" si="466"/>
        <v>0.80684626442525453</v>
      </c>
      <c r="GJ117" s="1">
        <f t="shared" si="536"/>
        <v>2679.8440253915651</v>
      </c>
      <c r="GK117" s="1">
        <f t="shared" si="537"/>
        <v>2.6865585416832882</v>
      </c>
      <c r="GM117" s="1" t="str">
        <f t="shared" si="467"/>
        <v>0.0191834803010191+11.2223359760962i</v>
      </c>
      <c r="GP117" s="1">
        <f t="shared" si="453"/>
        <v>23.4</v>
      </c>
      <c r="GQ117" s="1">
        <f t="shared" si="454"/>
        <v>2.6865585416832882</v>
      </c>
      <c r="GR117" s="1">
        <f t="shared" si="468"/>
        <v>11.222352372221232</v>
      </c>
      <c r="GS117" s="1">
        <f t="shared" si="469"/>
        <v>2.1676397235169129</v>
      </c>
    </row>
    <row r="118" spans="2:201" ht="18" customHeight="1" x14ac:dyDescent="0.25">
      <c r="B118" s="6"/>
      <c r="L118" s="35" t="s">
        <v>431</v>
      </c>
      <c r="M118" s="231" t="s">
        <v>141</v>
      </c>
      <c r="N118" s="231"/>
      <c r="O118" s="231"/>
      <c r="P118" s="231"/>
      <c r="Q118" s="231"/>
      <c r="R118" s="231"/>
      <c r="S118" s="231"/>
      <c r="T118" s="231"/>
      <c r="U118" s="231"/>
      <c r="V118" s="231"/>
      <c r="AP118" s="8"/>
      <c r="AR118" s="6"/>
      <c r="AS118" s="153"/>
      <c r="AT118" s="153"/>
      <c r="AU118" s="153"/>
      <c r="AV118" s="153"/>
      <c r="AW118" s="153"/>
      <c r="AX118" s="153"/>
      <c r="AY118" s="153"/>
      <c r="AZ118" s="153"/>
      <c r="BA118" s="153"/>
      <c r="BB118" s="153"/>
      <c r="BC118" s="153"/>
      <c r="BD118" s="153"/>
      <c r="BE118" s="153"/>
      <c r="BF118" s="153"/>
      <c r="BG118" s="153"/>
      <c r="BH118" s="153"/>
      <c r="BI118" s="153"/>
      <c r="BJ118" s="153"/>
      <c r="BK118" s="153"/>
      <c r="BL118" s="153"/>
      <c r="BM118" s="153"/>
      <c r="BN118" s="153"/>
      <c r="BO118" s="153"/>
      <c r="BP118" s="153"/>
      <c r="BQ118" s="153"/>
      <c r="BR118" s="153"/>
      <c r="BS118" s="153"/>
      <c r="BT118" s="153"/>
      <c r="BU118" s="153"/>
      <c r="BV118" s="153"/>
      <c r="BW118" s="153"/>
      <c r="BX118" s="153"/>
      <c r="BY118" s="153"/>
      <c r="BZ118" s="153"/>
      <c r="CA118" s="153"/>
      <c r="CB118" s="153"/>
      <c r="CC118" s="153"/>
      <c r="CD118" s="153"/>
      <c r="CE118" s="153"/>
      <c r="CF118" s="8"/>
      <c r="EA118" s="1">
        <f t="shared" si="538"/>
        <v>23.6</v>
      </c>
      <c r="EB118" s="1" t="str">
        <f t="shared" si="455"/>
        <v>8.14707250335233E-06-0.0192270911079115i</v>
      </c>
      <c r="EC118" s="1" t="str">
        <f t="shared" si="456"/>
        <v>0.0000159616114351393-0.0376694029869287i</v>
      </c>
      <c r="ED118" s="1" t="str">
        <f t="shared" si="457"/>
        <v>0.0000394467949269461-0.0930944360275925i</v>
      </c>
      <c r="EE118" s="1" t="str">
        <f t="shared" si="458"/>
        <v>0.0000550897283560016-0.130011758920164i</v>
      </c>
      <c r="EF118" s="1" t="str">
        <f t="shared" si="459"/>
        <v>0.428348903446861i</v>
      </c>
      <c r="EG118" s="1" t="str">
        <f t="shared" si="460"/>
        <v>0.428170499072247i</v>
      </c>
      <c r="EH118" s="1" t="str">
        <f t="shared" si="461"/>
        <v>0.428511457846045i</v>
      </c>
      <c r="EI118" s="1" t="str">
        <f t="shared" si="462"/>
        <v>0.428469599108582i</v>
      </c>
      <c r="EJ118" s="1" t="str">
        <f t="shared" si="450"/>
        <v>0.005</v>
      </c>
      <c r="EK118" s="1" t="str">
        <f t="shared" si="451"/>
        <v>0.01</v>
      </c>
      <c r="EL118" s="1" t="str">
        <f t="shared" si="452"/>
        <v>0.0125</v>
      </c>
      <c r="EM118" s="1" t="str">
        <f t="shared" si="493"/>
        <v>0.00500814707250335+0.40912181233895i</v>
      </c>
      <c r="EN118" s="1" t="str">
        <f t="shared" si="494"/>
        <v>-0.005</v>
      </c>
      <c r="EO118" s="1" t="str">
        <f t="shared" si="495"/>
        <v>0.0586553198513858-138.426554849271i</v>
      </c>
      <c r="EP118" s="1" t="str">
        <f t="shared" si="496"/>
        <v>-0.005</v>
      </c>
      <c r="EQ118" s="1" t="str">
        <f t="shared" si="497"/>
        <v>0.0150159616114351+0.390501096085318i</v>
      </c>
      <c r="ER118" s="1" t="str">
        <f t="shared" si="498"/>
        <v>-0.01</v>
      </c>
      <c r="ES118" s="1" t="str">
        <f t="shared" si="499"/>
        <v>0.11491654501496-271.203046235306i</v>
      </c>
      <c r="ET118" s="1" t="str">
        <f t="shared" si="500"/>
        <v>-0.01</v>
      </c>
      <c r="EU118" s="1" t="str">
        <f t="shared" si="501"/>
        <v>0.0225394467949269+0.335417021818453i</v>
      </c>
      <c r="EV118" s="1" t="str">
        <f t="shared" si="502"/>
        <v>-0.0125</v>
      </c>
      <c r="EW118" s="1" t="str">
        <f t="shared" si="503"/>
        <v>0.283999482341662-670.238778326319i</v>
      </c>
      <c r="EX118" s="1" t="str">
        <f t="shared" si="504"/>
        <v>-0.0125</v>
      </c>
      <c r="EY118" s="1" t="str">
        <f t="shared" si="505"/>
        <v>0.012555089728356+0.298457840188418i</v>
      </c>
      <c r="EZ118" s="1" t="str">
        <f t="shared" si="506"/>
        <v>0.396621686614133-936.027180409357i</v>
      </c>
      <c r="FB118" s="1" t="str">
        <f t="shared" si="507"/>
        <v>0.00500814707250335+0.40912181233895i</v>
      </c>
      <c r="FC118" s="1" t="str">
        <f t="shared" si="508"/>
        <v>0.0586553198513858-138.426554849271i</v>
      </c>
      <c r="FD118" s="1" t="str">
        <f t="shared" si="509"/>
        <v>-0.000149581104756335+0.0122194679556374i</v>
      </c>
      <c r="FE118" s="1" t="str">
        <f t="shared" si="510"/>
        <v>0.0150152137059113+0.390562193425096i</v>
      </c>
      <c r="FF118" s="1" t="str">
        <f t="shared" si="511"/>
        <v>-1.57657353244745-271.224468969109i</v>
      </c>
      <c r="FG118" s="1" t="str">
        <f t="shared" si="512"/>
        <v>-0.000982900803411619+0.0255663290059336i</v>
      </c>
      <c r="FH118" s="1" t="str">
        <f t="shared" si="513"/>
        <v>0.0225296177868928+0.335672685108512i</v>
      </c>
      <c r="FI118" s="1" t="str">
        <f t="shared" si="514"/>
        <v>-6.65176414117389-670.465057877141i</v>
      </c>
      <c r="FJ118" s="1" t="str">
        <f t="shared" si="515"/>
        <v>-0.00248816865625293+0.037071656596552i</v>
      </c>
      <c r="FK118" s="1" t="str">
        <f t="shared" si="516"/>
        <v>0.0125239876201528+0.298921235895875i</v>
      </c>
      <c r="FL118" s="1" t="str">
        <f t="shared" si="517"/>
        <v>-24.4495335025814-937.705375861077i</v>
      </c>
      <c r="FM118" s="1" t="str">
        <f t="shared" si="518"/>
        <v>-3134.88869393404-49.5507575646614i</v>
      </c>
      <c r="FN118" s="1" t="str">
        <f t="shared" si="519"/>
        <v>-1999.38114818991+2.36116839848201i</v>
      </c>
      <c r="FO118" s="1" t="str">
        <f t="shared" si="520"/>
        <v>-695.481189280321+28.4912019549976i</v>
      </c>
      <c r="FP118" s="1" t="str">
        <f t="shared" si="521"/>
        <v>-338.053899007805+4.21812509095996i</v>
      </c>
      <c r="FQ118" s="92" t="str">
        <f t="shared" si="522"/>
        <v>-0.0196928059518113-144.926382330249i</v>
      </c>
      <c r="FR118" s="1" t="str">
        <f t="shared" si="523"/>
        <v>-1.80682925731439-144.805016945929i</v>
      </c>
      <c r="FS118" s="1" t="str">
        <f t="shared" si="524"/>
        <v>1.78713645136258-0.121365384320188i</v>
      </c>
      <c r="FT118" s="1" t="str">
        <f t="shared" si="525"/>
        <v>-0.947229022506074-297.401862189629i</v>
      </c>
      <c r="FU118" s="1" t="str">
        <f t="shared" si="526"/>
        <v>0.143057020052254-856.370131861784i</v>
      </c>
      <c r="FV118" s="1" t="str">
        <f t="shared" si="527"/>
        <v>7.01150299999751-1343.59684378889i</v>
      </c>
      <c r="FW118" s="1" t="str">
        <f t="shared" si="528"/>
        <v>-1.80682925731439-144.805016945929i</v>
      </c>
      <c r="FX118" s="1" t="str">
        <f t="shared" si="529"/>
        <v>-12.1990921602395-297.784527909515i</v>
      </c>
      <c r="FY118" s="1" t="str">
        <f t="shared" si="530"/>
        <v>-1.01178771265354-856.757730600758i</v>
      </c>
      <c r="FZ118" s="1" t="str">
        <f t="shared" si="531"/>
        <v>21.230993229257-1343.20450193994i</v>
      </c>
      <c r="GA118" s="1" t="str">
        <f t="shared" si="532"/>
        <v>1.78713645136258-0.121365384320188i</v>
      </c>
      <c r="GB118" s="1" t="str">
        <f t="shared" si="533"/>
        <v>13.0389995890959+0.261300335565156i</v>
      </c>
      <c r="GC118" s="1" t="str">
        <f t="shared" si="534"/>
        <v>14.1938443218016+0.648899074539293i</v>
      </c>
      <c r="GD118" s="92" t="str">
        <f t="shared" si="535"/>
        <v>6.18763819159188-2642.29522017055i</v>
      </c>
      <c r="GE118" s="1" t="str">
        <f t="shared" si="463"/>
        <v>0.00638066108985668+2.72472141667337i</v>
      </c>
      <c r="GF118" s="1">
        <f t="shared" si="464"/>
        <v>23.6</v>
      </c>
      <c r="GG118" s="56">
        <f t="shared" si="465"/>
        <v>0.19402757697783476</v>
      </c>
      <c r="GH118" s="1">
        <f t="shared" si="466"/>
        <v>0.80597245573805709</v>
      </c>
      <c r="GJ118" s="1">
        <f t="shared" si="536"/>
        <v>2642.3024651622536</v>
      </c>
      <c r="GK118" s="1">
        <f t="shared" si="537"/>
        <v>2.7247288876720339</v>
      </c>
      <c r="GM118" s="1" t="str">
        <f t="shared" si="467"/>
        <v>0.0191834803010191+11.3182533776013i</v>
      </c>
      <c r="GP118" s="1">
        <f t="shared" si="453"/>
        <v>23.6</v>
      </c>
      <c r="GQ118" s="1">
        <f t="shared" si="454"/>
        <v>2.7247288876720339</v>
      </c>
      <c r="GR118" s="1">
        <f t="shared" si="468"/>
        <v>11.318269634776321</v>
      </c>
      <c r="GS118" s="1">
        <f t="shared" si="469"/>
        <v>2.1960564328174632</v>
      </c>
    </row>
    <row r="119" spans="2:201" ht="18" customHeight="1" x14ac:dyDescent="0.25">
      <c r="B119" s="6"/>
      <c r="L119" s="35" t="s">
        <v>142</v>
      </c>
      <c r="M119" s="231" t="s">
        <v>143</v>
      </c>
      <c r="N119" s="231"/>
      <c r="O119" s="231"/>
      <c r="P119" s="231"/>
      <c r="Q119" s="231"/>
      <c r="R119" s="231"/>
      <c r="S119" s="231"/>
      <c r="T119" s="231"/>
      <c r="U119" s="231"/>
      <c r="V119" s="231"/>
      <c r="AP119" s="8"/>
      <c r="AR119" s="6"/>
      <c r="AS119" s="153"/>
      <c r="AT119" s="153"/>
      <c r="AU119" s="153"/>
      <c r="AV119" s="153"/>
      <c r="AW119" s="153"/>
      <c r="AX119" s="153"/>
      <c r="AY119" s="153"/>
      <c r="AZ119" s="153"/>
      <c r="BA119" s="153"/>
      <c r="BB119" s="153"/>
      <c r="BC119" s="153"/>
      <c r="BD119" s="153"/>
      <c r="BE119" s="153"/>
      <c r="BF119" s="153"/>
      <c r="BG119" s="153"/>
      <c r="BH119" s="153"/>
      <c r="BI119" s="153"/>
      <c r="BJ119" s="153"/>
      <c r="BK119" s="153"/>
      <c r="BL119" s="153"/>
      <c r="BM119" s="153"/>
      <c r="BN119" s="153"/>
      <c r="BO119" s="153"/>
      <c r="BP119" s="153"/>
      <c r="BQ119" s="153"/>
      <c r="BR119" s="153"/>
      <c r="BS119" s="153"/>
      <c r="BT119" s="153"/>
      <c r="BU119" s="153"/>
      <c r="BV119" s="153"/>
      <c r="BW119" s="153"/>
      <c r="BX119" s="153"/>
      <c r="BY119" s="153"/>
      <c r="BZ119" s="153"/>
      <c r="CA119" s="153"/>
      <c r="CB119" s="153"/>
      <c r="CC119" s="153"/>
      <c r="CD119" s="153"/>
      <c r="CE119" s="153"/>
      <c r="CF119" s="8"/>
      <c r="EA119" s="1">
        <f t="shared" si="538"/>
        <v>23.8</v>
      </c>
      <c r="EB119" s="1" t="str">
        <f t="shared" si="455"/>
        <v>0.00000801072225673-0.0190655189710174i</v>
      </c>
      <c r="EC119" s="1" t="str">
        <f t="shared" si="456"/>
        <v>0.0000156944762580833-0.0373528534942383i</v>
      </c>
      <c r="ED119" s="1" t="str">
        <f t="shared" si="457"/>
        <v>0.0000387866092940653-0.0923121301198754i</v>
      </c>
      <c r="EE119" s="1" t="str">
        <f t="shared" si="458"/>
        <v>0.0000541677409740791-0.128919223518308i</v>
      </c>
      <c r="EF119" s="1" t="str">
        <f t="shared" si="459"/>
        <v>0.431978978899801i</v>
      </c>
      <c r="EG119" s="1" t="str">
        <f t="shared" si="460"/>
        <v>0.431799062623707i</v>
      </c>
      <c r="EH119" s="1" t="str">
        <f t="shared" si="461"/>
        <v>0.432142910878637i</v>
      </c>
      <c r="EI119" s="1" t="str">
        <f t="shared" si="462"/>
        <v>0.432100697406111i</v>
      </c>
      <c r="EJ119" s="1" t="str">
        <f t="shared" si="450"/>
        <v>0.005</v>
      </c>
      <c r="EK119" s="1" t="str">
        <f t="shared" si="451"/>
        <v>0.01</v>
      </c>
      <c r="EL119" s="1" t="str">
        <f t="shared" si="452"/>
        <v>0.0125</v>
      </c>
      <c r="EM119" s="1" t="str">
        <f t="shared" si="493"/>
        <v>0.00500801072225673+0.412913459928784i</v>
      </c>
      <c r="EN119" s="1" t="str">
        <f t="shared" si="494"/>
        <v>-0.005</v>
      </c>
      <c r="EO119" s="1" t="str">
        <f t="shared" si="495"/>
        <v>0.0576736583620401-137.263306901655i</v>
      </c>
      <c r="EP119" s="1" t="str">
        <f t="shared" si="496"/>
        <v>-0.005</v>
      </c>
      <c r="EQ119" s="1" t="str">
        <f t="shared" si="497"/>
        <v>0.0150156944762581+0.394446209129469i</v>
      </c>
      <c r="ER119" s="1" t="str">
        <f t="shared" si="498"/>
        <v>-0.01</v>
      </c>
      <c r="ES119" s="1" t="str">
        <f t="shared" si="499"/>
        <v>0.11299328985216-268.924029848142i</v>
      </c>
      <c r="ET119" s="1" t="str">
        <f t="shared" si="500"/>
        <v>-0.01</v>
      </c>
      <c r="EU119" s="1" t="str">
        <f t="shared" si="501"/>
        <v>0.0225387866092941+0.339830780758762i</v>
      </c>
      <c r="EV119" s="1" t="str">
        <f t="shared" si="502"/>
        <v>-0.0125</v>
      </c>
      <c r="EW119" s="1" t="str">
        <f t="shared" si="503"/>
        <v>0.279246437681512-664.606521681997i</v>
      </c>
      <c r="EX119" s="1" t="str">
        <f t="shared" si="504"/>
        <v>-0.0125</v>
      </c>
      <c r="EY119" s="1" t="str">
        <f t="shared" si="505"/>
        <v>0.0125541677409741+0.303181473887803i</v>
      </c>
      <c r="EZ119" s="1" t="str">
        <f t="shared" si="506"/>
        <v>0.389983785114748-928.161408573098i</v>
      </c>
      <c r="FB119" s="1" t="str">
        <f t="shared" si="507"/>
        <v>0.00500801072225673+0.412913459928784i</v>
      </c>
      <c r="FC119" s="1" t="str">
        <f t="shared" si="508"/>
        <v>0.0576736583620401-137.263306901655i</v>
      </c>
      <c r="FD119" s="1" t="str">
        <f t="shared" si="509"/>
        <v>-0.000146843015498116+0.0121072938854212i</v>
      </c>
      <c r="FE119" s="1" t="str">
        <f t="shared" si="510"/>
        <v>0.0150149602611806+0.394506745598896i</v>
      </c>
      <c r="FF119" s="1" t="str">
        <f t="shared" si="511"/>
        <v>-1.54888543751703-268.944884277976i</v>
      </c>
      <c r="FG119" s="1" t="str">
        <f t="shared" si="512"/>
        <v>-0.000963355695393052+0.025311443629075i</v>
      </c>
      <c r="FH119" s="1" t="str">
        <f t="shared" si="513"/>
        <v>0.0225291530523402+0.340083895195053i</v>
      </c>
      <c r="FI119" s="1" t="str">
        <f t="shared" si="514"/>
        <v>-6.52962896765632-664.826406741573i</v>
      </c>
      <c r="FJ119" s="1" t="str">
        <f t="shared" si="515"/>
        <v>-0.00242427011572497+0.0365950385283156i</v>
      </c>
      <c r="FK119" s="1" t="str">
        <f t="shared" si="516"/>
        <v>0.0125238643645275+0.303638911869407i</v>
      </c>
      <c r="FL119" s="1" t="str">
        <f t="shared" si="517"/>
        <v>-23.930640513214-929.782813336473i</v>
      </c>
      <c r="FM119" s="1" t="str">
        <f t="shared" si="518"/>
        <v>-3060.17792206391-47.4070092841957i</v>
      </c>
      <c r="FN119" s="1" t="str">
        <f t="shared" si="519"/>
        <v>-1956.76776351433+2.05106025663262i</v>
      </c>
      <c r="FO119" s="1" t="str">
        <f t="shared" si="520"/>
        <v>-682.720688607262+27.5420868843233i</v>
      </c>
      <c r="FP119" s="1" t="str">
        <f t="shared" si="521"/>
        <v>-332.142538098371+4.09905841493272i</v>
      </c>
      <c r="FQ119" s="92" t="str">
        <f t="shared" si="522"/>
        <v>-0.0178163159888167-143.59580959927i</v>
      </c>
      <c r="FR119" s="1" t="str">
        <f t="shared" si="523"/>
        <v>-1.77070706853327-143.478594456923i</v>
      </c>
      <c r="FS119" s="1" t="str">
        <f t="shared" si="524"/>
        <v>1.75289075254446-0.117215142346953i</v>
      </c>
      <c r="FT119" s="1" t="str">
        <f t="shared" si="525"/>
        <v>-0.905067302825301-294.426027965804i</v>
      </c>
      <c r="FU119" s="1" t="str">
        <f t="shared" si="526"/>
        <v>0.165805083110188-845.240001635582i</v>
      </c>
      <c r="FV119" s="1" t="str">
        <f t="shared" si="527"/>
        <v>6.66742153637543-1322.67460218284i</v>
      </c>
      <c r="FW119" s="1" t="str">
        <f t="shared" si="528"/>
        <v>-1.77070706853327-143.478594456923i</v>
      </c>
      <c r="FX119" s="1" t="str">
        <f t="shared" si="529"/>
        <v>-11.8926472993515-294.798153374427i</v>
      </c>
      <c r="FY119" s="1" t="str">
        <f t="shared" si="530"/>
        <v>-0.886351149688705-845.603317238563i</v>
      </c>
      <c r="FZ119" s="1" t="str">
        <f t="shared" si="531"/>
        <v>20.4846017736389-1322.3050143106i</v>
      </c>
      <c r="GA119" s="1" t="str">
        <f t="shared" si="532"/>
        <v>1.75289075254446-0.117215142346953i</v>
      </c>
      <c r="GB119" s="1" t="str">
        <f t="shared" si="533"/>
        <v>12.7404707490707+0.254910266276907i</v>
      </c>
      <c r="GC119" s="1" t="str">
        <f t="shared" si="534"/>
        <v>13.7926269818698+0.618225869260354i</v>
      </c>
      <c r="GD119" s="92" t="str">
        <f t="shared" si="535"/>
        <v>5.9103430006715-2605.9364413835i</v>
      </c>
      <c r="GE119" s="1" t="str">
        <f t="shared" si="463"/>
        <v>0.00626597473440316+2.76273845685679i</v>
      </c>
      <c r="GF119" s="1">
        <f t="shared" si="464"/>
        <v>23.8</v>
      </c>
      <c r="GG119" s="56">
        <f t="shared" si="465"/>
        <v>0.19487612321571696</v>
      </c>
      <c r="GH119" s="1">
        <f t="shared" si="466"/>
        <v>0.80512390384839883</v>
      </c>
      <c r="GJ119" s="1">
        <f t="shared" si="536"/>
        <v>2605.9431437936028</v>
      </c>
      <c r="GK119" s="1">
        <f t="shared" si="537"/>
        <v>2.7627455625581612</v>
      </c>
      <c r="GM119" s="1" t="str">
        <f t="shared" si="467"/>
        <v>0.0191834803010191+11.4141707791064i</v>
      </c>
      <c r="GP119" s="1">
        <f t="shared" si="453"/>
        <v>23.8</v>
      </c>
      <c r="GQ119" s="1">
        <f t="shared" si="454"/>
        <v>2.7627455625581612</v>
      </c>
      <c r="GR119" s="1">
        <f t="shared" si="468"/>
        <v>11.414186899666696</v>
      </c>
      <c r="GS119" s="1">
        <f t="shared" si="469"/>
        <v>2.2243524926666738</v>
      </c>
    </row>
    <row r="120" spans="2:201" ht="18" customHeight="1" x14ac:dyDescent="0.25">
      <c r="B120" s="6"/>
      <c r="AP120" s="8"/>
      <c r="AR120" s="6"/>
      <c r="AS120" s="153"/>
      <c r="AT120" s="153"/>
      <c r="AU120" s="153"/>
      <c r="AV120" s="153"/>
      <c r="AW120" s="153"/>
      <c r="AX120" s="153"/>
      <c r="AY120" s="153"/>
      <c r="AZ120" s="153"/>
      <c r="BA120" s="153"/>
      <c r="BB120" s="153"/>
      <c r="BC120" s="153"/>
      <c r="BD120" s="153"/>
      <c r="BE120" s="153"/>
      <c r="BF120" s="153"/>
      <c r="BG120" s="153"/>
      <c r="BH120" s="153"/>
      <c r="BI120" s="153"/>
      <c r="BJ120" s="153"/>
      <c r="BK120" s="153"/>
      <c r="BL120" s="153"/>
      <c r="BM120" s="153"/>
      <c r="BN120" s="153"/>
      <c r="BO120" s="153"/>
      <c r="BP120" s="153"/>
      <c r="BQ120" s="153"/>
      <c r="BR120" s="153"/>
      <c r="BS120" s="153"/>
      <c r="BT120" s="153"/>
      <c r="BU120" s="153"/>
      <c r="BV120" s="153"/>
      <c r="BW120" s="153"/>
      <c r="BX120" s="153"/>
      <c r="BY120" s="153"/>
      <c r="BZ120" s="153"/>
      <c r="CA120" s="153"/>
      <c r="CB120" s="153"/>
      <c r="CC120" s="153"/>
      <c r="CD120" s="153"/>
      <c r="CE120" s="153"/>
      <c r="CF120" s="8"/>
      <c r="EA120" s="1">
        <f t="shared" si="538"/>
        <v>24</v>
      </c>
      <c r="EB120" s="1" t="str">
        <f t="shared" si="455"/>
        <v>7.87776654235715E-06-0.0189066397016572i</v>
      </c>
      <c r="EC120" s="1" t="str">
        <f t="shared" si="456"/>
        <v>0.0000154339915931895-0.0370415798236548i</v>
      </c>
      <c r="ED120" s="1" t="str">
        <f t="shared" si="457"/>
        <v>0.0000381428594321271-0.0915428626371053i</v>
      </c>
      <c r="EE120" s="1" t="str">
        <f t="shared" si="458"/>
        <v>0.0000532687070959389-0.127844897030253i</v>
      </c>
      <c r="EF120" s="1" t="str">
        <f t="shared" si="459"/>
        <v>0.43560905435274i</v>
      </c>
      <c r="EG120" s="1" t="str">
        <f t="shared" si="460"/>
        <v>0.435427626175168i</v>
      </c>
      <c r="EH120" s="1" t="str">
        <f t="shared" si="461"/>
        <v>0.43577436391123i</v>
      </c>
      <c r="EI120" s="1" t="str">
        <f t="shared" si="462"/>
        <v>0.435731795703643i</v>
      </c>
      <c r="EJ120" s="1" t="str">
        <f t="shared" si="450"/>
        <v>0.005</v>
      </c>
      <c r="EK120" s="1" t="str">
        <f t="shared" si="451"/>
        <v>0.01</v>
      </c>
      <c r="EL120" s="1" t="str">
        <f t="shared" si="452"/>
        <v>0.0125</v>
      </c>
      <c r="EM120" s="1" t="str">
        <f t="shared" si="493"/>
        <v>0.00500787776654236+0.416702414651083i</v>
      </c>
      <c r="EN120" s="1" t="str">
        <f t="shared" si="494"/>
        <v>-0.005</v>
      </c>
      <c r="EO120" s="1" t="str">
        <f t="shared" si="495"/>
        <v>0.0567164360040213-136.119446409651i</v>
      </c>
      <c r="EP120" s="1" t="str">
        <f t="shared" si="496"/>
        <v>-0.005</v>
      </c>
      <c r="EQ120" s="1" t="str">
        <f t="shared" si="497"/>
        <v>0.0150154339915932+0.398386046351513i</v>
      </c>
      <c r="ER120" s="1" t="str">
        <f t="shared" si="498"/>
        <v>-0.01</v>
      </c>
      <c r="ES120" s="1" t="str">
        <f t="shared" si="499"/>
        <v>0.11111791543645-266.68299704748i</v>
      </c>
      <c r="ET120" s="1" t="str">
        <f t="shared" si="500"/>
        <v>-0.01</v>
      </c>
      <c r="EU120" s="1" t="str">
        <f t="shared" si="501"/>
        <v>0.0225381428594321+0.344231501274125i</v>
      </c>
      <c r="EV120" s="1" t="str">
        <f t="shared" si="502"/>
        <v>-0.0125</v>
      </c>
      <c r="EW120" s="1" t="str">
        <f t="shared" si="503"/>
        <v>0.274611723305184-659.068135932443i</v>
      </c>
      <c r="EX120" s="1" t="str">
        <f t="shared" si="504"/>
        <v>-0.0125</v>
      </c>
      <c r="EY120" s="1" t="str">
        <f t="shared" si="505"/>
        <v>0.0125532687070959+0.30788689867339i</v>
      </c>
      <c r="EZ120" s="1" t="str">
        <f t="shared" si="506"/>
        <v>0.383511138693859-920.426732865259i</v>
      </c>
      <c r="FB120" s="1" t="str">
        <f t="shared" si="507"/>
        <v>0.00500787776654236+0.416702414651083i</v>
      </c>
      <c r="FC120" s="1" t="str">
        <f t="shared" si="508"/>
        <v>0.0567164360040213-136.119446409651i</v>
      </c>
      <c r="FD120" s="1" t="str">
        <f t="shared" si="509"/>
        <v>-0.000144181310913173+0.0119972377933177i</v>
      </c>
      <c r="FE120" s="1" t="str">
        <f t="shared" si="510"/>
        <v>0.0150147130850386+0.39844603254048i</v>
      </c>
      <c r="FF120" s="1" t="str">
        <f t="shared" si="511"/>
        <v>-1.52193127398481-266.703303368274i</v>
      </c>
      <c r="FG120" s="1" t="str">
        <f t="shared" si="512"/>
        <v>-0.000944412559314827+0.0250619132852665i</v>
      </c>
      <c r="FH120" s="1" t="str">
        <f t="shared" si="513"/>
        <v>0.022528698733839+0.344482120406978i</v>
      </c>
      <c r="FI120" s="1" t="str">
        <f t="shared" si="514"/>
        <v>-6.41092066961419-659.28187137214i</v>
      </c>
      <c r="FJ120" s="1" t="str">
        <f t="shared" si="515"/>
        <v>-0.00236297558375189+0.0361318178727342i</v>
      </c>
      <c r="FK120" s="1" t="str">
        <f t="shared" si="516"/>
        <v>0.012523731512299+0.308338546396799i</v>
      </c>
      <c r="FL120" s="1" t="str">
        <f t="shared" si="517"/>
        <v>-23.4291698137424-921.994016999269i</v>
      </c>
      <c r="FM120" s="1" t="str">
        <f t="shared" si="518"/>
        <v>-2988.35661765114-45.3923334992661i</v>
      </c>
      <c r="FN120" s="1" t="str">
        <f t="shared" si="519"/>
        <v>-1915.59762942789+1.76919632547685i</v>
      </c>
      <c r="FO120" s="1" t="str">
        <f t="shared" si="520"/>
        <v>-670.318014306868+26.6366685597127i</v>
      </c>
      <c r="FP120" s="1" t="str">
        <f t="shared" si="521"/>
        <v>-326.386918767549+3.98454096584565i</v>
      </c>
      <c r="FQ120" s="92" t="str">
        <f t="shared" si="522"/>
        <v>-0.0160466444651855-142.290357675407i</v>
      </c>
      <c r="FR120" s="1" t="str">
        <f t="shared" si="523"/>
        <v>-1.73570212216178-142.177097037437i</v>
      </c>
      <c r="FS120" s="1" t="str">
        <f t="shared" si="524"/>
        <v>1.7196554776966-0.113260637969335i</v>
      </c>
      <c r="FT120" s="1" t="str">
        <f t="shared" si="525"/>
        <v>-0.865200686656809-291.51304639178i</v>
      </c>
      <c r="FU120" s="1" t="str">
        <f t="shared" si="526"/>
        <v>0.185720798211769-834.427494073332i</v>
      </c>
      <c r="FV120" s="1" t="str">
        <f t="shared" si="527"/>
        <v>6.34587523423431-1302.47045894763i</v>
      </c>
      <c r="FW120" s="1" t="str">
        <f t="shared" si="528"/>
        <v>-1.73570212216178-142.177097037437i</v>
      </c>
      <c r="FX120" s="1" t="str">
        <f t="shared" si="529"/>
        <v>-11.5983413601704-291.874981752092i</v>
      </c>
      <c r="FY120" s="1" t="str">
        <f t="shared" si="530"/>
        <v>-0.77097040336876-834.768338473799i</v>
      </c>
      <c r="FZ120" s="1" t="str">
        <f t="shared" si="531"/>
        <v>19.7788829868138-1302.121995212i</v>
      </c>
      <c r="GA120" s="1" t="str">
        <f t="shared" si="532"/>
        <v>1.7196554776966-0.113260637969335i</v>
      </c>
      <c r="GB120" s="1" t="str">
        <f t="shared" si="533"/>
        <v>12.4527961512102+0.248674722342358i</v>
      </c>
      <c r="GC120" s="1" t="str">
        <f t="shared" si="534"/>
        <v>13.4094873527906+0.589519122809286i</v>
      </c>
      <c r="GD120" s="92" t="str">
        <f t="shared" si="535"/>
        <v>5.65034870132408-2570.70135708815i</v>
      </c>
      <c r="GE120" s="1" t="str">
        <f t="shared" si="463"/>
        <v>0.00615567559995414+2.80060655635081i</v>
      </c>
      <c r="GF120" s="1">
        <f t="shared" si="464"/>
        <v>24</v>
      </c>
      <c r="GG120" s="56">
        <f t="shared" si="465"/>
        <v>0.19570041724993281</v>
      </c>
      <c r="GH120" s="1">
        <f t="shared" si="466"/>
        <v>0.80429960496662889</v>
      </c>
      <c r="GJ120" s="1">
        <f t="shared" si="536"/>
        <v>2570.7075667557565</v>
      </c>
      <c r="GK120" s="1">
        <f t="shared" si="537"/>
        <v>2.8006133213668098</v>
      </c>
      <c r="GM120" s="1" t="str">
        <f t="shared" si="467"/>
        <v>0.0191834803010191+11.5100881806115i</v>
      </c>
      <c r="GP120" s="1">
        <f t="shared" si="453"/>
        <v>24</v>
      </c>
      <c r="GQ120" s="1">
        <f t="shared" si="454"/>
        <v>2.8006133213668098</v>
      </c>
      <c r="GR120" s="1">
        <f t="shared" si="468"/>
        <v>11.510104166833983</v>
      </c>
      <c r="GS120" s="1">
        <f t="shared" si="469"/>
        <v>2.2525321880396008</v>
      </c>
    </row>
    <row r="121" spans="2:201" ht="18" customHeight="1" x14ac:dyDescent="0.25">
      <c r="B121" s="6"/>
      <c r="C121" s="180" t="s">
        <v>427</v>
      </c>
      <c r="D121" s="180"/>
      <c r="E121" s="180"/>
      <c r="F121" s="180"/>
      <c r="G121" s="180"/>
      <c r="H121" s="180"/>
      <c r="I121" s="180"/>
      <c r="J121" s="180"/>
      <c r="L121" s="183" t="s">
        <v>423</v>
      </c>
      <c r="M121" s="183"/>
      <c r="N121" s="183"/>
      <c r="O121" s="183"/>
      <c r="Q121" s="183" t="s">
        <v>424</v>
      </c>
      <c r="R121" s="183"/>
      <c r="S121" s="183"/>
      <c r="T121" s="183"/>
      <c r="V121" s="183" t="s">
        <v>425</v>
      </c>
      <c r="W121" s="183"/>
      <c r="X121" s="183"/>
      <c r="Y121" s="183"/>
      <c r="AA121" s="183" t="s">
        <v>426</v>
      </c>
      <c r="AB121" s="183"/>
      <c r="AC121" s="183"/>
      <c r="AD121" s="183"/>
      <c r="AP121" s="8"/>
      <c r="AR121" s="6"/>
      <c r="AS121" s="153"/>
      <c r="AT121" s="153"/>
      <c r="AU121" s="153"/>
      <c r="AV121" s="153"/>
      <c r="AW121" s="153"/>
      <c r="AX121" s="153"/>
      <c r="AY121" s="153"/>
      <c r="AZ121" s="153"/>
      <c r="BA121" s="153"/>
      <c r="BB121" s="153"/>
      <c r="BC121" s="153"/>
      <c r="BD121" s="153"/>
      <c r="BE121" s="153"/>
      <c r="BF121" s="153"/>
      <c r="BG121" s="153"/>
      <c r="BH121" s="153"/>
      <c r="BI121" s="153"/>
      <c r="BJ121" s="153"/>
      <c r="BK121" s="153"/>
      <c r="BL121" s="153"/>
      <c r="BM121" s="153"/>
      <c r="BN121" s="153"/>
      <c r="BO121" s="153"/>
      <c r="BP121" s="153"/>
      <c r="BQ121" s="153"/>
      <c r="BR121" s="153"/>
      <c r="BS121" s="153"/>
      <c r="BT121" s="153"/>
      <c r="BU121" s="153"/>
      <c r="BV121" s="153"/>
      <c r="BW121" s="153"/>
      <c r="BX121" s="153"/>
      <c r="BY121" s="153"/>
      <c r="BZ121" s="153"/>
      <c r="CA121" s="153"/>
      <c r="CB121" s="153"/>
      <c r="CC121" s="153"/>
      <c r="CD121" s="153"/>
      <c r="CE121" s="153"/>
      <c r="CF121" s="8"/>
      <c r="EA121" s="1">
        <f t="shared" si="538"/>
        <v>24.2</v>
      </c>
      <c r="EB121" s="1" t="str">
        <f t="shared" si="455"/>
        <v>7.74809360932486E-06-0.0187503865345662i</v>
      </c>
      <c r="EC121" s="1" t="str">
        <f t="shared" si="456"/>
        <v>0.0000151799384999018-0.0367354511697623i</v>
      </c>
      <c r="ED121" s="1" t="str">
        <f t="shared" si="457"/>
        <v>0.0000375150042614757-0.0907863103127717i</v>
      </c>
      <c r="EE121" s="1" t="str">
        <f t="shared" si="458"/>
        <v>0.0000523918710725776-0.126788327995638i</v>
      </c>
      <c r="EF121" s="1" t="str">
        <f t="shared" si="459"/>
        <v>0.43923912980568i</v>
      </c>
      <c r="EG121" s="1" t="str">
        <f t="shared" si="460"/>
        <v>0.439056189726628i</v>
      </c>
      <c r="EH121" s="1" t="str">
        <f t="shared" si="461"/>
        <v>0.439405816943825i</v>
      </c>
      <c r="EI121" s="1" t="str">
        <f t="shared" si="462"/>
        <v>0.439362894001174i</v>
      </c>
      <c r="EJ121" s="1" t="str">
        <f t="shared" si="450"/>
        <v>0.005</v>
      </c>
      <c r="EK121" s="1" t="str">
        <f t="shared" si="451"/>
        <v>0.01</v>
      </c>
      <c r="EL121" s="1" t="str">
        <f t="shared" si="452"/>
        <v>0.0125</v>
      </c>
      <c r="EM121" s="1" t="str">
        <f t="shared" si="493"/>
        <v>0.00500774809360933+0.420488743271114i</v>
      </c>
      <c r="EN121" s="1" t="str">
        <f t="shared" si="494"/>
        <v>-0.005</v>
      </c>
      <c r="EO121" s="1" t="str">
        <f t="shared" si="495"/>
        <v>0.0557828482201951-134.994492692872i</v>
      </c>
      <c r="EP121" s="1" t="str">
        <f t="shared" si="496"/>
        <v>-0.005</v>
      </c>
      <c r="EQ121" s="1" t="str">
        <f t="shared" si="497"/>
        <v>0.0150151799384999+0.402320738556866i</v>
      </c>
      <c r="ER121" s="1" t="str">
        <f t="shared" si="498"/>
        <v>-0.01</v>
      </c>
      <c r="ES121" s="1" t="str">
        <f t="shared" si="499"/>
        <v>0.109288845492627-264.479006092158i</v>
      </c>
      <c r="ET121" s="1" t="str">
        <f t="shared" si="500"/>
        <v>-0.01</v>
      </c>
      <c r="EU121" s="1" t="str">
        <f t="shared" si="501"/>
        <v>0.0225375150042615+0.348619506631053i</v>
      </c>
      <c r="EV121" s="1" t="str">
        <f t="shared" si="502"/>
        <v>-0.0125</v>
      </c>
      <c r="EW121" s="1" t="str">
        <f t="shared" si="503"/>
        <v>0.270091443678392-653.621293701711i</v>
      </c>
      <c r="EX121" s="1" t="str">
        <f t="shared" si="504"/>
        <v>-0.0125</v>
      </c>
      <c r="EY121" s="1" t="str">
        <f t="shared" si="505"/>
        <v>0.0125523918710726+0.312574566005536i</v>
      </c>
      <c r="EZ121" s="1" t="str">
        <f t="shared" si="506"/>
        <v>0.377198307012748-912.819902970851i</v>
      </c>
      <c r="FB121" s="1" t="str">
        <f t="shared" si="507"/>
        <v>0.00500774809360933+0.420488743271114i</v>
      </c>
      <c r="FC121" s="1" t="str">
        <f t="shared" si="508"/>
        <v>0.0557828482201951-134.994492692872i</v>
      </c>
      <c r="FD121" s="1" t="str">
        <f t="shared" si="509"/>
        <v>-0.000141593115562768+0.0118892384572638i</v>
      </c>
      <c r="FE121" s="1" t="str">
        <f t="shared" si="510"/>
        <v>0.0150144719729221+0.402380184749152i</v>
      </c>
      <c r="FF121" s="1" t="str">
        <f t="shared" si="511"/>
        <v>-1.49568497008301-264.498783598546i</v>
      </c>
      <c r="FG121" s="1" t="str">
        <f t="shared" si="512"/>
        <v>-0.000926046137980841+0.0248175637983791i</v>
      </c>
      <c r="FH121" s="1" t="str">
        <f t="shared" si="513"/>
        <v>0.0225282545428817+0.348867682269037i</v>
      </c>
      <c r="FI121" s="1" t="str">
        <f t="shared" si="514"/>
        <v>-6.29550906616237-653.829112521596i</v>
      </c>
      <c r="FJ121" s="1" t="str">
        <f t="shared" si="515"/>
        <v>-0.00230413990368061+0.0356814127029051i</v>
      </c>
      <c r="FK121" s="1" t="str">
        <f t="shared" si="516"/>
        <v>0.0125235901222766+0.313020583664322i</v>
      </c>
      <c r="FL121" s="1" t="str">
        <f t="shared" si="517"/>
        <v>-22.9443104964918-914.335575119834i</v>
      </c>
      <c r="FM121" s="1" t="str">
        <f t="shared" si="518"/>
        <v>-2919.26757044611-43.4968200929253i</v>
      </c>
      <c r="FN121" s="1" t="str">
        <f t="shared" si="519"/>
        <v>-1875.80259966443+1.5128809176777i</v>
      </c>
      <c r="FO121" s="1" t="str">
        <f t="shared" si="520"/>
        <v>-658.259584718416+25.7723696993933i</v>
      </c>
      <c r="FP121" s="1" t="str">
        <f t="shared" si="521"/>
        <v>-320.781554291613+3.87435308191503i</v>
      </c>
      <c r="FQ121" s="92" t="str">
        <f t="shared" si="522"/>
        <v>-0.0143773241263034-141.00930084785i</v>
      </c>
      <c r="FR121" s="1" t="str">
        <f t="shared" si="523"/>
        <v>-1.70176747626031-140.899810764762i</v>
      </c>
      <c r="FS121" s="1" t="str">
        <f t="shared" si="524"/>
        <v>1.68739015213402-0.109490083087392i</v>
      </c>
      <c r="FT121" s="1" t="str">
        <f t="shared" si="525"/>
        <v>-0.8274784431155-288.660860146596i</v>
      </c>
      <c r="FU121" s="1" t="str">
        <f t="shared" si="526"/>
        <v>0.203113309739931-823.918547356084i</v>
      </c>
      <c r="FV121" s="1" t="str">
        <f t="shared" si="527"/>
        <v>6.04503328989898-1282.94667831981i</v>
      </c>
      <c r="FW121" s="1" t="str">
        <f t="shared" si="528"/>
        <v>-1.70176747626031-140.899810764762i</v>
      </c>
      <c r="FX121" s="1" t="str">
        <f t="shared" si="529"/>
        <v>-11.3155184404416-289.0129451175i</v>
      </c>
      <c r="FY121" s="1" t="str">
        <f t="shared" si="530"/>
        <v>-0.664768675570893-824.2385737309i</v>
      </c>
      <c r="FZ121" s="1" t="str">
        <f t="shared" si="531"/>
        <v>19.1108887558761-1282.61784811498i</v>
      </c>
      <c r="GA121" s="1" t="str">
        <f t="shared" si="532"/>
        <v>1.68739015213402-0.109490083087392i</v>
      </c>
      <c r="GB121" s="1" t="str">
        <f t="shared" si="533"/>
        <v>12.1754301494601+0.242594887817156i</v>
      </c>
      <c r="GC121" s="1" t="str">
        <f t="shared" si="534"/>
        <v>13.043312134771+0.562621262632538i</v>
      </c>
      <c r="GD121" s="92" t="str">
        <f t="shared" si="535"/>
        <v>5.40629083239711-2536.53538667034i</v>
      </c>
      <c r="GE121" s="1" t="str">
        <f t="shared" si="463"/>
        <v>0.00604952683140197+2.83833026305376i</v>
      </c>
      <c r="GF121" s="1">
        <f t="shared" si="464"/>
        <v>24.2</v>
      </c>
      <c r="GG121" s="56">
        <f t="shared" si="465"/>
        <v>0.19650141131297319</v>
      </c>
      <c r="GH121" s="1">
        <f t="shared" si="466"/>
        <v>0.80349860676031759</v>
      </c>
      <c r="GJ121" s="1">
        <f t="shared" si="536"/>
        <v>2536.5411480619464</v>
      </c>
      <c r="GK121" s="1">
        <f t="shared" si="537"/>
        <v>2.8383367099309611</v>
      </c>
      <c r="GM121" s="1" t="str">
        <f t="shared" si="467"/>
        <v>0.0191834803010191+11.6060055821166i</v>
      </c>
      <c r="GP121" s="1">
        <f t="shared" si="453"/>
        <v>24.2</v>
      </c>
      <c r="GQ121" s="1">
        <f t="shared" si="454"/>
        <v>2.8383367099309611</v>
      </c>
      <c r="GR121" s="1">
        <f t="shared" si="468"/>
        <v>11.606021436221722</v>
      </c>
      <c r="GS121" s="1">
        <f t="shared" si="469"/>
        <v>2.2805995919461983</v>
      </c>
    </row>
    <row r="122" spans="2:201" ht="18" customHeight="1" x14ac:dyDescent="0.25">
      <c r="B122" s="6"/>
      <c r="C122" s="180" t="s">
        <v>428</v>
      </c>
      <c r="D122" s="180"/>
      <c r="E122" s="180"/>
      <c r="F122" s="180"/>
      <c r="G122" s="180"/>
      <c r="H122" s="180"/>
      <c r="I122" s="180"/>
      <c r="J122" s="180"/>
      <c r="L122" s="196">
        <f>AB39</f>
        <v>5.8457900817834743</v>
      </c>
      <c r="M122" s="196"/>
      <c r="N122" s="196"/>
      <c r="O122" s="196"/>
      <c r="Q122" s="196">
        <f>AB40</f>
        <v>2.9837886875769812</v>
      </c>
      <c r="R122" s="196"/>
      <c r="S122" s="196"/>
      <c r="T122" s="196"/>
      <c r="V122" s="196">
        <f>IF(G41&lt;1,"n/a",AB41)</f>
        <v>1.2073496902313601</v>
      </c>
      <c r="W122" s="196"/>
      <c r="X122" s="196"/>
      <c r="Y122" s="196"/>
      <c r="Z122" s="86"/>
      <c r="AA122" s="196">
        <f>IF(F32&lt;1,"n/a",AB42)</f>
        <v>0.86451825153135875</v>
      </c>
      <c r="AB122" s="196"/>
      <c r="AC122" s="196"/>
      <c r="AD122" s="196"/>
      <c r="AP122" s="8"/>
      <c r="AR122" s="6"/>
      <c r="AS122" s="153"/>
      <c r="AT122" s="153"/>
      <c r="AU122" s="153"/>
      <c r="AV122" s="153"/>
      <c r="AW122" s="153"/>
      <c r="AX122" s="153"/>
      <c r="AY122" s="153"/>
      <c r="AZ122" s="153"/>
      <c r="BA122" s="153"/>
      <c r="BB122" s="153"/>
      <c r="BC122" s="153"/>
      <c r="BD122" s="153"/>
      <c r="BE122" s="153"/>
      <c r="BF122" s="153"/>
      <c r="BG122" s="153"/>
      <c r="BH122" s="153"/>
      <c r="BI122" s="153"/>
      <c r="BJ122" s="153"/>
      <c r="BK122" s="153"/>
      <c r="BL122" s="153"/>
      <c r="BM122" s="153"/>
      <c r="BN122" s="153"/>
      <c r="BO122" s="153"/>
      <c r="BP122" s="153"/>
      <c r="BQ122" s="153"/>
      <c r="BR122" s="153"/>
      <c r="BS122" s="153"/>
      <c r="BT122" s="153"/>
      <c r="BU122" s="153"/>
      <c r="BV122" s="153"/>
      <c r="BW122" s="153"/>
      <c r="BX122" s="153"/>
      <c r="BY122" s="153"/>
      <c r="BZ122" s="153"/>
      <c r="CA122" s="153"/>
      <c r="CB122" s="153"/>
      <c r="CC122" s="153"/>
      <c r="CD122" s="153"/>
      <c r="CE122" s="153"/>
      <c r="CF122" s="8"/>
      <c r="EA122" s="1">
        <f t="shared" si="538"/>
        <v>24.4</v>
      </c>
      <c r="EB122" s="1" t="str">
        <f t="shared" si="455"/>
        <v>0.0000076215962678291-0.018596694893503i</v>
      </c>
      <c r="EC122" s="1" t="str">
        <f t="shared" si="456"/>
        <v>0.000014932106973706-0.0364343410158427i</v>
      </c>
      <c r="ED122" s="1" t="str">
        <f t="shared" si="457"/>
        <v>0.000036902524786581-0.0900421604792575i</v>
      </c>
      <c r="EE122" s="1" t="str">
        <f t="shared" si="458"/>
        <v>0.0000515365080967493-0.125749079756068i</v>
      </c>
      <c r="EF122" s="1" t="str">
        <f t="shared" si="459"/>
        <v>0.442869205258618i</v>
      </c>
      <c r="EG122" s="1" t="str">
        <f t="shared" si="460"/>
        <v>0.442684753278086i</v>
      </c>
      <c r="EH122" s="1" t="str">
        <f t="shared" si="461"/>
        <v>0.443037269976418i</v>
      </c>
      <c r="EI122" s="1" t="str">
        <f t="shared" si="462"/>
        <v>0.442993992298704i</v>
      </c>
      <c r="EJ122" s="1" t="str">
        <f t="shared" si="450"/>
        <v>0.005</v>
      </c>
      <c r="EK122" s="1" t="str">
        <f t="shared" si="451"/>
        <v>0.01</v>
      </c>
      <c r="EL122" s="1" t="str">
        <f t="shared" si="452"/>
        <v>0.0125</v>
      </c>
      <c r="EM122" s="1" t="str">
        <f t="shared" si="493"/>
        <v>0.00500762159626783+0.424272510365115i</v>
      </c>
      <c r="EN122" s="1" t="str">
        <f t="shared" si="494"/>
        <v>-0.005</v>
      </c>
      <c r="EO122" s="1" t="str">
        <f t="shared" si="495"/>
        <v>0.0548721232913657-133.887980830932i</v>
      </c>
      <c r="EP122" s="1" t="str">
        <f t="shared" si="496"/>
        <v>-0.005</v>
      </c>
      <c r="EQ122" s="1" t="str">
        <f t="shared" si="497"/>
        <v>0.0150149321069737+0.406250412262243i</v>
      </c>
      <c r="ER122" s="1" t="str">
        <f t="shared" si="498"/>
        <v>-0.01</v>
      </c>
      <c r="ES122" s="1" t="str">
        <f t="shared" si="499"/>
        <v>0.107504568081043-262.311146117745i</v>
      </c>
      <c r="ET122" s="1" t="str">
        <f t="shared" si="500"/>
        <v>-0.01</v>
      </c>
      <c r="EU122" s="1" t="str">
        <f t="shared" si="501"/>
        <v>0.0225369025247866+0.352995109497161i</v>
      </c>
      <c r="EV122" s="1" t="str">
        <f t="shared" si="502"/>
        <v>-0.0125</v>
      </c>
      <c r="EW122" s="1" t="str">
        <f t="shared" si="503"/>
        <v>0.265681862262788-648.263743921202i</v>
      </c>
      <c r="EX122" s="1" t="str">
        <f t="shared" si="504"/>
        <v>-0.0125</v>
      </c>
      <c r="EY122" s="1" t="str">
        <f t="shared" si="505"/>
        <v>0.0125515365080968+0.317244912542636i</v>
      </c>
      <c r="EZ122" s="1" t="str">
        <f t="shared" si="506"/>
        <v>0.371040071779712-905.337775142494i</v>
      </c>
      <c r="FB122" s="1" t="str">
        <f t="shared" si="507"/>
        <v>0.00500762159626783+0.424272510365115i</v>
      </c>
      <c r="FC122" s="1" t="str">
        <f t="shared" si="508"/>
        <v>0.0548721232913657-133.887980830932i</v>
      </c>
      <c r="FD122" s="1" t="str">
        <f t="shared" si="509"/>
        <v>-0.000139075690415985+0.0117832370456123i</v>
      </c>
      <c r="FE122" s="1" t="str">
        <f t="shared" si="510"/>
        <v>0.0150142367285216+0.406309328447471i</v>
      </c>
      <c r="FF122" s="1" t="str">
        <f t="shared" si="511"/>
        <v>-1.4701216162298-262.330413252353i</v>
      </c>
      <c r="FG122" s="1" t="str">
        <f t="shared" si="512"/>
        <v>-0.000908232515620835+0.0245782286618039i</v>
      </c>
      <c r="FH122" s="1" t="str">
        <f t="shared" si="513"/>
        <v>0.0225278201996304+0.353240891783779i</v>
      </c>
      <c r="FI122" s="1" t="str">
        <f t="shared" si="514"/>
        <v>-6.18327023185283-648.46586794711i</v>
      </c>
      <c r="FJ122" s="1" t="str">
        <f t="shared" si="515"/>
        <v>-0.00224762811319962+0.0352432748516855i</v>
      </c>
      <c r="FK122" s="1" t="str">
        <f t="shared" si="516"/>
        <v>0.0125234411566818+0.317685453478282i</v>
      </c>
      <c r="FL122" s="1" t="str">
        <f t="shared" si="517"/>
        <v>-22.4753000775951-906.804194456994i</v>
      </c>
      <c r="FM122" s="1" t="str">
        <f t="shared" si="518"/>
        <v>-2852.7646239171-41.7114780636317i</v>
      </c>
      <c r="FN122" s="1" t="str">
        <f t="shared" si="519"/>
        <v>-1837.31868369503+1.27970199834613i</v>
      </c>
      <c r="FO122" s="1" t="str">
        <f t="shared" si="520"/>
        <v>-646.532469173319+24.9467984086581i</v>
      </c>
      <c r="FP122" s="1" t="str">
        <f t="shared" si="521"/>
        <v>-315.321199772517+3.76828791348613i</v>
      </c>
      <c r="FQ122" s="92" t="str">
        <f t="shared" si="522"/>
        <v>-0.0128023264272573-139.751941696924i</v>
      </c>
      <c r="FR122" s="1" t="str">
        <f t="shared" si="523"/>
        <v>-1.66885867343126-139.646049144449i</v>
      </c>
      <c r="FS122" s="1" t="str">
        <f t="shared" si="524"/>
        <v>1.65605634700401-0.10589255247586i</v>
      </c>
      <c r="FT122" s="1" t="str">
        <f t="shared" si="525"/>
        <v>-0.791761500401818-285.867503085683i</v>
      </c>
      <c r="FU122" s="1" t="str">
        <f t="shared" si="526"/>
        <v>0.218256427827983-813.699934914242i</v>
      </c>
      <c r="FV122" s="1" t="str">
        <f t="shared" si="527"/>
        <v>5.76324158068544-1264.0681516968i</v>
      </c>
      <c r="FW122" s="1" t="str">
        <f t="shared" si="528"/>
        <v>-1.66885867343126-139.646049144449i</v>
      </c>
      <c r="FX122" s="1" t="str">
        <f t="shared" si="529"/>
        <v>-11.043567298615-286.210066602262i</v>
      </c>
      <c r="FY122" s="1" t="str">
        <f t="shared" si="530"/>
        <v>-0.566955679730636-814.000653700912i</v>
      </c>
      <c r="FZ122" s="1" t="str">
        <f t="shared" si="531"/>
        <v>18.477934192088-1263.75758983755i</v>
      </c>
      <c r="GA122" s="1" t="str">
        <f t="shared" si="532"/>
        <v>1.65605634700401-0.10589255247586i</v>
      </c>
      <c r="GB122" s="1" t="str">
        <f t="shared" si="533"/>
        <v>11.9078621452171+0.23667096410312i</v>
      </c>
      <c r="GC122" s="1" t="str">
        <f t="shared" si="534"/>
        <v>12.6930742527759+0.537389750774723i</v>
      </c>
      <c r="GD122" s="92" t="str">
        <f t="shared" si="535"/>
        <v>5.17693418168435-2503.38753139365i</v>
      </c>
      <c r="GE122" s="1" t="str">
        <f t="shared" si="463"/>
        <v>0.00594730816910976+2.87591392770246i</v>
      </c>
      <c r="GF122" s="1">
        <f t="shared" si="464"/>
        <v>24.4</v>
      </c>
      <c r="GG122" s="56">
        <f t="shared" si="465"/>
        <v>0.19728000945805815</v>
      </c>
      <c r="GH122" s="1">
        <f t="shared" si="466"/>
        <v>0.80272000508895036</v>
      </c>
      <c r="GJ122" s="1">
        <f t="shared" si="536"/>
        <v>2503.3928842642167</v>
      </c>
      <c r="GK122" s="1">
        <f t="shared" si="537"/>
        <v>2.8759200771279176</v>
      </c>
      <c r="GM122" s="1" t="str">
        <f t="shared" si="467"/>
        <v>0.0191834803010191+11.7019229836217i</v>
      </c>
      <c r="GP122" s="1">
        <f t="shared" si="453"/>
        <v>24.4</v>
      </c>
      <c r="GQ122" s="1">
        <f t="shared" si="454"/>
        <v>2.8759200771279176</v>
      </c>
      <c r="GR122" s="1">
        <f t="shared" si="468"/>
        <v>11.701938707775316</v>
      </c>
      <c r="GS122" s="1">
        <f t="shared" si="469"/>
        <v>2.3085585789475376</v>
      </c>
    </row>
    <row r="123" spans="2:201" ht="18" customHeight="1" x14ac:dyDescent="0.25">
      <c r="B123" s="6"/>
      <c r="C123" s="180" t="s">
        <v>429</v>
      </c>
      <c r="D123" s="180"/>
      <c r="E123" s="180"/>
      <c r="F123" s="180"/>
      <c r="G123" s="180"/>
      <c r="H123" s="180"/>
      <c r="I123" s="180"/>
      <c r="J123" s="180"/>
      <c r="L123" s="196">
        <f>W39</f>
        <v>2.2038109410430842</v>
      </c>
      <c r="M123" s="196"/>
      <c r="N123" s="196"/>
      <c r="O123" s="196"/>
      <c r="Q123" s="196">
        <f>W40</f>
        <v>1.1248618344907408</v>
      </c>
      <c r="R123" s="196"/>
      <c r="S123" s="196"/>
      <c r="T123" s="196"/>
      <c r="V123" s="196">
        <f>IF(F31&lt;1,"n/a",W41)</f>
        <v>0.45516011005737039</v>
      </c>
      <c r="W123" s="196"/>
      <c r="X123" s="196"/>
      <c r="Y123" s="196"/>
      <c r="Z123" s="86"/>
      <c r="AA123" s="196">
        <f>IF(F32&lt;1,"n/a",W42)</f>
        <v>0.32591570254862512</v>
      </c>
      <c r="AB123" s="196"/>
      <c r="AC123" s="196"/>
      <c r="AD123" s="196"/>
      <c r="AP123" s="8"/>
      <c r="AR123" s="6"/>
      <c r="AS123" s="153"/>
      <c r="AT123" s="153"/>
      <c r="AU123" s="153"/>
      <c r="AV123" s="153"/>
      <c r="AW123" s="153"/>
      <c r="AX123" s="153"/>
      <c r="AY123" s="153"/>
      <c r="AZ123" s="153"/>
      <c r="BA123" s="153"/>
      <c r="BB123" s="153"/>
      <c r="BC123" s="153"/>
      <c r="BD123" s="153"/>
      <c r="BE123" s="153"/>
      <c r="BF123" s="153"/>
      <c r="BG123" s="153"/>
      <c r="BH123" s="153"/>
      <c r="BI123" s="153"/>
      <c r="BJ123" s="153"/>
      <c r="BK123" s="153"/>
      <c r="BL123" s="153"/>
      <c r="BM123" s="153"/>
      <c r="BN123" s="153"/>
      <c r="BO123" s="153"/>
      <c r="BP123" s="153"/>
      <c r="BQ123" s="153"/>
      <c r="BR123" s="153"/>
      <c r="BS123" s="153"/>
      <c r="BT123" s="153"/>
      <c r="BU123" s="153"/>
      <c r="BV123" s="153"/>
      <c r="BW123" s="153"/>
      <c r="BX123" s="153"/>
      <c r="BY123" s="153"/>
      <c r="BZ123" s="153"/>
      <c r="CA123" s="153"/>
      <c r="CB123" s="153"/>
      <c r="CC123" s="153"/>
      <c r="CD123" s="153"/>
      <c r="CE123" s="153"/>
      <c r="CF123" s="8"/>
      <c r="EA123" s="1">
        <f t="shared" si="538"/>
        <v>24.6</v>
      </c>
      <c r="EB123" s="1" t="str">
        <f t="shared" si="455"/>
        <v>7.49817166758741E-06-0.0184455023022651i</v>
      </c>
      <c r="EC123" s="1" t="str">
        <f t="shared" si="456"/>
        <v>0.000014690295512008-0.0361381269595398i</v>
      </c>
      <c r="ED123" s="1" t="str">
        <f t="shared" si="457"/>
        <v>0.0000363049230231657-0.0893101106369876i</v>
      </c>
      <c r="EE123" s="1" t="str">
        <f t="shared" si="458"/>
        <v>0.0000507019227046388-0.124726729853411i</v>
      </c>
      <c r="EF123" s="1" t="str">
        <f t="shared" si="459"/>
        <v>0.446499280711558i</v>
      </c>
      <c r="EG123" s="1" t="str">
        <f t="shared" si="460"/>
        <v>0.446313316829546i</v>
      </c>
      <c r="EH123" s="1" t="str">
        <f t="shared" si="461"/>
        <v>0.446668723009011i</v>
      </c>
      <c r="EI123" s="1" t="str">
        <f t="shared" si="462"/>
        <v>0.446625090596233i</v>
      </c>
      <c r="EJ123" s="1" t="str">
        <f t="shared" si="450"/>
        <v>0.005</v>
      </c>
      <c r="EK123" s="1" t="str">
        <f t="shared" si="451"/>
        <v>0.01</v>
      </c>
      <c r="EL123" s="1" t="str">
        <f t="shared" si="452"/>
        <v>0.0125</v>
      </c>
      <c r="EM123" s="1" t="str">
        <f t="shared" si="493"/>
        <v>0.00500749817166759+0.428053778409293i</v>
      </c>
      <c r="EN123" s="1" t="str">
        <f t="shared" si="494"/>
        <v>-0.005</v>
      </c>
      <c r="EO123" s="1" t="str">
        <f t="shared" si="495"/>
        <v>0.0539835207409739-132.799461022796i</v>
      </c>
      <c r="EP123" s="1" t="str">
        <f t="shared" si="496"/>
        <v>-0.005</v>
      </c>
      <c r="EQ123" s="1" t="str">
        <f t="shared" si="497"/>
        <v>0.015014690295512+0.410175189870006i</v>
      </c>
      <c r="ER123" s="1" t="str">
        <f t="shared" si="498"/>
        <v>-0.01</v>
      </c>
      <c r="ES123" s="1" t="str">
        <f t="shared" si="499"/>
        <v>0.105763632472112-260.178535881397i</v>
      </c>
      <c r="ET123" s="1" t="str">
        <f t="shared" si="500"/>
        <v>-0.01</v>
      </c>
      <c r="EU123" s="1" t="str">
        <f t="shared" si="501"/>
        <v>0.0225363049230232+0.357358612372023i</v>
      </c>
      <c r="EV123" s="1" t="str">
        <f t="shared" si="502"/>
        <v>-0.0125</v>
      </c>
      <c r="EW123" s="1" t="str">
        <f t="shared" si="503"/>
        <v>0.261379393791757-642.993308727722i</v>
      </c>
      <c r="EX123" s="1" t="str">
        <f t="shared" si="504"/>
        <v>-0.0125</v>
      </c>
      <c r="EY123" s="1" t="str">
        <f t="shared" si="505"/>
        <v>0.0125507019227046+0.321898360742822i</v>
      </c>
      <c r="EZ123" s="1" t="str">
        <f t="shared" si="506"/>
        <v>0.365031425962776-897.977307868427i</v>
      </c>
      <c r="FB123" s="1" t="str">
        <f t="shared" si="507"/>
        <v>0.00500749817166759+0.428053778409293i</v>
      </c>
      <c r="FC123" s="1" t="str">
        <f t="shared" si="508"/>
        <v>0.0539835207409739-132.799461022796i</v>
      </c>
      <c r="FD123" s="1" t="str">
        <f t="shared" si="509"/>
        <v>-0.000136626425048369+0.0116791769996857i</v>
      </c>
      <c r="FE123" s="1" t="str">
        <f t="shared" si="510"/>
        <v>0.0150140071633868+0.410233585755004i</v>
      </c>
      <c r="FF123" s="1" t="str">
        <f t="shared" si="511"/>
        <v>-1.44521740270054-260.197310280099i</v>
      </c>
      <c r="FG123" s="1" t="str">
        <f t="shared" si="512"/>
        <v>-0.000890949031901948+0.0243437486145197i</v>
      </c>
      <c r="FH123" s="1" t="str">
        <f t="shared" si="513"/>
        <v>0.0225273954327042+0.357602049858168i</v>
      </c>
      <c r="FI123" s="1" t="str">
        <f t="shared" si="514"/>
        <v>-6.07408613288698-643.189949260275i</v>
      </c>
      <c r="FJ123" s="1" t="str">
        <f t="shared" si="515"/>
        <v>-0.00219331458660434+0.0348168874869073i</v>
      </c>
      <c r="FK123" s="1" t="str">
        <f t="shared" si="516"/>
        <v>0.012523285490372+0.322333571836408i</v>
      </c>
      <c r="FL123" s="1" t="str">
        <f t="shared" si="517"/>
        <v>-22.0214209716075-899.396694888494i</v>
      </c>
      <c r="FM123" s="1" t="str">
        <f t="shared" si="518"/>
        <v>-2788.71172490727-40.0281361827933i</v>
      </c>
      <c r="FN123" s="1" t="str">
        <f t="shared" si="519"/>
        <v>-1800.08573544347+1.06749812892301i</v>
      </c>
      <c r="FO123" s="1" t="str">
        <f t="shared" si="520"/>
        <v>-635.12435040511+24.1577324593556i</v>
      </c>
      <c r="FP123" s="1" t="str">
        <f t="shared" si="521"/>
        <v>-310.000839370682+3.66615054947592i</v>
      </c>
      <c r="FQ123" s="92" t="str">
        <f t="shared" si="522"/>
        <v>-0.0113160281491371-138.517609708538i</v>
      </c>
      <c r="FR123" s="1" t="str">
        <f t="shared" si="523"/>
        <v>-1.63693358332128-138.415151798989i</v>
      </c>
      <c r="FS123" s="1" t="str">
        <f t="shared" si="524"/>
        <v>1.62561755517214-0.102457909549398i</v>
      </c>
      <c r="FT123" s="1" t="str">
        <f t="shared" si="525"/>
        <v>-0.757921405804353-283.13109517566i</v>
      </c>
      <c r="FU123" s="1" t="str">
        <f t="shared" si="526"/>
        <v>0.231392991853239-803.759203671679i</v>
      </c>
      <c r="FV123" s="1" t="str">
        <f t="shared" si="527"/>
        <v>5.49900300049135-1245.80217231651i</v>
      </c>
      <c r="FW123" s="1" t="str">
        <f t="shared" si="528"/>
        <v>-1.63693358332128-138.415151798989i</v>
      </c>
      <c r="FX123" s="1" t="str">
        <f t="shared" si="529"/>
        <v>-10.7819177010158-283.464455428515i</v>
      </c>
      <c r="FY123" s="1" t="str">
        <f t="shared" si="530"/>
        <v>-0.47681802606055-804.041996757271i</v>
      </c>
      <c r="FZ123" s="1" t="str">
        <f t="shared" si="531"/>
        <v>17.8775699490384-1245.50862678349i</v>
      </c>
      <c r="GA123" s="1" t="str">
        <f t="shared" si="532"/>
        <v>1.62561755517214-0.102457909549398i</v>
      </c>
      <c r="GB123" s="1" t="str">
        <f t="shared" si="533"/>
        <v>11.6496138503836+0.230902343304326i</v>
      </c>
      <c r="GC123" s="1" t="str">
        <f t="shared" si="534"/>
        <v>12.3578248682975+0.513695428896454i</v>
      </c>
      <c r="GD123" s="92" t="str">
        <f t="shared" si="535"/>
        <v>4.9611585583911-2471.21008087239i</v>
      </c>
      <c r="GE123" s="1" t="str">
        <f t="shared" si="463"/>
        <v>0.0058488145217053+2.91336171522772i</v>
      </c>
      <c r="GF123" s="1">
        <f t="shared" si="464"/>
        <v>24.6</v>
      </c>
      <c r="GG123" s="56">
        <f t="shared" si="465"/>
        <v>0.19803707057375494</v>
      </c>
      <c r="GH123" s="1">
        <f t="shared" si="466"/>
        <v>0.80196294098758703</v>
      </c>
      <c r="GJ123" s="1">
        <f t="shared" si="536"/>
        <v>2471.2150608353709</v>
      </c>
      <c r="GK123" s="1">
        <f t="shared" si="537"/>
        <v>2.9133675862111721</v>
      </c>
      <c r="GM123" s="1" t="str">
        <f t="shared" si="467"/>
        <v>0.0191834803010191+11.7978403851268i</v>
      </c>
      <c r="GP123" s="1">
        <f t="shared" si="453"/>
        <v>24.6</v>
      </c>
      <c r="GQ123" s="1">
        <f t="shared" si="454"/>
        <v>2.9133675862111721</v>
      </c>
      <c r="GR123" s="1">
        <f t="shared" si="468"/>
        <v>11.797855981441939</v>
      </c>
      <c r="GS123" s="1">
        <f t="shared" si="469"/>
        <v>2.3364128376158191</v>
      </c>
    </row>
    <row r="124" spans="2:201" ht="18" customHeight="1" x14ac:dyDescent="0.25">
      <c r="B124" s="6"/>
      <c r="C124" s="180" t="s">
        <v>117</v>
      </c>
      <c r="D124" s="180"/>
      <c r="E124" s="180"/>
      <c r="F124" s="180"/>
      <c r="G124" s="180"/>
      <c r="H124" s="180"/>
      <c r="I124" s="180"/>
      <c r="J124" s="180"/>
      <c r="L124" s="156">
        <v>3</v>
      </c>
      <c r="M124" s="156"/>
      <c r="N124" s="156"/>
      <c r="O124" s="156"/>
      <c r="Q124" s="156">
        <v>3</v>
      </c>
      <c r="R124" s="156"/>
      <c r="S124" s="156"/>
      <c r="T124" s="156"/>
      <c r="V124" s="156">
        <v>3</v>
      </c>
      <c r="W124" s="156"/>
      <c r="X124" s="156"/>
      <c r="Y124" s="156"/>
      <c r="AA124" s="156">
        <v>3</v>
      </c>
      <c r="AB124" s="156"/>
      <c r="AC124" s="156"/>
      <c r="AD124" s="156"/>
      <c r="AP124" s="8"/>
      <c r="AR124" s="6"/>
      <c r="CF124" s="8"/>
      <c r="EA124" s="1">
        <f t="shared" si="538"/>
        <v>24.8</v>
      </c>
      <c r="EB124" s="1" t="str">
        <f t="shared" si="455"/>
        <v>7.37772108871335E-06-0.0182967483000091i</v>
      </c>
      <c r="EC124" s="1" t="str">
        <f t="shared" si="456"/>
        <v>0.000014454310704418-0.0358466905469566i</v>
      </c>
      <c r="ED124" s="1" t="str">
        <f t="shared" si="457"/>
        <v>0.0000357217209856579-0.0885898680444319i</v>
      </c>
      <c r="EE124" s="1" t="str">
        <f t="shared" si="458"/>
        <v>0.0000498874473617761-0.123720869457205i</v>
      </c>
      <c r="EF124" s="1" t="str">
        <f t="shared" si="459"/>
        <v>0.450129356164499i</v>
      </c>
      <c r="EG124" s="1" t="str">
        <f t="shared" si="460"/>
        <v>0.449941880381006i</v>
      </c>
      <c r="EH124" s="1" t="str">
        <f t="shared" si="461"/>
        <v>0.450300176041605i</v>
      </c>
      <c r="EI124" s="1" t="str">
        <f t="shared" si="462"/>
        <v>0.450256188893763i</v>
      </c>
      <c r="EJ124" s="1" t="str">
        <f t="shared" si="450"/>
        <v>0.005</v>
      </c>
      <c r="EK124" s="1" t="str">
        <f t="shared" si="451"/>
        <v>0.01</v>
      </c>
      <c r="EL124" s="1" t="str">
        <f t="shared" si="452"/>
        <v>0.0125</v>
      </c>
      <c r="EM124" s="1" t="str">
        <f t="shared" si="493"/>
        <v>0.00500737772108871+0.43183260786449i</v>
      </c>
      <c r="EN124" s="1" t="str">
        <f t="shared" si="494"/>
        <v>-0.005</v>
      </c>
      <c r="EO124" s="1" t="str">
        <f t="shared" si="495"/>
        <v>0.0531163298294857-131.728497977124i</v>
      </c>
      <c r="EP124" s="1" t="str">
        <f t="shared" si="496"/>
        <v>-0.005</v>
      </c>
      <c r="EQ124" s="1" t="str">
        <f t="shared" si="497"/>
        <v>0.0150144543107044+0.414095189834049i</v>
      </c>
      <c r="ER124" s="1" t="str">
        <f t="shared" si="498"/>
        <v>-0.01</v>
      </c>
      <c r="ES124" s="1" t="str">
        <f t="shared" si="499"/>
        <v>0.104064646196543-258.080322567427i</v>
      </c>
      <c r="ET124" s="1" t="str">
        <f t="shared" si="500"/>
        <v>-0.01</v>
      </c>
      <c r="EU124" s="1" t="str">
        <f t="shared" si="501"/>
        <v>0.0225357217209857+0.361710307997173i</v>
      </c>
      <c r="EV124" s="1" t="str">
        <f t="shared" si="502"/>
        <v>-0.0125</v>
      </c>
      <c r="EW124" s="1" t="str">
        <f t="shared" si="503"/>
        <v>0.257180596980519-637.80788051169i</v>
      </c>
      <c r="EX124" s="1" t="str">
        <f t="shared" si="504"/>
        <v>-0.0125</v>
      </c>
      <c r="EY124" s="1" t="str">
        <f t="shared" si="505"/>
        <v>0.0125498874473618+0.326535319436558i</v>
      </c>
      <c r="EZ124" s="1" t="str">
        <f t="shared" si="506"/>
        <v>0.359167563608904-890.735557750083i</v>
      </c>
      <c r="FB124" s="1" t="str">
        <f t="shared" si="507"/>
        <v>0.00500737772108871+0.43183260786449i</v>
      </c>
      <c r="FC124" s="1" t="str">
        <f t="shared" si="508"/>
        <v>0.0531163298294857-131.728497977124i</v>
      </c>
      <c r="FD124" s="1" t="str">
        <f t="shared" si="509"/>
        <v>-0.000134242830361985+0.0115770039232675i</v>
      </c>
      <c r="FE124" s="1" t="str">
        <f t="shared" si="510"/>
        <v>0.0150137830965526+0.414153074853665i</v>
      </c>
      <c r="FF124" s="1" t="str">
        <f t="shared" si="511"/>
        <v>-1.4209495612043-258.098621101794i</v>
      </c>
      <c r="FG124" s="1" t="str">
        <f t="shared" si="512"/>
        <v>-0.000874174202376799+0.0241139712452108i</v>
      </c>
      <c r="FH124" s="1" t="str">
        <f t="shared" si="513"/>
        <v>0.0225269799789619+0.361951447709625i</v>
      </c>
      <c r="FI124" s="1" t="str">
        <f t="shared" si="514"/>
        <v>-5.96784428814598-637.999238931066i</v>
      </c>
      <c r="FJ124" s="1" t="str">
        <f t="shared" si="515"/>
        <v>-0.00214108226069815+0.0344017628927108i</v>
      </c>
      <c r="FK124" s="1" t="str">
        <f t="shared" si="516"/>
        <v>0.0125231239191031+0.326965341472717i</v>
      </c>
      <c r="FL124" s="1" t="str">
        <f t="shared" si="517"/>
        <v>-21.5819972680427-892.110004354698i</v>
      </c>
      <c r="FM124" s="1" t="str">
        <f t="shared" si="518"/>
        <v>-2726.98206948136-38.439355855377i</v>
      </c>
      <c r="FN124" s="1" t="str">
        <f t="shared" si="519"/>
        <v>-1764.04716965821+0.874329653412497i</v>
      </c>
      <c r="FO124" s="1" t="str">
        <f t="shared" si="520"/>
        <v>-624.02348948002+23.4031051031172i</v>
      </c>
      <c r="FP124" s="1" t="str">
        <f t="shared" si="521"/>
        <v>-304.815674320012+3.56775721166803i</v>
      </c>
      <c r="FQ124" s="92" t="str">
        <f t="shared" si="522"/>
        <v>-0.00991318083934541-137.305659969973i</v>
      </c>
      <c r="FR124" s="1" t="str">
        <f t="shared" si="523"/>
        <v>-1.60595225663938-137.206483230515i</v>
      </c>
      <c r="FS124" s="1" t="str">
        <f t="shared" si="524"/>
        <v>1.59603907580004-0.099176739457246i</v>
      </c>
      <c r="FT124" s="1" t="str">
        <f t="shared" si="525"/>
        <v>-0.725839390869-280.449837764602i</v>
      </c>
      <c r="FU124" s="1" t="str">
        <f t="shared" si="526"/>
        <v>0.242738649157442-794.084617728424i</v>
      </c>
      <c r="FV124" s="1" t="str">
        <f t="shared" si="527"/>
        <v>5.25096026585881-1228.11823273918i</v>
      </c>
      <c r="FW124" s="1" t="str">
        <f t="shared" si="528"/>
        <v>-1.60595225663938-137.206483230515i</v>
      </c>
      <c r="FX124" s="1" t="str">
        <f t="shared" si="529"/>
        <v>-10.5300371168509-280.774302258557i</v>
      </c>
      <c r="FY124" s="1" t="str">
        <f t="shared" si="530"/>
        <v>-0.393710796850043-794.350751042787i</v>
      </c>
      <c r="FZ124" s="1" t="str">
        <f t="shared" si="531"/>
        <v>17.3075578709732-1227.8405537863i</v>
      </c>
      <c r="GA124" s="1" t="str">
        <f t="shared" si="532"/>
        <v>1.59603907580004-0.099176739457246i</v>
      </c>
      <c r="GB124" s="1" t="str">
        <f t="shared" si="533"/>
        <v>11.4002368017819+0.225287754497047i</v>
      </c>
      <c r="GC124" s="1" t="str">
        <f t="shared" si="534"/>
        <v>12.0366862477894+0.491421068859869i</v>
      </c>
      <c r="GD124" s="92" t="str">
        <f t="shared" si="535"/>
        <v>4.75794634330791-2439.95834820218i</v>
      </c>
      <c r="GE124" s="1" t="str">
        <f t="shared" si="463"/>
        <v>0.00575385468373266+2.95067761528289i</v>
      </c>
      <c r="GF124" s="1">
        <f t="shared" si="464"/>
        <v>24.8</v>
      </c>
      <c r="GG124" s="56">
        <f t="shared" si="465"/>
        <v>0.19877341117210989</v>
      </c>
      <c r="GH124" s="1">
        <f t="shared" si="466"/>
        <v>0.80122659787727657</v>
      </c>
      <c r="GJ124" s="1">
        <f t="shared" si="536"/>
        <v>2439.96298722233</v>
      </c>
      <c r="GK124" s="1">
        <f t="shared" si="537"/>
        <v>2.9506832253183748</v>
      </c>
      <c r="GM124" s="1" t="str">
        <f t="shared" si="467"/>
        <v>0.0191834803010191+11.8937577866319i</v>
      </c>
      <c r="GP124" s="1">
        <f t="shared" si="453"/>
        <v>24.8</v>
      </c>
      <c r="GQ124" s="1">
        <f t="shared" si="454"/>
        <v>2.9506832253183748</v>
      </c>
      <c r="GR124" s="1">
        <f t="shared" si="468"/>
        <v>11.893773257170468</v>
      </c>
      <c r="GS124" s="1">
        <f t="shared" si="469"/>
        <v>2.3641658820353921</v>
      </c>
    </row>
    <row r="125" spans="2:201" ht="18" customHeight="1" x14ac:dyDescent="0.3">
      <c r="B125" s="6"/>
      <c r="C125" s="180" t="s">
        <v>111</v>
      </c>
      <c r="D125" s="180"/>
      <c r="E125" s="180"/>
      <c r="F125" s="180"/>
      <c r="G125" s="180"/>
      <c r="H125" s="180"/>
      <c r="I125" s="180"/>
      <c r="J125" s="180"/>
      <c r="L125" s="196">
        <f>K29</f>
        <v>5</v>
      </c>
      <c r="M125" s="196"/>
      <c r="N125" s="196"/>
      <c r="O125" s="196"/>
      <c r="Q125" s="196">
        <f>K30</f>
        <v>7</v>
      </c>
      <c r="R125" s="196"/>
      <c r="S125" s="196"/>
      <c r="T125" s="196"/>
      <c r="V125" s="196">
        <f>IF(F31&lt;1,"n/a",K31)</f>
        <v>11</v>
      </c>
      <c r="W125" s="196"/>
      <c r="X125" s="196"/>
      <c r="Y125" s="196"/>
      <c r="Z125" s="86"/>
      <c r="AA125" s="196">
        <f>IF(F32&lt;1,"n/a",K32)</f>
        <v>13</v>
      </c>
      <c r="AB125" s="196"/>
      <c r="AC125" s="196"/>
      <c r="AD125" s="196"/>
      <c r="AP125" s="8"/>
      <c r="AR125" s="6"/>
      <c r="AS125" s="30" t="s">
        <v>102</v>
      </c>
      <c r="CF125" s="8"/>
      <c r="EA125" s="1">
        <f t="shared" si="538"/>
        <v>25</v>
      </c>
      <c r="EB125" s="1" t="str">
        <f t="shared" si="455"/>
        <v>7.26014974425503E-06-0.0181503743606376i</v>
      </c>
      <c r="EC125" s="1" t="str">
        <f t="shared" si="456"/>
        <v>0.0000142239668458874-0.0355599171147186i</v>
      </c>
      <c r="ED125" s="1" t="str">
        <f t="shared" si="457"/>
        <v>0.0000351524597311121-0.0878811493277807i</v>
      </c>
      <c r="EE125" s="1" t="str">
        <f t="shared" si="458"/>
        <v>0.0000490924411278198-0.122731102819549i</v>
      </c>
      <c r="EF125" s="1" t="str">
        <f t="shared" si="459"/>
        <v>0.453759431617438i</v>
      </c>
      <c r="EG125" s="1" t="str">
        <f t="shared" si="460"/>
        <v>0.453570443932466i</v>
      </c>
      <c r="EH125" s="1" t="str">
        <f t="shared" si="461"/>
        <v>0.4539316290742i</v>
      </c>
      <c r="EI125" s="1" t="str">
        <f t="shared" si="462"/>
        <v>0.453887287191293i</v>
      </c>
      <c r="EJ125" s="1" t="str">
        <f t="shared" si="450"/>
        <v>0.005</v>
      </c>
      <c r="EK125" s="1" t="str">
        <f t="shared" si="451"/>
        <v>0.01</v>
      </c>
      <c r="EL125" s="1" t="str">
        <f t="shared" si="452"/>
        <v>0.0125</v>
      </c>
      <c r="EM125" s="1" t="str">
        <f t="shared" si="493"/>
        <v>0.00500726014974426+0.4356090572568i</v>
      </c>
      <c r="EN125" s="1" t="str">
        <f t="shared" si="494"/>
        <v>-0.005</v>
      </c>
      <c r="EO125" s="1" t="str">
        <f t="shared" si="495"/>
        <v>0.0522698681327569-130.674670331892i</v>
      </c>
      <c r="EP125" s="1" t="str">
        <f t="shared" si="496"/>
        <v>-0.005</v>
      </c>
      <c r="EQ125" s="1" t="str">
        <f t="shared" si="497"/>
        <v>0.0150142239668459+0.418010526817747i</v>
      </c>
      <c r="ER125" s="1" t="str">
        <f t="shared" si="498"/>
        <v>-0.01</v>
      </c>
      <c r="ES125" s="1" t="str">
        <f t="shared" si="499"/>
        <v>0.102406272260095-256.015680650238i</v>
      </c>
      <c r="ET125" s="1" t="str">
        <f t="shared" si="500"/>
        <v>-0.01</v>
      </c>
      <c r="EU125" s="1" t="str">
        <f t="shared" si="501"/>
        <v>0.0225351524597311+0.366050479746419i</v>
      </c>
      <c r="EV125" s="1" t="str">
        <f t="shared" si="502"/>
        <v>-0.0125</v>
      </c>
      <c r="EW125" s="1" t="str">
        <f t="shared" si="503"/>
        <v>0.253082167642785-632.705419106966i</v>
      </c>
      <c r="EX125" s="1" t="str">
        <f t="shared" si="504"/>
        <v>-0.0125</v>
      </c>
      <c r="EY125" s="1" t="str">
        <f t="shared" si="505"/>
        <v>0.0125490924411278+0.331156184371744i</v>
      </c>
      <c r="EZ125" s="1" t="str">
        <f t="shared" si="506"/>
        <v>0.353443870231023-883.609675577554i</v>
      </c>
      <c r="FB125" s="1" t="str">
        <f t="shared" si="507"/>
        <v>0.00500726014974426+0.4356090572568i</v>
      </c>
      <c r="FC125" s="1" t="str">
        <f t="shared" si="508"/>
        <v>0.0522698681327569-130.674670331892i</v>
      </c>
      <c r="FD125" s="1" t="str">
        <f t="shared" si="509"/>
        <v>-0.000131922531787078+0.0114766654785521i</v>
      </c>
      <c r="FE125" s="1" t="str">
        <f t="shared" si="510"/>
        <v>0.015013564354187+0.41806791014514i</v>
      </c>
      <c r="FF125" s="1" t="str">
        <f t="shared" si="511"/>
        <v>-1.39729631008577-256.03351946738i</v>
      </c>
      <c r="FG125" s="1" t="str">
        <f t="shared" si="512"/>
        <v>-0.000857887644818857+0.023888750622282i</v>
      </c>
      <c r="FH125" s="1" t="str">
        <f t="shared" si="513"/>
        <v>0.0225265735832829+0.366289367252642i</v>
      </c>
      <c r="FI125" s="1" t="str">
        <f t="shared" si="514"/>
        <v>-5.86443745309921-632.891687436879i</v>
      </c>
      <c r="FJ125" s="1" t="str">
        <f t="shared" si="515"/>
        <v>-0.0020908219350963+0.0339974404368673i</v>
      </c>
      <c r="FK125" s="1" t="str">
        <f t="shared" si="516"/>
        <v>0.0125229571669391+0.331581152377205i</v>
      </c>
      <c r="FL125" s="1" t="str">
        <f t="shared" si="517"/>
        <v>-21.1563917801938-884.941154092197i</v>
      </c>
      <c r="FM125" s="1" t="str">
        <f t="shared" si="518"/>
        <v>-2667.45733380726-36.9383545111114i</v>
      </c>
      <c r="FN125" s="1" t="str">
        <f t="shared" si="519"/>
        <v>-1729.1497030988+0.69845353208562i</v>
      </c>
      <c r="FO125" s="1" t="str">
        <f t="shared" si="520"/>
        <v>-613.218693058281+22.680992249228i</v>
      </c>
      <c r="FP125" s="1" t="str">
        <f t="shared" si="521"/>
        <v>-299.761111670933+3.47293451098722i</v>
      </c>
      <c r="FQ125" s="92" t="str">
        <f t="shared" si="522"/>
        <v>-0.00858888281340371-136.115471941505i</v>
      </c>
      <c r="FR125" s="1" t="str">
        <f t="shared" si="523"/>
        <v>-1.57587678975015-136.019431652814i</v>
      </c>
      <c r="FS125" s="1" t="str">
        <f t="shared" si="524"/>
        <v>1.56728790693674-0.096040288691204i</v>
      </c>
      <c r="FT125" s="1" t="str">
        <f t="shared" si="525"/>
        <v>-0.695405529842688-277.822009162269i</v>
      </c>
      <c r="FU125" s="1" t="str">
        <f t="shared" si="526"/>
        <v>0.252485133798298-784.665106927439i</v>
      </c>
      <c r="FV125" s="1" t="str">
        <f t="shared" si="527"/>
        <v>5.01788084784009-1210.98784248582i</v>
      </c>
      <c r="FW125" s="1" t="str">
        <f t="shared" si="528"/>
        <v>-1.57587678975015-136.019431652814i</v>
      </c>
      <c r="FX125" s="1" t="str">
        <f t="shared" si="529"/>
        <v>-10.2874277233112-278.137874838131i</v>
      </c>
      <c r="FY125" s="1" t="str">
        <f t="shared" si="530"/>
        <v>-0.317050149652254-784.915741640807i</v>
      </c>
      <c r="FZ125" s="1" t="str">
        <f t="shared" si="531"/>
        <v>16.7658495223586-1210.7249729403i</v>
      </c>
      <c r="GA125" s="1" t="str">
        <f t="shared" si="532"/>
        <v>1.56728790693674-0.096040288691204i</v>
      </c>
      <c r="GB125" s="1" t="str">
        <f t="shared" si="533"/>
        <v>11.1593101004052+0.219825387171424i</v>
      </c>
      <c r="GC125" s="1" t="str">
        <f t="shared" si="534"/>
        <v>11.7288453838558+0.470460100539963i</v>
      </c>
      <c r="GD125" s="92" t="str">
        <f t="shared" si="535"/>
        <v>4.5663715689823-2409.59043051703i</v>
      </c>
      <c r="GE125" s="1" t="str">
        <f t="shared" si="463"/>
        <v>0.00566225018129512+2.98786545201857i</v>
      </c>
      <c r="GF125" s="1">
        <f t="shared" si="464"/>
        <v>25</v>
      </c>
      <c r="GG125" s="56">
        <f t="shared" si="465"/>
        <v>0.1994898079702688</v>
      </c>
      <c r="GH125" s="1">
        <f t="shared" si="466"/>
        <v>0.8005101989822212</v>
      </c>
      <c r="GJ125" s="1">
        <f t="shared" si="536"/>
        <v>2409.5947573375388</v>
      </c>
      <c r="GK125" s="1">
        <f t="shared" si="537"/>
        <v>2.9878708172280888</v>
      </c>
      <c r="GM125" s="1" t="str">
        <f t="shared" si="467"/>
        <v>0.0191834803010191+11.989675188137i</v>
      </c>
      <c r="GP125" s="1">
        <f t="shared" si="453"/>
        <v>25</v>
      </c>
      <c r="GQ125" s="1">
        <f t="shared" si="454"/>
        <v>2.9878708172280888</v>
      </c>
      <c r="GR125" s="1">
        <f t="shared" si="468"/>
        <v>11.98969053491142</v>
      </c>
      <c r="GS125" s="1">
        <f t="shared" si="469"/>
        <v>2.3918210624324319</v>
      </c>
    </row>
    <row r="126" spans="2:201" ht="18" customHeight="1" x14ac:dyDescent="0.3">
      <c r="B126" s="6"/>
      <c r="C126" s="180" t="s">
        <v>118</v>
      </c>
      <c r="D126" s="180"/>
      <c r="E126" s="180"/>
      <c r="F126" s="180"/>
      <c r="G126" s="180"/>
      <c r="H126" s="180"/>
      <c r="I126" s="180"/>
      <c r="J126" s="180"/>
      <c r="L126" s="196">
        <v>1</v>
      </c>
      <c r="M126" s="196"/>
      <c r="N126" s="196"/>
      <c r="O126" s="196"/>
      <c r="Q126" s="196">
        <v>1</v>
      </c>
      <c r="R126" s="196"/>
      <c r="S126" s="196"/>
      <c r="T126" s="196"/>
      <c r="V126" s="196">
        <v>1</v>
      </c>
      <c r="W126" s="196"/>
      <c r="X126" s="196"/>
      <c r="Y126" s="196"/>
      <c r="Z126" s="86"/>
      <c r="AA126" s="196">
        <v>1</v>
      </c>
      <c r="AB126" s="196"/>
      <c r="AC126" s="196"/>
      <c r="AD126" s="196"/>
      <c r="AP126" s="8"/>
      <c r="AR126" s="6"/>
      <c r="AS126" s="154" t="s">
        <v>104</v>
      </c>
      <c r="AT126" s="154"/>
      <c r="AU126" s="154"/>
      <c r="AV126" s="154"/>
      <c r="AW126" s="154"/>
      <c r="AX126" s="154"/>
      <c r="AY126" s="154"/>
      <c r="AZ126" s="154"/>
      <c r="BA126" s="154"/>
      <c r="BB126" s="154"/>
      <c r="BC126" s="154"/>
      <c r="BD126" s="154"/>
      <c r="BE126" s="154"/>
      <c r="BF126" s="154"/>
      <c r="BG126" s="154"/>
      <c r="BH126" s="154"/>
      <c r="BI126" s="154"/>
      <c r="BJ126" s="154"/>
      <c r="BK126" s="154"/>
      <c r="BL126" s="154"/>
      <c r="BM126" s="154"/>
      <c r="BN126" s="154"/>
      <c r="BO126" s="154"/>
      <c r="BP126" s="154"/>
      <c r="BQ126" s="154"/>
      <c r="BR126" s="154"/>
      <c r="BS126" s="154"/>
      <c r="BT126" s="154"/>
      <c r="BU126" s="154"/>
      <c r="BV126" s="154"/>
      <c r="BW126" s="154"/>
      <c r="BX126" s="154"/>
      <c r="BY126" s="154"/>
      <c r="BZ126" s="154"/>
      <c r="CA126" s="154"/>
      <c r="CB126" s="154"/>
      <c r="CC126" s="154"/>
      <c r="CD126" s="154"/>
      <c r="CE126" s="154"/>
      <c r="CF126" s="8"/>
      <c r="EA126" s="1">
        <f t="shared" si="538"/>
        <v>25.2</v>
      </c>
      <c r="EB126" s="1" t="str">
        <f t="shared" si="455"/>
        <v>7.14536659365979E-06-0.0180063238160227i</v>
      </c>
      <c r="EC126" s="1" t="str">
        <f t="shared" si="456"/>
        <v>0.0000139990855712518-0.0352776956395546i</v>
      </c>
      <c r="ED126" s="1" t="str">
        <f t="shared" si="457"/>
        <v>0.0000345966984560366-0.0871836801092121i</v>
      </c>
      <c r="EE126" s="1" t="str">
        <f t="shared" si="458"/>
        <v>0.0000483162883952234-0.121757046755963i</v>
      </c>
      <c r="EF126" s="1" t="str">
        <f t="shared" si="459"/>
        <v>0.457389507070378i</v>
      </c>
      <c r="EG126" s="1" t="str">
        <f t="shared" si="460"/>
        <v>0.457199007483925i</v>
      </c>
      <c r="EH126" s="1" t="str">
        <f t="shared" si="461"/>
        <v>0.457563082106792i</v>
      </c>
      <c r="EI126" s="1" t="str">
        <f t="shared" si="462"/>
        <v>0.457518385488824i</v>
      </c>
      <c r="EJ126" s="1" t="str">
        <f t="shared" si="450"/>
        <v>0.005</v>
      </c>
      <c r="EK126" s="1" t="str">
        <f t="shared" si="451"/>
        <v>0.01</v>
      </c>
      <c r="EL126" s="1" t="str">
        <f t="shared" si="452"/>
        <v>0.0125</v>
      </c>
      <c r="EM126" s="1" t="str">
        <f t="shared" si="493"/>
        <v>0.00500714536659366+0.439383183254355i</v>
      </c>
      <c r="EN126" s="1" t="str">
        <f t="shared" si="494"/>
        <v>-0.005</v>
      </c>
      <c r="EO126" s="1" t="str">
        <f t="shared" si="495"/>
        <v>0.0514434801990613-129.637570101635i</v>
      </c>
      <c r="EP126" s="1" t="str">
        <f t="shared" si="496"/>
        <v>-0.005</v>
      </c>
      <c r="EQ126" s="1" t="str">
        <f t="shared" si="497"/>
        <v>0.0150139990855713+0.42192131184437i</v>
      </c>
      <c r="ER126" s="1" t="str">
        <f t="shared" si="498"/>
        <v>-0.01</v>
      </c>
      <c r="ES126" s="1" t="str">
        <f t="shared" si="499"/>
        <v>0.100787226512446-253.983810811365i</v>
      </c>
      <c r="ET126" s="1" t="str">
        <f t="shared" si="500"/>
        <v>-0.01</v>
      </c>
      <c r="EU126" s="1" t="str">
        <f t="shared" si="501"/>
        <v>0.022534596698456+0.37037940199758i</v>
      </c>
      <c r="EV126" s="1" t="str">
        <f t="shared" si="502"/>
        <v>-0.0125</v>
      </c>
      <c r="EW126" s="1" t="str">
        <f t="shared" si="503"/>
        <v>0.249080932188313-627.683949114548i</v>
      </c>
      <c r="EX126" s="1" t="str">
        <f t="shared" si="504"/>
        <v>-0.0125</v>
      </c>
      <c r="EY126" s="1" t="str">
        <f t="shared" si="505"/>
        <v>0.0125483162883952+0.335761338732861i</v>
      </c>
      <c r="EZ126" s="1" t="str">
        <f t="shared" si="506"/>
        <v>0.347855913726986-876.596902592005i</v>
      </c>
      <c r="FB126" s="1" t="str">
        <f t="shared" si="507"/>
        <v>0.00500714536659366+0.439383183254355i</v>
      </c>
      <c r="FC126" s="1" t="str">
        <f t="shared" si="508"/>
        <v>0.0514434801990613-129.637570101635i</v>
      </c>
      <c r="FD126" s="1" t="str">
        <f t="shared" si="509"/>
        <v>-0.000129663262928946+0.0113781112881139i</v>
      </c>
      <c r="FE126" s="1" t="str">
        <f t="shared" si="510"/>
        <v>0.0150133507692567+0.421978202400811i</v>
      </c>
      <c r="FF126" s="1" t="str">
        <f t="shared" si="511"/>
        <v>-1.37423680289512-254.001205371345i</v>
      </c>
      <c r="FG126" s="1" t="str">
        <f t="shared" si="512"/>
        <v>-0.000842070010948277+0.023667946947807i</v>
      </c>
      <c r="FH126" s="1" t="str">
        <f t="shared" si="513"/>
        <v>0.0225261759983465+0.370616081467058i</v>
      </c>
      <c r="FI126" s="1" t="str">
        <f t="shared" si="514"/>
        <v>-5.76376332481937-627.865310548591i</v>
      </c>
      <c r="FJ126" s="1" t="str">
        <f t="shared" si="515"/>
        <v>-0.00204243163883383+0.0336034847061703i</v>
      </c>
      <c r="FK126" s="1" t="str">
        <f t="shared" si="516"/>
        <v>0.0125227858929098+0.336181382291688i</v>
      </c>
      <c r="FL126" s="1" t="str">
        <f t="shared" si="517"/>
        <v>-20.7440033398758-877.88727413616i</v>
      </c>
      <c r="FM126" s="1" t="str">
        <f t="shared" si="518"/>
        <v>-2610.02698036919-35.5189381059925i</v>
      </c>
      <c r="FN126" s="1" t="str">
        <f t="shared" si="519"/>
        <v>-1695.34311802656+0.538301318152969i</v>
      </c>
      <c r="FO126" s="1" t="str">
        <f t="shared" si="520"/>
        <v>-602.699282811685+21.9896008588514i</v>
      </c>
      <c r="FP126" s="1" t="str">
        <f t="shared" si="521"/>
        <v>-294.832753711337+3.3815187604335i</v>
      </c>
      <c r="FQ126" s="92" t="str">
        <f t="shared" si="522"/>
        <v>-0.00733855348217433-134.946448298722i</v>
      </c>
      <c r="FR126" s="1" t="str">
        <f t="shared" si="523"/>
        <v>-1.54667119898391-134.853407888231i</v>
      </c>
      <c r="FS126" s="1" t="str">
        <f t="shared" si="524"/>
        <v>1.53933264550174-0.0930404104920895i</v>
      </c>
      <c r="FT126" s="1" t="str">
        <f t="shared" si="525"/>
        <v>-0.666517980987589-275.245960506878i</v>
      </c>
      <c r="FU126" s="1" t="str">
        <f t="shared" si="526"/>
        <v>0.260803116897979-775.490219815378i</v>
      </c>
      <c r="FV126" s="1" t="str">
        <f t="shared" si="527"/>
        <v>4.7986437377233-1194.38436353188i</v>
      </c>
      <c r="FW126" s="1" t="str">
        <f t="shared" si="528"/>
        <v>-1.54667119898391-134.853407888231i</v>
      </c>
      <c r="FX126" s="1" t="str">
        <f t="shared" si="529"/>
        <v>-10.0536236876345-275.553513912776i</v>
      </c>
      <c r="FY126" s="1" t="str">
        <f t="shared" si="530"/>
        <v>-0.246306810236221-775.726422312772i</v>
      </c>
      <c r="FZ126" s="1" t="str">
        <f t="shared" si="531"/>
        <v>16.2505672165312-1194.13533014078i</v>
      </c>
      <c r="GA126" s="1" t="str">
        <f t="shared" si="532"/>
        <v>1.53933264550174-0.0930404104920895i</v>
      </c>
      <c r="GB126" s="1" t="str">
        <f t="shared" si="533"/>
        <v>10.9264383521488+0.214512995406984i</v>
      </c>
      <c r="GC126" s="1" t="str">
        <f t="shared" si="534"/>
        <v>11.4335482792829+0.450715492801819i</v>
      </c>
      <c r="GD126" s="92" t="str">
        <f t="shared" si="535"/>
        <v>4.38559032015152-2380.06699215286i</v>
      </c>
      <c r="GE126" s="1" t="str">
        <f t="shared" si="463"/>
        <v>0.00557383423103954+3.02492889316907i</v>
      </c>
      <c r="GF126" s="1">
        <f t="shared" si="464"/>
        <v>25.2</v>
      </c>
      <c r="GG126" s="56">
        <f t="shared" si="465"/>
        <v>0.20018700028351241</v>
      </c>
      <c r="GH126" s="1">
        <f t="shared" si="466"/>
        <v>0.79981300493564733</v>
      </c>
      <c r="GJ126" s="1">
        <f t="shared" si="536"/>
        <v>2380.0710326664662</v>
      </c>
      <c r="GK126" s="1">
        <f t="shared" si="537"/>
        <v>3.0249340284305521</v>
      </c>
      <c r="GM126" s="1" t="str">
        <f t="shared" si="467"/>
        <v>0.0191834803010191+12.0855925896421i</v>
      </c>
      <c r="GP126" s="1">
        <f t="shared" si="453"/>
        <v>25.2</v>
      </c>
      <c r="GQ126" s="1">
        <f t="shared" si="454"/>
        <v>3.0249340284305521</v>
      </c>
      <c r="GR126" s="1">
        <f t="shared" si="468"/>
        <v>12.085607814616877</v>
      </c>
      <c r="GS126" s="1">
        <f t="shared" si="469"/>
        <v>2.4193815750111383</v>
      </c>
    </row>
    <row r="127" spans="2:201" ht="18" customHeight="1" x14ac:dyDescent="0.25">
      <c r="B127" s="6"/>
      <c r="G127" s="306" t="s">
        <v>115</v>
      </c>
      <c r="H127" s="306"/>
      <c r="I127" s="306"/>
      <c r="J127" s="306"/>
      <c r="L127" s="183" t="s">
        <v>116</v>
      </c>
      <c r="M127" s="183"/>
      <c r="N127" s="183"/>
      <c r="O127" s="183"/>
      <c r="P127" s="18"/>
      <c r="Q127" s="183" t="s">
        <v>116</v>
      </c>
      <c r="R127" s="183"/>
      <c r="S127" s="183"/>
      <c r="T127" s="183"/>
      <c r="U127" s="18"/>
      <c r="V127" s="183" t="s">
        <v>116</v>
      </c>
      <c r="W127" s="183"/>
      <c r="X127" s="183"/>
      <c r="Y127" s="183"/>
      <c r="Z127" s="18"/>
      <c r="AA127" s="183" t="s">
        <v>116</v>
      </c>
      <c r="AB127" s="183"/>
      <c r="AC127" s="183"/>
      <c r="AD127" s="183"/>
      <c r="AP127" s="8"/>
      <c r="AR127" s="6"/>
      <c r="AT127" s="180" t="s">
        <v>109</v>
      </c>
      <c r="AU127" s="180"/>
      <c r="AV127" s="180"/>
      <c r="AW127" s="180"/>
      <c r="AX127" s="180"/>
      <c r="AY127" s="180"/>
      <c r="AZ127" s="180"/>
      <c r="BA127" s="180"/>
      <c r="BB127" s="180"/>
      <c r="BC127" s="180"/>
      <c r="BD127" s="180"/>
      <c r="BE127" s="180"/>
      <c r="BF127" s="180"/>
      <c r="BG127" s="180"/>
      <c r="BH127" s="226">
        <f>0.1*SUM(AE29:AH32)*3</f>
        <v>2160.7879726338515</v>
      </c>
      <c r="BI127" s="226"/>
      <c r="BJ127" s="226"/>
      <c r="BK127" s="226"/>
      <c r="BL127" s="1" t="str">
        <f>"Watts, 3-Phase or "&amp;ROUND(BH127*3.412141,0)&amp;" BTUs/Hour"</f>
        <v>Watts, 3-Phase or 7373 BTUs/Hour</v>
      </c>
      <c r="CF127" s="8"/>
      <c r="EA127" s="1">
        <f t="shared" si="538"/>
        <v>25.4</v>
      </c>
      <c r="EB127" s="1" t="str">
        <f t="shared" si="455"/>
        <v>7.03328416647957E-06-0.0178645417828581i</v>
      </c>
      <c r="EC127" s="1" t="str">
        <f t="shared" si="456"/>
        <v>0.0000137794955098375-0.0349999185949873i</v>
      </c>
      <c r="ED127" s="1" t="str">
        <f t="shared" si="457"/>
        <v>0.0000340540136428016-0.0864971946527161i</v>
      </c>
      <c r="EE127" s="1" t="str">
        <f t="shared" si="458"/>
        <v>0.0000475583976971475-0.120798330150755i</v>
      </c>
      <c r="EF127" s="1" t="str">
        <f t="shared" si="459"/>
        <v>0.461019582523316i</v>
      </c>
      <c r="EG127" s="1" t="str">
        <f t="shared" si="460"/>
        <v>0.460827571035386i</v>
      </c>
      <c r="EH127" s="1" t="str">
        <f t="shared" si="461"/>
        <v>0.461194535139386i</v>
      </c>
      <c r="EI127" s="1" t="str">
        <f t="shared" si="462"/>
        <v>0.461149483786354i</v>
      </c>
      <c r="EJ127" s="1" t="str">
        <f t="shared" si="450"/>
        <v>0.005</v>
      </c>
      <c r="EK127" s="1" t="str">
        <f t="shared" si="451"/>
        <v>0.01</v>
      </c>
      <c r="EL127" s="1" t="str">
        <f t="shared" si="452"/>
        <v>0.0125</v>
      </c>
      <c r="EM127" s="1" t="str">
        <f t="shared" si="493"/>
        <v>0.00500703328416648+0.443155040740458i</v>
      </c>
      <c r="EN127" s="1" t="str">
        <f t="shared" si="494"/>
        <v>-0.005</v>
      </c>
      <c r="EO127" s="1" t="str">
        <f t="shared" si="495"/>
        <v>0.0506365362798473-128.616802150812i</v>
      </c>
      <c r="EP127" s="1" t="str">
        <f t="shared" si="496"/>
        <v>-0.005</v>
      </c>
      <c r="EQ127" s="1" t="str">
        <f t="shared" si="497"/>
        <v>0.0150137794955098+0.425827652440399i</v>
      </c>
      <c r="ER127" s="1" t="str">
        <f t="shared" si="498"/>
        <v>-0.01</v>
      </c>
      <c r="ES127" s="1" t="str">
        <f t="shared" si="499"/>
        <v>0.099206275160517-251.983938907713i</v>
      </c>
      <c r="ET127" s="1" t="str">
        <f t="shared" si="500"/>
        <v>-0.01</v>
      </c>
      <c r="EU127" s="1" t="str">
        <f t="shared" si="501"/>
        <v>0.0225340540136428+0.37469734048667i</v>
      </c>
      <c r="EV127" s="1" t="str">
        <f t="shared" si="502"/>
        <v>-0.0125</v>
      </c>
      <c r="EW127" s="1" t="str">
        <f t="shared" si="503"/>
        <v>0.245173841477424-622.741557352657i</v>
      </c>
      <c r="EX127" s="1" t="str">
        <f t="shared" si="504"/>
        <v>-0.0125</v>
      </c>
      <c r="EY127" s="1" t="str">
        <f t="shared" si="505"/>
        <v>0.0125475583976971+0.340351153635599i</v>
      </c>
      <c r="EZ127" s="1" t="str">
        <f t="shared" si="506"/>
        <v>0.342399435797062-869.69456692454i</v>
      </c>
      <c r="FB127" s="1" t="str">
        <f t="shared" si="507"/>
        <v>0.00500703328416648+0.443155040740458i</v>
      </c>
      <c r="FC127" s="1" t="str">
        <f t="shared" si="508"/>
        <v>0.0506365362798473-128.616802150812i</v>
      </c>
      <c r="FD127" s="1" t="str">
        <f t="shared" si="509"/>
        <v>-0.000127462859626742+0.0112812928424915i</v>
      </c>
      <c r="FE127" s="1" t="str">
        <f t="shared" si="510"/>
        <v>0.0150131421812117+0.425884058904611i</v>
      </c>
      <c r="FF127" s="1" t="str">
        <f t="shared" si="511"/>
        <v>-1.35175108008986-252.000904018705i</v>
      </c>
      <c r="FG127" s="1" t="str">
        <f t="shared" si="512"/>
        <v>-0.000826702923098405+0.0234514262336147i</v>
      </c>
      <c r="FH127" s="1" t="str">
        <f t="shared" si="513"/>
        <v>0.0225257869844118+0.374931854749006i</v>
      </c>
      <c r="FI127" s="1" t="str">
        <f t="shared" si="514"/>
        <v>-5.66572426649067-622.918186745892i</v>
      </c>
      <c r="FJ127" s="1" t="str">
        <f t="shared" si="515"/>
        <v>-0.00199581605616011+0.0332194837939197i</v>
      </c>
      <c r="FK127" s="1" t="str">
        <f t="shared" si="516"/>
        <v>0.0125226106969951+0.340766397183023i</v>
      </c>
      <c r="FL127" s="1" t="str">
        <f t="shared" si="517"/>
        <v>-20.3442643145904-870.945589071996i</v>
      </c>
      <c r="FM127" s="1" t="str">
        <f t="shared" si="518"/>
        <v>-2554.58763105342-34.1754415245221i</v>
      </c>
      <c r="FN127" s="1" t="str">
        <f t="shared" si="519"/>
        <v>-1662.58004577711+0.392459848599169i</v>
      </c>
      <c r="FO127" s="1" t="str">
        <f t="shared" si="520"/>
        <v>-592.455066837349+21.327258425249i</v>
      </c>
      <c r="FP127" s="1" t="str">
        <f t="shared" si="521"/>
        <v>-290.026388019274+3.29335533985853i</v>
      </c>
      <c r="FQ127" s="92" t="str">
        <f t="shared" si="522"/>
        <v>-0.00615790979213701-133.798013840818i</v>
      </c>
      <c r="FR127" s="1" t="str">
        <f t="shared" si="523"/>
        <v>-1.51830130388251-133.707844325391i</v>
      </c>
      <c r="FS127" s="1" t="str">
        <f t="shared" si="524"/>
        <v>1.51214339409038-0.0901695154269525i</v>
      </c>
      <c r="FT127" s="1" t="str">
        <f t="shared" si="525"/>
        <v>-0.639082301644189-272.72011189707i</v>
      </c>
      <c r="FU127" s="1" t="str">
        <f t="shared" si="526"/>
        <v>0.267844689120909-766.550080562794i</v>
      </c>
      <c r="FV127" s="1" t="str">
        <f t="shared" si="527"/>
        <v>4.59222779863396-1178.28286165033i</v>
      </c>
      <c r="FW127" s="1" t="str">
        <f t="shared" si="528"/>
        <v>-1.51830130388251-133.707844325391i</v>
      </c>
      <c r="FX127" s="1" t="str">
        <f t="shared" si="529"/>
        <v>-9.82818869695147-273.019629398263i</v>
      </c>
      <c r="FY127" s="1" t="str">
        <f t="shared" si="530"/>
        <v>-0.181000337435568-766.772831344193i</v>
      </c>
      <c r="FZ127" s="1" t="str">
        <f t="shared" si="531"/>
        <v>15.7599872172041-1178.04676734729i</v>
      </c>
      <c r="GA127" s="1" t="str">
        <f t="shared" si="532"/>
        <v>1.51214339409038-0.0901695154269525i</v>
      </c>
      <c r="GB127" s="1" t="str">
        <f t="shared" si="533"/>
        <v>10.7012497893976+0.209347985766498i</v>
      </c>
      <c r="GC127" s="1" t="str">
        <f t="shared" si="534"/>
        <v>11.1500948159539+0.432098767164016i</v>
      </c>
      <c r="GD127" s="92" t="str">
        <f t="shared" si="535"/>
        <v>4.21483227631854-2351.35106795101i</v>
      </c>
      <c r="GE127" s="1" t="str">
        <f t="shared" si="463"/>
        <v>0.00548845079969713+3.06187145850951i</v>
      </c>
      <c r="GF127" s="1">
        <f t="shared" si="464"/>
        <v>25.4</v>
      </c>
      <c r="GG127" s="56">
        <f t="shared" si="465"/>
        <v>0.20086569224586945</v>
      </c>
      <c r="GH127" s="1">
        <f t="shared" si="466"/>
        <v>0.79913431155828096</v>
      </c>
      <c r="GJ127" s="1">
        <f t="shared" si="536"/>
        <v>2351.354845523209</v>
      </c>
      <c r="GK127" s="1">
        <f t="shared" si="537"/>
        <v>3.0618763775710045</v>
      </c>
      <c r="GM127" s="1" t="str">
        <f t="shared" si="467"/>
        <v>0.0191834803010191+12.1815099911472i</v>
      </c>
      <c r="GP127" s="1">
        <f t="shared" si="453"/>
        <v>25.4</v>
      </c>
      <c r="GQ127" s="1">
        <f t="shared" si="454"/>
        <v>3.0618763775710045</v>
      </c>
      <c r="GR127" s="1">
        <f t="shared" si="468"/>
        <v>12.181525096240435</v>
      </c>
      <c r="GS127" s="1">
        <f t="shared" si="469"/>
        <v>2.446850471066762</v>
      </c>
    </row>
    <row r="128" spans="2:201" ht="18" customHeight="1" x14ac:dyDescent="0.25">
      <c r="B128" s="6"/>
      <c r="G128" s="185">
        <f t="shared" ref="G128:G144" si="539">C66</f>
        <v>1</v>
      </c>
      <c r="H128" s="185"/>
      <c r="I128" s="185"/>
      <c r="J128" s="185"/>
      <c r="L128" s="185">
        <f>CK28*Y44</f>
        <v>204.14604773992264</v>
      </c>
      <c r="M128" s="185"/>
      <c r="N128" s="185"/>
      <c r="O128" s="185"/>
      <c r="Q128" s="185">
        <f>CL28*Y44</f>
        <v>200.04070366930279</v>
      </c>
      <c r="R128" s="185"/>
      <c r="S128" s="185"/>
      <c r="T128" s="185"/>
      <c r="V128" s="185">
        <f>CM28*Y44</f>
        <v>197.73530262966136</v>
      </c>
      <c r="W128" s="185"/>
      <c r="X128" s="185"/>
      <c r="Y128" s="185"/>
      <c r="AA128" s="185">
        <f>CN28*Y44</f>
        <v>197.86580147994681</v>
      </c>
      <c r="AB128" s="185"/>
      <c r="AC128" s="185"/>
      <c r="AD128" s="185"/>
      <c r="AP128" s="8"/>
      <c r="AR128" s="6"/>
      <c r="AT128" s="232" t="s">
        <v>110</v>
      </c>
      <c r="AU128" s="232"/>
      <c r="AV128" s="232"/>
      <c r="AW128" s="232"/>
      <c r="AX128" s="232"/>
      <c r="AY128" s="232"/>
      <c r="AZ128" s="232"/>
      <c r="BA128" s="232"/>
      <c r="BB128" s="232"/>
      <c r="BC128" s="232"/>
      <c r="BD128" s="232"/>
      <c r="BE128" s="232"/>
      <c r="BF128" s="232"/>
      <c r="BG128" s="232"/>
      <c r="BH128" s="199">
        <f>(1.9*CA13+12)*SUM(U29:X32)*3</f>
        <v>6018.3430505031438</v>
      </c>
      <c r="BI128" s="199"/>
      <c r="BJ128" s="199"/>
      <c r="BK128" s="199"/>
      <c r="BL128" s="1" t="str">
        <f>"Watts, 3-Phase or "&amp;ROUND(BH128*3.412141,0)&amp;" BTUs/Hour"</f>
        <v>Watts, 3-Phase or 20535 BTUs/Hour</v>
      </c>
      <c r="CF128" s="8"/>
      <c r="EA128" s="1">
        <f t="shared" si="538"/>
        <v>25.6</v>
      </c>
      <c r="EB128" s="1" t="str">
        <f t="shared" si="455"/>
        <v>0.0000069238183956795-0.0177249750929396i</v>
      </c>
      <c r="EC128" s="1" t="str">
        <f t="shared" si="456"/>
        <v>0.0000135650319588823-0.0347264818147388i</v>
      </c>
      <c r="ED128" s="1" t="str">
        <f t="shared" si="457"/>
        <v>0.0000335239982525502-0.0858214355265288i</v>
      </c>
      <c r="EE128" s="1" t="str">
        <f t="shared" si="458"/>
        <v>0.0000468182005803092-0.119854593485592i</v>
      </c>
      <c r="EF128" s="1" t="str">
        <f t="shared" si="459"/>
        <v>0.464649657976255i</v>
      </c>
      <c r="EG128" s="1" t="str">
        <f t="shared" si="460"/>
        <v>0.464456134586846i</v>
      </c>
      <c r="EH128" s="1" t="str">
        <f t="shared" si="461"/>
        <v>0.46482598817198i</v>
      </c>
      <c r="EI128" s="1" t="str">
        <f t="shared" si="462"/>
        <v>0.464780582083885i</v>
      </c>
      <c r="EJ128" s="1" t="str">
        <f t="shared" si="450"/>
        <v>0.005</v>
      </c>
      <c r="EK128" s="1" t="str">
        <f t="shared" si="451"/>
        <v>0.01</v>
      </c>
      <c r="EL128" s="1" t="str">
        <f t="shared" si="452"/>
        <v>0.0125</v>
      </c>
      <c r="EM128" s="1" t="str">
        <f t="shared" si="493"/>
        <v>0.00500692381839568+0.446924682883315i</v>
      </c>
      <c r="EN128" s="1" t="str">
        <f t="shared" si="494"/>
        <v>-0.005</v>
      </c>
      <c r="EO128" s="1" t="str">
        <f t="shared" si="495"/>
        <v>0.0498484311296336-127.611983691863i</v>
      </c>
      <c r="EP128" s="1" t="str">
        <f t="shared" si="496"/>
        <v>-0.005</v>
      </c>
      <c r="EQ128" s="1" t="str">
        <f t="shared" si="497"/>
        <v>0.0150135650319589+0.429729652772107i</v>
      </c>
      <c r="ER128" s="1" t="str">
        <f t="shared" si="498"/>
        <v>-0.01</v>
      </c>
      <c r="ES128" s="1" t="str">
        <f t="shared" si="499"/>
        <v>0.0976622324172414-250.015314988139i</v>
      </c>
      <c r="ET128" s="1" t="str">
        <f t="shared" si="500"/>
        <v>-0.01</v>
      </c>
      <c r="EU128" s="1" t="str">
        <f t="shared" si="501"/>
        <v>0.0225335239982525+0.379004552645451i</v>
      </c>
      <c r="EV128" s="1" t="str">
        <f t="shared" si="502"/>
        <v>-0.0125</v>
      </c>
      <c r="EW128" s="1" t="str">
        <f t="shared" si="503"/>
        <v>0.241357965010317-617.876390426415i</v>
      </c>
      <c r="EX128" s="1" t="str">
        <f t="shared" si="504"/>
        <v>-0.0125</v>
      </c>
      <c r="EY128" s="1" t="str">
        <f t="shared" si="505"/>
        <v>0.0125468182005803+0.344925988598293i</v>
      </c>
      <c r="EZ128" s="1" t="str">
        <f t="shared" si="506"/>
        <v>0.337070343828952-862.900080202121i</v>
      </c>
      <c r="FB128" s="1" t="str">
        <f t="shared" si="507"/>
        <v>0.00500692381839568+0.446924682883315i</v>
      </c>
      <c r="FC128" s="1" t="str">
        <f t="shared" si="508"/>
        <v>0.0498484311296336-127.611983691863i</v>
      </c>
      <c r="FD128" s="1" t="str">
        <f t="shared" si="509"/>
        <v>-0.00012531925439367+0.0111861634130096i</v>
      </c>
      <c r="FE128" s="1" t="str">
        <f t="shared" si="510"/>
        <v>0.0150129384356869+0.429785583589172i</v>
      </c>
      <c r="FF128" s="1" t="str">
        <f t="shared" si="511"/>
        <v>-1.32982002365003-250.031864839483i</v>
      </c>
      <c r="FG128" s="1" t="str">
        <f t="shared" si="512"/>
        <v>-0.000811768915415209+0.0232390599978712i</v>
      </c>
      <c r="FH128" s="1" t="str">
        <f t="shared" si="513"/>
        <v>0.0225254063090983+0.37923694324543i</v>
      </c>
      <c r="FI128" s="1" t="str">
        <f t="shared" si="514"/>
        <v>-5.57022704993234-618.048454754839i</v>
      </c>
      <c r="FJ128" s="1" t="str">
        <f t="shared" si="515"/>
        <v>-0.00195088600525363+0.0328450477252364i</v>
      </c>
      <c r="FK128" s="1" t="str">
        <f t="shared" si="516"/>
        <v>0.0125224321255146+0.345336551694858i</v>
      </c>
      <c r="FL128" s="1" t="str">
        <f t="shared" si="517"/>
        <v>-19.9566383261472-864.11341401906i</v>
      </c>
      <c r="FM128" s="1" t="str">
        <f t="shared" si="518"/>
        <v>-2501.04249971533-32.902675849979i</v>
      </c>
      <c r="FN128" s="1" t="str">
        <f t="shared" si="519"/>
        <v>-1630.81576844415+0.259654283789883i</v>
      </c>
      <c r="FO128" s="1" t="str">
        <f t="shared" si="520"/>
        <v>-582.476312920379+20.6924034252228i</v>
      </c>
      <c r="FP128" s="1" t="str">
        <f t="shared" si="521"/>
        <v>-285.337978104571+3.20829810821162i</v>
      </c>
      <c r="FQ128" s="92" t="str">
        <f t="shared" si="522"/>
        <v>-0.00504294458735619-132.669614460509i</v>
      </c>
      <c r="FR128" s="1" t="str">
        <f t="shared" si="523"/>
        <v>-1.4907346186664-132.582193933925i</v>
      </c>
      <c r="FS128" s="1" t="str">
        <f t="shared" si="524"/>
        <v>1.48569167407904-0.087420526585056i</v>
      </c>
      <c r="FT128" s="1" t="str">
        <f t="shared" si="525"/>
        <v>-0.61301082903194-270.242948769398i</v>
      </c>
      <c r="FU128" s="1" t="str">
        <f t="shared" si="526"/>
        <v>0.27374552660641-757.83534945824i</v>
      </c>
      <c r="FV128" s="1" t="str">
        <f t="shared" si="527"/>
        <v>4.39770149182794-1162.65997185161i</v>
      </c>
      <c r="FW128" s="1" t="str">
        <f t="shared" si="528"/>
        <v>-1.4907346186664-132.582193933925i</v>
      </c>
      <c r="FX128" s="1" t="str">
        <f t="shared" si="529"/>
        <v>-9.61071371019059-270.534696787397i</v>
      </c>
      <c r="FY128" s="1" t="str">
        <f t="shared" si="530"/>
        <v>-0.12069405904572-758.045551093499i</v>
      </c>
      <c r="FZ128" s="1" t="str">
        <f t="shared" si="531"/>
        <v>15.2925248336706-1162.43598883423i</v>
      </c>
      <c r="GA128" s="1" t="str">
        <f t="shared" si="532"/>
        <v>1.48569167407904-0.087420526585056i</v>
      </c>
      <c r="GB128" s="1" t="str">
        <f t="shared" si="533"/>
        <v>10.4833945552377+0.204327491414329i</v>
      </c>
      <c r="GC128" s="1" t="str">
        <f t="shared" si="534"/>
        <v>10.8778341408898+0.414529126672111i</v>
      </c>
      <c r="GD128" s="92" t="str">
        <f t="shared" si="535"/>
        <v>4.05339324481505-2323.40788453976i</v>
      </c>
      <c r="GE128" s="1" t="str">
        <f t="shared" si="463"/>
        <v>0.0054059537530345+3.09869652773618i</v>
      </c>
      <c r="GF128" s="1">
        <f t="shared" si="464"/>
        <v>25.6</v>
      </c>
      <c r="GG128" s="56">
        <f t="shared" si="465"/>
        <v>0.20152655487283672</v>
      </c>
      <c r="GH128" s="1">
        <f t="shared" si="466"/>
        <v>0.79847344779482265</v>
      </c>
      <c r="GJ128" s="1">
        <f t="shared" si="536"/>
        <v>2323.4114202909304</v>
      </c>
      <c r="GK128" s="1">
        <f t="shared" si="537"/>
        <v>3.0987012433179548</v>
      </c>
      <c r="GM128" s="1" t="str">
        <f t="shared" si="467"/>
        <v>0.0191834803010191+12.2774273926523i</v>
      </c>
      <c r="GP128" s="1">
        <f t="shared" si="453"/>
        <v>25.6</v>
      </c>
      <c r="GQ128" s="1">
        <f t="shared" si="454"/>
        <v>3.0987012433179548</v>
      </c>
      <c r="GR128" s="1">
        <f t="shared" si="468"/>
        <v>12.277442379737138</v>
      </c>
      <c r="GS128" s="1">
        <f t="shared" si="469"/>
        <v>2.4742306654381965</v>
      </c>
    </row>
    <row r="129" spans="2:201" ht="18" customHeight="1" x14ac:dyDescent="0.25">
      <c r="B129" s="6"/>
      <c r="G129" s="182">
        <f t="shared" si="539"/>
        <v>2</v>
      </c>
      <c r="H129" s="182"/>
      <c r="I129" s="182"/>
      <c r="J129" s="182"/>
      <c r="L129" s="182">
        <f t="shared" ref="L129:L143" si="540">CK29*$Y$45</f>
        <v>2.0558246818992707</v>
      </c>
      <c r="M129" s="182"/>
      <c r="N129" s="182"/>
      <c r="O129" s="182"/>
      <c r="Q129" s="182">
        <f t="shared" ref="Q129:Q143" si="541">CL29*$Y$45</f>
        <v>1.8806779952168329</v>
      </c>
      <c r="R129" s="182"/>
      <c r="S129" s="182"/>
      <c r="T129" s="182"/>
      <c r="V129" s="182">
        <f t="shared" ref="V129:V143" si="542">CM29*$Y$45</f>
        <v>1.7879089825119907</v>
      </c>
      <c r="W129" s="182"/>
      <c r="X129" s="182"/>
      <c r="Y129" s="182"/>
      <c r="AA129" s="182">
        <f t="shared" ref="AA129:AA143" si="543">CN29*$Y$45</f>
        <v>1.7759425001203339</v>
      </c>
      <c r="AB129" s="182"/>
      <c r="AC129" s="182"/>
      <c r="AD129" s="182"/>
      <c r="AP129" s="8"/>
      <c r="AR129" s="6"/>
      <c r="AT129" s="225" t="str">
        <f>"High-Pass Resistor Losses, "&amp;S19&amp;" Hertz:"</f>
        <v>High-Pass Resistor Losses,  Hertz:</v>
      </c>
      <c r="AU129" s="225"/>
      <c r="AV129" s="225"/>
      <c r="AW129" s="225"/>
      <c r="AX129" s="225"/>
      <c r="AY129" s="225"/>
      <c r="AZ129" s="225"/>
      <c r="BA129" s="225"/>
      <c r="BB129" s="225"/>
      <c r="BC129" s="225"/>
      <c r="BD129" s="225"/>
      <c r="BE129" s="225"/>
      <c r="BF129" s="225"/>
      <c r="BG129" s="225"/>
      <c r="BH129" s="185">
        <f>SUM(CW46^2*AL29,CX46^2*AL30,CY46^2*AL31)</f>
        <v>19448.554098525961</v>
      </c>
      <c r="BI129" s="185"/>
      <c r="BJ129" s="185"/>
      <c r="BK129" s="185"/>
      <c r="BL129" s="1" t="str">
        <f>"Watts, 3-Phase or "&amp;ROUND(BH129*3.412141,0)&amp;" BTUs/Hour"</f>
        <v>Watts, 3-Phase or 66361 BTUs/Hour</v>
      </c>
      <c r="CF129" s="8"/>
      <c r="EA129" s="1">
        <f t="shared" si="538"/>
        <v>25.8</v>
      </c>
      <c r="EB129" s="1" t="str">
        <f t="shared" si="455"/>
        <v>6.81688845995661E-06-0.0175875722266881i</v>
      </c>
      <c r="EC129" s="1" t="str">
        <f t="shared" si="456"/>
        <v>0.0000133555365746089-0.034457284362491i</v>
      </c>
      <c r="ED129" s="1" t="str">
        <f t="shared" si="457"/>
        <v>0.0000330062609617285-0.0851561532812599i</v>
      </c>
      <c r="EE129" s="1" t="str">
        <f t="shared" si="458"/>
        <v>0.0000460951505387543-0.118925488389986i</v>
      </c>
      <c r="EF129" s="1" t="str">
        <f t="shared" si="459"/>
        <v>0.468279733429196i</v>
      </c>
      <c r="EG129" s="1" t="str">
        <f t="shared" si="460"/>
        <v>0.468084698138304i</v>
      </c>
      <c r="EH129" s="1" t="str">
        <f t="shared" si="461"/>
        <v>0.468457441204572i</v>
      </c>
      <c r="EI129" s="1" t="str">
        <f t="shared" si="462"/>
        <v>0.468411680381416i</v>
      </c>
      <c r="EJ129" s="1" t="str">
        <f t="shared" si="450"/>
        <v>0.005</v>
      </c>
      <c r="EK129" s="1" t="str">
        <f t="shared" si="451"/>
        <v>0.01</v>
      </c>
      <c r="EL129" s="1" t="str">
        <f t="shared" si="452"/>
        <v>0.0125</v>
      </c>
      <c r="EM129" s="1" t="str">
        <f t="shared" si="493"/>
        <v>0.00500681688845996+0.450692161202508i</v>
      </c>
      <c r="EN129" s="1" t="str">
        <f t="shared" si="494"/>
        <v>-0.005</v>
      </c>
      <c r="EO129" s="1" t="str">
        <f t="shared" si="495"/>
        <v>0.0490785828707733-126.622743806595i</v>
      </c>
      <c r="EP129" s="1" t="str">
        <f t="shared" si="496"/>
        <v>-0.005</v>
      </c>
      <c r="EQ129" s="1" t="str">
        <f t="shared" si="497"/>
        <v>0.0150133555365746+0.433627413775813i</v>
      </c>
      <c r="ER129" s="1" t="str">
        <f t="shared" si="498"/>
        <v>-0.01</v>
      </c>
      <c r="ES129" s="1" t="str">
        <f t="shared" si="499"/>
        <v>0.0961539582774336-248.077212355779i</v>
      </c>
      <c r="ET129" s="1" t="str">
        <f t="shared" si="500"/>
        <v>-0.01</v>
      </c>
      <c r="EU129" s="1" t="str">
        <f t="shared" si="501"/>
        <v>0.0225330062609617+0.383301287923312i</v>
      </c>
      <c r="EV129" s="1" t="str">
        <f t="shared" si="502"/>
        <v>-0.0125</v>
      </c>
      <c r="EW129" s="1" t="str">
        <f t="shared" si="503"/>
        <v>0.237630485430426-613.086652410503i</v>
      </c>
      <c r="EX129" s="1" t="str">
        <f t="shared" si="504"/>
        <v>-0.0125</v>
      </c>
      <c r="EY129" s="1" t="str">
        <f t="shared" si="505"/>
        <v>0.0125460951505388+0.34948619199143i</v>
      </c>
      <c r="EZ129" s="1" t="str">
        <f t="shared" si="506"/>
        <v>0.33186470322142-856.210934311263i</v>
      </c>
      <c r="FB129" s="1" t="str">
        <f t="shared" si="507"/>
        <v>0.00500681688845996+0.450692161202508i</v>
      </c>
      <c r="FC129" s="1" t="str">
        <f t="shared" si="508"/>
        <v>0.0490785828707733-126.622743806595i</v>
      </c>
      <c r="FD129" s="1" t="str">
        <f t="shared" si="509"/>
        <v>-0.000123230471210625+0.0110926779694959i</v>
      </c>
      <c r="FE129" s="1" t="str">
        <f t="shared" si="510"/>
        <v>0.0150127393842185+0.43368287716566i</v>
      </c>
      <c r="FF129" s="1" t="str">
        <f t="shared" si="511"/>
        <v>-1.30842531440622-248.093360549079i</v>
      </c>
      <c r="FG129" s="1" t="str">
        <f t="shared" si="512"/>
        <v>-0.000797251379219342+0.0230307249806517i</v>
      </c>
      <c r="FH129" s="1" t="str">
        <f t="shared" si="513"/>
        <v>0.0225250337471695+0.383531595173118i</v>
      </c>
      <c r="FI129" s="1" t="str">
        <f t="shared" si="514"/>
        <v>-5.47718261478759-613.254311200802i</v>
      </c>
      <c r="FJ129" s="1" t="str">
        <f t="shared" si="515"/>
        <v>-0.00190755796432866+0.0324798070074409i</v>
      </c>
      <c r="FK129" s="1" t="str">
        <f t="shared" si="516"/>
        <v>0.0125222506759847+0.349892189579023i</v>
      </c>
      <c r="FL129" s="1" t="str">
        <f t="shared" si="517"/>
        <v>-19.5806181519847-857.388150830198i</v>
      </c>
      <c r="FM129" s="1" t="str">
        <f t="shared" si="518"/>
        <v>-2449.30087775401-31.695881618574i</v>
      </c>
      <c r="FN129" s="1" t="str">
        <f t="shared" si="519"/>
        <v>-1600.00803692246+0.138733183814452i</v>
      </c>
      <c r="FO129" s="1" t="str">
        <f t="shared" si="520"/>
        <v>-572.753723510199+20.0835766405055i</v>
      </c>
      <c r="FP129" s="1" t="str">
        <f t="shared" si="521"/>
        <v>-280.763654599816+3.12620885929065i</v>
      </c>
      <c r="FQ129" s="92" t="str">
        <f t="shared" si="522"/>
        <v>-0.00398990672069652-131.560716171516i</v>
      </c>
      <c r="FR129" s="1" t="str">
        <f t="shared" si="523"/>
        <v>-1.46394025127262-131.475929332609i</v>
      </c>
      <c r="FS129" s="1" t="str">
        <f t="shared" si="524"/>
        <v>1.45995034455192-0.084786838906074i</v>
      </c>
      <c r="FT129" s="1" t="str">
        <f t="shared" si="525"/>
        <v>-0.588222119737762-267.813018503388i</v>
      </c>
      <c r="FU129" s="1" t="str">
        <f t="shared" si="526"/>
        <v>0.278626783971851-749.337186632983i</v>
      </c>
      <c r="FV129" s="1" t="str">
        <f t="shared" si="527"/>
        <v>4.21421379733629-1147.49377638574i</v>
      </c>
      <c r="FW129" s="1" t="str">
        <f t="shared" si="528"/>
        <v>-1.46394025127262-131.475929332609i</v>
      </c>
      <c r="FX129" s="1" t="str">
        <f t="shared" si="529"/>
        <v>-9.40081490930851-268.097253776861i</v>
      </c>
      <c r="FY129" s="1" t="str">
        <f t="shared" si="530"/>
        <v>-0.0649905922998817-749.535670883446i</v>
      </c>
      <c r="FZ129" s="1" t="str">
        <f t="shared" si="531"/>
        <v>14.8467211701267-1147.28113990843i</v>
      </c>
      <c r="GA129" s="1" t="str">
        <f t="shared" si="532"/>
        <v>1.45995034455192-0.084786838906074i</v>
      </c>
      <c r="GB129" s="1" t="str">
        <f t="shared" si="533"/>
        <v>10.2725431341226+0.19944843456691i</v>
      </c>
      <c r="GC129" s="1" t="str">
        <f t="shared" si="534"/>
        <v>10.6161605103944+0.397932685029856i</v>
      </c>
      <c r="GD129" s="92" t="str">
        <f t="shared" si="535"/>
        <v>3.90062855484968-2296.20469769363i</v>
      </c>
      <c r="GE129" s="1" t="str">
        <f t="shared" si="463"/>
        <v>0.00532620608444407+3.13540734781812i</v>
      </c>
      <c r="GF129" s="1">
        <f t="shared" si="464"/>
        <v>25.8</v>
      </c>
      <c r="GG129" s="56">
        <f t="shared" si="465"/>
        <v>0.20217022797938214</v>
      </c>
      <c r="GH129" s="1">
        <f t="shared" si="466"/>
        <v>0.7978297737952893</v>
      </c>
      <c r="GJ129" s="1">
        <f t="shared" si="536"/>
        <v>2296.208010745851</v>
      </c>
      <c r="GK129" s="1">
        <f t="shared" si="537"/>
        <v>3.1354118717041168</v>
      </c>
      <c r="GM129" s="1" t="str">
        <f t="shared" si="467"/>
        <v>0.0191834803010191+12.3733447941574i</v>
      </c>
      <c r="GP129" s="1">
        <f t="shared" si="453"/>
        <v>25.8</v>
      </c>
      <c r="GQ129" s="1">
        <f t="shared" si="454"/>
        <v>3.1354118717041168</v>
      </c>
      <c r="GR129" s="1">
        <f t="shared" si="468"/>
        <v>12.373359665063427</v>
      </c>
      <c r="GS129" s="1">
        <f t="shared" si="469"/>
        <v>2.5015249443567495</v>
      </c>
    </row>
    <row r="130" spans="2:201" ht="18" customHeight="1" thickBot="1" x14ac:dyDescent="0.3">
      <c r="B130" s="6"/>
      <c r="G130" s="185">
        <f t="shared" si="539"/>
        <v>3</v>
      </c>
      <c r="H130" s="185"/>
      <c r="I130" s="185"/>
      <c r="J130" s="185"/>
      <c r="L130" s="185">
        <f t="shared" si="540"/>
        <v>1.4248253552301708</v>
      </c>
      <c r="M130" s="185"/>
      <c r="N130" s="185"/>
      <c r="O130" s="185"/>
      <c r="Q130" s="185">
        <f t="shared" si="541"/>
        <v>1.1199655228486716</v>
      </c>
      <c r="R130" s="185"/>
      <c r="S130" s="185"/>
      <c r="T130" s="185"/>
      <c r="V130" s="185">
        <f t="shared" si="542"/>
        <v>0.98767736949069151</v>
      </c>
      <c r="W130" s="185"/>
      <c r="X130" s="185"/>
      <c r="Y130" s="185"/>
      <c r="AA130" s="185">
        <f t="shared" si="543"/>
        <v>0.96849651688349314</v>
      </c>
      <c r="AB130" s="185"/>
      <c r="AC130" s="185"/>
      <c r="AD130" s="185"/>
      <c r="AP130" s="8"/>
      <c r="AR130" s="6"/>
      <c r="AT130" s="225" t="s">
        <v>112</v>
      </c>
      <c r="AU130" s="225"/>
      <c r="AV130" s="225"/>
      <c r="AW130" s="225"/>
      <c r="AX130" s="225"/>
      <c r="AY130" s="225"/>
      <c r="AZ130" s="225"/>
      <c r="BA130" s="225"/>
      <c r="BB130" s="225"/>
      <c r="BC130" s="225"/>
      <c r="BD130" s="225"/>
      <c r="BE130" s="225"/>
      <c r="BF130" s="225"/>
      <c r="BG130" s="225"/>
      <c r="BH130" s="227">
        <f>SUM((L123*COS(ATAN(100))*F66^2),(Q123*COS(ATAN(100))*H66^2),(V123*COS(ATAN(100))*J66^2),(AA123*COS(ATAN(100))*L66^2))</f>
        <v>744.02616077978371</v>
      </c>
      <c r="BI130" s="227"/>
      <c r="BJ130" s="227"/>
      <c r="BK130" s="227"/>
      <c r="BL130" s="1" t="str">
        <f>"Watts, 3-Phase or "&amp;ROUND(BH130*3.412141,0)&amp;" BTUs/Hour"</f>
        <v>Watts, 3-Phase or 2539 BTUs/Hour</v>
      </c>
      <c r="CF130" s="8"/>
      <c r="EA130" s="1">
        <f t="shared" si="538"/>
        <v>26</v>
      </c>
      <c r="EB130" s="1" t="str">
        <f t="shared" si="455"/>
        <v>6.71241663451583E-06-0.0174522832497412i</v>
      </c>
      <c r="EC130" s="1" t="str">
        <f t="shared" si="456"/>
        <v>0.0000131508570798677-0.0341922284076562i</v>
      </c>
      <c r="ED130" s="1" t="str">
        <f t="shared" si="457"/>
        <v>0.0000325004254395692-0.0845011061428798i</v>
      </c>
      <c r="EE130" s="1" t="str">
        <f t="shared" si="458"/>
        <v>0.0000453887220048215-0.118010677212536i</v>
      </c>
      <c r="EF130" s="1" t="str">
        <f t="shared" si="459"/>
        <v>0.471909808882134i</v>
      </c>
      <c r="EG130" s="1" t="str">
        <f t="shared" si="460"/>
        <v>0.471713261689765i</v>
      </c>
      <c r="EH130" s="1" t="str">
        <f t="shared" si="461"/>
        <v>0.472088894237166i</v>
      </c>
      <c r="EI130" s="1" t="str">
        <f t="shared" si="462"/>
        <v>0.472042778678947i</v>
      </c>
      <c r="EJ130" s="1" t="str">
        <f t="shared" si="450"/>
        <v>0.005</v>
      </c>
      <c r="EK130" s="1" t="str">
        <f t="shared" si="451"/>
        <v>0.01</v>
      </c>
      <c r="EL130" s="1" t="str">
        <f t="shared" si="452"/>
        <v>0.0125</v>
      </c>
      <c r="EM130" s="1" t="str">
        <f t="shared" si="493"/>
        <v>0.00500671241663452+0.454457525632393i</v>
      </c>
      <c r="EN130" s="1" t="str">
        <f t="shared" si="494"/>
        <v>-0.005</v>
      </c>
      <c r="EO130" s="1" t="str">
        <f t="shared" si="495"/>
        <v>0.0483264319191074-125.64872298968i</v>
      </c>
      <c r="EP130" s="1" t="str">
        <f t="shared" si="496"/>
        <v>-0.005</v>
      </c>
      <c r="EQ130" s="1" t="str">
        <f t="shared" si="497"/>
        <v>0.0150131508570799+0.437521033282109i</v>
      </c>
      <c r="ER130" s="1" t="str">
        <f t="shared" si="498"/>
        <v>-0.01</v>
      </c>
      <c r="ES130" s="1" t="str">
        <f t="shared" si="499"/>
        <v>0.0946803564129448-246.168926673658i</v>
      </c>
      <c r="ET130" s="1" t="str">
        <f t="shared" si="500"/>
        <v>-0.01</v>
      </c>
      <c r="EU130" s="1" t="str">
        <f t="shared" si="501"/>
        <v>0.0225325004254396+0.387587788094286i</v>
      </c>
      <c r="EV130" s="1" t="str">
        <f t="shared" si="502"/>
        <v>-0.0125</v>
      </c>
      <c r="EW130" s="1" t="str">
        <f t="shared" si="503"/>
        <v>0.233988693322619-608.370602638808i</v>
      </c>
      <c r="EX130" s="1" t="str">
        <f t="shared" si="504"/>
        <v>-0.0125</v>
      </c>
      <c r="EY130" s="1" t="str">
        <f t="shared" si="505"/>
        <v>0.0125453887220048+0.354032101466411i</v>
      </c>
      <c r="EZ130" s="1" t="str">
        <f t="shared" si="506"/>
        <v>0.32677873011968-849.624698311169i</v>
      </c>
      <c r="FB130" s="1" t="str">
        <f t="shared" si="507"/>
        <v>0.00500671241663452+0.454457525632393i</v>
      </c>
      <c r="FC130" s="1" t="str">
        <f t="shared" si="508"/>
        <v>0.0483264319191074-125.64872298968i</v>
      </c>
      <c r="FD130" s="1" t="str">
        <f t="shared" si="509"/>
        <v>-0.000121194620647602+0.0110007931025703i</v>
      </c>
      <c r="FE130" s="1" t="str">
        <f t="shared" si="510"/>
        <v>0.0150125448839767+0.437576037247622i</v>
      </c>
      <c r="FF130" s="1" t="str">
        <f t="shared" si="511"/>
        <v>-1.28754939189511-246.184686252055i</v>
      </c>
      <c r="FG130" s="1" t="str">
        <f t="shared" si="512"/>
        <v>-0.000783134512194813+0.022826302877123i</v>
      </c>
      <c r="FH130" s="1" t="str">
        <f t="shared" si="513"/>
        <v>0.0225246690803177+0.387816051123057i</v>
      </c>
      <c r="FI130" s="1" t="str">
        <f t="shared" si="514"/>
        <v>-5.38650584314123-608.534008370597i</v>
      </c>
      <c r="FJ130" s="1" t="str">
        <f t="shared" si="515"/>
        <v>-0.00186575364024907+0.0321234112940699i</v>
      </c>
      <c r="FK130" s="1" t="str">
        <f t="shared" si="516"/>
        <v>0.0125220668015017+0.354433644107587i</v>
      </c>
      <c r="FL130" s="1" t="str">
        <f t="shared" si="517"/>
        <v>-19.2157237924116-850.767284492697i</v>
      </c>
      <c r="FM130" s="1" t="str">
        <f t="shared" si="518"/>
        <v>-2399.2776670134-30.5506872987333i</v>
      </c>
      <c r="FN130" s="1" t="str">
        <f t="shared" si="519"/>
        <v>-1570.11690375083+0.0286553544549252i</v>
      </c>
      <c r="FO130" s="1" t="str">
        <f t="shared" si="520"/>
        <v>-563.278412286093+19.4994132595858i</v>
      </c>
      <c r="FP130" s="1" t="str">
        <f t="shared" si="521"/>
        <v>-276.299706964215+3.04695681739293i</v>
      </c>
      <c r="FQ130" s="92" t="str">
        <f t="shared" si="522"/>
        <v>-0.0029952827586255-130.470804189883i</v>
      </c>
      <c r="FR130" s="1" t="str">
        <f t="shared" si="523"/>
        <v>-1.43788880936801-130.388541907672i</v>
      </c>
      <c r="FS130" s="1" t="str">
        <f t="shared" si="524"/>
        <v>1.43489352660939-0.0822622822109645i</v>
      </c>
      <c r="FT130" s="1" t="str">
        <f t="shared" si="525"/>
        <v>-0.564640441677944-265.428927237643i</v>
      </c>
      <c r="FU130" s="1" t="str">
        <f t="shared" si="526"/>
        <v>0.282596751536022-741.047218710697i</v>
      </c>
      <c r="FV130" s="1" t="str">
        <f t="shared" si="527"/>
        <v>4.04098617459207-1132.76369395968i</v>
      </c>
      <c r="FW130" s="1" t="str">
        <f t="shared" si="528"/>
        <v>-1.43788880936801-130.388541907672i</v>
      </c>
      <c r="FX130" s="1" t="str">
        <f t="shared" si="529"/>
        <v>-9.19813182971587-265.705897098905i</v>
      </c>
      <c r="FY130" s="1" t="str">
        <f t="shared" si="530"/>
        <v>-0.0135278745985997-741.234752914812i</v>
      </c>
      <c r="FZ130" s="1" t="str">
        <f t="shared" si="531"/>
        <v>14.4212313230457-1132.56169675935i</v>
      </c>
      <c r="GA130" s="1" t="str">
        <f t="shared" si="532"/>
        <v>1.43489352660939-0.0822622822109645i</v>
      </c>
      <c r="GB130" s="1" t="str">
        <f t="shared" si="533"/>
        <v>10.0683849146474+0.194707579051309i</v>
      </c>
      <c r="GC130" s="1" t="str">
        <f t="shared" si="534"/>
        <v>10.3645095407821+0.382241783164853i</v>
      </c>
      <c r="GD130" s="92" t="str">
        <f t="shared" si="535"/>
        <v>3.75594720169152-2269.7106440979i</v>
      </c>
      <c r="GE130" s="1" t="str">
        <f t="shared" si="463"/>
        <v>0.00524907921461239+3.17200703986288i</v>
      </c>
      <c r="GF130" s="1">
        <f t="shared" si="464"/>
        <v>26</v>
      </c>
      <c r="GG130" s="56">
        <f t="shared" si="465"/>
        <v>0.20279732196507347</v>
      </c>
      <c r="GH130" s="1">
        <f t="shared" si="466"/>
        <v>0.79720267912924514</v>
      </c>
      <c r="GJ130" s="1">
        <f t="shared" si="536"/>
        <v>2269.7137517913325</v>
      </c>
      <c r="GK130" s="1">
        <f t="shared" si="537"/>
        <v>3.1720113829827707</v>
      </c>
      <c r="GM130" s="1" t="str">
        <f t="shared" si="467"/>
        <v>0.0191834803010191+12.4692621956625i</v>
      </c>
      <c r="GP130" s="1">
        <f t="shared" si="453"/>
        <v>26</v>
      </c>
      <c r="GQ130" s="1">
        <f t="shared" si="454"/>
        <v>3.1720113829827707</v>
      </c>
      <c r="GR130" s="1">
        <f t="shared" si="468"/>
        <v>12.469276952177076</v>
      </c>
      <c r="GS130" s="1">
        <f t="shared" si="469"/>
        <v>2.5287359727423215</v>
      </c>
    </row>
    <row r="131" spans="2:201" ht="18" customHeight="1" thickTop="1" x14ac:dyDescent="0.25">
      <c r="B131" s="6"/>
      <c r="G131" s="182">
        <f t="shared" si="539"/>
        <v>4</v>
      </c>
      <c r="H131" s="182"/>
      <c r="I131" s="182"/>
      <c r="J131" s="182"/>
      <c r="L131" s="182">
        <f t="shared" si="540"/>
        <v>1.9029611976765346</v>
      </c>
      <c r="M131" s="182"/>
      <c r="N131" s="182"/>
      <c r="O131" s="182"/>
      <c r="Q131" s="182">
        <f t="shared" si="541"/>
        <v>1.0414842988321784</v>
      </c>
      <c r="R131" s="182"/>
      <c r="S131" s="182"/>
      <c r="T131" s="182"/>
      <c r="V131" s="182">
        <f t="shared" si="542"/>
        <v>0.7967723436859917</v>
      </c>
      <c r="W131" s="182"/>
      <c r="X131" s="182"/>
      <c r="Y131" s="182"/>
      <c r="AA131" s="182">
        <f t="shared" si="543"/>
        <v>0.7671511090165033</v>
      </c>
      <c r="AB131" s="182"/>
      <c r="AC131" s="182"/>
      <c r="AD131" s="182"/>
      <c r="AP131" s="8"/>
      <c r="AR131" s="6"/>
      <c r="AT131" s="180" t="str">
        <f>"Total "&amp;S19&amp;" Hz Losses:"</f>
        <v>Total  Hz Losses:</v>
      </c>
      <c r="AU131" s="180"/>
      <c r="AV131" s="180"/>
      <c r="AW131" s="180"/>
      <c r="AX131" s="180"/>
      <c r="AY131" s="180"/>
      <c r="AZ131" s="180"/>
      <c r="BA131" s="180"/>
      <c r="BB131" s="180"/>
      <c r="BC131" s="180"/>
      <c r="BD131" s="180"/>
      <c r="BE131" s="180"/>
      <c r="BF131" s="180"/>
      <c r="BG131" s="180"/>
      <c r="BH131" s="224">
        <f>SUM(BH127:BK130)</f>
        <v>28371.711282442742</v>
      </c>
      <c r="BI131" s="224"/>
      <c r="BJ131" s="224"/>
      <c r="BK131" s="224"/>
      <c r="BL131" s="1" t="str">
        <f>"Watts, 3-Phase or "&amp;ROUND(BH131*3.412141,0)&amp;" BTUs/Hour"</f>
        <v>Watts, 3-Phase or 96808 BTUs/Hour</v>
      </c>
      <c r="CF131" s="8"/>
      <c r="EA131" s="1">
        <f t="shared" si="538"/>
        <v>26.2</v>
      </c>
      <c r="EB131" s="1" t="str">
        <f t="shared" si="455"/>
        <v>6.61032814978957E-06-0.0173190597524487i</v>
      </c>
      <c r="EC131" s="1" t="str">
        <f t="shared" si="456"/>
        <v>0.0000129508469873429-0.0339312191068383i</v>
      </c>
      <c r="ED131" s="1" t="str">
        <f t="shared" si="457"/>
        <v>0.0000320061296640322-0.0838560597197644i</v>
      </c>
      <c r="EE131" s="1" t="str">
        <f t="shared" si="458"/>
        <v>0.0000446984093938152-0.117109832611796i</v>
      </c>
      <c r="EF131" s="1" t="str">
        <f t="shared" si="459"/>
        <v>0.475539884335076i</v>
      </c>
      <c r="EG131" s="1" t="str">
        <f t="shared" si="460"/>
        <v>0.475341825241223i</v>
      </c>
      <c r="EH131" s="1" t="str">
        <f t="shared" si="461"/>
        <v>0.47572034726976i</v>
      </c>
      <c r="EI131" s="1" t="str">
        <f t="shared" si="462"/>
        <v>0.475673876976476i</v>
      </c>
      <c r="EJ131" s="1" t="str">
        <f t="shared" si="450"/>
        <v>0.005</v>
      </c>
      <c r="EK131" s="1" t="str">
        <f t="shared" si="451"/>
        <v>0.01</v>
      </c>
      <c r="EL131" s="1" t="str">
        <f t="shared" si="452"/>
        <v>0.0125</v>
      </c>
      <c r="EM131" s="1" t="str">
        <f t="shared" si="493"/>
        <v>0.00500661032814979+0.458220824582627i</v>
      </c>
      <c r="EN131" s="1" t="str">
        <f t="shared" si="494"/>
        <v>-0.005</v>
      </c>
      <c r="EO131" s="1" t="str">
        <f t="shared" si="495"/>
        <v>0.0475914399668082-124.689572713038i</v>
      </c>
      <c r="EP131" s="1" t="str">
        <f t="shared" si="496"/>
        <v>-0.005</v>
      </c>
      <c r="EQ131" s="1" t="str">
        <f t="shared" si="497"/>
        <v>0.0150129508469873+0.441410606134385i</v>
      </c>
      <c r="ER131" s="1" t="str">
        <f t="shared" si="498"/>
        <v>-0.01</v>
      </c>
      <c r="ES131" s="1" t="str">
        <f t="shared" si="499"/>
        <v>0.0932403721798697-244.289775111258i</v>
      </c>
      <c r="ET131" s="1" t="str">
        <f t="shared" si="500"/>
        <v>-0.01</v>
      </c>
      <c r="EU131" s="1" t="str">
        <f t="shared" si="501"/>
        <v>0.022532006129664+0.391864287549996i</v>
      </c>
      <c r="EV131" s="1" t="str">
        <f t="shared" si="502"/>
        <v>-0.0125</v>
      </c>
      <c r="EW131" s="1" t="str">
        <f t="shared" si="503"/>
        <v>0.230429982288271-603.72655359527i</v>
      </c>
      <c r="EX131" s="1" t="str">
        <f t="shared" si="504"/>
        <v>-0.0125</v>
      </c>
      <c r="EY131" s="1" t="str">
        <f t="shared" si="505"/>
        <v>0.0125446984093938+0.35856404436468i</v>
      </c>
      <c r="EZ131" s="1" t="str">
        <f t="shared" si="506"/>
        <v>0.321808784537465-843.13901548816i</v>
      </c>
      <c r="FB131" s="1" t="str">
        <f t="shared" si="507"/>
        <v>0.00500661032814979+0.458220824582627i</v>
      </c>
      <c r="FC131" s="1" t="str">
        <f t="shared" si="508"/>
        <v>0.0475914399668082-124.689572713038i</v>
      </c>
      <c r="FD131" s="1" t="str">
        <f t="shared" si="509"/>
        <v>-0.000119209895289278+0.0109104669502107i</v>
      </c>
      <c r="FE131" s="1" t="str">
        <f t="shared" si="510"/>
        <v>0.0150123547975109+0.441465158469136i</v>
      </c>
      <c r="FF131" s="1" t="str">
        <f t="shared" si="511"/>
        <v>-1.26717541657105-244.305158586998i</v>
      </c>
      <c r="FG131" s="1" t="str">
        <f t="shared" si="512"/>
        <v>-0.000769403271098397+0.0226256800870736i</v>
      </c>
      <c r="FH131" s="1" t="str">
        <f t="shared" si="513"/>
        <v>0.022524312096953+0.392090544350867i</v>
      </c>
      <c r="FI131" s="1" t="str">
        <f t="shared" si="514"/>
        <v>-5.29811534843349-603.885852077844i</v>
      </c>
      <c r="FJ131" s="1" t="str">
        <f t="shared" si="515"/>
        <v>-0.00182539957532614+0.0317755281522799i</v>
      </c>
      <c r="FK131" s="1" t="str">
        <f t="shared" si="516"/>
        <v>0.0125218809147022+0.358961238466583i</v>
      </c>
      <c r="FL131" s="1" t="str">
        <f t="shared" si="517"/>
        <v>-18.8615006887161-844.248379717095i</v>
      </c>
      <c r="FM131" s="1" t="str">
        <f t="shared" si="518"/>
        <v>-2350.89295501302-29.4630723427088i</v>
      </c>
      <c r="FN131" s="1" t="str">
        <f t="shared" si="519"/>
        <v>-1541.10456936401-0.0715217663443682i</v>
      </c>
      <c r="FO131" s="1" t="str">
        <f t="shared" si="520"/>
        <v>-554.041882197552+18.9386356807257i</v>
      </c>
      <c r="FP131" s="1" t="str">
        <f t="shared" si="521"/>
        <v>-271.942575666268+2.97041816959395i</v>
      </c>
      <c r="FQ131" s="92" t="str">
        <f t="shared" si="522"/>
        <v>-0.00205578013909568-129.399382065675i</v>
      </c>
      <c r="FR131" s="1" t="str">
        <f t="shared" si="523"/>
        <v>-1.41255231279552-129.31954097812i</v>
      </c>
      <c r="FS131" s="1" t="str">
        <f t="shared" si="524"/>
        <v>1.41049653265642-0.0798410875556585i</v>
      </c>
      <c r="FT131" s="1" t="str">
        <f t="shared" si="525"/>
        <v>-0.5421953130465-263.089336881841i</v>
      </c>
      <c r="FU131" s="1" t="str">
        <f t="shared" si="526"/>
        <v>0.285752308471004-732.957508109125i</v>
      </c>
      <c r="FV131" s="1" t="str">
        <f t="shared" si="527"/>
        <v>3.87730543056554-1118.45037898552i</v>
      </c>
      <c r="FW131" s="1" t="str">
        <f t="shared" si="528"/>
        <v>-1.41255231279552-129.31954097812i</v>
      </c>
      <c r="FX131" s="1" t="str">
        <f t="shared" si="529"/>
        <v>-9.00232565205471-263.359279543867i</v>
      </c>
      <c r="FY131" s="1" t="str">
        <f t="shared" si="530"/>
        <v>0.0340243595226895-733.134800916861i</v>
      </c>
      <c r="FZ131" s="1" t="str">
        <f t="shared" si="531"/>
        <v>14.0148138488947-1118.25836626773i</v>
      </c>
      <c r="GA131" s="1" t="str">
        <f t="shared" si="532"/>
        <v>1.41049653265642-0.0798410875556585i</v>
      </c>
      <c r="GB131" s="1" t="str">
        <f t="shared" si="533"/>
        <v>9.87062687166458+0.190101574470701i</v>
      </c>
      <c r="GC131" s="1" t="str">
        <f t="shared" si="534"/>
        <v>10.1223548206126+0.367394382204555i</v>
      </c>
      <c r="GD131" s="92" t="str">
        <f t="shared" si="535"/>
        <v>3.61880664585095-2243.89660604216i</v>
      </c>
      <c r="GE131" s="1" t="str">
        <f t="shared" si="463"/>
        <v>0.00517445235473436+3.20849860553548i</v>
      </c>
      <c r="GF131" s="1">
        <f t="shared" si="464"/>
        <v>26.2</v>
      </c>
      <c r="GG131" s="56">
        <f t="shared" si="465"/>
        <v>0.20340841947715316</v>
      </c>
      <c r="GH131" s="1">
        <f t="shared" si="466"/>
        <v>0.79659158112226114</v>
      </c>
      <c r="GJ131" s="1">
        <f t="shared" si="536"/>
        <v>2243.8995241251478</v>
      </c>
      <c r="GK131" s="1">
        <f t="shared" si="537"/>
        <v>3.208502778038425</v>
      </c>
      <c r="GM131" s="1" t="str">
        <f t="shared" si="467"/>
        <v>0.0191834803010191+12.5651795971676i</v>
      </c>
      <c r="GP131" s="1">
        <f t="shared" si="453"/>
        <v>26.2</v>
      </c>
      <c r="GQ131" s="1">
        <f t="shared" si="454"/>
        <v>3.208502778038425</v>
      </c>
      <c r="GR131" s="1">
        <f t="shared" si="468"/>
        <v>12.565194241037158</v>
      </c>
      <c r="GS131" s="1">
        <f t="shared" si="469"/>
        <v>2.5558663009927973</v>
      </c>
    </row>
    <row r="132" spans="2:201" ht="18" customHeight="1" x14ac:dyDescent="0.25">
      <c r="B132" s="6"/>
      <c r="G132" s="185">
        <f t="shared" si="539"/>
        <v>5</v>
      </c>
      <c r="H132" s="185"/>
      <c r="I132" s="185"/>
      <c r="J132" s="185"/>
      <c r="L132" s="185">
        <f t="shared" si="540"/>
        <v>162.31626867574846</v>
      </c>
      <c r="M132" s="185"/>
      <c r="N132" s="185"/>
      <c r="O132" s="185"/>
      <c r="Q132" s="185">
        <f t="shared" si="541"/>
        <v>36.167931076136533</v>
      </c>
      <c r="R132" s="185"/>
      <c r="S132" s="185"/>
      <c r="T132" s="185"/>
      <c r="V132" s="185">
        <f t="shared" si="542"/>
        <v>12.055813389563472</v>
      </c>
      <c r="W132" s="185"/>
      <c r="X132" s="185"/>
      <c r="Y132" s="185"/>
      <c r="AA132" s="185">
        <f t="shared" si="543"/>
        <v>10.749074051657365</v>
      </c>
      <c r="AB132" s="185"/>
      <c r="AC132" s="185"/>
      <c r="AD132" s="185"/>
      <c r="AP132" s="27"/>
      <c r="AR132" s="6"/>
      <c r="CF132" s="8"/>
      <c r="EA132" s="1">
        <f t="shared" si="538"/>
        <v>26.4</v>
      </c>
      <c r="EB132" s="1" t="str">
        <f t="shared" si="455"/>
        <v>6.51055105762062E-06-0.0171878547921185i</v>
      </c>
      <c r="EC132" s="1" t="str">
        <f t="shared" si="456"/>
        <v>0.0000127553653373791-0.033674164490681i</v>
      </c>
      <c r="ED132" s="1" t="str">
        <f t="shared" si="457"/>
        <v>0.0000315230252738875-0.0832207867230631i</v>
      </c>
      <c r="EE132" s="1" t="str">
        <f t="shared" si="458"/>
        <v>0.000044023726199149-0.116222637165753i</v>
      </c>
      <c r="EF132" s="1" t="str">
        <f t="shared" si="459"/>
        <v>0.479169959788014i</v>
      </c>
      <c r="EG132" s="1" t="str">
        <f t="shared" si="460"/>
        <v>0.478970388792684i</v>
      </c>
      <c r="EH132" s="1" t="str">
        <f t="shared" si="461"/>
        <v>0.479351800302355i</v>
      </c>
      <c r="EI132" s="1" t="str">
        <f t="shared" si="462"/>
        <v>0.479304975274007i</v>
      </c>
      <c r="EJ132" s="1" t="str">
        <f t="shared" si="450"/>
        <v>0.005</v>
      </c>
      <c r="EK132" s="1" t="str">
        <f t="shared" si="451"/>
        <v>0.01</v>
      </c>
      <c r="EL132" s="1" t="str">
        <f t="shared" si="452"/>
        <v>0.0125</v>
      </c>
      <c r="EM132" s="1" t="str">
        <f t="shared" si="493"/>
        <v>0.00500651055105762+0.461982104995896i</v>
      </c>
      <c r="EN132" s="1" t="str">
        <f t="shared" si="494"/>
        <v>-0.005</v>
      </c>
      <c r="EO132" s="1" t="str">
        <f t="shared" si="495"/>
        <v>0.0468730890189551-123.744955010042i</v>
      </c>
      <c r="EP132" s="1" t="str">
        <f t="shared" si="496"/>
        <v>-0.005</v>
      </c>
      <c r="EQ132" s="1" t="str">
        <f t="shared" si="497"/>
        <v>0.0150127553653374+0.445296224302003i</v>
      </c>
      <c r="ER132" s="1" t="str">
        <f t="shared" si="498"/>
        <v>-0.01</v>
      </c>
      <c r="ES132" s="1" t="str">
        <f t="shared" si="499"/>
        <v>0.0918329907310136-242.439095529877i</v>
      </c>
      <c r="ET132" s="1" t="str">
        <f t="shared" si="500"/>
        <v>-0.01</v>
      </c>
      <c r="EU132" s="1" t="str">
        <f t="shared" si="501"/>
        <v>0.0225315230252739+0.396131013579292i</v>
      </c>
      <c r="EV132" s="1" t="str">
        <f t="shared" si="502"/>
        <v>-0.0125</v>
      </c>
      <c r="EW132" s="1" t="str">
        <f t="shared" si="503"/>
        <v>0.226951844280553-599.15286890066i</v>
      </c>
      <c r="EX132" s="1" t="str">
        <f t="shared" si="504"/>
        <v>-0.0125</v>
      </c>
      <c r="EY132" s="1" t="str">
        <f t="shared" si="505"/>
        <v>0.0125440237261991+0.363082338108254i</v>
      </c>
      <c r="EZ132" s="1" t="str">
        <f t="shared" si="506"/>
        <v>0.316951363842459-836.751600544089i</v>
      </c>
      <c r="FB132" s="1" t="str">
        <f t="shared" si="507"/>
        <v>0.00500651055105762+0.461982104995896i</v>
      </c>
      <c r="FC132" s="1" t="str">
        <f t="shared" si="508"/>
        <v>0.0468730890189551-123.744955010042i</v>
      </c>
      <c r="FD132" s="1" t="str">
        <f t="shared" si="509"/>
        <v>-0.000117274565443135+0.0108216591283231i</v>
      </c>
      <c r="FE132" s="1" t="str">
        <f t="shared" si="510"/>
        <v>0.0150121689925102+0.445350332597645i</v>
      </c>
      <c r="FF132" s="1" t="str">
        <f t="shared" si="511"/>
        <v>-1.2472872342162-242.454114910293i</v>
      </c>
      <c r="FG132" s="1" t="str">
        <f t="shared" si="512"/>
        <v>-0.000756043327711258+0.0224287474796231i</v>
      </c>
      <c r="FH132" s="1" t="str">
        <f t="shared" si="513"/>
        <v>0.0225239625919968+0.396355301054088i</v>
      </c>
      <c r="FI132" s="1" t="str">
        <f t="shared" si="514"/>
        <v>-5.2119332776291-599.308199626103i</v>
      </c>
      <c r="FJ132" s="1" t="str">
        <f t="shared" si="515"/>
        <v>-0.00178642678846623+0.0314358419244226i</v>
      </c>
      <c r="FK132" s="1" t="str">
        <f t="shared" si="516"/>
        <v>0.0125216933913433+0.363475286132309i</v>
      </c>
      <c r="FL132" s="1" t="str">
        <f t="shared" si="517"/>
        <v>-18.5175180786286-837.829077701781i</v>
      </c>
      <c r="FM132" s="1" t="str">
        <f t="shared" si="518"/>
        <v>-2304.07162810558-28.4293342476144i</v>
      </c>
      <c r="FN132" s="1" t="str">
        <f t="shared" si="519"/>
        <v>-1512.93524051108-0.16265237847201i</v>
      </c>
      <c r="FO132" s="1" t="str">
        <f t="shared" si="520"/>
        <v>-545.036004873937+18.400046945873i</v>
      </c>
      <c r="FP132" s="1" t="str">
        <f t="shared" si="521"/>
        <v>-267.68884481407+2.89647563167097i</v>
      </c>
      <c r="FQ132" s="92" t="str">
        <f t="shared" si="522"/>
        <v>-0.00116831165539773-128.345970861829i</v>
      </c>
      <c r="FR132" s="1" t="str">
        <f t="shared" si="523"/>
        <v>-1.38790411195474-128.268453005258i</v>
      </c>
      <c r="FS132" s="1" t="str">
        <f t="shared" si="524"/>
        <v>1.38673580029934-0.07751785657101i</v>
      </c>
      <c r="FT132" s="1" t="str">
        <f t="shared" si="525"/>
        <v>-0.520821083396374-260.792962310667i</v>
      </c>
      <c r="FU132" s="1" t="str">
        <f t="shared" si="526"/>
        <v>0.288180199003756-725.060524749743i</v>
      </c>
      <c r="FV132" s="1" t="str">
        <f t="shared" si="527"/>
        <v>3.72251738146581-1104.53562981608i</v>
      </c>
      <c r="FW132" s="1" t="str">
        <f t="shared" si="528"/>
        <v>-1.38790411195474-128.268453005258i</v>
      </c>
      <c r="FX132" s="1" t="str">
        <f t="shared" si="529"/>
        <v>-8.81307763946843-261.056107160481i</v>
      </c>
      <c r="FY132" s="1" t="str">
        <f t="shared" si="530"/>
        <v>0.077967710444018-725.228231279863i</v>
      </c>
      <c r="FZ132" s="1" t="str">
        <f t="shared" si="531"/>
        <v>13.6263213486093-1104.35299473869i</v>
      </c>
      <c r="GA132" s="1" t="str">
        <f t="shared" si="532"/>
        <v>1.38673580029934-0.07751785657101i</v>
      </c>
      <c r="GB132" s="1" t="str">
        <f t="shared" si="533"/>
        <v>9.67899235637143+0.18562699324345i</v>
      </c>
      <c r="GC132" s="1" t="str">
        <f t="shared" si="534"/>
        <v>9.88920484493125+0.35333352336428i</v>
      </c>
      <c r="GD132" s="92" t="str">
        <f t="shared" si="535"/>
        <v>3.48870818541779-2218.73508773832i</v>
      </c>
      <c r="GE132" s="1" t="str">
        <f t="shared" si="463"/>
        <v>0.00510221192664532+3.24488493306563i</v>
      </c>
      <c r="GF132" s="1">
        <f t="shared" si="464"/>
        <v>26.4</v>
      </c>
      <c r="GG132" s="56">
        <f t="shared" si="465"/>
        <v>0.20400407696125294</v>
      </c>
      <c r="GH132" s="1">
        <f t="shared" si="466"/>
        <v>0.79599592330472002</v>
      </c>
      <c r="GJ132" s="1">
        <f t="shared" si="536"/>
        <v>2218.7378305347329</v>
      </c>
      <c r="GK132" s="1">
        <f t="shared" si="537"/>
        <v>3.2448889443866769</v>
      </c>
      <c r="GM132" s="1" t="str">
        <f t="shared" si="467"/>
        <v>0.0191834803010191+12.6610969986727i</v>
      </c>
      <c r="GP132" s="1">
        <f t="shared" si="453"/>
        <v>26.4</v>
      </c>
      <c r="GQ132" s="1">
        <f t="shared" si="454"/>
        <v>3.2448889443866769</v>
      </c>
      <c r="GR132" s="1">
        <f t="shared" si="468"/>
        <v>12.661111531603982</v>
      </c>
      <c r="GS132" s="1">
        <f t="shared" si="469"/>
        <v>2.5829183713083435</v>
      </c>
    </row>
    <row r="133" spans="2:201" ht="18" customHeight="1" x14ac:dyDescent="0.3">
      <c r="B133" s="6"/>
      <c r="G133" s="182">
        <f t="shared" si="539"/>
        <v>7</v>
      </c>
      <c r="H133" s="182"/>
      <c r="I133" s="182"/>
      <c r="J133" s="182"/>
      <c r="L133" s="182">
        <f t="shared" si="540"/>
        <v>22.446756128519066</v>
      </c>
      <c r="M133" s="182"/>
      <c r="N133" s="182"/>
      <c r="O133" s="182"/>
      <c r="Q133" s="182">
        <f t="shared" si="541"/>
        <v>137.827181165007</v>
      </c>
      <c r="R133" s="182"/>
      <c r="S133" s="182"/>
      <c r="T133" s="182"/>
      <c r="V133" s="182">
        <f t="shared" si="542"/>
        <v>45.103906252055936</v>
      </c>
      <c r="W133" s="182"/>
      <c r="X133" s="182"/>
      <c r="Y133" s="182"/>
      <c r="AA133" s="182">
        <f t="shared" si="543"/>
        <v>22.957157799328105</v>
      </c>
      <c r="AB133" s="182"/>
      <c r="AC133" s="182"/>
      <c r="AD133" s="182"/>
      <c r="AP133" s="8"/>
      <c r="AR133" s="6"/>
      <c r="AS133" s="154" t="s">
        <v>119</v>
      </c>
      <c r="AT133" s="154"/>
      <c r="AU133" s="154"/>
      <c r="AV133" s="154"/>
      <c r="AW133" s="154"/>
      <c r="AX133" s="154"/>
      <c r="AY133" s="154"/>
      <c r="AZ133" s="154"/>
      <c r="BA133" s="154"/>
      <c r="BB133" s="154"/>
      <c r="BC133" s="154"/>
      <c r="BD133" s="154"/>
      <c r="BE133" s="154"/>
      <c r="BF133" s="154"/>
      <c r="BG133" s="154"/>
      <c r="BH133" s="154"/>
      <c r="BI133" s="154"/>
      <c r="BJ133" s="154"/>
      <c r="BK133" s="154"/>
      <c r="BL133" s="154"/>
      <c r="BM133" s="154"/>
      <c r="BN133" s="154"/>
      <c r="BO133" s="154"/>
      <c r="BP133" s="154"/>
      <c r="BQ133" s="154"/>
      <c r="BR133" s="154"/>
      <c r="BS133" s="154"/>
      <c r="BT133" s="154"/>
      <c r="BU133" s="154"/>
      <c r="BV133" s="154"/>
      <c r="BW133" s="154"/>
      <c r="BX133" s="154"/>
      <c r="BY133" s="154"/>
      <c r="BZ133" s="154"/>
      <c r="CA133" s="154"/>
      <c r="CB133" s="154"/>
      <c r="CC133" s="154"/>
      <c r="CD133" s="154"/>
      <c r="CE133" s="154"/>
      <c r="CF133" s="8"/>
      <c r="EA133" s="1">
        <f t="shared" si="538"/>
        <v>26.6</v>
      </c>
      <c r="EB133" s="1" t="str">
        <f t="shared" si="455"/>
        <v>6.41301610446148E-06-0.0170586228378675i</v>
      </c>
      <c r="EC133" s="1" t="str">
        <f t="shared" si="456"/>
        <v>0.0000125642764495572-0.0334209753558221i</v>
      </c>
      <c r="ED133" s="1" t="str">
        <f t="shared" si="457"/>
        <v>0.0000310507769547647-0.0825950666996746i</v>
      </c>
      <c r="EE133" s="1" t="str">
        <f t="shared" si="458"/>
        <v>0.00004336420413493-0.115348782998914i</v>
      </c>
      <c r="EF133" s="1" t="str">
        <f t="shared" si="459"/>
        <v>0.482800035240953i</v>
      </c>
      <c r="EG133" s="1" t="str">
        <f t="shared" si="460"/>
        <v>0.482598952344143i</v>
      </c>
      <c r="EH133" s="1" t="str">
        <f t="shared" si="461"/>
        <v>0.482983253334947i</v>
      </c>
      <c r="EI133" s="1" t="str">
        <f t="shared" si="462"/>
        <v>0.482936073571536i</v>
      </c>
      <c r="EJ133" s="1" t="str">
        <f t="shared" ref="EJ133:EJ196" si="544">IMDIV(COMPLEX(1,0),COMPLEX($AL$29,0))</f>
        <v>0.005</v>
      </c>
      <c r="EK133" s="1" t="str">
        <f t="shared" ref="EK133:EK196" si="545">IMDIV(COMPLEX(1,0),COMPLEX($AL$30,0))</f>
        <v>0.01</v>
      </c>
      <c r="EL133" s="1" t="str">
        <f t="shared" ref="EL133:EL196" si="546">IMDIV(COMPLEX(1,0),COMPLEX($AL$31,0))</f>
        <v>0.0125</v>
      </c>
      <c r="EM133" s="1" t="str">
        <f t="shared" si="493"/>
        <v>0.00500641301610446+0.465741412403085i</v>
      </c>
      <c r="EN133" s="1" t="str">
        <f t="shared" si="494"/>
        <v>-0.005</v>
      </c>
      <c r="EO133" s="1" t="str">
        <f t="shared" si="495"/>
        <v>0.0461708804806262-122.814542078465i</v>
      </c>
      <c r="EP133" s="1" t="str">
        <f t="shared" si="496"/>
        <v>-0.005</v>
      </c>
      <c r="EQ133" s="1" t="str">
        <f t="shared" si="497"/>
        <v>0.0150125642764496+0.449177976988321i</v>
      </c>
      <c r="ER133" s="1" t="str">
        <f t="shared" si="498"/>
        <v>-0.01</v>
      </c>
      <c r="ES133" s="1" t="str">
        <f t="shared" si="499"/>
        <v>0.0904572352273493-240.616245704749i</v>
      </c>
      <c r="ET133" s="1" t="str">
        <f t="shared" si="500"/>
        <v>-0.01</v>
      </c>
      <c r="EU133" s="1" t="str">
        <f t="shared" si="501"/>
        <v>0.0225310507769548+0.400388186635272i</v>
      </c>
      <c r="EV133" s="1" t="str">
        <f t="shared" si="502"/>
        <v>-0.0125</v>
      </c>
      <c r="EW133" s="1" t="str">
        <f t="shared" si="503"/>
        <v>0.223551865184254-594.647961390119i</v>
      </c>
      <c r="EX133" s="1" t="str">
        <f t="shared" si="504"/>
        <v>-0.0125</v>
      </c>
      <c r="EY133" s="1" t="str">
        <f t="shared" si="505"/>
        <v>0.0125433642041349+0.367587290572622i</v>
      </c>
      <c r="EZ133" s="1" t="str">
        <f t="shared" si="506"/>
        <v>0.312203096583282-830.460236911531i</v>
      </c>
      <c r="FB133" s="1" t="str">
        <f t="shared" si="507"/>
        <v>0.00500641301610446+0.465741412403085i</v>
      </c>
      <c r="FC133" s="1" t="str">
        <f t="shared" si="508"/>
        <v>0.0461708804806262-122.814542078465i</v>
      </c>
      <c r="FD133" s="1" t="str">
        <f t="shared" si="509"/>
        <v>-0.00011538697511014+0.0107343306650581i</v>
      </c>
      <c r="FE133" s="1" t="str">
        <f t="shared" si="510"/>
        <v>0.015011987341574+0.449231648641646i</v>
      </c>
      <c r="FF133" s="1" t="str">
        <f t="shared" si="511"/>
        <v>-1.22786934240235-240.630912516757i</v>
      </c>
      <c r="FG133" s="1" t="str">
        <f t="shared" si="512"/>
        <v>-0.000743041027779227+0.0222354001720499i</v>
      </c>
      <c r="FH133" s="1" t="str">
        <f t="shared" si="513"/>
        <v>0.022523620366677+0.400610540636992i</v>
      </c>
      <c r="FI133" s="1" t="str">
        <f t="shared" si="514"/>
        <v>-5.12788512568953-594.799457864484i</v>
      </c>
      <c r="FJ133" s="1" t="str">
        <f t="shared" si="515"/>
        <v>-0.00174877044726369+0.0311040526755096i</v>
      </c>
      <c r="FK133" s="1" t="str">
        <f t="shared" si="516"/>
        <v>0.0125215045735441+0.367976091231066i</v>
      </c>
      <c r="FL133" s="1" t="str">
        <f t="shared" si="517"/>
        <v>-18.1833674769841-831.507093061926i</v>
      </c>
      <c r="FM133" s="1" t="str">
        <f t="shared" si="518"/>
        <v>-2258.74301867337-27.4460591393518i</v>
      </c>
      <c r="FN133" s="1" t="str">
        <f t="shared" si="519"/>
        <v>-1485.57499972792-0.245511415738141i</v>
      </c>
      <c r="FO133" s="1" t="str">
        <f t="shared" si="520"/>
        <v>-536.253001306593+17.882524743029i</v>
      </c>
      <c r="FP133" s="1" t="str">
        <f t="shared" si="521"/>
        <v>-263.535235203937+2.82501804496285i</v>
      </c>
      <c r="FQ133" s="92" t="str">
        <f t="shared" si="522"/>
        <v>-0.000329981151109021-127.310108377184i</v>
      </c>
      <c r="FR133" s="1" t="str">
        <f t="shared" si="523"/>
        <v>-1.36391881166439-127.234820843694i</v>
      </c>
      <c r="FS133" s="1" t="str">
        <f t="shared" si="524"/>
        <v>1.36358883051328-0.0752875334903305i</v>
      </c>
      <c r="FT133" s="1" t="str">
        <f t="shared" si="525"/>
        <v>-0.500456552553981-258.538568726887i</v>
      </c>
      <c r="FU133" s="1" t="str">
        <f t="shared" si="526"/>
        <v>0.289958154908803-717.349119956695i</v>
      </c>
      <c r="FV133" s="1" t="str">
        <f t="shared" si="527"/>
        <v>3.57602120977383-1091.00230504629i</v>
      </c>
      <c r="FW133" s="1" t="str">
        <f t="shared" si="528"/>
        <v>-1.36391881166439-127.234820843694i</v>
      </c>
      <c r="FX133" s="1" t="str">
        <f t="shared" si="529"/>
        <v>-8.63008770625401-258.795136621964i</v>
      </c>
      <c r="FY133" s="1" t="str">
        <f t="shared" si="530"/>
        <v>0.118577902304076-717.507846441654i</v>
      </c>
      <c r="FZ133" s="1" t="str">
        <f t="shared" si="531"/>
        <v>13.2546920357707-1090.82848464524i</v>
      </c>
      <c r="GA133" s="1" t="str">
        <f t="shared" si="532"/>
        <v>1.36358883051328-0.0752875334903305i</v>
      </c>
      <c r="GB133" s="1" t="str">
        <f t="shared" si="533"/>
        <v>9.49321998421327+0.181280361587671i</v>
      </c>
      <c r="GC133" s="1" t="str">
        <f t="shared" si="534"/>
        <v>9.66460023681812+0.340006846545171i</v>
      </c>
      <c r="GD133" s="92" t="str">
        <f t="shared" si="535"/>
        <v>3.36519283097754-2194.20010210706i</v>
      </c>
      <c r="GE133" s="1" t="str">
        <f t="shared" si="463"/>
        <v>0.0050322510340146+3.28116880287532i</v>
      </c>
      <c r="GF133" s="1">
        <f t="shared" si="464"/>
        <v>26.6</v>
      </c>
      <c r="GG133" s="56">
        <f t="shared" si="465"/>
        <v>0.20458482610866471</v>
      </c>
      <c r="GH133" s="1">
        <f t="shared" si="466"/>
        <v>0.79541517396415951</v>
      </c>
      <c r="GJ133" s="1">
        <f t="shared" si="536"/>
        <v>2194.2026826638926</v>
      </c>
      <c r="GK133" s="1">
        <f t="shared" si="537"/>
        <v>3.281172661795281</v>
      </c>
      <c r="GM133" s="1" t="str">
        <f t="shared" si="467"/>
        <v>0.0191834803010191+12.7570144001778i</v>
      </c>
      <c r="GP133" s="1">
        <f t="shared" ref="GP133:GP196" si="547">EA133</f>
        <v>26.6</v>
      </c>
      <c r="GQ133" s="1">
        <f t="shared" ref="GQ133:GQ196" si="548">GK133</f>
        <v>3.281172661795281</v>
      </c>
      <c r="GR133" s="1">
        <f t="shared" si="468"/>
        <v>12.757028823839043</v>
      </c>
      <c r="GS133" s="1">
        <f t="shared" si="469"/>
        <v>2.6098945235883337</v>
      </c>
    </row>
    <row r="134" spans="2:201" ht="18" customHeight="1" x14ac:dyDescent="0.25">
      <c r="B134" s="6"/>
      <c r="G134" s="185">
        <f t="shared" si="539"/>
        <v>11</v>
      </c>
      <c r="H134" s="185"/>
      <c r="I134" s="185"/>
      <c r="J134" s="185"/>
      <c r="L134" s="185">
        <f t="shared" si="540"/>
        <v>3.1643014706959782</v>
      </c>
      <c r="M134" s="185"/>
      <c r="N134" s="185"/>
      <c r="O134" s="185"/>
      <c r="Q134" s="185">
        <f t="shared" si="541"/>
        <v>11.850112245865324</v>
      </c>
      <c r="R134" s="185"/>
      <c r="S134" s="185"/>
      <c r="T134" s="185"/>
      <c r="V134" s="185">
        <f t="shared" si="542"/>
        <v>111.30181241086805</v>
      </c>
      <c r="W134" s="185"/>
      <c r="X134" s="185"/>
      <c r="Y134" s="185"/>
      <c r="AA134" s="185">
        <f t="shared" si="543"/>
        <v>65.922926077865171</v>
      </c>
      <c r="AB134" s="185"/>
      <c r="AC134" s="185"/>
      <c r="AD134" s="185"/>
      <c r="AP134" s="8"/>
      <c r="AR134" s="6"/>
      <c r="AT134" s="180" t="s">
        <v>35</v>
      </c>
      <c r="AU134" s="180"/>
      <c r="AV134" s="180"/>
      <c r="AW134" s="180"/>
      <c r="AX134" s="180"/>
      <c r="AY134" s="180"/>
      <c r="AZ134" s="180"/>
      <c r="BA134" s="180"/>
      <c r="BB134" s="180"/>
      <c r="BC134" s="180"/>
      <c r="BD134" s="180"/>
      <c r="BE134" s="180"/>
      <c r="BF134" s="180"/>
      <c r="BG134" s="180"/>
      <c r="BH134" s="226">
        <f>SUM(CI81:CK81)</f>
        <v>19247.462272856767</v>
      </c>
      <c r="BI134" s="226"/>
      <c r="BJ134" s="226"/>
      <c r="BK134" s="226"/>
      <c r="BL134" s="1" t="str">
        <f>"Watts, 3-Phase or "&amp;ROUND(BH134*3.412141,0)&amp;" BTUs/Hour"</f>
        <v>Watts, 3-Phase or 65675 BTUs/Hour</v>
      </c>
      <c r="CF134" s="8"/>
      <c r="EA134" s="1">
        <f t="shared" si="538"/>
        <v>26.8</v>
      </c>
      <c r="EB134" s="1" t="str">
        <f t="shared" ref="EB134:EB197" si="549">IMDIV(COMPLEX(1,0),COMPLEX($W$39/100,$W$39*EA134))</f>
        <v>6.31765661117273E-06-0.016931319717943i</v>
      </c>
      <c r="EC134" s="1" t="str">
        <f t="shared" ref="EC134:EC197" si="550">IMDIV(COMPLEX(1,0),COMPLEX($W$40/100,$W$40*EA134))</f>
        <v>0.0000123774496871955-0.0331715651616841i</v>
      </c>
      <c r="ED134" s="1" t="str">
        <f t="shared" ref="ED134:ED197" si="551">IMDIV(COMPLEX(1,0),COMPLEX($W$41/100,$W$41*EA134))</f>
        <v>0.000030589061857158-0.0819786857771832i</v>
      </c>
      <c r="EE134" s="1" t="str">
        <f t="shared" ref="EE134:EE197" si="552">IMDIV(COMPLEX(1,0),COMPLEX($W$42/100,$W$42*EA134))</f>
        <v>0.0000427193923231681-0.114487971426091i</v>
      </c>
      <c r="EF134" s="1" t="str">
        <f t="shared" ref="EF134:EF197" si="553">IMDIV(COMPLEX(1,0),COMPLEX(0,-$L$39/EA134))</f>
        <v>0.486430110693893i</v>
      </c>
      <c r="EG134" s="1" t="str">
        <f t="shared" ref="EG134:EG197" si="554">IMDIV(COMPLEX(1,0),COMPLEX(0,-$L$40/EA134))</f>
        <v>0.486227515895603i</v>
      </c>
      <c r="EH134" s="1" t="str">
        <f t="shared" ref="EH134:EH197" si="555">IMDIV(COMPLEX(1,0),COMPLEX(0,-$L$41/EA134))</f>
        <v>0.486614706367543i</v>
      </c>
      <c r="EI134" s="1" t="str">
        <f t="shared" ref="EI134:EI197" si="556">IMDIV(COMPLEX(1,0),COMPLEX(0,-$L$42/EA134))</f>
        <v>0.486567171869067i</v>
      </c>
      <c r="EJ134" s="1" t="str">
        <f t="shared" si="544"/>
        <v>0.005</v>
      </c>
      <c r="EK134" s="1" t="str">
        <f t="shared" si="545"/>
        <v>0.01</v>
      </c>
      <c r="EL134" s="1" t="str">
        <f t="shared" si="546"/>
        <v>0.0125</v>
      </c>
      <c r="EM134" s="1" t="str">
        <f t="shared" si="493"/>
        <v>0.00500631765661117+0.46949879097595i</v>
      </c>
      <c r="EN134" s="1" t="str">
        <f t="shared" si="494"/>
        <v>-0.005</v>
      </c>
      <c r="EO134" s="1" t="str">
        <f t="shared" si="495"/>
        <v>0.0454843342914992-121.898015901218i</v>
      </c>
      <c r="EP134" s="1" t="str">
        <f t="shared" si="496"/>
        <v>-0.005</v>
      </c>
      <c r="EQ134" s="1" t="str">
        <f t="shared" si="497"/>
        <v>0.0150123774496872+0.453055950733919i</v>
      </c>
      <c r="ER134" s="1" t="str">
        <f t="shared" si="498"/>
        <v>-0.01</v>
      </c>
      <c r="ES134" s="1" t="str">
        <f t="shared" si="499"/>
        <v>0.0891121651425286-238.820602581978i</v>
      </c>
      <c r="ET134" s="1" t="str">
        <f t="shared" si="500"/>
        <v>-0.01</v>
      </c>
      <c r="EU134" s="1" t="str">
        <f t="shared" si="501"/>
        <v>0.0225305890618572+0.40463602059036i</v>
      </c>
      <c r="EV134" s="1" t="str">
        <f t="shared" si="502"/>
        <v>-0.0125</v>
      </c>
      <c r="EW134" s="1" t="str">
        <f t="shared" si="503"/>
        <v>0.220227720625679-590.210291276818i</v>
      </c>
      <c r="EX134" s="1" t="str">
        <f t="shared" si="504"/>
        <v>-0.0125</v>
      </c>
      <c r="EY134" s="1" t="str">
        <f t="shared" si="505"/>
        <v>0.0125427193923232+0.372079200442976i</v>
      </c>
      <c r="EZ134" s="1" t="str">
        <f t="shared" si="506"/>
        <v>0.307560736637757-824.262774189193i</v>
      </c>
      <c r="FB134" s="1" t="str">
        <f t="shared" si="507"/>
        <v>0.00500631765661117+0.46949879097595i</v>
      </c>
      <c r="FC134" s="1" t="str">
        <f t="shared" si="508"/>
        <v>0.0454843342914992-121.898015901218i</v>
      </c>
      <c r="FD134" s="1" t="str">
        <f t="shared" si="509"/>
        <v>-0.000113545538199661+0.0106484439386413i</v>
      </c>
      <c r="FE134" s="1" t="str">
        <f t="shared" si="510"/>
        <v>0.0150118097219962+0.453109192953612i</v>
      </c>
      <c r="FF134" s="1" t="str">
        <f t="shared" si="511"/>
        <v>-1.20890685886998-238.834927895183i</v>
      </c>
      <c r="FG134" s="1" t="str">
        <f t="shared" si="512"/>
        <v>-0.000730383352710073+0.0220455373217459i</v>
      </c>
      <c r="FH134" s="1" t="str">
        <f t="shared" si="513"/>
        <v>0.0225232852283301+0.404856475963577i</v>
      </c>
      <c r="FI134" s="1" t="str">
        <f t="shared" si="514"/>
        <v>-5.04589956146876-590.358081330923i</v>
      </c>
      <c r="FJ134" s="1" t="str">
        <f t="shared" si="515"/>
        <v>-0.00171236956801097+0.0307798752190998i</v>
      </c>
      <c r="FK134" s="1" t="str">
        <f t="shared" si="516"/>
        <v>0.0125213147727231+0.372463948883215i</v>
      </c>
      <c r="FL134" s="1" t="str">
        <f t="shared" si="517"/>
        <v>-17.8586612706444-825.280210912463i</v>
      </c>
      <c r="FM134" s="1" t="str">
        <f t="shared" si="518"/>
        <v>-2214.84058292374-26.5100954579668i</v>
      </c>
      <c r="FN134" s="1" t="str">
        <f t="shared" si="519"/>
        <v>-1458.99168486686-0.320802614540071i</v>
      </c>
      <c r="FO134" s="1" t="str">
        <f t="shared" si="520"/>
        <v>-527.685423713824+17.3850159214982i</v>
      </c>
      <c r="FP134" s="1" t="str">
        <f t="shared" si="521"/>
        <v>-259.478597760526+2.75594000169144i</v>
      </c>
      <c r="FQ134" s="92" t="str">
        <f t="shared" si="522"/>
        <v>0.000461929677992669-126.291348410948i</v>
      </c>
      <c r="FR134" s="1" t="str">
        <f t="shared" si="523"/>
        <v>-1.34057220008849-126.218203031349i</v>
      </c>
      <c r="FS134" s="1" t="str">
        <f t="shared" si="524"/>
        <v>1.34103412976649-0.073145379599034i</v>
      </c>
      <c r="FT134" s="1" t="str">
        <f t="shared" si="525"/>
        <v>-0.48104462355168-256.324969181732i</v>
      </c>
      <c r="FU134" s="1" t="str">
        <f t="shared" si="526"/>
        <v>0.29115588425703-709.81650234899i</v>
      </c>
      <c r="FV134" s="1" t="str">
        <f t="shared" si="527"/>
        <v>3.4372644317276-1077.83424706514i</v>
      </c>
      <c r="FW134" s="1" t="str">
        <f t="shared" si="528"/>
        <v>-1.34057220008849-126.218203031349i</v>
      </c>
      <c r="FX134" s="1" t="str">
        <f t="shared" si="529"/>
        <v>-8.45307310531558-256.575172746691i</v>
      </c>
      <c r="FY134" s="1" t="str">
        <f t="shared" si="530"/>
        <v>0.156107270076357-709.966810324174i</v>
      </c>
      <c r="FZ134" s="1" t="str">
        <f t="shared" si="531"/>
        <v>12.8989421729619-1077.66871857404i</v>
      </c>
      <c r="GA134" s="1" t="str">
        <f t="shared" si="532"/>
        <v>1.34103412976649-0.073145379599034i</v>
      </c>
      <c r="GB134" s="1" t="str">
        <f t="shared" si="533"/>
        <v>9.31306261153036+0.177058185360383i</v>
      </c>
      <c r="GC134" s="1" t="str">
        <f t="shared" si="534"/>
        <v>9.448111225711+0.327366160542834i</v>
      </c>
      <c r="GD134" s="92" t="str">
        <f t="shared" si="535"/>
        <v>3.24783762211094-2170.26706700681i</v>
      </c>
      <c r="GE134" s="1" t="str">
        <f t="shared" ref="GE134:GE197" si="557">IMDIV($EO$1,GD134)</f>
        <v>0.00496446897943138+3.31735289285617i</v>
      </c>
      <c r="GF134" s="1">
        <f t="shared" ref="GF134:GF197" si="558">GP134</f>
        <v>26.8</v>
      </c>
      <c r="GG134" s="56">
        <f t="shared" ref="GG134:GG197" si="559">IMABS(IMDIV(GE134,IMSUM(GE134,GM134)))</f>
        <v>0.20515117520822443</v>
      </c>
      <c r="GH134" s="1">
        <f t="shared" ref="GH134:GH197" si="560">IMABS(IMDIV(GM134,IMSUM(GE134,GM134)))</f>
        <v>0.79484882479306374</v>
      </c>
      <c r="GJ134" s="1">
        <f t="shared" si="536"/>
        <v>2170.2694972246099</v>
      </c>
      <c r="GK134" s="1">
        <f t="shared" si="537"/>
        <v>3.3173566075556975</v>
      </c>
      <c r="GM134" s="1" t="str">
        <f t="shared" ref="GM134:GM197" si="561">COMPLEX($GM$2,$GM$3*GP134)</f>
        <v>0.0191834803010191+12.8529318016828i</v>
      </c>
      <c r="GP134" s="1">
        <f t="shared" si="547"/>
        <v>26.8</v>
      </c>
      <c r="GQ134" s="1">
        <f t="shared" si="548"/>
        <v>3.3173566075556975</v>
      </c>
      <c r="GR134" s="1">
        <f t="shared" ref="GR134:GR197" si="562">IMABS(GM134)</f>
        <v>12.852946117704903</v>
      </c>
      <c r="GS134" s="1">
        <f t="shared" ref="GS134:GS197" si="563">IMABS(IMDIV(COMPLEX(1,0),IMSUM(IMDIV(COMPLEX(1,0),GM134),IMDIV(COMPLEX(1,0),GE134))))</f>
        <v>2.6367970009351547</v>
      </c>
    </row>
    <row r="135" spans="2:201" ht="18" customHeight="1" thickBot="1" x14ac:dyDescent="0.3">
      <c r="B135" s="6"/>
      <c r="G135" s="182">
        <f t="shared" si="539"/>
        <v>13</v>
      </c>
      <c r="H135" s="182"/>
      <c r="I135" s="182"/>
      <c r="J135" s="182"/>
      <c r="L135" s="182">
        <f t="shared" si="540"/>
        <v>0.8837783416270738</v>
      </c>
      <c r="M135" s="182"/>
      <c r="N135" s="182"/>
      <c r="O135" s="182"/>
      <c r="Q135" s="182">
        <f t="shared" si="541"/>
        <v>2.2529179472727523</v>
      </c>
      <c r="R135" s="182"/>
      <c r="S135" s="182"/>
      <c r="T135" s="182"/>
      <c r="V135" s="182">
        <f t="shared" si="542"/>
        <v>25.234886093853206</v>
      </c>
      <c r="W135" s="182"/>
      <c r="X135" s="182"/>
      <c r="Y135" s="182"/>
      <c r="AA135" s="182">
        <f t="shared" si="543"/>
        <v>105.5943904755064</v>
      </c>
      <c r="AB135" s="182"/>
      <c r="AC135" s="182"/>
      <c r="AD135" s="182"/>
      <c r="AP135" s="8"/>
      <c r="AR135" s="6"/>
      <c r="AT135" s="180" t="s">
        <v>121</v>
      </c>
      <c r="AU135" s="180"/>
      <c r="AV135" s="180"/>
      <c r="AW135" s="180"/>
      <c r="AX135" s="180"/>
      <c r="AY135" s="180"/>
      <c r="AZ135" s="180"/>
      <c r="BA135" s="180"/>
      <c r="BB135" s="180"/>
      <c r="BC135" s="180"/>
      <c r="BD135" s="180"/>
      <c r="BE135" s="180"/>
      <c r="BF135" s="180"/>
      <c r="BG135" s="180"/>
      <c r="BH135" s="227">
        <f>SUM(CM81:CP81)</f>
        <v>21074.941146871068</v>
      </c>
      <c r="BI135" s="227"/>
      <c r="BJ135" s="227"/>
      <c r="BK135" s="227"/>
      <c r="BL135" s="1" t="str">
        <f>"Watts, 3-Phase or "&amp;ROUND(BH135*3.412141,0)&amp;" BTUs/Hour"</f>
        <v>Watts, 3-Phase or 71911 BTUs/Hour</v>
      </c>
      <c r="CF135" s="8"/>
      <c r="EA135" s="1">
        <f t="shared" si="538"/>
        <v>27</v>
      </c>
      <c r="EB135" s="1" t="str">
        <f t="shared" si="549"/>
        <v>0.0000062244083590309-0.0168059025693835i</v>
      </c>
      <c r="EC135" s="1" t="str">
        <f t="shared" si="550"/>
        <v>0.0000121947592340198-0.0329258499318534i</v>
      </c>
      <c r="ED135" s="1" t="str">
        <f t="shared" si="551"/>
        <v>0.0000301375690444915-0.0813714364201272i</v>
      </c>
      <c r="EE135" s="1" t="str">
        <f t="shared" si="552"/>
        <v>0.0000420888565229709-0.113639912612022i</v>
      </c>
      <c r="EF135" s="1" t="str">
        <f t="shared" si="553"/>
        <v>0.490060186146833i</v>
      </c>
      <c r="EG135" s="1" t="str">
        <f t="shared" si="554"/>
        <v>0.489856079447062i</v>
      </c>
      <c r="EH135" s="1" t="str">
        <f t="shared" si="555"/>
        <v>0.490246159400135i</v>
      </c>
      <c r="EI135" s="1" t="str">
        <f t="shared" si="556"/>
        <v>0.490198270166597i</v>
      </c>
      <c r="EJ135" s="1" t="str">
        <f t="shared" si="544"/>
        <v>0.005</v>
      </c>
      <c r="EK135" s="1" t="str">
        <f t="shared" si="545"/>
        <v>0.01</v>
      </c>
      <c r="EL135" s="1" t="str">
        <f t="shared" si="546"/>
        <v>0.0125</v>
      </c>
      <c r="EM135" s="1" t="str">
        <f t="shared" si="493"/>
        <v>0.00500622440835903+0.473254283577449i</v>
      </c>
      <c r="EN135" s="1" t="str">
        <f t="shared" si="494"/>
        <v>-0.005</v>
      </c>
      <c r="EO135" s="1" t="str">
        <f t="shared" si="495"/>
        <v>0.0448129881051591-120.99506788393i</v>
      </c>
      <c r="EP135" s="1" t="str">
        <f t="shared" si="496"/>
        <v>-0.005</v>
      </c>
      <c r="EQ135" s="1" t="str">
        <f t="shared" si="497"/>
        <v>0.015012194759234+0.456930229515209i</v>
      </c>
      <c r="ER135" s="1" t="str">
        <f t="shared" si="498"/>
        <v>-0.01</v>
      </c>
      <c r="ES135" s="1" t="str">
        <f t="shared" si="499"/>
        <v>0.0877968746550062-237.051561568516i</v>
      </c>
      <c r="ET135" s="1" t="str">
        <f t="shared" si="500"/>
        <v>-0.01</v>
      </c>
      <c r="EU135" s="1" t="str">
        <f t="shared" si="501"/>
        <v>0.0225301375690445+0.408874722980008i</v>
      </c>
      <c r="EV135" s="1" t="str">
        <f t="shared" si="502"/>
        <v>-0.0125</v>
      </c>
      <c r="EW135" s="1" t="str">
        <f t="shared" si="503"/>
        <v>0.21697717199896-585.838364397192i</v>
      </c>
      <c r="EX135" s="1" t="str">
        <f t="shared" si="504"/>
        <v>-0.0125</v>
      </c>
      <c r="EY135" s="1" t="str">
        <f t="shared" si="505"/>
        <v>0.012542088856523+0.376558357554575i</v>
      </c>
      <c r="EZ135" s="1" t="str">
        <f t="shared" si="506"/>
        <v>0.303021157663457-818.157125691339i</v>
      </c>
      <c r="FB135" s="1" t="str">
        <f t="shared" si="507"/>
        <v>0.00500622440835903+0.473254283577449i</v>
      </c>
      <c r="FC135" s="1" t="str">
        <f t="shared" si="508"/>
        <v>0.0448129881051591-120.99506788393i</v>
      </c>
      <c r="FD135" s="1" t="str">
        <f t="shared" si="509"/>
        <v>-0.000111748734971679+0.0105639626184962i</v>
      </c>
      <c r="FE135" s="1" t="str">
        <f t="shared" si="510"/>
        <v>0.0150116360155591+0.456983049328301i</v>
      </c>
      <c r="FF135" s="1" t="str">
        <f t="shared" si="511"/>
        <v>-1.19038549169851-237.065556017021i</v>
      </c>
      <c r="FG135" s="1" t="str">
        <f t="shared" si="512"/>
        <v>-0.00071805788381656+0.0218590619303993i</v>
      </c>
      <c r="FH135" s="1" t="str">
        <f t="shared" si="513"/>
        <v>0.0225229569902063+0.409093313599312i</v>
      </c>
      <c r="FI135" s="1" t="str">
        <f t="shared" si="514"/>
        <v>-4.96590826422874-585.982570478487i</v>
      </c>
      <c r="FJ135" s="1" t="str">
        <f t="shared" si="515"/>
        <v>-0.00167716674092803+0.0304630382148823i</v>
      </c>
      <c r="FK135" s="1" t="str">
        <f t="shared" si="516"/>
        <v>0.0125211242722614+0.376939145532261i</v>
      </c>
      <c r="FL135" s="1" t="str">
        <f t="shared" si="517"/>
        <v>-17.5430314178159-819.146284095548i</v>
      </c>
      <c r="FM135" s="1" t="str">
        <f t="shared" si="518"/>
        <v>-2172.30160623613-25.6185303785946i</v>
      </c>
      <c r="FN135" s="1" t="str">
        <f t="shared" si="519"/>
        <v>-1433.15477778881-0.389165681699605i</v>
      </c>
      <c r="FO135" s="1" t="str">
        <f t="shared" si="520"/>
        <v>-519.326138506428+16.9065314705182i</v>
      </c>
      <c r="FP135" s="1" t="str">
        <f t="shared" si="521"/>
        <v>-255.515907343256+2.68914149649297i</v>
      </c>
      <c r="FQ135" s="92" t="str">
        <f t="shared" si="522"/>
        <v>0.00120997346934484-125.289260065983i</v>
      </c>
      <c r="FR135" s="1" t="str">
        <f t="shared" si="523"/>
        <v>-1.31784118234652-125.218173116113i</v>
      </c>
      <c r="FS135" s="1" t="str">
        <f t="shared" si="524"/>
        <v>1.31905115581586-0.071086949870126i</v>
      </c>
      <c r="FT135" s="1" t="str">
        <f t="shared" si="525"/>
        <v>-0.462531986188414-254.151022241748i</v>
      </c>
      <c r="FU135" s="1" t="str">
        <f t="shared" si="526"/>
        <v>0.291835943591327-702.456215549728i</v>
      </c>
      <c r="FV135" s="1" t="str">
        <f t="shared" si="527"/>
        <v>3.30573840176487-1065.01621213632i</v>
      </c>
      <c r="FW135" s="1" t="str">
        <f t="shared" si="528"/>
        <v>-1.31784118234652-125.218173116113i</v>
      </c>
      <c r="FX135" s="1" t="str">
        <f t="shared" si="529"/>
        <v>-8.28176722319642-254.395066163141i</v>
      </c>
      <c r="FY135" s="1" t="str">
        <f t="shared" si="530"/>
        <v>0.190786980823567-702.598625636918i</v>
      </c>
      <c r="FZ135" s="1" t="str">
        <f t="shared" si="531"/>
        <v>12.5581592757975-1064.85848965707i</v>
      </c>
      <c r="GA135" s="1" t="str">
        <f t="shared" si="532"/>
        <v>1.31905115581586-0.071086949870126i</v>
      </c>
      <c r="GB135" s="1" t="str">
        <f t="shared" si="533"/>
        <v>9.13828639282382+0.172956971522178i</v>
      </c>
      <c r="GC135" s="1" t="str">
        <f t="shared" si="534"/>
        <v>9.2393353555915+0.315367058711188i</v>
      </c>
      <c r="GD135" s="92" t="str">
        <f t="shared" si="535"/>
        <v>3.13625233263713-2146.91270999378i</v>
      </c>
      <c r="GE135" s="1" t="str">
        <f t="shared" si="557"/>
        <v>0.00489877082279366+3.3534397833222i</v>
      </c>
      <c r="GF135" s="1">
        <f t="shared" si="558"/>
        <v>27</v>
      </c>
      <c r="GG135" s="56">
        <f t="shared" si="559"/>
        <v>0.20570361041011104</v>
      </c>
      <c r="GH135" s="1">
        <f t="shared" si="560"/>
        <v>0.79429638962476512</v>
      </c>
      <c r="GJ135" s="1">
        <f t="shared" si="536"/>
        <v>2146.9150007421185</v>
      </c>
      <c r="GK135" s="1">
        <f t="shared" si="537"/>
        <v>3.3534433614306978</v>
      </c>
      <c r="GM135" s="1" t="str">
        <f t="shared" si="561"/>
        <v>0.0191834803010191+12.9488492031879i</v>
      </c>
      <c r="GP135" s="1">
        <f t="shared" si="547"/>
        <v>27</v>
      </c>
      <c r="GQ135" s="1">
        <f t="shared" si="548"/>
        <v>3.3534433614306978</v>
      </c>
      <c r="GR135" s="1">
        <f t="shared" si="562"/>
        <v>12.948863413165512</v>
      </c>
      <c r="GS135" s="1">
        <f t="shared" si="563"/>
        <v>2.6636279547955346</v>
      </c>
    </row>
    <row r="136" spans="2:201" ht="18" customHeight="1" thickTop="1" x14ac:dyDescent="0.25">
      <c r="B136" s="6"/>
      <c r="G136" s="185">
        <f t="shared" si="539"/>
        <v>17</v>
      </c>
      <c r="H136" s="185"/>
      <c r="I136" s="185"/>
      <c r="J136" s="185"/>
      <c r="L136" s="185">
        <f t="shared" si="540"/>
        <v>4.0967837650350409</v>
      </c>
      <c r="M136" s="185"/>
      <c r="N136" s="185"/>
      <c r="O136" s="185"/>
      <c r="Q136" s="185">
        <f t="shared" si="541"/>
        <v>8.8348592940571553</v>
      </c>
      <c r="R136" s="185"/>
      <c r="S136" s="185"/>
      <c r="T136" s="185"/>
      <c r="V136" s="185">
        <f t="shared" si="542"/>
        <v>31.287337044750643</v>
      </c>
      <c r="W136" s="185"/>
      <c r="X136" s="185"/>
      <c r="Y136" s="185"/>
      <c r="AA136" s="185">
        <f t="shared" si="543"/>
        <v>60.800272182432792</v>
      </c>
      <c r="AB136" s="185"/>
      <c r="AC136" s="185"/>
      <c r="AD136" s="185"/>
      <c r="AP136" s="8"/>
      <c r="AR136" s="6"/>
      <c r="AT136" s="180" t="s">
        <v>123</v>
      </c>
      <c r="AU136" s="180"/>
      <c r="AV136" s="180"/>
      <c r="AW136" s="180"/>
      <c r="AX136" s="180"/>
      <c r="AY136" s="180"/>
      <c r="AZ136" s="180"/>
      <c r="BA136" s="180"/>
      <c r="BB136" s="180"/>
      <c r="BC136" s="180"/>
      <c r="BD136" s="180"/>
      <c r="BE136" s="180"/>
      <c r="BF136" s="180"/>
      <c r="BG136" s="180"/>
      <c r="BH136" s="224">
        <f>SUM(BH134:BK135)</f>
        <v>40322.403419727838</v>
      </c>
      <c r="BI136" s="224"/>
      <c r="BJ136" s="224"/>
      <c r="BK136" s="224"/>
      <c r="BL136" s="1" t="str">
        <f>"Watts, 3-Phase or "&amp;ROUND(BH136*3.412141,0)&amp;" BTUs/Hour"</f>
        <v>Watts, 3-Phase or 137586 BTUs/Hour</v>
      </c>
      <c r="CF136" s="8"/>
      <c r="EA136" s="1">
        <f t="shared" si="538"/>
        <v>27.2</v>
      </c>
      <c r="EB136" s="1" t="str">
        <f t="shared" si="549"/>
        <v>6.13320948158172E-06-0.0166823297899023i</v>
      </c>
      <c r="EC136" s="1" t="str">
        <f t="shared" si="550"/>
        <v>0.0000120160838822825-0.0326837481598085i</v>
      </c>
      <c r="ED136" s="1" t="str">
        <f t="shared" si="551"/>
        <v>0.0000296959989694951-0.0807731171970268i</v>
      </c>
      <c r="EE136" s="1" t="str">
        <f t="shared" si="552"/>
        <v>0.000041472178399267-0.112804325246006i</v>
      </c>
      <c r="EF136" s="1" t="str">
        <f t="shared" si="553"/>
        <v>0.493690261599772i</v>
      </c>
      <c r="EG136" s="1" t="str">
        <f t="shared" si="554"/>
        <v>0.493484642998522i</v>
      </c>
      <c r="EH136" s="1" t="str">
        <f t="shared" si="555"/>
        <v>0.493877612432729i</v>
      </c>
      <c r="EI136" s="1" t="str">
        <f t="shared" si="556"/>
        <v>0.493829368464127i</v>
      </c>
      <c r="EJ136" s="1" t="str">
        <f t="shared" si="544"/>
        <v>0.005</v>
      </c>
      <c r="EK136" s="1" t="str">
        <f t="shared" si="545"/>
        <v>0.01</v>
      </c>
      <c r="EL136" s="1" t="str">
        <f t="shared" si="546"/>
        <v>0.0125</v>
      </c>
      <c r="EM136" s="1" t="str">
        <f t="shared" si="493"/>
        <v>0.00500613320948158+0.47700793180987i</v>
      </c>
      <c r="EN136" s="1" t="str">
        <f t="shared" si="494"/>
        <v>-0.005</v>
      </c>
      <c r="EO136" s="1" t="str">
        <f t="shared" si="495"/>
        <v>0.044156396510489-120.10539850853i</v>
      </c>
      <c r="EP136" s="1" t="str">
        <f t="shared" si="496"/>
        <v>-0.005</v>
      </c>
      <c r="EQ136" s="1" t="str">
        <f t="shared" si="497"/>
        <v>0.0150120160838823+0.460800894838714i</v>
      </c>
      <c r="ER136" s="1" t="str">
        <f t="shared" si="498"/>
        <v>-0.01</v>
      </c>
      <c r="ES136" s="1" t="str">
        <f t="shared" si="499"/>
        <v>0.0865104911225903-235.308535853446i</v>
      </c>
      <c r="ET136" s="1" t="str">
        <f t="shared" si="500"/>
        <v>-0.01</v>
      </c>
      <c r="EU136" s="1" t="str">
        <f t="shared" si="501"/>
        <v>0.0225296959989695+0.413104495235702i</v>
      </c>
      <c r="EV136" s="1" t="str">
        <f t="shared" si="502"/>
        <v>-0.0125</v>
      </c>
      <c r="EW136" s="1" t="str">
        <f t="shared" si="503"/>
        <v>0.213798062696194-581.530730533648i</v>
      </c>
      <c r="EX136" s="1" t="str">
        <f t="shared" si="504"/>
        <v>-0.0125</v>
      </c>
      <c r="EY136" s="1" t="str">
        <f t="shared" si="505"/>
        <v>0.0125414721783993+0.381025043218121i</v>
      </c>
      <c r="EZ136" s="1" t="str">
        <f t="shared" si="506"/>
        <v>0.298581347832831-812.1412661053i</v>
      </c>
      <c r="FB136" s="1" t="str">
        <f t="shared" si="507"/>
        <v>0.00500613320948158+0.47700793180987i</v>
      </c>
      <c r="FC136" s="1" t="str">
        <f t="shared" si="508"/>
        <v>0.044156396510489-120.10539850853i</v>
      </c>
      <c r="FD136" s="1" t="str">
        <f t="shared" si="509"/>
        <v>-0.000109995108690703+0.0104808516094576i</v>
      </c>
      <c r="FE136" s="1" t="str">
        <f t="shared" si="510"/>
        <v>0.0150114661083388+0.460853299096761i</v>
      </c>
      <c r="FF136" s="1" t="str">
        <f t="shared" si="511"/>
        <v>-1.17229151115245-235.322209656449i</v>
      </c>
      <c r="FG136" s="1" t="str">
        <f t="shared" si="512"/>
        <v>-0.00070605276891195+0.0216758806595662i</v>
      </c>
      <c r="FH136" s="1" t="str">
        <f t="shared" si="513"/>
        <v>0.0225226354712804+0.413321254042298i</v>
      </c>
      <c r="FI136" s="1" t="str">
        <f t="shared" si="514"/>
        <v>-4.88784577002984-581.671469980468i</v>
      </c>
      <c r="FJ136" s="1" t="str">
        <f t="shared" si="515"/>
        <v>-0.00164310787820346+0.0301532833318652i</v>
      </c>
      <c r="FK136" s="1" t="str">
        <f t="shared" si="516"/>
        <v>0.0125209333299218+0.381401959259769i</v>
      </c>
      <c r="FL136" s="1" t="str">
        <f t="shared" si="517"/>
        <v>-17.2361282428537-813.103230543618i</v>
      </c>
      <c r="FM136" s="1" t="str">
        <f t="shared" si="518"/>
        <v>-2131.06693335363-24.7686686497432i</v>
      </c>
      <c r="FN136" s="1" t="str">
        <f t="shared" si="519"/>
        <v>-1408.03530141278-0.451182671204208i</v>
      </c>
      <c r="FO136" s="1" t="str">
        <f t="shared" si="520"/>
        <v>-511.168310277629+16.4461419170603i</v>
      </c>
      <c r="FP136" s="1" t="str">
        <f t="shared" si="521"/>
        <v>-251.644256895875+2.62452760210054i</v>
      </c>
      <c r="FQ136" s="92" t="str">
        <f t="shared" si="522"/>
        <v>0.0019165484519257-124.30342708858i</v>
      </c>
      <c r="FR136" s="1" t="str">
        <f t="shared" si="523"/>
        <v>-1.29570371845684-124.234319017005i</v>
      </c>
      <c r="FS136" s="1" t="str">
        <f t="shared" si="524"/>
        <v>1.29762026690877-0.069108071574799i</v>
      </c>
      <c r="FT136" s="1" t="str">
        <f t="shared" si="525"/>
        <v>-0.444868828200818-252.015629792056i</v>
      </c>
      <c r="FU136" s="1" t="str">
        <f t="shared" si="526"/>
        <v>0.292054508334405-695.262117553893i</v>
      </c>
      <c r="FV136" s="1" t="str">
        <f t="shared" si="527"/>
        <v>3.18097429014984-1052.53380636569i</v>
      </c>
      <c r="FW136" s="1" t="str">
        <f t="shared" si="528"/>
        <v>-1.29570371845684-124.234319017005i</v>
      </c>
      <c r="FX136" s="1" t="str">
        <f t="shared" si="529"/>
        <v>-8.11591847264353-252.253711109513i</v>
      </c>
      <c r="FY136" s="1" t="str">
        <f t="shared" si="530"/>
        <v>0.222829020425355-695.397112882742i</v>
      </c>
      <c r="FZ136" s="1" t="str">
        <f t="shared" si="531"/>
        <v>12.2314959969999-1052.38343785281i</v>
      </c>
      <c r="GA136" s="1" t="str">
        <f t="shared" si="532"/>
        <v>1.29762026690877-0.069108071574799i</v>
      </c>
      <c r="GB136" s="1" t="str">
        <f t="shared" si="533"/>
        <v>8.96866991135151+0.168973245882645i</v>
      </c>
      <c r="GC136" s="1" t="str">
        <f t="shared" si="534"/>
        <v>9.03789539926063+0.303968574731738i</v>
      </c>
      <c r="GD136" s="92" t="str">
        <f t="shared" si="535"/>
        <v>3.03007651873535-2124.11498080022i</v>
      </c>
      <c r="GE136" s="1" t="str">
        <f t="shared" si="557"/>
        <v>0.00483506697693804+3.38943196166312i</v>
      </c>
      <c r="GF136" s="1">
        <f t="shared" si="558"/>
        <v>27.2</v>
      </c>
      <c r="GG136" s="56">
        <f t="shared" si="559"/>
        <v>0.20624259690831215</v>
      </c>
      <c r="GH136" s="1">
        <f t="shared" si="560"/>
        <v>0.79375740325070343</v>
      </c>
      <c r="GJ136" s="1">
        <f t="shared" si="536"/>
        <v>2124.1171420200981</v>
      </c>
      <c r="GK136" s="1">
        <f t="shared" si="537"/>
        <v>3.389435410303046</v>
      </c>
      <c r="GM136" s="1" t="str">
        <f t="shared" si="561"/>
        <v>0.0191834803010191+13.044766604693i</v>
      </c>
      <c r="GP136" s="1">
        <f t="shared" si="547"/>
        <v>27.2</v>
      </c>
      <c r="GQ136" s="1">
        <f t="shared" si="548"/>
        <v>3.389435410303046</v>
      </c>
      <c r="GR136" s="1">
        <f t="shared" si="562"/>
        <v>13.044780710185597</v>
      </c>
      <c r="GS136" s="1">
        <f t="shared" si="563"/>
        <v>2.6903894497681251</v>
      </c>
    </row>
    <row r="137" spans="2:201" ht="18" customHeight="1" x14ac:dyDescent="0.25">
      <c r="B137" s="6"/>
      <c r="G137" s="182">
        <f t="shared" si="539"/>
        <v>19</v>
      </c>
      <c r="H137" s="182"/>
      <c r="I137" s="182"/>
      <c r="J137" s="182"/>
      <c r="L137" s="182">
        <f t="shared" si="540"/>
        <v>4.1433645206037539</v>
      </c>
      <c r="M137" s="182"/>
      <c r="N137" s="182"/>
      <c r="O137" s="182"/>
      <c r="Q137" s="182">
        <f t="shared" si="541"/>
        <v>8.7460356839718969</v>
      </c>
      <c r="R137" s="182"/>
      <c r="S137" s="182"/>
      <c r="T137" s="182"/>
      <c r="V137" s="182">
        <f t="shared" si="542"/>
        <v>28.117067779201133</v>
      </c>
      <c r="W137" s="182"/>
      <c r="X137" s="182"/>
      <c r="Y137" s="182"/>
      <c r="AA137" s="182">
        <f t="shared" si="543"/>
        <v>48.997347945539502</v>
      </c>
      <c r="AB137" s="182"/>
      <c r="AC137" s="182"/>
      <c r="AD137" s="182"/>
      <c r="AP137" s="8"/>
      <c r="AR137" s="6"/>
      <c r="CF137" s="8"/>
      <c r="EA137" s="1">
        <f t="shared" si="538"/>
        <v>27.4</v>
      </c>
      <c r="EB137" s="1" t="str">
        <f t="shared" si="549"/>
        <v>6.04400036199895E-06-0.0165605609918772i</v>
      </c>
      <c r="EC137" s="1" t="str">
        <f t="shared" si="550"/>
        <v>0.0000118413068316714-0.0324451807187797i</v>
      </c>
      <c r="ED137" s="1" t="str">
        <f t="shared" si="551"/>
        <v>0.0000292640629772299-0.0801835325576096i</v>
      </c>
      <c r="EE137" s="1" t="str">
        <f t="shared" si="552"/>
        <v>0.0000408689548287548-0.111980936230788i</v>
      </c>
      <c r="EF137" s="1" t="str">
        <f t="shared" si="553"/>
        <v>0.497320337052711i</v>
      </c>
      <c r="EG137" s="1" t="str">
        <f t="shared" si="554"/>
        <v>0.497113206549983i</v>
      </c>
      <c r="EH137" s="1" t="str">
        <f t="shared" si="555"/>
        <v>0.497509065465321i</v>
      </c>
      <c r="EI137" s="1" t="str">
        <f t="shared" si="556"/>
        <v>0.497460466761658i</v>
      </c>
      <c r="EJ137" s="1" t="str">
        <f t="shared" si="544"/>
        <v>0.005</v>
      </c>
      <c r="EK137" s="1" t="str">
        <f t="shared" si="545"/>
        <v>0.01</v>
      </c>
      <c r="EL137" s="1" t="str">
        <f t="shared" si="546"/>
        <v>0.0125</v>
      </c>
      <c r="EM137" s="1" t="str">
        <f t="shared" si="493"/>
        <v>0.005006044000362+0.480759776060834i</v>
      </c>
      <c r="EN137" s="1" t="str">
        <f t="shared" si="494"/>
        <v>-0.005</v>
      </c>
      <c r="EO137" s="1" t="str">
        <f t="shared" si="495"/>
        <v>0.0435141302926992-119.228717001996i</v>
      </c>
      <c r="EP137" s="1" t="str">
        <f t="shared" si="496"/>
        <v>-0.005</v>
      </c>
      <c r="EQ137" s="1" t="str">
        <f t="shared" si="497"/>
        <v>0.0150118413068317+0.464668025831203i</v>
      </c>
      <c r="ER137" s="1" t="str">
        <f t="shared" si="498"/>
        <v>-0.01</v>
      </c>
      <c r="ES137" s="1" t="str">
        <f t="shared" si="499"/>
        <v>0.0852521736346758-233.590955759012i</v>
      </c>
      <c r="ET137" s="1" t="str">
        <f t="shared" si="500"/>
        <v>-0.01</v>
      </c>
      <c r="EU137" s="1" t="str">
        <f t="shared" si="501"/>
        <v>0.0225292640629772+0.417325532907711i</v>
      </c>
      <c r="EV137" s="1" t="str">
        <f t="shared" si="502"/>
        <v>-0.0125</v>
      </c>
      <c r="EW137" s="1" t="str">
        <f t="shared" si="503"/>
        <v>0.210688314529449-577.285981810687i</v>
      </c>
      <c r="EX137" s="1" t="str">
        <f t="shared" si="504"/>
        <v>-0.0125</v>
      </c>
      <c r="EY137" s="1" t="str">
        <f t="shared" si="505"/>
        <v>0.0125408689548288+0.38547953053087i</v>
      </c>
      <c r="EZ137" s="1" t="str">
        <f t="shared" si="506"/>
        <v>0.294238404836347-806.213229251589i</v>
      </c>
      <c r="FB137" s="1" t="str">
        <f t="shared" si="507"/>
        <v>0.005006044000362+0.480759776060834i</v>
      </c>
      <c r="FC137" s="1" t="str">
        <f t="shared" si="508"/>
        <v>0.0435141302926992-119.228717001996i</v>
      </c>
      <c r="FD137" s="1" t="str">
        <f t="shared" si="509"/>
        <v>-0.000108283262476987+0.0103990769988854i</v>
      </c>
      <c r="FE137" s="1" t="str">
        <f t="shared" si="510"/>
        <v>0.0150112998905193+0.464720021216197i</v>
      </c>
      <c r="FF137" s="1" t="str">
        <f t="shared" si="511"/>
        <v>-1.1546117230954-233.604318740261i</v>
      </c>
      <c r="FG137" s="1" t="str">
        <f t="shared" si="512"/>
        <v>-0.000694356691081272+0.0214959036568641i</v>
      </c>
      <c r="FH137" s="1" t="str">
        <f t="shared" si="513"/>
        <v>0.0225223204960664+0.41754049194428i</v>
      </c>
      <c r="FI137" s="1" t="str">
        <f t="shared" si="514"/>
        <v>-4.81164932731411-577.423367110109i</v>
      </c>
      <c r="FJ137" s="1" t="str">
        <f t="shared" si="515"/>
        <v>-0.00161014198269733+0.0298503644716805i</v>
      </c>
      <c r="FK137" s="1" t="str">
        <f t="shared" si="516"/>
        <v>0.0125207421800451+0.385852660086766i</v>
      </c>
      <c r="FL137" s="1" t="str">
        <f t="shared" si="517"/>
        <v>-16.9376193185041-807.149030769904i</v>
      </c>
      <c r="FM137" s="1" t="str">
        <f t="shared" si="518"/>
        <v>-2091.08072101251-23.9580135714954i</v>
      </c>
      <c r="FN137" s="1" t="str">
        <f t="shared" si="519"/>
        <v>-1383.60572439841-0.507383665081411i</v>
      </c>
      <c r="FO137" s="1" t="str">
        <f t="shared" si="520"/>
        <v>-503.205386747291+16.0029731033072i</v>
      </c>
      <c r="FP137" s="1" t="str">
        <f t="shared" si="521"/>
        <v>-247.860851917477+2.56200816730099i</v>
      </c>
      <c r="FQ137" s="92" t="str">
        <f t="shared" si="522"/>
        <v>0.00258390885513818-123.333447242453i</v>
      </c>
      <c r="FR137" s="1" t="str">
        <f t="shared" si="523"/>
        <v>-1.27413876529393-123.266242417772i</v>
      </c>
      <c r="FS137" s="1" t="str">
        <f t="shared" si="524"/>
        <v>1.27672267414907-0.067204824680031i</v>
      </c>
      <c r="FT137" s="1" t="str">
        <f t="shared" si="525"/>
        <v>-0.428008571356073-249.917734966806i</v>
      </c>
      <c r="FU137" s="1" t="str">
        <f t="shared" si="526"/>
        <v>0.291862054212154-688.228361611773i</v>
      </c>
      <c r="FV137" s="1" t="str">
        <f t="shared" si="527"/>
        <v>3.06253947833267-1040.37342698575i</v>
      </c>
      <c r="FW137" s="1" t="str">
        <f t="shared" si="528"/>
        <v>-1.27413876529393-123.266242417772i</v>
      </c>
      <c r="FX137" s="1" t="str">
        <f t="shared" si="529"/>
        <v>-7.95528927371817-250.15004335917i</v>
      </c>
      <c r="FY137" s="1" t="str">
        <f t="shared" si="530"/>
        <v>0.252427973047022-688.356390917921i</v>
      </c>
      <c r="FZ137" s="1" t="str">
        <f t="shared" si="531"/>
        <v>11.9181646139582-1040.22999151119i</v>
      </c>
      <c r="GA137" s="1" t="str">
        <f t="shared" si="532"/>
        <v>1.27672267414907-0.067204824680031i</v>
      </c>
      <c r="GB137" s="1" t="str">
        <f t="shared" si="533"/>
        <v>8.80400337651119+0.165103567683886i</v>
      </c>
      <c r="GC137" s="1" t="str">
        <f t="shared" si="534"/>
        <v>8.84343745767625+0.293132873830175i</v>
      </c>
      <c r="GD137" s="92" t="str">
        <f t="shared" si="535"/>
        <v>2.92897687004389-2101.85297080678i</v>
      </c>
      <c r="GE137" s="1" t="str">
        <f t="shared" si="557"/>
        <v>0.00477327283688874+3.42533182671926i</v>
      </c>
      <c r="GF137" s="1">
        <f t="shared" si="558"/>
        <v>27.4</v>
      </c>
      <c r="GG137" s="56">
        <f t="shared" si="559"/>
        <v>0.20676858004781243</v>
      </c>
      <c r="GH137" s="1">
        <f t="shared" si="560"/>
        <v>0.7932314203130193</v>
      </c>
      <c r="GJ137" s="1">
        <f t="shared" si="536"/>
        <v>2101.8550116016067</v>
      </c>
      <c r="GK137" s="1">
        <f t="shared" si="537"/>
        <v>3.4253351525463134</v>
      </c>
      <c r="GM137" s="1" t="str">
        <f t="shared" si="561"/>
        <v>0.0191834803010191+13.1406840061981i</v>
      </c>
      <c r="GP137" s="1">
        <f t="shared" si="547"/>
        <v>27.4</v>
      </c>
      <c r="GQ137" s="1">
        <f t="shared" si="548"/>
        <v>3.4253351525463134</v>
      </c>
      <c r="GR137" s="1">
        <f t="shared" si="562"/>
        <v>13.140698008731006</v>
      </c>
      <c r="GS137" s="1">
        <f t="shared" si="563"/>
        <v>2.7170834681024334</v>
      </c>
    </row>
    <row r="138" spans="2:201" ht="18" customHeight="1" x14ac:dyDescent="0.35">
      <c r="B138" s="6"/>
      <c r="G138" s="185">
        <f t="shared" si="539"/>
        <v>23</v>
      </c>
      <c r="H138" s="185"/>
      <c r="I138" s="185"/>
      <c r="J138" s="185"/>
      <c r="L138" s="185">
        <f t="shared" si="540"/>
        <v>2.4317150654376407</v>
      </c>
      <c r="M138" s="185"/>
      <c r="N138" s="185"/>
      <c r="O138" s="185"/>
      <c r="Q138" s="185">
        <f t="shared" si="541"/>
        <v>5.0033432951642194</v>
      </c>
      <c r="R138" s="185"/>
      <c r="S138" s="185"/>
      <c r="T138" s="185"/>
      <c r="V138" s="185">
        <f t="shared" si="542"/>
        <v>14.547253768787634</v>
      </c>
      <c r="W138" s="185"/>
      <c r="X138" s="185"/>
      <c r="Y138" s="185"/>
      <c r="AA138" s="185">
        <f t="shared" si="543"/>
        <v>23.017957466963193</v>
      </c>
      <c r="AB138" s="185"/>
      <c r="AC138" s="185"/>
      <c r="AD138" s="185"/>
      <c r="AP138" s="8"/>
      <c r="AR138" s="6"/>
      <c r="AT138" s="180" t="s">
        <v>126</v>
      </c>
      <c r="AU138" s="180"/>
      <c r="AV138" s="180"/>
      <c r="AW138" s="180"/>
      <c r="AX138" s="180"/>
      <c r="AY138" s="180"/>
      <c r="AZ138" s="180"/>
      <c r="BA138" s="180"/>
      <c r="BB138" s="180"/>
      <c r="BC138" s="180"/>
      <c r="BD138" s="180"/>
      <c r="BE138" s="180"/>
      <c r="BF138" s="180"/>
      <c r="BG138" s="180"/>
      <c r="BH138" s="199">
        <f>SUM(BH136,BH131)</f>
        <v>68694.114702170584</v>
      </c>
      <c r="BI138" s="199"/>
      <c r="BJ138" s="199"/>
      <c r="BK138" s="199"/>
      <c r="BL138" s="1" t="str">
        <f>"Watts, 3-Phase or "&amp;ROUND(BH138*3.412141,0)&amp;" BTUs/Hour"</f>
        <v>Watts, 3-Phase or 234394 BTUs/Hour</v>
      </c>
      <c r="CA138" s="55"/>
      <c r="CD138" s="55"/>
      <c r="CE138" s="55"/>
      <c r="CF138" s="8"/>
      <c r="EA138" s="1">
        <f t="shared" si="538"/>
        <v>27.6</v>
      </c>
      <c r="EB138" s="1" t="str">
        <f t="shared" si="549"/>
        <v>5.95672353563067E-06-0.0164405569583407i</v>
      </c>
      <c r="EC138" s="1" t="str">
        <f t="shared" si="550"/>
        <v>0.0000116703154983785-0.0322100707755246i</v>
      </c>
      <c r="ED138" s="1" t="str">
        <f t="shared" si="551"/>
        <v>0.0000288414828332323-0.079602492619721i</v>
      </c>
      <c r="EE138" s="1" t="str">
        <f t="shared" si="552"/>
        <v>0.0000402787972409312-0.11116948038497i</v>
      </c>
      <c r="EF138" s="1" t="str">
        <f t="shared" si="553"/>
        <v>0.50095041250565i</v>
      </c>
      <c r="EG138" s="1" t="str">
        <f t="shared" si="554"/>
        <v>0.500741770101442i</v>
      </c>
      <c r="EH138" s="1" t="str">
        <f t="shared" si="555"/>
        <v>0.501140518497915i</v>
      </c>
      <c r="EI138" s="1" t="str">
        <f t="shared" si="556"/>
        <v>0.501091565059188i</v>
      </c>
      <c r="EJ138" s="1" t="str">
        <f t="shared" si="544"/>
        <v>0.005</v>
      </c>
      <c r="EK138" s="1" t="str">
        <f t="shared" si="545"/>
        <v>0.01</v>
      </c>
      <c r="EL138" s="1" t="str">
        <f t="shared" si="546"/>
        <v>0.0125</v>
      </c>
      <c r="EM138" s="1" t="str">
        <f t="shared" si="493"/>
        <v>0.00500595672353563+0.484509855547309i</v>
      </c>
      <c r="EN138" s="1" t="str">
        <f t="shared" si="494"/>
        <v>-0.005</v>
      </c>
      <c r="EO138" s="1" t="str">
        <f t="shared" si="495"/>
        <v>0.0428857757317033-118.364741019501i</v>
      </c>
      <c r="EP138" s="1" t="str">
        <f t="shared" si="496"/>
        <v>-0.005</v>
      </c>
      <c r="EQ138" s="1" t="str">
        <f t="shared" si="497"/>
        <v>0.0150116703154984+0.468531699325917i</v>
      </c>
      <c r="ER138" s="1" t="str">
        <f t="shared" si="498"/>
        <v>-0.01</v>
      </c>
      <c r="ES138" s="1" t="str">
        <f t="shared" si="499"/>
        <v>0.0840211116376231-231.898268119839i</v>
      </c>
      <c r="ET138" s="1" t="str">
        <f t="shared" si="500"/>
        <v>-0.01</v>
      </c>
      <c r="EU138" s="1" t="str">
        <f t="shared" si="501"/>
        <v>0.0225288414828332+0.421538025878194i</v>
      </c>
      <c r="EV138" s="1" t="str">
        <f t="shared" si="502"/>
        <v>-0.0125</v>
      </c>
      <c r="EW138" s="1" t="str">
        <f t="shared" si="503"/>
        <v>0.207645924333605-573.102751160749i</v>
      </c>
      <c r="EX138" s="1" t="str">
        <f t="shared" si="504"/>
        <v>-0.0125</v>
      </c>
      <c r="EY138" s="1" t="str">
        <f t="shared" si="505"/>
        <v>0.0125402787972409+0.389922084674218i</v>
      </c>
      <c r="EZ138" s="1" t="str">
        <f t="shared" si="506"/>
        <v>0.289989531138184-800.371105941388i</v>
      </c>
      <c r="FB138" s="1" t="str">
        <f t="shared" si="507"/>
        <v>0.00500595672353563+0.484509855547309i</v>
      </c>
      <c r="FC138" s="1" t="str">
        <f t="shared" si="508"/>
        <v>0.0428857757317033-118.364741019501i</v>
      </c>
      <c r="FD138" s="1" t="str">
        <f t="shared" si="509"/>
        <v>-0.000106611856341756+0.0103186060065042i</v>
      </c>
      <c r="FE138" s="1" t="str">
        <f t="shared" si="510"/>
        <v>0.0150111372562167+0.46858329235595i</v>
      </c>
      <c r="FF138" s="1" t="str">
        <f t="shared" si="511"/>
        <v>-1.13733344387236-231.911329726028i</v>
      </c>
      <c r="FG138" s="1" t="str">
        <f t="shared" si="512"/>
        <v>-0.000682958839466457+0.0213190443920734i</v>
      </c>
      <c r="FH138" s="1" t="str">
        <f t="shared" si="513"/>
        <v>0.0225220118944385+0.421751216322115i</v>
      </c>
      <c r="FI138" s="1" t="str">
        <f t="shared" si="514"/>
        <v>-4.73725876104928-573.236890191179i</v>
      </c>
      <c r="FJ138" s="1" t="str">
        <f t="shared" si="515"/>
        <v>-0.00157822093538052+0.0295540470470191i</v>
      </c>
      <c r="FK138" s="1" t="str">
        <f t="shared" si="516"/>
        <v>0.0125205510355486+0.390291510262306i</v>
      </c>
      <c r="FL138" s="1" t="str">
        <f t="shared" si="517"/>
        <v>-16.6471884282977-801.281725478811i</v>
      </c>
      <c r="FM138" s="1" t="str">
        <f t="shared" si="518"/>
        <v>-2052.29021086507-23.1842498713689i</v>
      </c>
      <c r="FN138" s="1" t="str">
        <f t="shared" si="519"/>
        <v>-1359.83987280771-0.558251841209943i</v>
      </c>
      <c r="FO138" s="1" t="str">
        <f t="shared" si="520"/>
        <v>-495.431084595466+15.5762023084389i</v>
      </c>
      <c r="FP138" s="1" t="str">
        <f t="shared" si="521"/>
        <v>-244.163005234915+2.50149753544673i</v>
      </c>
      <c r="FQ138" s="92" t="str">
        <f t="shared" si="522"/>
        <v>0.00321417453885559-122.378931714915i</v>
      </c>
      <c r="FR138" s="1" t="str">
        <f t="shared" si="523"/>
        <v>-1.25312622226391-122.31355819105i</v>
      </c>
      <c r="FS138" s="1" t="str">
        <f t="shared" si="524"/>
        <v>1.25634039680276-0.065373523864961i</v>
      </c>
      <c r="FT138" s="1" t="str">
        <f t="shared" si="525"/>
        <v>-0.411907630066151-247.856320198249i</v>
      </c>
      <c r="FU138" s="1" t="str">
        <f t="shared" si="526"/>
        <v>0.291303960750994-681.349378499116i</v>
      </c>
      <c r="FV138" s="1" t="str">
        <f t="shared" si="527"/>
        <v>2.95003432373655-1028.52220844872i</v>
      </c>
      <c r="FW138" s="1" t="str">
        <f t="shared" si="528"/>
        <v>-1.25312622226391-122.31355819105i</v>
      </c>
      <c r="FX138" s="1" t="str">
        <f t="shared" si="529"/>
        <v>-7.79965511538586-248.083038263611i</v>
      </c>
      <c r="FY138" s="1" t="str">
        <f t="shared" si="530"/>
        <v>0.279762617156367-681.470858932994i</v>
      </c>
      <c r="FZ138" s="1" t="str">
        <f t="shared" si="531"/>
        <v>11.6174320527675-1028.38531371803i</v>
      </c>
      <c r="GA138" s="1" t="str">
        <f t="shared" si="532"/>
        <v>1.25634039680276-0.065373523864961i</v>
      </c>
      <c r="GB138" s="1" t="str">
        <f t="shared" si="533"/>
        <v>8.64408788212244+0.161344541496488i</v>
      </c>
      <c r="GC138" s="1" t="str">
        <f t="shared" si="534"/>
        <v>8.655629225717+0.282824975376988i</v>
      </c>
      <c r="GD138" s="92" t="str">
        <f t="shared" si="535"/>
        <v>2.83264482896025-2080.106838861i</v>
      </c>
      <c r="GE138" s="1" t="str">
        <f t="shared" si="557"/>
        <v>0.00471330843951128+3.46114169289886i</v>
      </c>
      <c r="GF138" s="1">
        <f t="shared" si="558"/>
        <v>27.6</v>
      </c>
      <c r="GG138" s="56">
        <f t="shared" si="559"/>
        <v>0.20728198636213566</v>
      </c>
      <c r="GH138" s="1">
        <f t="shared" si="560"/>
        <v>0.79271801426683719</v>
      </c>
      <c r="GJ138" s="1">
        <f t="shared" si="536"/>
        <v>2080.1087675775589</v>
      </c>
      <c r="GK138" s="1">
        <f t="shared" si="537"/>
        <v>3.4611449021384866</v>
      </c>
      <c r="GM138" s="1" t="str">
        <f t="shared" si="561"/>
        <v>0.0191834803010191+13.2366014077032i</v>
      </c>
      <c r="GP138" s="1">
        <f t="shared" si="547"/>
        <v>27.6</v>
      </c>
      <c r="GQ138" s="1">
        <f t="shared" si="548"/>
        <v>3.4611449021384866</v>
      </c>
      <c r="GR138" s="1">
        <f t="shared" si="562"/>
        <v>13.236615308768581</v>
      </c>
      <c r="GS138" s="1">
        <f t="shared" si="563"/>
        <v>2.7437119139130122</v>
      </c>
    </row>
    <row r="139" spans="2:201" ht="18" customHeight="1" x14ac:dyDescent="0.25">
      <c r="B139" s="6"/>
      <c r="G139" s="182">
        <f t="shared" si="539"/>
        <v>25</v>
      </c>
      <c r="H139" s="182"/>
      <c r="I139" s="182"/>
      <c r="J139" s="182"/>
      <c r="L139" s="182">
        <f t="shared" si="540"/>
        <v>1.6946684308387616</v>
      </c>
      <c r="M139" s="182"/>
      <c r="N139" s="182"/>
      <c r="O139" s="182"/>
      <c r="Q139" s="182">
        <f t="shared" si="541"/>
        <v>3.4589577185488798</v>
      </c>
      <c r="R139" s="182"/>
      <c r="S139" s="182"/>
      <c r="T139" s="182"/>
      <c r="V139" s="182">
        <f t="shared" si="542"/>
        <v>9.7692586501483554</v>
      </c>
      <c r="W139" s="182"/>
      <c r="X139" s="182"/>
      <c r="Y139" s="182"/>
      <c r="AA139" s="182">
        <f t="shared" si="543"/>
        <v>15.077202108752058</v>
      </c>
      <c r="AB139" s="182"/>
      <c r="AC139" s="182"/>
      <c r="AD139" s="182"/>
      <c r="AP139" s="8"/>
      <c r="AR139" s="6"/>
      <c r="CF139" s="8"/>
      <c r="EA139" s="1">
        <f t="shared" si="538"/>
        <v>27.8</v>
      </c>
      <c r="EB139" s="1" t="str">
        <f t="shared" si="549"/>
        <v>5.87132359743545E-06-0.0163222796008706i</v>
      </c>
      <c r="EC139" s="1" t="str">
        <f t="shared" si="550"/>
        <v>0.0000115030013337511-0.031978343707828i</v>
      </c>
      <c r="ED139" s="1" t="str">
        <f t="shared" si="551"/>
        <v>0.0000284279902753379-0.0790298129654396i</v>
      </c>
      <c r="EE139" s="1" t="str">
        <f t="shared" si="552"/>
        <v>0.0000397013309921826-0.110369700158268i</v>
      </c>
      <c r="EF139" s="1" t="str">
        <f t="shared" si="553"/>
        <v>0.504580487958591i</v>
      </c>
      <c r="EG139" s="1" t="str">
        <f t="shared" si="554"/>
        <v>0.504370333652903i</v>
      </c>
      <c r="EH139" s="1" t="str">
        <f t="shared" si="555"/>
        <v>0.504771971530509i</v>
      </c>
      <c r="EI139" s="1" t="str">
        <f t="shared" si="556"/>
        <v>0.504722663356719i</v>
      </c>
      <c r="EJ139" s="1" t="str">
        <f t="shared" si="544"/>
        <v>0.005</v>
      </c>
      <c r="EK139" s="1" t="str">
        <f t="shared" si="545"/>
        <v>0.01</v>
      </c>
      <c r="EL139" s="1" t="str">
        <f t="shared" si="546"/>
        <v>0.0125</v>
      </c>
      <c r="EM139" s="1" t="str">
        <f t="shared" si="493"/>
        <v>0.00500587132359744+0.48825820835772i</v>
      </c>
      <c r="EN139" s="1" t="str">
        <f t="shared" si="494"/>
        <v>-0.005</v>
      </c>
      <c r="EO139" s="1" t="str">
        <f t="shared" si="495"/>
        <v>0.0422709339357001-117.513196341247i</v>
      </c>
      <c r="EP139" s="1" t="str">
        <f t="shared" si="496"/>
        <v>-0.005</v>
      </c>
      <c r="EQ139" s="1" t="str">
        <f t="shared" si="497"/>
        <v>0.0150115030013338+0.472391989945075i</v>
      </c>
      <c r="ER139" s="1" t="str">
        <f t="shared" si="498"/>
        <v>-0.01</v>
      </c>
      <c r="ES139" s="1" t="str">
        <f t="shared" si="499"/>
        <v>0.0828165236291269-230.229935688972i</v>
      </c>
      <c r="ET139" s="1" t="str">
        <f t="shared" si="500"/>
        <v>-0.01</v>
      </c>
      <c r="EU139" s="1" t="str">
        <f t="shared" si="501"/>
        <v>0.0225284279902753+0.425742158565069i</v>
      </c>
      <c r="EV139" s="1" t="str">
        <f t="shared" si="502"/>
        <v>-0.0125</v>
      </c>
      <c r="EW139" s="1" t="str">
        <f t="shared" si="503"/>
        <v>0.20466896073969-568.979710856341i</v>
      </c>
      <c r="EX139" s="1" t="str">
        <f t="shared" si="504"/>
        <v>-0.0125</v>
      </c>
      <c r="EY139" s="1" t="str">
        <f t="shared" si="505"/>
        <v>0.0125397013309922+0.394352963198451i</v>
      </c>
      <c r="EZ139" s="1" t="str">
        <f t="shared" si="506"/>
        <v>0.285832029469973-794.613041926526i</v>
      </c>
      <c r="FB139" s="1" t="str">
        <f t="shared" si="507"/>
        <v>0.00500587132359744+0.48825820835772i</v>
      </c>
      <c r="FC139" s="1" t="str">
        <f t="shared" si="508"/>
        <v>0.0422709339357001-117.513196341247i</v>
      </c>
      <c r="FD139" s="1" t="str">
        <f t="shared" si="509"/>
        <v>-0.000104979604394139+0.0102394069368025i</v>
      </c>
      <c r="FE139" s="1" t="str">
        <f t="shared" si="510"/>
        <v>0.0150109781033118+0.472443186979759i</v>
      </c>
      <c r="FF139" s="1" t="str">
        <f t="shared" si="511"/>
        <v>-1.12044447656735-230.242705007129i</v>
      </c>
      <c r="FG139" s="1" t="str">
        <f t="shared" si="512"/>
        <v>-0.000671848881917007+0.021145219502494i</v>
      </c>
      <c r="FH139" s="1" t="str">
        <f t="shared" si="513"/>
        <v>0.0225217095014561+0.425953610760094i</v>
      </c>
      <c r="FI139" s="1" t="str">
        <f t="shared" si="514"/>
        <v>-4.66461634485286-569.110707115872i</v>
      </c>
      <c r="FJ139" s="1" t="str">
        <f t="shared" si="515"/>
        <v>-0.0015472992997868+0.0292641073106879i</v>
      </c>
      <c r="FK139" s="1" t="str">
        <f t="shared" si="516"/>
        <v>0.0125203600897449+0.394718764539835i</v>
      </c>
      <c r="FL139" s="1" t="str">
        <f t="shared" si="517"/>
        <v>-16.3645346024945-795.499413289157i</v>
      </c>
      <c r="FM139" s="1" t="str">
        <f t="shared" si="518"/>
        <v>-2014.64552078248-22.4452282658066i</v>
      </c>
      <c r="FN139" s="1" t="str">
        <f t="shared" si="519"/>
        <v>-1336.71284815657-0.604228000211486i</v>
      </c>
      <c r="FO139" s="1" t="str">
        <f t="shared" si="520"/>
        <v>-487.839376125426+15.165054683047i</v>
      </c>
      <c r="FP139" s="1" t="str">
        <f t="shared" si="521"/>
        <v>-240.548132057891+2.44291428195309i</v>
      </c>
      <c r="FQ139" s="92" t="str">
        <f t="shared" si="522"/>
        <v>0.00380933990877231-121.439504553303i</v>
      </c>
      <c r="FR139" s="1" t="str">
        <f t="shared" si="523"/>
        <v>-1.2326468804289-121.375893851298i</v>
      </c>
      <c r="FS139" s="1" t="str">
        <f t="shared" si="524"/>
        <v>1.23645622033767-0.0636107020054695i</v>
      </c>
      <c r="FT139" s="1" t="str">
        <f t="shared" si="525"/>
        <v>-0.39652519037913-245.830405376568i</v>
      </c>
      <c r="FU139" s="1" t="str">
        <f t="shared" si="526"/>
        <v>0.2904210464332-674.619860057667i</v>
      </c>
      <c r="FV139" s="1" t="str">
        <f t="shared" si="527"/>
        <v>2.84308925180343-1016.96797287505i</v>
      </c>
      <c r="FW139" s="1" t="str">
        <f t="shared" si="528"/>
        <v>-1.2326468804289-121.375893851298i</v>
      </c>
      <c r="FX139" s="1" t="str">
        <f t="shared" si="529"/>
        <v>-7.64880369035293-246.051708905405i</v>
      </c>
      <c r="FY139" s="1" t="str">
        <f t="shared" si="530"/>
        <v>0.304997358920689-674.735179734154i</v>
      </c>
      <c r="FZ139" s="1" t="str">
        <f t="shared" si="531"/>
        <v>11.3286153899674-1016.83725296902i</v>
      </c>
      <c r="GA139" s="1" t="str">
        <f t="shared" si="532"/>
        <v>1.23645622033767-0.0636107020054695i</v>
      </c>
      <c r="GB139" s="1" t="str">
        <f t="shared" si="533"/>
        <v>8.48873472031144+0.157692826832585i</v>
      </c>
      <c r="GC139" s="1" t="str">
        <f t="shared" si="534"/>
        <v>8.47415840782388+0.273012503319939i</v>
      </c>
      <c r="GD139" s="92" t="str">
        <f t="shared" si="535"/>
        <v>2.74079444776627-2058.85774286259i</v>
      </c>
      <c r="GE139" s="1" t="str">
        <f t="shared" si="557"/>
        <v>0.00465509815069455+3.49686379405572i</v>
      </c>
      <c r="GF139" s="1">
        <f t="shared" si="558"/>
        <v>27.8</v>
      </c>
      <c r="GG139" s="56">
        <f t="shared" si="559"/>
        <v>0.2077832245463018</v>
      </c>
      <c r="GH139" s="1">
        <f t="shared" si="560"/>
        <v>0.79221677640709598</v>
      </c>
      <c r="GJ139" s="1">
        <f t="shared" si="536"/>
        <v>2058.8595671632011</v>
      </c>
      <c r="GK139" s="1">
        <f t="shared" si="537"/>
        <v>3.4968668925363118</v>
      </c>
      <c r="GM139" s="1" t="str">
        <f t="shared" si="561"/>
        <v>0.0191834803010191+13.3325188092083i</v>
      </c>
      <c r="GP139" s="1">
        <f t="shared" si="547"/>
        <v>27.8</v>
      </c>
      <c r="GQ139" s="1">
        <f t="shared" si="548"/>
        <v>3.4968668925363118</v>
      </c>
      <c r="GR139" s="1">
        <f t="shared" si="562"/>
        <v>13.332532610266123</v>
      </c>
      <c r="GS139" s="1">
        <f t="shared" si="563"/>
        <v>2.7702766171298143</v>
      </c>
    </row>
    <row r="140" spans="2:201" ht="18" customHeight="1" x14ac:dyDescent="0.25">
      <c r="B140" s="6"/>
      <c r="G140" s="185">
        <f t="shared" si="539"/>
        <v>29</v>
      </c>
      <c r="H140" s="185"/>
      <c r="I140" s="185"/>
      <c r="J140" s="185"/>
      <c r="L140" s="185">
        <f t="shared" si="540"/>
        <v>0.17945707696615326</v>
      </c>
      <c r="M140" s="185"/>
      <c r="N140" s="185"/>
      <c r="O140" s="185"/>
      <c r="Q140" s="185">
        <f t="shared" si="541"/>
        <v>0.36226768441941698</v>
      </c>
      <c r="R140" s="185"/>
      <c r="S140" s="185"/>
      <c r="T140" s="185"/>
      <c r="V140" s="185">
        <f t="shared" si="542"/>
        <v>0.98479161850297792</v>
      </c>
      <c r="W140" s="185"/>
      <c r="X140" s="185"/>
      <c r="Y140" s="185"/>
      <c r="AA140" s="185">
        <f t="shared" si="543"/>
        <v>1.4734862866978151</v>
      </c>
      <c r="AB140" s="185"/>
      <c r="AC140" s="185"/>
      <c r="AD140" s="185"/>
      <c r="AP140" s="8"/>
      <c r="AR140" s="6"/>
      <c r="CF140" s="8"/>
      <c r="EA140" s="1">
        <f t="shared" si="538"/>
        <v>28</v>
      </c>
      <c r="EB140" s="1" t="str">
        <f t="shared" si="549"/>
        <v>5.78774711403016E-06-0.0162056919192845i</v>
      </c>
      <c r="EC140" s="1" t="str">
        <f t="shared" si="550"/>
        <v>0.0000113392596519775-0.0317499270255371i</v>
      </c>
      <c r="ED140" s="1" t="str">
        <f t="shared" si="551"/>
        <v>0.0000280233265878297-0.0784653144459233i</v>
      </c>
      <c r="EE140" s="1" t="str">
        <f t="shared" si="552"/>
        <v>0.0000391361947710613-0.109581345358972i</v>
      </c>
      <c r="EF140" s="1" t="str">
        <f t="shared" si="553"/>
        <v>0.50821056341153i</v>
      </c>
      <c r="EG140" s="1" t="str">
        <f t="shared" si="554"/>
        <v>0.507998897204361i</v>
      </c>
      <c r="EH140" s="1" t="str">
        <f t="shared" si="555"/>
        <v>0.508403424563104i</v>
      </c>
      <c r="EI140" s="1" t="str">
        <f t="shared" si="556"/>
        <v>0.508353761654251i</v>
      </c>
      <c r="EJ140" s="1" t="str">
        <f t="shared" si="544"/>
        <v>0.005</v>
      </c>
      <c r="EK140" s="1" t="str">
        <f t="shared" si="545"/>
        <v>0.01</v>
      </c>
      <c r="EL140" s="1" t="str">
        <f t="shared" si="546"/>
        <v>0.0125</v>
      </c>
      <c r="EM140" s="1" t="str">
        <f t="shared" si="493"/>
        <v>0.00500578774711403+0.492004871492246i</v>
      </c>
      <c r="EN140" s="1" t="str">
        <f t="shared" si="494"/>
        <v>-0.005</v>
      </c>
      <c r="EO140" s="1" t="str">
        <f t="shared" si="495"/>
        <v>0.0416692202079563-116.673816582278i</v>
      </c>
      <c r="EP140" s="1" t="str">
        <f t="shared" si="496"/>
        <v>-0.005</v>
      </c>
      <c r="EQ140" s="1" t="str">
        <f t="shared" si="497"/>
        <v>0.015011339259652+0.476248970178824i</v>
      </c>
      <c r="ER140" s="1" t="str">
        <f t="shared" si="498"/>
        <v>-0.01</v>
      </c>
      <c r="ES140" s="1" t="str">
        <f t="shared" si="499"/>
        <v>0.081637655917629-228.585436569362i</v>
      </c>
      <c r="ET140" s="1" t="str">
        <f t="shared" si="500"/>
        <v>-0.01</v>
      </c>
      <c r="EU140" s="1" t="str">
        <f t="shared" si="501"/>
        <v>0.0225280233265878+0.429938110117181i</v>
      </c>
      <c r="EV140" s="1" t="str">
        <f t="shared" si="502"/>
        <v>-0.0125</v>
      </c>
      <c r="EW140" s="1" t="str">
        <f t="shared" si="503"/>
        <v>0.201755561108931-564.915571105009i</v>
      </c>
      <c r="EX140" s="1" t="str">
        <f t="shared" si="504"/>
        <v>-0.0125</v>
      </c>
      <c r="EY140" s="1" t="str">
        <f t="shared" si="505"/>
        <v>0.0125391361947711+0.398772416295279i</v>
      </c>
      <c r="EZ140" s="1" t="str">
        <f t="shared" si="506"/>
        <v>0.281763298549039-788.937235937313i</v>
      </c>
      <c r="FB140" s="1" t="str">
        <f t="shared" si="507"/>
        <v>0.00500578774711403+0.492004871492246i</v>
      </c>
      <c r="FC140" s="1" t="str">
        <f t="shared" si="508"/>
        <v>0.0416692202079563-116.673816582278i</v>
      </c>
      <c r="FD140" s="1" t="str">
        <f t="shared" si="509"/>
        <v>-0.000103385272208453+0.0101614491338424i</v>
      </c>
      <c r="FE140" s="1" t="str">
        <f t="shared" si="510"/>
        <v>0.015010822333291+0.476299777424493i</v>
      </c>
      <c r="FF140" s="1" t="str">
        <f t="shared" si="511"/>
        <v>-1.10393308855077-228.597922343311i</v>
      </c>
      <c r="FG140" s="1" t="str">
        <f t="shared" si="512"/>
        <v>-0.000661016939370104+0.0209743486469454i</v>
      </c>
      <c r="FH140" s="1" t="str">
        <f t="shared" si="513"/>
        <v>0.0225214131571941+0.43014785360365i</v>
      </c>
      <c r="FI140" s="1" t="str">
        <f t="shared" si="514"/>
        <v>-4.59366668055849-565.043523926501i</v>
      </c>
      <c r="FJ140" s="1" t="str">
        <f t="shared" si="515"/>
        <v>-0.00151733414192975+0.0289803317311876i</v>
      </c>
      <c r="FK140" s="1" t="str">
        <f t="shared" si="516"/>
        <v>0.012520169517997+0.399134670441919i</v>
      </c>
      <c r="FL140" s="1" t="str">
        <f t="shared" si="517"/>
        <v>-16.0893712215863-789.800248563748i</v>
      </c>
      <c r="FM140" s="1" t="str">
        <f t="shared" si="518"/>
        <v>-1978.09945282728-21.7389515214538i</v>
      </c>
      <c r="FN140" s="1" t="str">
        <f t="shared" si="519"/>
        <v>-1314.20095132171-0.645714614329262i</v>
      </c>
      <c r="FO140" s="1" t="str">
        <f t="shared" si="520"/>
        <v>-480.424476700749+14.7687999677132i</v>
      </c>
      <c r="FP140" s="1" t="str">
        <f t="shared" si="521"/>
        <v>-237.01374529934+2.3861809693428i</v>
      </c>
      <c r="FQ140" s="92" t="str">
        <f t="shared" si="522"/>
        <v>0.00437128217546894-120.514802129847i</v>
      </c>
      <c r="FR140" s="1" t="str">
        <f t="shared" si="523"/>
        <v>-1.21268237483158-120.452889034854i</v>
      </c>
      <c r="FS140" s="1" t="str">
        <f t="shared" si="524"/>
        <v>1.21705365700705-0.061913094991852i</v>
      </c>
      <c r="FT140" s="1" t="str">
        <f t="shared" si="525"/>
        <v>-0.381823007427545-243.83904611315i</v>
      </c>
      <c r="FU140" s="1" t="str">
        <f t="shared" si="526"/>
        <v>0.28925004382553-668.034743900526i</v>
      </c>
      <c r="FV140" s="1" t="str">
        <f t="shared" si="527"/>
        <v>2.7413621384258-1005.69918445213i</v>
      </c>
      <c r="FW140" s="1" t="str">
        <f t="shared" si="528"/>
        <v>-1.21268237483158-120.452889034854i</v>
      </c>
      <c r="FX140" s="1" t="str">
        <f t="shared" si="529"/>
        <v>-7.50253409663011-244.055104353963i</v>
      </c>
      <c r="FY140" s="1" t="str">
        <f t="shared" si="530"/>
        <v>0.328283521215441-668.144264216046i</v>
      </c>
      <c r="FZ140" s="1" t="str">
        <f t="shared" si="531"/>
        <v>11.0510777803504-1005.57429777096i</v>
      </c>
      <c r="GA140" s="1" t="str">
        <f t="shared" si="532"/>
        <v>1.21705365700705-0.061913094991852i</v>
      </c>
      <c r="GB140" s="1" t="str">
        <f t="shared" si="533"/>
        <v>8.33776474620961+0.154145145820425i</v>
      </c>
      <c r="GC140" s="1" t="str">
        <f t="shared" si="534"/>
        <v>8.29873126881963+0.263665461339056i</v>
      </c>
      <c r="GD140" s="92" t="str">
        <f t="shared" si="535"/>
        <v>2.65316045699925-2038.08777659565i</v>
      </c>
      <c r="GE140" s="1" t="str">
        <f t="shared" si="557"/>
        <v>0.00459857037749624+3.53250028714436i</v>
      </c>
      <c r="GF140" s="1">
        <f t="shared" si="558"/>
        <v>28</v>
      </c>
      <c r="GG140" s="56">
        <f t="shared" si="559"/>
        <v>0.20827268636992283</v>
      </c>
      <c r="GH140" s="1">
        <f t="shared" si="560"/>
        <v>0.79172731495531279</v>
      </c>
      <c r="GJ140" s="1">
        <f t="shared" si="536"/>
        <v>2038.0895035226029</v>
      </c>
      <c r="GK140" s="1">
        <f t="shared" si="537"/>
        <v>3.5325032803274934</v>
      </c>
      <c r="GM140" s="1" t="str">
        <f t="shared" si="561"/>
        <v>0.0191834803010191+13.4284362107134i</v>
      </c>
      <c r="GP140" s="1">
        <f t="shared" si="547"/>
        <v>28</v>
      </c>
      <c r="GQ140" s="1">
        <f t="shared" si="548"/>
        <v>3.5325032803274934</v>
      </c>
      <c r="GR140" s="1">
        <f t="shared" si="562"/>
        <v>13.428449913192338</v>
      </c>
      <c r="GS140" s="1">
        <f t="shared" si="563"/>
        <v>2.7967793372045282</v>
      </c>
    </row>
    <row r="141" spans="2:201" ht="18" customHeight="1" x14ac:dyDescent="0.25">
      <c r="B141" s="6"/>
      <c r="G141" s="182">
        <f t="shared" si="539"/>
        <v>31</v>
      </c>
      <c r="H141" s="182"/>
      <c r="I141" s="182"/>
      <c r="J141" s="182"/>
      <c r="L141" s="182">
        <f t="shared" si="540"/>
        <v>0.21362995054010298</v>
      </c>
      <c r="M141" s="182"/>
      <c r="N141" s="182"/>
      <c r="O141" s="182"/>
      <c r="Q141" s="182">
        <f t="shared" si="541"/>
        <v>0.42643596728273969</v>
      </c>
      <c r="R141" s="182"/>
      <c r="S141" s="182"/>
      <c r="T141" s="182"/>
      <c r="V141" s="182">
        <f t="shared" si="542"/>
        <v>1.1525924846889719</v>
      </c>
      <c r="W141" s="182"/>
      <c r="X141" s="182"/>
      <c r="Y141" s="182"/>
      <c r="AA141" s="182">
        <f t="shared" si="543"/>
        <v>1.7071862890841367</v>
      </c>
      <c r="AB141" s="182"/>
      <c r="AC141" s="182"/>
      <c r="AD141" s="182"/>
      <c r="AP141" s="8"/>
      <c r="AR141" s="6"/>
      <c r="CF141" s="8"/>
      <c r="EA141" s="1">
        <f t="shared" si="538"/>
        <v>28.2</v>
      </c>
      <c r="EB141" s="1" t="str">
        <f t="shared" si="549"/>
        <v>5.70594254008866E-06-0.0160907579630501i</v>
      </c>
      <c r="EC141" s="1" t="str">
        <f t="shared" si="550"/>
        <v>0.0000111789894662962-0.0315247502949552i</v>
      </c>
      <c r="ED141" s="1" t="str">
        <f t="shared" si="551"/>
        <v>0.000027627242196654-0.0779088229945642i</v>
      </c>
      <c r="EE141" s="1" t="str">
        <f t="shared" si="552"/>
        <v>0.0000385830400329806-0.108804172893005i</v>
      </c>
      <c r="EF141" s="1" t="str">
        <f t="shared" si="553"/>
        <v>0.511840638864469i</v>
      </c>
      <c r="EG141" s="1" t="str">
        <f t="shared" si="554"/>
        <v>0.511627460755821i</v>
      </c>
      <c r="EH141" s="1" t="str">
        <f t="shared" si="555"/>
        <v>0.512034877595697i</v>
      </c>
      <c r="EI141" s="1" t="str">
        <f t="shared" si="556"/>
        <v>0.511984859951779i</v>
      </c>
      <c r="EJ141" s="1" t="str">
        <f t="shared" si="544"/>
        <v>0.005</v>
      </c>
      <c r="EK141" s="1" t="str">
        <f t="shared" si="545"/>
        <v>0.01</v>
      </c>
      <c r="EL141" s="1" t="str">
        <f t="shared" si="546"/>
        <v>0.0125</v>
      </c>
      <c r="EM141" s="1" t="str">
        <f t="shared" si="493"/>
        <v>0.00500570594254009+0.495749880901419i</v>
      </c>
      <c r="EN141" s="1" t="str">
        <f t="shared" si="494"/>
        <v>-0.005</v>
      </c>
      <c r="EO141" s="1" t="str">
        <f t="shared" si="495"/>
        <v>0.041080263444914-115.846342914658i</v>
      </c>
      <c r="EP141" s="1" t="str">
        <f t="shared" si="496"/>
        <v>-0.005</v>
      </c>
      <c r="EQ141" s="1" t="str">
        <f t="shared" si="497"/>
        <v>0.0150111789894663+0.480102710460866i</v>
      </c>
      <c r="ER141" s="1" t="str">
        <f t="shared" si="498"/>
        <v>-0.01</v>
      </c>
      <c r="ES141" s="1" t="str">
        <f t="shared" si="499"/>
        <v>0.0804837814430973-226.964263669534i</v>
      </c>
      <c r="ET141" s="1" t="str">
        <f t="shared" si="500"/>
        <v>-0.01</v>
      </c>
      <c r="EU141" s="1" t="str">
        <f t="shared" si="501"/>
        <v>0.0225276272421967+0.434126054601133i</v>
      </c>
      <c r="EV141" s="1" t="str">
        <f t="shared" si="502"/>
        <v>-0.0125</v>
      </c>
      <c r="EW141" s="1" t="str">
        <f t="shared" si="503"/>
        <v>0.198903928618489-560.909078704137i</v>
      </c>
      <c r="EX141" s="1" t="str">
        <f t="shared" si="504"/>
        <v>-0.0125</v>
      </c>
      <c r="EY141" s="1" t="str">
        <f t="shared" si="505"/>
        <v>0.012538583040033+0.403180687058774i</v>
      </c>
      <c r="EZ141" s="1" t="str">
        <f t="shared" si="506"/>
        <v>0.277780829008467-783.341937803876i</v>
      </c>
      <c r="FB141" s="1" t="str">
        <f t="shared" si="507"/>
        <v>0.00500570594254009+0.495749880901419i</v>
      </c>
      <c r="FC141" s="1" t="str">
        <f t="shared" si="508"/>
        <v>0.041080263444914-115.846342914658i</v>
      </c>
      <c r="FD141" s="1" t="str">
        <f t="shared" si="509"/>
        <v>-0.000101827674341307+0.0100847029383343i</v>
      </c>
      <c r="FE141" s="1" t="str">
        <f t="shared" si="510"/>
        <v>0.0150106698510946+0.480153133975558i</v>
      </c>
      <c r="FF141" s="1" t="str">
        <f t="shared" si="511"/>
        <v>-1.08778799023595-226.976474315467i</v>
      </c>
      <c r="FG141" s="1" t="str">
        <f t="shared" si="512"/>
        <v>-0.000650453561835116+0.0208063543678513i</v>
      </c>
      <c r="FH141" s="1" t="str">
        <f t="shared" si="513"/>
        <v>0.0225211227065783+0.434334118144812i</v>
      </c>
      <c r="FI141" s="1" t="str">
        <f t="shared" si="514"/>
        <v>-4.52435658472738-561.034083457906i</v>
      </c>
      <c r="FJ141" s="1" t="str">
        <f t="shared" si="515"/>
        <v>-0.00148828486429489+0.0287025164110925i</v>
      </c>
      <c r="FK141" s="1" t="str">
        <f t="shared" si="516"/>
        <v>0.0125199794792293+0.403539468513913i</v>
      </c>
      <c r="FL141" s="1" t="str">
        <f t="shared" si="517"/>
        <v>-15.8214251819214-784.182439339232i</v>
      </c>
      <c r="FM141" s="1" t="str">
        <f t="shared" si="518"/>
        <v>-1942.60731636476-21.0635618529914i</v>
      </c>
      <c r="FN141" s="1" t="str">
        <f t="shared" si="519"/>
        <v>-1292.28161182066-0.683079453320758i</v>
      </c>
      <c r="FO141" s="1" t="str">
        <f t="shared" si="520"/>
        <v>-473.180832905056+14.3867494702021i</v>
      </c>
      <c r="FP141" s="1" t="str">
        <f t="shared" si="521"/>
        <v>-233.557451144912+2.33122391851785i</v>
      </c>
      <c r="FQ141" s="92" t="str">
        <f t="shared" si="522"/>
        <v>0.00490176901041255-119.604472633328i</v>
      </c>
      <c r="FR141" s="1" t="str">
        <f t="shared" si="523"/>
        <v>-1.19321513979031-119.544195005569i</v>
      </c>
      <c r="FS141" s="1" t="str">
        <f t="shared" si="524"/>
        <v>1.19811690880072-0.060277627758421i</v>
      </c>
      <c r="FT141" s="1" t="str">
        <f t="shared" si="525"/>
        <v>-0.367765219614404-241.881332100545i</v>
      </c>
      <c r="FU141" s="1" t="str">
        <f t="shared" si="526"/>
        <v>0.287824021914531-661.589199187001i</v>
      </c>
      <c r="FV141" s="1" t="str">
        <f t="shared" si="527"/>
        <v>2.64453595045951-994.704907420593i</v>
      </c>
      <c r="FW141" s="1" t="str">
        <f t="shared" si="528"/>
        <v>-1.19321513979031-119.544195005569i</v>
      </c>
      <c r="FX141" s="1" t="str">
        <f t="shared" si="529"/>
        <v>-7.36065609996965-242.092308017538i</v>
      </c>
      <c r="FY141" s="1" t="str">
        <f t="shared" si="530"/>
        <v>0.34976050426923-661.693256927762i</v>
      </c>
      <c r="FZ141" s="1" t="str">
        <f t="shared" si="531"/>
        <v>10.7842247653894-994.585534810313i</v>
      </c>
      <c r="GA141" s="1" t="str">
        <f t="shared" si="532"/>
        <v>1.19811690880072-0.060277627758421i</v>
      </c>
      <c r="GB141" s="1" t="str">
        <f t="shared" si="533"/>
        <v>8.19100778915604+0.150698289235229i</v>
      </c>
      <c r="GC141" s="1" t="str">
        <f t="shared" si="534"/>
        <v>8.12907130680125+0.254756029995883i</v>
      </c>
      <c r="GD141" s="92" t="str">
        <f t="shared" si="535"/>
        <v>2.56949652177005-2017.77991134147i</v>
      </c>
      <c r="GE141" s="1" t="str">
        <f t="shared" si="557"/>
        <v>0.00454365730295804+3.56805325566779i</v>
      </c>
      <c r="GF141" s="1">
        <f t="shared" si="558"/>
        <v>28.2</v>
      </c>
      <c r="GG141" s="56">
        <f t="shared" si="559"/>
        <v>0.20875074753470418</v>
      </c>
      <c r="GH141" s="1">
        <f t="shared" si="560"/>
        <v>0.79124925420197023</v>
      </c>
      <c r="GJ141" s="1">
        <f t="shared" si="536"/>
        <v>2017.7815473746327</v>
      </c>
      <c r="GK141" s="1">
        <f t="shared" si="537"/>
        <v>3.5680561486758031</v>
      </c>
      <c r="GM141" s="1" t="str">
        <f t="shared" si="561"/>
        <v>0.0191834803010191+13.5243536122185i</v>
      </c>
      <c r="GP141" s="1">
        <f t="shared" si="547"/>
        <v>28.2</v>
      </c>
      <c r="GQ141" s="1">
        <f t="shared" si="548"/>
        <v>3.5680561486758031</v>
      </c>
      <c r="GR141" s="1">
        <f t="shared" si="562"/>
        <v>13.524367217516833</v>
      </c>
      <c r="GS141" s="1">
        <f t="shared" si="563"/>
        <v>2.8232217665904868</v>
      </c>
    </row>
    <row r="142" spans="2:201" ht="18" customHeight="1" x14ac:dyDescent="0.25">
      <c r="B142" s="6"/>
      <c r="G142" s="185">
        <f t="shared" si="539"/>
        <v>35</v>
      </c>
      <c r="H142" s="185"/>
      <c r="I142" s="185"/>
      <c r="J142" s="185"/>
      <c r="L142" s="185">
        <f t="shared" si="540"/>
        <v>0.18813350466797102</v>
      </c>
      <c r="M142" s="185"/>
      <c r="N142" s="185"/>
      <c r="O142" s="185"/>
      <c r="Q142" s="185">
        <f t="shared" si="541"/>
        <v>0.37612122250549435</v>
      </c>
      <c r="R142" s="185"/>
      <c r="S142" s="185"/>
      <c r="T142" s="185"/>
      <c r="V142" s="185">
        <f t="shared" si="542"/>
        <v>0.99013215564158497</v>
      </c>
      <c r="W142" s="185"/>
      <c r="X142" s="185"/>
      <c r="Y142" s="185"/>
      <c r="AA142" s="185">
        <f t="shared" si="543"/>
        <v>1.4456137975757832</v>
      </c>
      <c r="AB142" s="185"/>
      <c r="AC142" s="185"/>
      <c r="AD142" s="185"/>
      <c r="AP142" s="8"/>
      <c r="AR142" s="6"/>
      <c r="CF142" s="8"/>
      <c r="EA142" s="1">
        <f t="shared" si="538"/>
        <v>28.4</v>
      </c>
      <c r="EB142" s="1" t="str">
        <f t="shared" si="549"/>
        <v>5.62586013884689E-06-0.0159774427943252i</v>
      </c>
      <c r="EC142" s="1" t="str">
        <f t="shared" si="550"/>
        <v>0.0000110220933332511-0.0313027450664331i</v>
      </c>
      <c r="ED142" s="1" t="str">
        <f t="shared" si="551"/>
        <v>0.000027239496284519-0.0773601694480339i</v>
      </c>
      <c r="EE142" s="1" t="str">
        <f t="shared" si="552"/>
        <v>0.0000380415304626791-0.108037946514009i</v>
      </c>
      <c r="EF142" s="1" t="str">
        <f t="shared" si="553"/>
        <v>0.51547071431741i</v>
      </c>
      <c r="EG142" s="1" t="str">
        <f t="shared" si="554"/>
        <v>0.515256024307282i</v>
      </c>
      <c r="EH142" s="1" t="str">
        <f t="shared" si="555"/>
        <v>0.515666330628289i</v>
      </c>
      <c r="EI142" s="1" t="str">
        <f t="shared" si="556"/>
        <v>0.515615958249309i</v>
      </c>
      <c r="EJ142" s="1" t="str">
        <f t="shared" si="544"/>
        <v>0.005</v>
      </c>
      <c r="EK142" s="1" t="str">
        <f t="shared" si="545"/>
        <v>0.01</v>
      </c>
      <c r="EL142" s="1" t="str">
        <f t="shared" si="546"/>
        <v>0.0125</v>
      </c>
      <c r="EM142" s="1" t="str">
        <f t="shared" si="493"/>
        <v>0.00500562586013885+0.499493271523085i</v>
      </c>
      <c r="EN142" s="1" t="str">
        <f t="shared" si="494"/>
        <v>-0.005</v>
      </c>
      <c r="EO142" s="1" t="str">
        <f t="shared" si="495"/>
        <v>0.0405037055638629-115.030523801371i</v>
      </c>
      <c r="EP142" s="1" t="str">
        <f t="shared" si="496"/>
        <v>-0.005</v>
      </c>
      <c r="EQ142" s="1" t="str">
        <f t="shared" si="497"/>
        <v>0.0150110220933333+0.483953279240849i</v>
      </c>
      <c r="ER142" s="1" t="str">
        <f t="shared" si="498"/>
        <v>-0.01</v>
      </c>
      <c r="ES142" s="1" t="str">
        <f t="shared" si="499"/>
        <v>0.0793541986557317-225.365924182278i</v>
      </c>
      <c r="ET142" s="1" t="str">
        <f t="shared" si="500"/>
        <v>-0.01</v>
      </c>
      <c r="EU142" s="1" t="str">
        <f t="shared" si="501"/>
        <v>0.0225272394962845+0.438306161180255i</v>
      </c>
      <c r="EV142" s="1" t="str">
        <f t="shared" si="502"/>
        <v>-0.0125</v>
      </c>
      <c r="EW142" s="1" t="str">
        <f t="shared" si="503"/>
        <v>0.196112329490337-556.959015752557i</v>
      </c>
      <c r="EX142" s="1" t="str">
        <f t="shared" si="504"/>
        <v>-0.0125</v>
      </c>
      <c r="EY142" s="1" t="str">
        <f t="shared" si="505"/>
        <v>0.0125380415304627+0.4075780117353i</v>
      </c>
      <c r="EZ142" s="1" t="str">
        <f t="shared" si="506"/>
        <v>0.273882199527074-777.825446656892i</v>
      </c>
      <c r="FB142" s="1" t="str">
        <f t="shared" si="507"/>
        <v>0.00500562586013885+0.499493271523085i</v>
      </c>
      <c r="FC142" s="1" t="str">
        <f t="shared" si="508"/>
        <v>0.0405037055638629-115.030523801371i</v>
      </c>
      <c r="FD142" s="1" t="str">
        <f t="shared" si="509"/>
        <v>-0.000100305671988769+0.0100091396468457i</v>
      </c>
      <c r="FE142" s="1" t="str">
        <f t="shared" si="510"/>
        <v>0.0150105205649734+0.484003324939083i</v>
      </c>
      <c r="FF142" s="1" t="str">
        <f t="shared" si="511"/>
        <v>-1.0719983149706-225.377867803512i</v>
      </c>
      <c r="FG142" s="1" t="str">
        <f t="shared" si="512"/>
        <v>-0.000640149705867901+0.020641161960887i</v>
      </c>
      <c r="FH142" s="1" t="str">
        <f t="shared" si="513"/>
        <v>0.0225208379992258+0.438512572799864i</v>
      </c>
      <c r="FI142" s="1" t="str">
        <f t="shared" si="514"/>
        <v>-4.45663498164735-557.081164037499i</v>
      </c>
      <c r="FJ142" s="1" t="str">
        <f t="shared" si="515"/>
        <v>-0.00146011305265606+0.0284304665448453i</v>
      </c>
      <c r="FK142" s="1" t="str">
        <f t="shared" si="516"/>
        <v>0.0125197901173045+0.407933392567111i</v>
      </c>
      <c r="FL142" s="1" t="str">
        <f t="shared" si="517"/>
        <v>-15.5604361185039-778.644245350609i</v>
      </c>
      <c r="FM142" s="1" t="str">
        <f t="shared" si="518"/>
        <v>-1908.12676494063-20.4173295138957i</v>
      </c>
      <c r="FN142" s="1" t="str">
        <f t="shared" si="519"/>
        <v>-1270.93332202643-0.716658835488513i</v>
      </c>
      <c r="FO142" s="1" t="str">
        <f t="shared" si="520"/>
        <v>-466.103111377135+14.0182532782482i</v>
      </c>
      <c r="FP142" s="1" t="str">
        <f t="shared" si="521"/>
        <v>-230.176944856402+2.2779729950542i</v>
      </c>
      <c r="FQ142" s="92" t="str">
        <f t="shared" si="522"/>
        <v>0.00540246564731596-118.708175585944i</v>
      </c>
      <c r="FR142" s="1" t="str">
        <f t="shared" si="523"/>
        <v>-1.17422836695636-118.649474184529i</v>
      </c>
      <c r="FS142" s="1" t="str">
        <f t="shared" si="524"/>
        <v>1.17963083260367-0.05870140141597i</v>
      </c>
      <c r="FT142" s="1" t="str">
        <f t="shared" si="525"/>
        <v>-0.354318177993444-239.956385562884i</v>
      </c>
      <c r="FU142" s="1" t="str">
        <f t="shared" si="526"/>
        <v>0.286172761943369-655.278613380248i</v>
      </c>
      <c r="FV142" s="1" t="str">
        <f t="shared" si="527"/>
        <v>2.55231661596338-983.974767323034i</v>
      </c>
      <c r="FW142" s="1" t="str">
        <f t="shared" si="528"/>
        <v>-1.17422836695636-118.649474184529i</v>
      </c>
      <c r="FX142" s="1" t="str">
        <f t="shared" si="529"/>
        <v>-7.22298945188269-240.162436085437i</v>
      </c>
      <c r="FY142" s="1" t="str">
        <f t="shared" si="530"/>
        <v>0.369556832008704-655.377522642591i</v>
      </c>
      <c r="FZ142" s="1" t="str">
        <f t="shared" si="531"/>
        <v>10.5275009221992-983.860610366017i</v>
      </c>
      <c r="GA142" s="1" t="str">
        <f t="shared" si="532"/>
        <v>1.17963083260367-0.05870140141597i</v>
      </c>
      <c r="GB142" s="1" t="str">
        <f t="shared" si="533"/>
        <v>8.04830210649295+0.147349121137367i</v>
      </c>
      <c r="GC142" s="1" t="str">
        <f t="shared" si="534"/>
        <v>7.9649180364275+0.24625838348009i</v>
      </c>
      <c r="GD142" s="92" t="str">
        <f t="shared" si="535"/>
        <v>2.48957366556062-1997.91794185211i</v>
      </c>
      <c r="GE142" s="1" t="str">
        <f t="shared" si="557"/>
        <v>0.00449029464152925+3.60352471293251i</v>
      </c>
      <c r="GF142" s="1">
        <f t="shared" si="558"/>
        <v>28.4</v>
      </c>
      <c r="GG142" s="56">
        <f t="shared" si="559"/>
        <v>0.20921776848029514</v>
      </c>
      <c r="GH142" s="1">
        <f t="shared" si="560"/>
        <v>0.79078223370051492</v>
      </c>
      <c r="GJ142" s="1">
        <f t="shared" si="536"/>
        <v>1997.9194929605164</v>
      </c>
      <c r="GK142" s="1">
        <f t="shared" si="537"/>
        <v>3.6035275105736733</v>
      </c>
      <c r="GM142" s="1" t="str">
        <f t="shared" si="561"/>
        <v>0.0191834803010191+13.6202710137236i</v>
      </c>
      <c r="GP142" s="1">
        <f t="shared" si="547"/>
        <v>28.4</v>
      </c>
      <c r="GQ142" s="1">
        <f t="shared" si="548"/>
        <v>3.6035275105736733</v>
      </c>
      <c r="GR142" s="1">
        <f t="shared" si="562"/>
        <v>13.620284523210071</v>
      </c>
      <c r="GS142" s="1">
        <f t="shared" si="563"/>
        <v>2.8496055340127131</v>
      </c>
    </row>
    <row r="143" spans="2:201" ht="18" customHeight="1" thickBot="1" x14ac:dyDescent="0.3">
      <c r="B143" s="6"/>
      <c r="G143" s="229">
        <f t="shared" si="539"/>
        <v>37</v>
      </c>
      <c r="H143" s="229"/>
      <c r="I143" s="229"/>
      <c r="J143" s="229"/>
      <c r="L143" s="229">
        <f t="shared" si="540"/>
        <v>9.5041922701189246E-2</v>
      </c>
      <c r="M143" s="229"/>
      <c r="N143" s="229"/>
      <c r="O143" s="229"/>
      <c r="Q143" s="229">
        <f t="shared" si="541"/>
        <v>0.18959445310124171</v>
      </c>
      <c r="R143" s="229"/>
      <c r="S143" s="229"/>
      <c r="T143" s="229"/>
      <c r="V143" s="229">
        <f t="shared" si="542"/>
        <v>0.49557955960292643</v>
      </c>
      <c r="W143" s="229"/>
      <c r="X143" s="229"/>
      <c r="Y143" s="229"/>
      <c r="AA143" s="229">
        <f t="shared" si="543"/>
        <v>0.71978429609264594</v>
      </c>
      <c r="AB143" s="229"/>
      <c r="AC143" s="229"/>
      <c r="AD143" s="229"/>
      <c r="AP143" s="8"/>
      <c r="AR143" s="6"/>
      <c r="CF143" s="8"/>
      <c r="EA143" s="1">
        <f t="shared" si="538"/>
        <v>28.6</v>
      </c>
      <c r="EB143" s="1" t="str">
        <f t="shared" si="549"/>
        <v>5.54745190648586E-06-0.0158657124525496i</v>
      </c>
      <c r="EC143" s="1" t="str">
        <f t="shared" si="550"/>
        <v>0.0000108684772045437-0.0310838448049951i</v>
      </c>
      <c r="ED143" s="1" t="str">
        <f t="shared" si="551"/>
        <v>0.0000268598564247708-0.0768191893748447i</v>
      </c>
      <c r="EE143" s="1" t="str">
        <f t="shared" si="552"/>
        <v>0.0000375113414629044-0.107282436583907i</v>
      </c>
      <c r="EF143" s="1" t="str">
        <f t="shared" si="553"/>
        <v>0.519100789770349i</v>
      </c>
      <c r="EG143" s="1" t="str">
        <f t="shared" si="554"/>
        <v>0.518884587858742i</v>
      </c>
      <c r="EH143" s="1" t="str">
        <f t="shared" si="555"/>
        <v>0.519297783660884i</v>
      </c>
      <c r="EI143" s="1" t="str">
        <f t="shared" si="556"/>
        <v>0.51924705654684i</v>
      </c>
      <c r="EJ143" s="1" t="str">
        <f t="shared" si="544"/>
        <v>0.005</v>
      </c>
      <c r="EK143" s="1" t="str">
        <f t="shared" si="545"/>
        <v>0.01</v>
      </c>
      <c r="EL143" s="1" t="str">
        <f t="shared" si="546"/>
        <v>0.0125</v>
      </c>
      <c r="EM143" s="1" t="str">
        <f t="shared" si="493"/>
        <v>0.00500554745190649+0.503235077317799i</v>
      </c>
      <c r="EN143" s="1" t="str">
        <f t="shared" si="494"/>
        <v>-0.005</v>
      </c>
      <c r="EO143" s="1" t="str">
        <f t="shared" si="495"/>
        <v>0.0399392009585306-114.226114741398i</v>
      </c>
      <c r="EP143" s="1" t="str">
        <f t="shared" si="496"/>
        <v>-0.005</v>
      </c>
      <c r="EQ143" s="1" t="str">
        <f t="shared" si="497"/>
        <v>0.0150108684772045+0.487800743053747i</v>
      </c>
      <c r="ER143" s="1" t="str">
        <f t="shared" si="498"/>
        <v>-0.01</v>
      </c>
      <c r="ES143" s="1" t="str">
        <f t="shared" si="499"/>
        <v>0.078248230449366-223.789939085188i</v>
      </c>
      <c r="ET143" s="1" t="str">
        <f t="shared" si="500"/>
        <v>-0.01</v>
      </c>
      <c r="EU143" s="1" t="str">
        <f t="shared" si="501"/>
        <v>0.0225268598564248+0.442478594286039i</v>
      </c>
      <c r="EV143" s="1" t="str">
        <f t="shared" si="502"/>
        <v>-0.0125</v>
      </c>
      <c r="EW143" s="1" t="str">
        <f t="shared" si="503"/>
        <v>0.193379090355334-553.064198416258i</v>
      </c>
      <c r="EX143" s="1" t="str">
        <f t="shared" si="504"/>
        <v>-0.0125</v>
      </c>
      <c r="EY143" s="1" t="str">
        <f t="shared" si="505"/>
        <v>0.0125375113414629+0.411964619962933i</v>
      </c>
      <c r="EZ143" s="1" t="str">
        <f t="shared" si="506"/>
        <v>0.27006507314816-772.38610920374i</v>
      </c>
      <c r="FB143" s="1" t="str">
        <f t="shared" si="507"/>
        <v>0.00500554745190649+0.503235077317799i</v>
      </c>
      <c r="FC143" s="1" t="str">
        <f t="shared" si="508"/>
        <v>0.0399392009585306-114.226114741398i</v>
      </c>
      <c r="FD143" s="1" t="str">
        <f t="shared" si="509"/>
        <v>-0.0000988181707745881+0.00993473147302057i</v>
      </c>
      <c r="FE143" s="1" t="str">
        <f t="shared" si="510"/>
        <v>0.0150103743863506+0.487850416711112i</v>
      </c>
      <c r="FF143" s="1" t="str">
        <f t="shared" si="511"/>
        <v>-1.05655359999407-223.801623486138i</v>
      </c>
      <c r="FG143" s="1" t="str">
        <f t="shared" si="512"/>
        <v>-0.000630096713428994+0.020478699351707i</v>
      </c>
      <c r="FH143" s="1" t="str">
        <f t="shared" si="513"/>
        <v>0.0225205588892905+0.442683381279556i</v>
      </c>
      <c r="FI143" s="1" t="str">
        <f t="shared" si="514"/>
        <v>-4.39045280239214-553.183578240153i</v>
      </c>
      <c r="FJ143" s="1" t="str">
        <f t="shared" si="515"/>
        <v>-0.00143278233458974+0.0281639959128823i</v>
      </c>
      <c r="FK143" s="1" t="str">
        <f t="shared" si="516"/>
        <v>0.0125196015622805+0.412316669911844i</v>
      </c>
      <c r="FL143" s="1" t="str">
        <f t="shared" si="517"/>
        <v>-15.3061556804643-773.183976145035i</v>
      </c>
      <c r="FM143" s="1" t="str">
        <f t="shared" si="518"/>
        <v>-1874.61764569281-19.7986424535671i</v>
      </c>
      <c r="FN143" s="1" t="str">
        <f t="shared" si="519"/>
        <v>-1250.13557591963-0.746760546075843i</v>
      </c>
      <c r="FO143" s="1" t="str">
        <f t="shared" si="520"/>
        <v>-459.186188277185+13.6626976872207i</v>
      </c>
      <c r="FP143" s="1" t="str">
        <f t="shared" si="521"/>
        <v>-226.87000679514+2.22636140940637i</v>
      </c>
      <c r="FQ143" s="92" t="str">
        <f t="shared" si="522"/>
        <v>0.00587494147315627-117.82558138395i</v>
      </c>
      <c r="FR143" s="1" t="str">
        <f t="shared" si="523"/>
        <v>-1.15570596593707-117.768399702562i</v>
      </c>
      <c r="FS143" s="1" t="str">
        <f t="shared" si="524"/>
        <v>1.16158090741023-0.0571816813890715i</v>
      </c>
      <c r="FT143" s="1" t="str">
        <f t="shared" si="525"/>
        <v>-0.341450289457836-238.063359790911i</v>
      </c>
      <c r="FU143" s="1" t="str">
        <f t="shared" si="526"/>
        <v>0.284323092242696-649.098579909177i</v>
      </c>
      <c r="FV143" s="1" t="str">
        <f t="shared" si="527"/>
        <v>2.46443109924039-973.498915223214i</v>
      </c>
      <c r="FW143" s="1" t="str">
        <f t="shared" si="528"/>
        <v>-1.15570596593707-117.768399702562i</v>
      </c>
      <c r="FX143" s="1" t="str">
        <f t="shared" si="529"/>
        <v>-7.0893632584721-238.264636054634i</v>
      </c>
      <c r="FY143" s="1" t="str">
        <f t="shared" si="530"/>
        <v>0.387791096502577-649.192633850687i</v>
      </c>
      <c r="FZ143" s="1" t="str">
        <f t="shared" si="531"/>
        <v>10.280386817638-973.389694676758i</v>
      </c>
      <c r="GA143" s="1" t="str">
        <f t="shared" si="532"/>
        <v>1.16158090741023-0.0571816813890715i</v>
      </c>
      <c r="GB143" s="1" t="str">
        <f t="shared" si="533"/>
        <v>7.90949387642445+0.144094582332965i</v>
      </c>
      <c r="GC143" s="1" t="str">
        <f t="shared" si="534"/>
        <v>7.80602587216475+0.238148523843641i</v>
      </c>
      <c r="GD143" s="92" t="str">
        <f t="shared" si="535"/>
        <v>2.41317884349841-1978.48643630725i</v>
      </c>
      <c r="GE143" s="1" t="str">
        <f t="shared" si="557"/>
        <v>0.00443842141325414+3.63891660512346i</v>
      </c>
      <c r="GF143" s="1">
        <f t="shared" si="558"/>
        <v>28.6</v>
      </c>
      <c r="GG143" s="56">
        <f t="shared" si="559"/>
        <v>0.20967409514211197</v>
      </c>
      <c r="GH143" s="1">
        <f t="shared" si="560"/>
        <v>0.7903259075094401</v>
      </c>
      <c r="GJ143" s="1">
        <f t="shared" si="536"/>
        <v>1978.4879079953691</v>
      </c>
      <c r="GK143" s="1">
        <f t="shared" si="537"/>
        <v>3.6389193119149934</v>
      </c>
      <c r="GM143" s="1" t="str">
        <f t="shared" si="561"/>
        <v>0.0191834803010191+13.7161884152287i</v>
      </c>
      <c r="GP143" s="1">
        <f t="shared" si="547"/>
        <v>28.6</v>
      </c>
      <c r="GQ143" s="1">
        <f t="shared" si="548"/>
        <v>3.6389193119149934</v>
      </c>
      <c r="GR143" s="1">
        <f t="shared" si="562"/>
        <v>13.716201830243332</v>
      </c>
      <c r="GS143" s="1">
        <f t="shared" si="563"/>
        <v>2.8759322075428546</v>
      </c>
    </row>
    <row r="144" spans="2:201" ht="18" customHeight="1" thickTop="1" x14ac:dyDescent="0.25">
      <c r="B144" s="6"/>
      <c r="G144" s="223" t="str">
        <f t="shared" si="539"/>
        <v>Total RMS</v>
      </c>
      <c r="H144" s="223"/>
      <c r="I144" s="223"/>
      <c r="J144" s="223"/>
      <c r="L144" s="185">
        <f>Y45*CK46</f>
        <v>261.89609949907754</v>
      </c>
      <c r="M144" s="185"/>
      <c r="N144" s="185"/>
      <c r="O144" s="185"/>
      <c r="Q144" s="185">
        <f>Y45*CL46</f>
        <v>246.30092813991638</v>
      </c>
      <c r="R144" s="185"/>
      <c r="S144" s="185"/>
      <c r="T144" s="185"/>
      <c r="V144" s="185">
        <f>Y45*CM46</f>
        <v>237.46306451006564</v>
      </c>
      <c r="W144" s="185"/>
      <c r="X144" s="185"/>
      <c r="Y144" s="185"/>
      <c r="AA144" s="185">
        <f>Y45*CN46</f>
        <v>249.311837206391</v>
      </c>
      <c r="AB144" s="185"/>
      <c r="AC144" s="185"/>
      <c r="AD144" s="185"/>
      <c r="AP144" s="8"/>
      <c r="AR144" s="6"/>
      <c r="AS144" s="46"/>
      <c r="AT144" s="46"/>
      <c r="AU144" s="46"/>
      <c r="AV144" s="46"/>
      <c r="AW144" s="46"/>
      <c r="AX144" s="46"/>
      <c r="AY144" s="46"/>
      <c r="AZ144" s="46"/>
      <c r="BA144" s="46"/>
      <c r="BB144" s="46"/>
      <c r="BC144" s="46"/>
      <c r="BD144" s="46"/>
      <c r="BE144" s="46"/>
      <c r="BF144" s="46"/>
      <c r="BG144" s="46"/>
      <c r="BH144" s="46"/>
      <c r="BI144" s="46"/>
      <c r="BJ144" s="46"/>
      <c r="BK144" s="46"/>
      <c r="BL144" s="46"/>
      <c r="BM144" s="46"/>
      <c r="BN144" s="46"/>
      <c r="BO144" s="46"/>
      <c r="BP144" s="46"/>
      <c r="BQ144" s="46"/>
      <c r="BR144" s="46"/>
      <c r="BS144" s="46"/>
      <c r="BT144" s="46"/>
      <c r="BU144" s="46"/>
      <c r="BV144" s="46"/>
      <c r="BW144" s="46"/>
      <c r="BX144" s="46"/>
      <c r="BY144" s="46"/>
      <c r="BZ144" s="46"/>
      <c r="CA144" s="46"/>
      <c r="CB144" s="46"/>
      <c r="CC144" s="46"/>
      <c r="CD144" s="46"/>
      <c r="CE144" s="46"/>
      <c r="CF144" s="8"/>
      <c r="EA144" s="1">
        <f t="shared" si="538"/>
        <v>28.8</v>
      </c>
      <c r="EB144" s="1" t="str">
        <f t="shared" si="549"/>
        <v>5.47067150017749E-06-0.0157555339205112i</v>
      </c>
      <c r="EC144" s="1" t="str">
        <f t="shared" si="550"/>
        <v>0.0000107180502860621-0.0308679848238587i</v>
      </c>
      <c r="ED144" s="1" t="str">
        <f t="shared" si="551"/>
        <v>0.0000264880982330021-0.0762857229110464i</v>
      </c>
      <c r="EE144" s="1" t="str">
        <f t="shared" si="552"/>
        <v>0.0000369921596678669-0.106537419843457i</v>
      </c>
      <c r="EF144" s="1" t="str">
        <f t="shared" si="553"/>
        <v>0.522730865223287i</v>
      </c>
      <c r="EG144" s="1" t="str">
        <f t="shared" si="554"/>
        <v>0.5225131514102i</v>
      </c>
      <c r="EH144" s="1" t="str">
        <f t="shared" si="555"/>
        <v>0.522929236693477i</v>
      </c>
      <c r="EI144" s="1" t="str">
        <f t="shared" si="556"/>
        <v>0.522878154844371i</v>
      </c>
      <c r="EJ144" s="1" t="str">
        <f t="shared" si="544"/>
        <v>0.005</v>
      </c>
      <c r="EK144" s="1" t="str">
        <f t="shared" si="545"/>
        <v>0.01</v>
      </c>
      <c r="EL144" s="1" t="str">
        <f t="shared" si="546"/>
        <v>0.0125</v>
      </c>
      <c r="EM144" s="1" t="str">
        <f t="shared" si="493"/>
        <v>0.00500547067150018+0.506975331302776i</v>
      </c>
      <c r="EN144" s="1" t="str">
        <f t="shared" si="494"/>
        <v>-0.005</v>
      </c>
      <c r="EO144" s="1" t="str">
        <f t="shared" si="495"/>
        <v>0.0393864159810453-113.432878025411i</v>
      </c>
      <c r="EP144" s="1" t="str">
        <f t="shared" si="496"/>
        <v>-0.005</v>
      </c>
      <c r="EQ144" s="1" t="str">
        <f t="shared" si="497"/>
        <v>0.0150107180502861+0.491645166586341i</v>
      </c>
      <c r="ER144" s="1" t="str">
        <f t="shared" si="498"/>
        <v>-0.01</v>
      </c>
      <c r="ES144" s="1" t="str">
        <f t="shared" si="499"/>
        <v>0.0771652231465384-222.235842662029i</v>
      </c>
      <c r="ET144" s="1" t="str">
        <f t="shared" si="500"/>
        <v>-0.01</v>
      </c>
      <c r="EU144" s="1" t="str">
        <f t="shared" si="501"/>
        <v>0.022526488098233+0.446643513782431i</v>
      </c>
      <c r="EV144" s="1" t="str">
        <f t="shared" si="502"/>
        <v>-0.0125</v>
      </c>
      <c r="EW144" s="1" t="str">
        <f t="shared" si="503"/>
        <v>0.190702595744958-549.223475745483i</v>
      </c>
      <c r="EX144" s="1" t="str">
        <f t="shared" si="504"/>
        <v>-0.0125</v>
      </c>
      <c r="EY144" s="1" t="str">
        <f t="shared" si="505"/>
        <v>0.0125369921596679+0.416340735000914i</v>
      </c>
      <c r="EZ144" s="1" t="str">
        <f t="shared" si="506"/>
        <v>0.266327193776593-767.022318076589i</v>
      </c>
      <c r="FB144" s="1" t="str">
        <f t="shared" si="507"/>
        <v>0.00500547067150018+0.506975331302776i</v>
      </c>
      <c r="FC144" s="1" t="str">
        <f t="shared" si="508"/>
        <v>0.0393864159810453-113.432878025411i</v>
      </c>
      <c r="FD144" s="1" t="str">
        <f t="shared" si="509"/>
        <v>-0.0000973641186610574+0.00986145151069249i</v>
      </c>
      <c r="FE144" s="1" t="str">
        <f t="shared" si="510"/>
        <v>0.0150102312296928+0.491694473843894i</v>
      </c>
      <c r="FF144" s="1" t="str">
        <f t="shared" si="511"/>
        <v>-1.04144376839567-222.247275361457i</v>
      </c>
      <c r="FG144" s="1" t="str">
        <f t="shared" si="512"/>
        <v>-0.000620286292028811+0.0203188969793058i</v>
      </c>
      <c r="FH144" s="1" t="str">
        <f t="shared" si="513"/>
        <v>0.0225202852353127+0.446846702752224i</v>
      </c>
      <c r="FI144" s="1" t="str">
        <f t="shared" si="514"/>
        <v>-4.32576288954935-549.340171695191i</v>
      </c>
      <c r="FJ144" s="1" t="str">
        <f t="shared" si="515"/>
        <v>-0.00140625824867146+0.0279029264092815i</v>
      </c>
      <c r="FK144" s="1" t="str">
        <f t="shared" si="516"/>
        <v>0.0125194139315595+0.41668952158103i</v>
      </c>
      <c r="FL144" s="1" t="str">
        <f t="shared" si="517"/>
        <v>-15.0583468551011-767.799989280215i</v>
      </c>
      <c r="FM144" s="1" t="str">
        <f t="shared" si="518"/>
        <v>-1842.04186018973-19.2059969291015i</v>
      </c>
      <c r="FN144" s="1" t="str">
        <f t="shared" si="519"/>
        <v>-1229.86881201668-0.773666460064628i</v>
      </c>
      <c r="FO144" s="1" t="str">
        <f t="shared" si="520"/>
        <v>-452.425139343617+13.3195028239591i</v>
      </c>
      <c r="FP144" s="1" t="str">
        <f t="shared" si="521"/>
        <v>-223.634498652148+2.17632553000715i</v>
      </c>
      <c r="FQ144" s="92" t="str">
        <f t="shared" si="522"/>
        <v>0.00632067614917594-116.956370860683i</v>
      </c>
      <c r="FR144" s="1" t="str">
        <f t="shared" si="523"/>
        <v>-1.13763252730817-116.900654974213i</v>
      </c>
      <c r="FS144" s="1" t="str">
        <f t="shared" si="524"/>
        <v>1.14395320345734-0.05571588646976i</v>
      </c>
      <c r="FT144" s="1" t="str">
        <f t="shared" si="525"/>
        <v>-0.329131872490611-236.201437756321i</v>
      </c>
      <c r="FU144" s="1" t="str">
        <f t="shared" si="526"/>
        <v>0.282299186849422-643.044886662971i</v>
      </c>
      <c r="FV144" s="1" t="str">
        <f t="shared" si="527"/>
        <v>2.38062565873146-963.26799463354i</v>
      </c>
      <c r="FW144" s="1" t="str">
        <f t="shared" si="528"/>
        <v>-1.13763252730817-116.900654974213i</v>
      </c>
      <c r="FX144" s="1" t="str">
        <f t="shared" si="529"/>
        <v>-6.95961539576393-236.398085335632i</v>
      </c>
      <c r="FY144" s="1" t="str">
        <f t="shared" si="530"/>
        <v>0.40457281141694-643.134359100996i</v>
      </c>
      <c r="FZ144" s="1" t="str">
        <f t="shared" si="531"/>
        <v>10.0423962362352-963.163449002099i</v>
      </c>
      <c r="GA144" s="1" t="str">
        <f t="shared" si="532"/>
        <v>1.14395320345734-0.05571588646976i</v>
      </c>
      <c r="GB144" s="1" t="str">
        <f t="shared" si="533"/>
        <v>7.77443672673063+0.140931692840237i</v>
      </c>
      <c r="GC144" s="1" t="str">
        <f t="shared" si="534"/>
        <v>7.65216310216313+0.230404130862961i</v>
      </c>
      <c r="GD144" s="92" t="str">
        <f t="shared" si="535"/>
        <v>2.34011364923945-1959.47068991351i</v>
      </c>
      <c r="GE144" s="1" t="str">
        <f t="shared" si="557"/>
        <v>0.00438797973506339+3.67423081421093i</v>
      </c>
      <c r="GF144" s="1">
        <f t="shared" si="558"/>
        <v>28.8</v>
      </c>
      <c r="GG144" s="56">
        <f t="shared" si="559"/>
        <v>0.21012005966446154</v>
      </c>
      <c r="GH144" s="1">
        <f t="shared" si="560"/>
        <v>0.78987994347909107</v>
      </c>
      <c r="GJ144" s="1">
        <f t="shared" si="536"/>
        <v>1959.4720872627959</v>
      </c>
      <c r="GK144" s="1">
        <f t="shared" si="537"/>
        <v>3.6742334344000613</v>
      </c>
      <c r="GM144" s="1" t="str">
        <f t="shared" si="561"/>
        <v>0.0191834803010191+13.8121058167338i</v>
      </c>
      <c r="GP144" s="1">
        <f t="shared" si="547"/>
        <v>28.8</v>
      </c>
      <c r="GQ144" s="1">
        <f t="shared" si="548"/>
        <v>3.6742334344000613</v>
      </c>
      <c r="GR144" s="1">
        <f t="shared" si="562"/>
        <v>13.812119138588695</v>
      </c>
      <c r="GS144" s="1">
        <f t="shared" si="563"/>
        <v>2.9022032974929082</v>
      </c>
    </row>
    <row r="145" spans="2:201" ht="18" customHeight="1" thickBot="1" x14ac:dyDescent="0.3">
      <c r="B145" s="6"/>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8"/>
      <c r="AR145" s="6"/>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1"/>
      <c r="CE145" s="10"/>
      <c r="CF145" s="8"/>
      <c r="EA145" s="1">
        <f t="shared" si="538"/>
        <v>29</v>
      </c>
      <c r="EB145" s="1" t="str">
        <f t="shared" si="549"/>
        <v>0.0000053954741695921-0.0156468750918171i</v>
      </c>
      <c r="EC145" s="1" t="str">
        <f t="shared" si="550"/>
        <v>0.0000105707249036906-0.0306551022207029i</v>
      </c>
      <c r="ED145" s="1" t="str">
        <f t="shared" si="551"/>
        <v>0.0000261240050354231-0.0757596146027269i</v>
      </c>
      <c r="EE145" s="1" t="str">
        <f t="shared" si="552"/>
        <v>0.000036483682480099-0.105802679192287i</v>
      </c>
      <c r="EF145" s="1" t="str">
        <f t="shared" si="553"/>
        <v>0.526360940676228i</v>
      </c>
      <c r="EG145" s="1" t="str">
        <f t="shared" si="554"/>
        <v>0.52614171496166i</v>
      </c>
      <c r="EH145" s="1" t="str">
        <f t="shared" si="555"/>
        <v>0.52656068972607i</v>
      </c>
      <c r="EI145" s="1" t="str">
        <f t="shared" si="556"/>
        <v>0.5265092531419i</v>
      </c>
      <c r="EJ145" s="1" t="str">
        <f t="shared" si="544"/>
        <v>0.005</v>
      </c>
      <c r="EK145" s="1" t="str">
        <f t="shared" si="545"/>
        <v>0.01</v>
      </c>
      <c r="EL145" s="1" t="str">
        <f t="shared" si="546"/>
        <v>0.0125</v>
      </c>
      <c r="EM145" s="1" t="str">
        <f t="shared" si="493"/>
        <v>0.00500539547416959+0.510714065584411i</v>
      </c>
      <c r="EN145" s="1" t="str">
        <f t="shared" si="494"/>
        <v>-0.005</v>
      </c>
      <c r="EO145" s="1" t="str">
        <f t="shared" si="495"/>
        <v>0.0388450284488193-112.650582501576i</v>
      </c>
      <c r="EP145" s="1" t="str">
        <f t="shared" si="496"/>
        <v>-0.005</v>
      </c>
      <c r="EQ145" s="1" t="str">
        <f t="shared" si="497"/>
        <v>0.0150105707249037+0.495486612740957i</v>
      </c>
      <c r="ER145" s="1" t="str">
        <f t="shared" si="498"/>
        <v>-0.01</v>
      </c>
      <c r="ES145" s="1" t="str">
        <f t="shared" si="499"/>
        <v>0.0761045455323804-220.703182043904i</v>
      </c>
      <c r="ET145" s="1" t="str">
        <f t="shared" si="500"/>
        <v>-0.01</v>
      </c>
      <c r="EU145" s="1" t="str">
        <f t="shared" si="501"/>
        <v>0.0225261240050354+0.450801075123343i</v>
      </c>
      <c r="EV145" s="1" t="str">
        <f t="shared" si="502"/>
        <v>-0.0125</v>
      </c>
      <c r="EW145" s="1" t="str">
        <f t="shared" si="503"/>
        <v>0.188081285703723-545.435728540796i</v>
      </c>
      <c r="EX145" s="1" t="str">
        <f t="shared" si="504"/>
        <v>-0.0125</v>
      </c>
      <c r="EY145" s="1" t="str">
        <f t="shared" si="505"/>
        <v>0.0125364836824801+0.420706573949613i</v>
      </c>
      <c r="EZ145" s="1" t="str">
        <f t="shared" si="506"/>
        <v>0.262666382844398-761.732510248752i</v>
      </c>
      <c r="FB145" s="1" t="str">
        <f t="shared" si="507"/>
        <v>0.00500539547416959+0.510714065584411i</v>
      </c>
      <c r="FC145" s="1" t="str">
        <f t="shared" si="508"/>
        <v>0.0388450284488193-112.650582501576i</v>
      </c>
      <c r="FD145" s="1" t="str">
        <f t="shared" si="509"/>
        <v>-0.000095942503974771+0.00978927369878459i</v>
      </c>
      <c r="FE145" s="1" t="str">
        <f t="shared" si="510"/>
        <v>0.0150100910123838+0.495535559109451i</v>
      </c>
      <c r="FF145" s="1" t="str">
        <f t="shared" si="511"/>
        <v>-1.02665911201377-220.714370287479i</v>
      </c>
      <c r="FG145" s="1" t="str">
        <f t="shared" si="512"/>
        <v>-0.000610710496069981+0.0201616876855956i</v>
      </c>
      <c r="FH145" s="1" t="str">
        <f t="shared" si="513"/>
        <v>0.0225200169000747+0.451002692000199i</v>
      </c>
      <c r="FI145" s="1" t="str">
        <f t="shared" si="514"/>
        <v>-4.26251990725092-545.549821942988i</v>
      </c>
      <c r="FJ145" s="1" t="str">
        <f t="shared" si="515"/>
        <v>-0.00138050812343659+0.0276470876003641i</v>
      </c>
      <c r="FK145" s="1" t="str">
        <f t="shared" si="516"/>
        <v>0.0125192273309371+0.421052162544618i</v>
      </c>
      <c r="FL145" s="1" t="str">
        <f t="shared" si="517"/>
        <v>-14.8167833367486-762.490688602597i</v>
      </c>
      <c r="FM145" s="1" t="str">
        <f t="shared" si="518"/>
        <v>-1810.36323569738-18.6379889728892i</v>
      </c>
      <c r="FN145" s="1" t="str">
        <f t="shared" si="519"/>
        <v>-1210.11436014541-0.797634901986922i</v>
      </c>
      <c r="FO145" s="1" t="str">
        <f t="shared" si="520"/>
        <v>-445.815230502433+12.9881204498948i</v>
      </c>
      <c r="FP145" s="1" t="str">
        <f t="shared" si="521"/>
        <v>-220.468359872838+2.12780470832489i</v>
      </c>
      <c r="FQ145" s="92" t="str">
        <f t="shared" si="522"/>
        <v>0.00674106529878565-116.100234870719i</v>
      </c>
      <c r="FR145" s="1" t="str">
        <f t="shared" si="523"/>
        <v>-1.1199932878492-116.045933292012i</v>
      </c>
      <c r="FS145" s="1" t="str">
        <f t="shared" si="524"/>
        <v>1.12673435314797-0.0543015787078495i</v>
      </c>
      <c r="FT145" s="1" t="str">
        <f t="shared" si="525"/>
        <v>-0.31733502435443-234.369830800351i</v>
      </c>
      <c r="FU145" s="1" t="str">
        <f t="shared" si="526"/>
        <v>0.280122832109812-637.113505253219i</v>
      </c>
      <c r="FV145" s="1" t="str">
        <f t="shared" si="527"/>
        <v>2.3006642683972-953.27311091428i</v>
      </c>
      <c r="FW145" s="1" t="str">
        <f t="shared" si="528"/>
        <v>-1.1199932878492-116.045933292012i</v>
      </c>
      <c r="FX145" s="1" t="str">
        <f t="shared" si="529"/>
        <v>-6.83359196763626-234.561989932578i</v>
      </c>
      <c r="FY145" s="1" t="str">
        <f t="shared" si="530"/>
        <v>0.42000318413982-637.198652125589i</v>
      </c>
      <c r="FZ145" s="1" t="str">
        <f t="shared" si="531"/>
        <v>9.81307365418286-953.172995142581i</v>
      </c>
      <c r="GA145" s="1" t="str">
        <f t="shared" si="532"/>
        <v>1.12673435314797-0.0543015787078495i</v>
      </c>
      <c r="GB145" s="1" t="str">
        <f t="shared" si="533"/>
        <v>7.64299129642977+0.137857553518817i</v>
      </c>
      <c r="GC145" s="1" t="str">
        <f t="shared" si="534"/>
        <v>7.50311094439962+0.223004425886279i</v>
      </c>
      <c r="GD145" s="92" t="str">
        <f t="shared" si="535"/>
        <v>2.27019314145137-1940.85668183857i</v>
      </c>
      <c r="GE145" s="1" t="str">
        <f t="shared" si="557"/>
        <v>0.00433891462767416+3.70946916070087i</v>
      </c>
      <c r="GF145" s="1">
        <f t="shared" si="558"/>
        <v>29</v>
      </c>
      <c r="GG145" s="56">
        <f t="shared" si="559"/>
        <v>0.21055598107202758</v>
      </c>
      <c r="GH145" s="1">
        <f t="shared" si="560"/>
        <v>0.78944402258005131</v>
      </c>
      <c r="GJ145" s="1">
        <f t="shared" si="536"/>
        <v>1940.8580095448312</v>
      </c>
      <c r="GK145" s="1">
        <f t="shared" si="537"/>
        <v>3.709471698284132</v>
      </c>
      <c r="GM145" s="1" t="str">
        <f t="shared" si="561"/>
        <v>0.0191834803010191+13.9080232182389i</v>
      </c>
      <c r="GP145" s="1">
        <f t="shared" si="547"/>
        <v>29</v>
      </c>
      <c r="GQ145" s="1">
        <f t="shared" si="548"/>
        <v>3.709471698284132</v>
      </c>
      <c r="GR145" s="1">
        <f t="shared" si="562"/>
        <v>13.908036448219022</v>
      </c>
      <c r="GS145" s="1">
        <f t="shared" si="563"/>
        <v>2.928420259140287</v>
      </c>
    </row>
    <row r="146" spans="2:201" ht="18" customHeight="1" x14ac:dyDescent="0.25">
      <c r="B146" s="6"/>
      <c r="D146" s="43"/>
      <c r="AO146" s="29" t="s">
        <v>148</v>
      </c>
      <c r="AP146" s="8"/>
      <c r="AR146" s="6"/>
      <c r="AT146" s="43" t="s">
        <v>84</v>
      </c>
      <c r="CE146" s="29" t="s">
        <v>149</v>
      </c>
      <c r="CF146" s="8"/>
      <c r="EA146" s="1">
        <f t="shared" si="538"/>
        <v>29.2</v>
      </c>
      <c r="EB146" s="1" t="str">
        <f t="shared" si="549"/>
        <v>5.32181669167842E-06-0.015539704739701i</v>
      </c>
      <c r="EC146" s="1" t="str">
        <f t="shared" si="550"/>
        <v>0.0000104264163755333-0.0304451358165572i</v>
      </c>
      <c r="ED146" s="1" t="str">
        <f t="shared" si="551"/>
        <v>0.0000257673675530758-0.0752407132549812i</v>
      </c>
      <c r="EE146" s="1" t="str">
        <f t="shared" si="552"/>
        <v>0.0000359856176294447-0.105078003477979i</v>
      </c>
      <c r="EF146" s="1" t="str">
        <f t="shared" si="553"/>
        <v>0.529991016129167i</v>
      </c>
      <c r="EG146" s="1" t="str">
        <f t="shared" si="554"/>
        <v>0.52977027851312i</v>
      </c>
      <c r="EH146" s="1" t="str">
        <f t="shared" si="555"/>
        <v>0.530192142758665i</v>
      </c>
      <c r="EI146" s="1" t="str">
        <f t="shared" si="556"/>
        <v>0.530140351439432i</v>
      </c>
      <c r="EJ146" s="1" t="str">
        <f t="shared" si="544"/>
        <v>0.005</v>
      </c>
      <c r="EK146" s="1" t="str">
        <f t="shared" si="545"/>
        <v>0.01</v>
      </c>
      <c r="EL146" s="1" t="str">
        <f t="shared" si="546"/>
        <v>0.0125</v>
      </c>
      <c r="EM146" s="1" t="str">
        <f t="shared" si="493"/>
        <v>0.00500532181669168+0.514451311389466i</v>
      </c>
      <c r="EN146" s="1" t="str">
        <f t="shared" si="494"/>
        <v>-0.005</v>
      </c>
      <c r="EO146" s="1" t="str">
        <f t="shared" si="495"/>
        <v>0.0383147271749942-111.879003350983i</v>
      </c>
      <c r="EP146" s="1" t="str">
        <f t="shared" si="496"/>
        <v>-0.005</v>
      </c>
      <c r="EQ146" s="1" t="str">
        <f t="shared" si="497"/>
        <v>0.0150104264163755+0.499325142696563i</v>
      </c>
      <c r="ER146" s="1" t="str">
        <f t="shared" si="498"/>
        <v>-0.01</v>
      </c>
      <c r="ES146" s="1" t="str">
        <f t="shared" si="499"/>
        <v>0.075065587934683-219.191516769274i</v>
      </c>
      <c r="ET146" s="1" t="str">
        <f t="shared" si="500"/>
        <v>-0.01</v>
      </c>
      <c r="EU146" s="1" t="str">
        <f t="shared" si="501"/>
        <v>0.0225257673675531+0.454951429503684i</v>
      </c>
      <c r="EV146" s="1" t="str">
        <f t="shared" si="502"/>
        <v>-0.0125</v>
      </c>
      <c r="EW146" s="1" t="str">
        <f t="shared" si="503"/>
        <v>0.185513653515662-541.699868265732i</v>
      </c>
      <c r="EX146" s="1" t="str">
        <f t="shared" si="504"/>
        <v>-0.0125</v>
      </c>
      <c r="EY146" s="1" t="str">
        <f t="shared" si="505"/>
        <v>0.0125359856176294+0.425062347961453i</v>
      </c>
      <c r="EZ146" s="1" t="str">
        <f t="shared" si="506"/>
        <v>0.259080536135676-756.515165516178i</v>
      </c>
      <c r="FB146" s="1" t="str">
        <f t="shared" si="507"/>
        <v>0.00500532181669168+0.514451311389466i</v>
      </c>
      <c r="FC146" s="1" t="str">
        <f t="shared" si="508"/>
        <v>0.0383147271749942-111.879003350983i</v>
      </c>
      <c r="FD146" s="1" t="str">
        <f t="shared" si="509"/>
        <v>-0.0000945523535400328+0.009718172787895i</v>
      </c>
      <c r="FE146" s="1" t="str">
        <f t="shared" si="510"/>
        <v>0.0150099536546078+0.499373733560502i</v>
      </c>
      <c r="FF146" s="1" t="str">
        <f t="shared" si="511"/>
        <v>-1.01219027522003-219.202467541492i</v>
      </c>
      <c r="FG146" s="1" t="str">
        <f t="shared" si="512"/>
        <v>-0.000601361709304684+0.0200070066108177i</v>
      </c>
      <c r="FH146" s="1" t="str">
        <f t="shared" si="513"/>
        <v>0.0225197537504601+0.455151499569792i</v>
      </c>
      <c r="FI146" s="1" t="str">
        <f t="shared" si="514"/>
        <v>-4.20068025616857-541.811437338769i</v>
      </c>
      <c r="FJ146" s="1" t="str">
        <f t="shared" si="515"/>
        <v>-0.00135550096527648+0.0273963163119084i</v>
      </c>
      <c r="FK146" s="1" t="str">
        <f t="shared" si="516"/>
        <v>0.0125190418555634+0.425404801915352i</v>
      </c>
      <c r="FL146" s="1" t="str">
        <f t="shared" si="517"/>
        <v>-14.581248937055-757.254522601234i</v>
      </c>
      <c r="FM146" s="1" t="str">
        <f t="shared" si="518"/>
        <v>-1779.54740597611-18.0933066285668i</v>
      </c>
      <c r="FN146" s="1" t="str">
        <f t="shared" si="519"/>
        <v>-1190.85439176886-0.818902771430822i</v>
      </c>
      <c r="FO146" s="1" t="str">
        <f t="shared" si="520"/>
        <v>-439.351908994151+12.6680319281881i</v>
      </c>
      <c r="FP146" s="1" t="str">
        <f t="shared" si="521"/>
        <v>-217.369604264808+2.08074111501897i</v>
      </c>
      <c r="FQ146" s="92" t="str">
        <f t="shared" si="522"/>
        <v>0.00713742579608315-115.256873893967i</v>
      </c>
      <c r="FR146" s="1" t="str">
        <f t="shared" si="523"/>
        <v>-1.10277409785064-115.2039374399i</v>
      </c>
      <c r="FS146" s="1" t="str">
        <f t="shared" si="524"/>
        <v>1.10991152364672-0.0529364540658455i</v>
      </c>
      <c r="FT146" s="1" t="str">
        <f t="shared" si="525"/>
        <v>-0.306033498708928-232.56777739204i</v>
      </c>
      <c r="FU146" s="1" t="str">
        <f t="shared" si="526"/>
        <v>0.277813664939501-631.300580984279i</v>
      </c>
      <c r="FV146" s="1" t="str">
        <f t="shared" si="527"/>
        <v>2.22432718548529-943.505802931749i</v>
      </c>
      <c r="FW146" s="1" t="str">
        <f t="shared" si="528"/>
        <v>-1.10277409785064-115.2039374399i</v>
      </c>
      <c r="FX146" s="1" t="str">
        <f t="shared" si="529"/>
        <v>-6.71114680280931-232.755583193102i</v>
      </c>
      <c r="FY146" s="1" t="str">
        <f t="shared" si="530"/>
        <v>0.434175815095917-631.381641685499i</v>
      </c>
      <c r="FZ146" s="1" t="str">
        <f t="shared" si="531"/>
        <v>9.59199193476981-943.409887207304i</v>
      </c>
      <c r="GA146" s="1" t="str">
        <f t="shared" si="532"/>
        <v>1.10991152364672-0.0529364540658455i</v>
      </c>
      <c r="GB146" s="1" t="str">
        <f t="shared" si="533"/>
        <v>7.51502482774709+0.134869346996189i</v>
      </c>
      <c r="GC146" s="1" t="str">
        <f t="shared" si="534"/>
        <v>7.35866267759063+0.2159300482142i</v>
      </c>
      <c r="GD146" s="92" t="str">
        <f t="shared" si="535"/>
        <v>2.20324477751195-1922.63103520204i</v>
      </c>
      <c r="GE146" s="1" t="str">
        <f t="shared" si="557"/>
        <v>0.00429117383675468+3.74463340623841i</v>
      </c>
      <c r="GF146" s="1">
        <f t="shared" si="558"/>
        <v>29.2</v>
      </c>
      <c r="GG146" s="56">
        <f t="shared" si="559"/>
        <v>0.21098216590256458</v>
      </c>
      <c r="GH146" s="1">
        <f t="shared" si="560"/>
        <v>0.78901783827043526</v>
      </c>
      <c r="GJ146" s="1">
        <f t="shared" si="536"/>
        <v>1922.6322976090926</v>
      </c>
      <c r="GK146" s="1">
        <f t="shared" si="537"/>
        <v>3.7446358649793408</v>
      </c>
      <c r="GM146" s="1" t="str">
        <f t="shared" si="561"/>
        <v>0.0191834803010191+14.003940619744i</v>
      </c>
      <c r="GP146" s="1">
        <f t="shared" si="547"/>
        <v>29.2</v>
      </c>
      <c r="GQ146" s="1">
        <f t="shared" si="548"/>
        <v>3.7446358649793408</v>
      </c>
      <c r="GR146" s="1">
        <f t="shared" si="562"/>
        <v>14.003953759107905</v>
      </c>
      <c r="GS146" s="1">
        <f t="shared" si="563"/>
        <v>2.9545844952959341</v>
      </c>
    </row>
    <row r="147" spans="2:201" ht="18" customHeight="1" x14ac:dyDescent="0.25">
      <c r="B147" s="45"/>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7"/>
      <c r="AR147" s="45"/>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7"/>
      <c r="EA147" s="1">
        <f t="shared" si="538"/>
        <v>29.4</v>
      </c>
      <c r="EB147" s="1" t="str">
        <f t="shared" si="549"/>
        <v>5.24965730853884E-06-0.0154339924871042i</v>
      </c>
      <c r="EC147" s="1" t="str">
        <f t="shared" si="550"/>
        <v>0.0000102850428901985-0.0302380260971838i</v>
      </c>
      <c r="ED147" s="1" t="str">
        <f t="shared" si="551"/>
        <v>0.0000254179836010376-0.0747288717870505i</v>
      </c>
      <c r="EE147" s="1" t="str">
        <f t="shared" si="552"/>
        <v>0.000035497682752977-0.104363187293752i</v>
      </c>
      <c r="EF147" s="1" t="str">
        <f t="shared" si="553"/>
        <v>0.533621091582106i</v>
      </c>
      <c r="EG147" s="1" t="str">
        <f t="shared" si="554"/>
        <v>0.533398842064581i</v>
      </c>
      <c r="EH147" s="1" t="str">
        <f t="shared" si="555"/>
        <v>0.533823595791259i</v>
      </c>
      <c r="EI147" s="1" t="str">
        <f t="shared" si="556"/>
        <v>0.533771449736962i</v>
      </c>
      <c r="EJ147" s="1" t="str">
        <f t="shared" si="544"/>
        <v>0.005</v>
      </c>
      <c r="EK147" s="1" t="str">
        <f t="shared" si="545"/>
        <v>0.01</v>
      </c>
      <c r="EL147" s="1" t="str">
        <f t="shared" si="546"/>
        <v>0.0125</v>
      </c>
      <c r="EM147" s="1" t="str">
        <f t="shared" si="493"/>
        <v>0.00500524965730854+0.518187099095002i</v>
      </c>
      <c r="EN147" s="1" t="str">
        <f t="shared" si="494"/>
        <v>-0.005</v>
      </c>
      <c r="EO147" s="1" t="str">
        <f t="shared" si="495"/>
        <v>0.0377952115211702-111.11792187224i</v>
      </c>
      <c r="EP147" s="1" t="str">
        <f t="shared" si="496"/>
        <v>-0.005</v>
      </c>
      <c r="EQ147" s="1" t="str">
        <f t="shared" si="497"/>
        <v>0.0150102850428902+0.503160815967397i</v>
      </c>
      <c r="ER147" s="1" t="str">
        <f t="shared" si="498"/>
        <v>-0.01</v>
      </c>
      <c r="ES147" s="1" t="str">
        <f t="shared" si="499"/>
        <v>0.0740477613475984-217.700418361941i</v>
      </c>
      <c r="ET147" s="1" t="str">
        <f t="shared" si="500"/>
        <v>-0.01</v>
      </c>
      <c r="EU147" s="1" t="str">
        <f t="shared" si="501"/>
        <v>0.022525417983601+0.459094724004209i</v>
      </c>
      <c r="EV147" s="1" t="str">
        <f t="shared" si="502"/>
        <v>-0.0125</v>
      </c>
      <c r="EW147" s="1" t="str">
        <f t="shared" si="503"/>
        <v>0.182998243538727-538.014836003858i</v>
      </c>
      <c r="EX147" s="1" t="str">
        <f t="shared" si="504"/>
        <v>-0.0125</v>
      </c>
      <c r="EY147" s="1" t="str">
        <f t="shared" si="505"/>
        <v>0.012535497682753+0.42940826244321i</v>
      </c>
      <c r="EZ147" s="1" t="str">
        <f t="shared" si="506"/>
        <v>0.255567620762199-751.368805040862i</v>
      </c>
      <c r="FB147" s="1" t="str">
        <f t="shared" si="507"/>
        <v>0.00500524965730854+0.518187099095002i</v>
      </c>
      <c r="FC147" s="1" t="str">
        <f t="shared" si="508"/>
        <v>0.0377952115211702-111.11792187224i</v>
      </c>
      <c r="FD147" s="1" t="str">
        <f t="shared" si="509"/>
        <v>-0.0000931927309132035+0.00964812430847288i</v>
      </c>
      <c r="FE147" s="1" t="str">
        <f t="shared" si="510"/>
        <v>0.0150098190792356+0.503209056588939i</v>
      </c>
      <c r="FF147" s="1" t="str">
        <f t="shared" si="511"/>
        <v>-0.998028239535972-217.711138397433i</v>
      </c>
      <c r="FG147" s="1" t="str">
        <f t="shared" si="512"/>
        <v>-0.00059223262833041+0.0198547910944247i</v>
      </c>
      <c r="FH147" s="1" t="str">
        <f t="shared" si="513"/>
        <v>0.0225194956573177+0.459293271915153i</v>
      </c>
      <c r="FI147" s="1" t="str">
        <f t="shared" si="514"/>
        <v>-4.14020199315913-538.123956001366i</v>
      </c>
      <c r="FJ147" s="1" t="str">
        <f t="shared" si="515"/>
        <v>-0.00133120735451937+0.0271504562428351i</v>
      </c>
      <c r="FK147" s="1" t="str">
        <f t="shared" si="516"/>
        <v>0.0125188575908215+0.429747643146245i</v>
      </c>
      <c r="FL147" s="1" t="str">
        <f t="shared" si="517"/>
        <v>-14.351537033549-752.089982833195i</v>
      </c>
      <c r="FM147" s="1" t="str">
        <f t="shared" si="518"/>
        <v>-1749.56170079531-17.5707228776897i</v>
      </c>
      <c r="FN147" s="1" t="str">
        <f t="shared" si="519"/>
        <v>-1172.07187358424-0.837687459560897i</v>
      </c>
      <c r="FO147" s="1" t="str">
        <f t="shared" si="520"/>
        <v>-433.030794985585+12.3587463410608i</v>
      </c>
      <c r="FP147" s="1" t="str">
        <f t="shared" si="521"/>
        <v>-214.336316778074+2.03507958640087i</v>
      </c>
      <c r="FQ147" s="92" t="str">
        <f t="shared" si="522"/>
        <v>0.00751100068585935-114.425997658577i</v>
      </c>
      <c r="FR147" s="1" t="str">
        <f t="shared" si="523"/>
        <v>-1.08596139035169-114.374379324804i</v>
      </c>
      <c r="FS147" s="1" t="str">
        <f t="shared" si="524"/>
        <v>1.09347239103756-0.0516183337732995i</v>
      </c>
      <c r="FT147" s="1" t="str">
        <f t="shared" si="525"/>
        <v>-0.295202592742669-230.794541951835i</v>
      </c>
      <c r="FU147" s="1" t="str">
        <f t="shared" si="526"/>
        <v>0.275389385963875-625.602423477817i</v>
      </c>
      <c r="FV147" s="1" t="str">
        <f t="shared" si="527"/>
        <v>2.15140964954473-933.958016782992i</v>
      </c>
      <c r="FW147" s="1" t="str">
        <f t="shared" si="528"/>
        <v>-1.08596139035169-114.374379324804i</v>
      </c>
      <c r="FX147" s="1" t="str">
        <f t="shared" si="529"/>
        <v>-6.59214098769171-230.978124623616i</v>
      </c>
      <c r="FY147" s="1" t="str">
        <f t="shared" si="530"/>
        <v>0.447177331812043-625.679622082537i</v>
      </c>
      <c r="FZ147" s="1" t="str">
        <f t="shared" si="531"/>
        <v>9.37875022335084-933.866085437778i</v>
      </c>
      <c r="GA147" s="1" t="str">
        <f t="shared" si="532"/>
        <v>1.09347239103756-0.0516183337732995i</v>
      </c>
      <c r="GB147" s="1" t="str">
        <f t="shared" si="533"/>
        <v>7.39041078598655+0.131964338006217i</v>
      </c>
      <c r="GC147" s="1" t="str">
        <f t="shared" si="534"/>
        <v>7.21862284013837+0.20916294272661i</v>
      </c>
      <c r="GD147" s="92" t="str">
        <f t="shared" si="535"/>
        <v>2.1391074434518-1904.78097987122i</v>
      </c>
      <c r="GE147" s="1" t="str">
        <f t="shared" si="557"/>
        <v>0.00424470766713428+3.77972525607412i</v>
      </c>
      <c r="GF147" s="1">
        <f t="shared" si="558"/>
        <v>29.4</v>
      </c>
      <c r="GG147" s="56">
        <f t="shared" si="559"/>
        <v>0.21139890880335821</v>
      </c>
      <c r="GH147" s="1">
        <f t="shared" si="560"/>
        <v>0.78860109589930716</v>
      </c>
      <c r="GJ147" s="1">
        <f t="shared" si="536"/>
        <v>1904.7821810012347</v>
      </c>
      <c r="GK147" s="1">
        <f t="shared" si="537"/>
        <v>3.7797276395195136</v>
      </c>
      <c r="GM147" s="1" t="str">
        <f t="shared" si="561"/>
        <v>0.0191834803010191+14.0998580212491i</v>
      </c>
      <c r="GP147" s="1">
        <f t="shared" si="547"/>
        <v>29.4</v>
      </c>
      <c r="GQ147" s="1">
        <f t="shared" si="548"/>
        <v>3.7797276395195136</v>
      </c>
      <c r="GR147" s="1">
        <f t="shared" si="562"/>
        <v>14.099871071229661</v>
      </c>
      <c r="GS147" s="1">
        <f t="shared" si="563"/>
        <v>2.9806973587259891</v>
      </c>
    </row>
    <row r="148" spans="2:201" ht="18" customHeight="1" x14ac:dyDescent="0.25">
      <c r="EA148" s="1">
        <f t="shared" si="538"/>
        <v>29.6</v>
      </c>
      <c r="EB148" s="1" t="str">
        <f t="shared" si="549"/>
        <v>5.17895566823274E-06-0.0153297087779689i</v>
      </c>
      <c r="EC148" s="1" t="str">
        <f t="shared" si="550"/>
        <v>0.0000101465253908234-0.0300337151568371i</v>
      </c>
      <c r="ED148" s="1" t="str">
        <f t="shared" si="551"/>
        <v>0.0000250756578018003-0.074223947093329i</v>
      </c>
      <c r="EE148" s="1" t="str">
        <f t="shared" si="552"/>
        <v>0.0000350196049947167-0.103658030784361i</v>
      </c>
      <c r="EF148" s="1" t="str">
        <f t="shared" si="553"/>
        <v>0.537251167035045i</v>
      </c>
      <c r="EG148" s="1" t="str">
        <f t="shared" si="554"/>
        <v>0.53702740561604i</v>
      </c>
      <c r="EH148" s="1" t="str">
        <f t="shared" si="555"/>
        <v>0.537455048823853i</v>
      </c>
      <c r="EI148" s="1" t="str">
        <f t="shared" si="556"/>
        <v>0.537402548034493i</v>
      </c>
      <c r="EJ148" s="1" t="str">
        <f t="shared" si="544"/>
        <v>0.005</v>
      </c>
      <c r="EK148" s="1" t="str">
        <f t="shared" si="545"/>
        <v>0.01</v>
      </c>
      <c r="EL148" s="1" t="str">
        <f t="shared" si="546"/>
        <v>0.0125</v>
      </c>
      <c r="EM148" s="1" t="str">
        <f t="shared" si="493"/>
        <v>0.00500517895566823+0.521921458257076i</v>
      </c>
      <c r="EN148" s="1" t="str">
        <f t="shared" si="494"/>
        <v>-0.005</v>
      </c>
      <c r="EO148" s="1" t="str">
        <f t="shared" si="495"/>
        <v>0.0372861909712161-110.3671252748i</v>
      </c>
      <c r="EP148" s="1" t="str">
        <f t="shared" si="496"/>
        <v>-0.005</v>
      </c>
      <c r="EQ148" s="1" t="str">
        <f t="shared" si="497"/>
        <v>0.0150101465253908+0.506993690459203i</v>
      </c>
      <c r="ER148" s="1" t="str">
        <f t="shared" si="498"/>
        <v>-0.01</v>
      </c>
      <c r="ES148" s="1" t="str">
        <f t="shared" si="499"/>
        <v>0.0730504965966688-216.229469926139i</v>
      </c>
      <c r="ET148" s="1" t="str">
        <f t="shared" si="500"/>
        <v>-0.01</v>
      </c>
      <c r="EU148" s="1" t="str">
        <f t="shared" si="501"/>
        <v>0.0225250756578018+0.463231101730524i</v>
      </c>
      <c r="EV148" s="1" t="str">
        <f t="shared" si="502"/>
        <v>-0.0125</v>
      </c>
      <c r="EW148" s="1" t="str">
        <f t="shared" si="503"/>
        <v>0.180533649141245-534.379601458086i</v>
      </c>
      <c r="EX148" s="1" t="str">
        <f t="shared" si="504"/>
        <v>-0.0125</v>
      </c>
      <c r="EY148" s="1" t="str">
        <f t="shared" si="505"/>
        <v>0.0125350196049947+0.433744517250132i</v>
      </c>
      <c r="EZ148" s="1" t="str">
        <f t="shared" si="506"/>
        <v>0.252125672281557-746.291989953406i</v>
      </c>
      <c r="FB148" s="1" t="str">
        <f t="shared" si="507"/>
        <v>0.00500517895566823+0.521921458257076i</v>
      </c>
      <c r="FC148" s="1" t="str">
        <f t="shared" si="508"/>
        <v>0.0372861909712161-110.3671252748i</v>
      </c>
      <c r="FD148" s="1" t="str">
        <f t="shared" si="509"/>
        <v>-0.0000918627347117584+0.00957910454049746i</v>
      </c>
      <c r="FE148" s="1" t="str">
        <f t="shared" si="510"/>
        <v>0.0150096872117172+0.507041585981905i</v>
      </c>
      <c r="FF148" s="1" t="str">
        <f t="shared" si="511"/>
        <v>-0.984164309033351-216.23996572041i</v>
      </c>
      <c r="FG148" s="1" t="str">
        <f t="shared" si="512"/>
        <v>-0.000583316247054152+0.0197049805811052i</v>
      </c>
      <c r="FH148" s="1" t="str">
        <f t="shared" si="513"/>
        <v>0.0225192424953313+0.463428151536335i</v>
      </c>
      <c r="FI148" s="1" t="str">
        <f t="shared" si="514"/>
        <v>-4.08104475526951-534.486344804755i</v>
      </c>
      <c r="FJ148" s="1" t="str">
        <f t="shared" si="515"/>
        <v>-0.00130759934901578+0.0269093576033976i</v>
      </c>
      <c r="FK148" s="1" t="str">
        <f t="shared" si="516"/>
        <v>0.012518674613132+0.434080884220174i</v>
      </c>
      <c r="FL148" s="1" t="str">
        <f t="shared" si="517"/>
        <v>-14.127450053633-746.995602416924i</v>
      </c>
      <c r="FM148" s="1" t="str">
        <f t="shared" si="518"/>
        <v>-1720.37504343235-17.0690891882059i</v>
      </c>
      <c r="FN148" s="1" t="str">
        <f t="shared" si="519"/>
        <v>-1153.75052414773-0.854188578989305i</v>
      </c>
      <c r="FO148" s="1" t="str">
        <f t="shared" si="520"/>
        <v>-426.84767363622+12.0597987447919i</v>
      </c>
      <c r="FP148" s="1" t="str">
        <f t="shared" si="521"/>
        <v>-211.366650447695+1.99076748047254i</v>
      </c>
      <c r="FQ148" s="92" t="str">
        <f t="shared" si="522"/>
        <v>0.00786296376333267-113.607324781634i</v>
      </c>
      <c r="FR148" s="1" t="str">
        <f t="shared" si="523"/>
        <v>-1.06954215217929-113.556979625313i</v>
      </c>
      <c r="FS148" s="1" t="str">
        <f t="shared" si="524"/>
        <v>1.07740511594263-0.050345156321597i</v>
      </c>
      <c r="FT148" s="1" t="str">
        <f t="shared" si="525"/>
        <v>-0.284819042994629-229.049413736542i</v>
      </c>
      <c r="FU148" s="1" t="str">
        <f t="shared" si="526"/>
        <v>0.272865950368049-620.015497901987i</v>
      </c>
      <c r="FV148" s="1" t="str">
        <f t="shared" si="527"/>
        <v>2.08172069927738-924.622081413402i</v>
      </c>
      <c r="FW148" s="1" t="str">
        <f t="shared" si="528"/>
        <v>-1.06954215217929-113.556979625313i</v>
      </c>
      <c r="FX148" s="1" t="str">
        <f t="shared" si="529"/>
        <v>-6.47644243216717-229.228898766101i</v>
      </c>
      <c r="FY148" s="1" t="str">
        <f t="shared" si="530"/>
        <v>0.459087964425475-620.089044286364i</v>
      </c>
      <c r="FZ148" s="1" t="str">
        <f t="shared" si="531"/>
        <v>9.17297202236987-924.533931915497i</v>
      </c>
      <c r="GA148" s="1" t="str">
        <f t="shared" si="532"/>
        <v>1.07740511594263-0.050345156321597i</v>
      </c>
      <c r="GB148" s="1" t="str">
        <f t="shared" si="533"/>
        <v>7.2690285051151+0.129139873237812i</v>
      </c>
      <c r="GC148" s="1" t="str">
        <f t="shared" si="534"/>
        <v>7.08280649105775+0.202686257615208i</v>
      </c>
      <c r="GD148" s="92" t="str">
        <f t="shared" si="535"/>
        <v>2.07763057041413-1887.29431783356i</v>
      </c>
      <c r="GE148" s="1" t="str">
        <f t="shared" si="557"/>
        <v>0.00419946882896479+3.81474636140177i</v>
      </c>
      <c r="GF148" s="1">
        <f t="shared" si="558"/>
        <v>29.6</v>
      </c>
      <c r="GG148" s="56">
        <f t="shared" si="559"/>
        <v>0.21180649309392074</v>
      </c>
      <c r="GH148" s="1">
        <f t="shared" si="560"/>
        <v>0.7881935121439656</v>
      </c>
      <c r="GJ148" s="1">
        <f t="shared" si="536"/>
        <v>1887.2954614144628</v>
      </c>
      <c r="GK148" s="1">
        <f t="shared" si="537"/>
        <v>3.8147486728966156</v>
      </c>
      <c r="GM148" s="1" t="str">
        <f t="shared" si="561"/>
        <v>0.0191834803010191+14.1957754227542i</v>
      </c>
      <c r="GP148" s="1">
        <f t="shared" si="547"/>
        <v>29.6</v>
      </c>
      <c r="GQ148" s="1">
        <f t="shared" si="548"/>
        <v>3.8147486728966156</v>
      </c>
      <c r="GR148" s="1">
        <f t="shared" si="562"/>
        <v>14.195788384559298</v>
      </c>
      <c r="GS148" s="1">
        <f t="shared" si="563"/>
        <v>3.0067601544369169</v>
      </c>
    </row>
    <row r="149" spans="2:201" ht="18" customHeight="1" x14ac:dyDescent="0.25">
      <c r="B149" s="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5"/>
      <c r="AR149" s="3"/>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5"/>
      <c r="EA149" s="1">
        <f t="shared" si="538"/>
        <v>29.8</v>
      </c>
      <c r="EB149" s="1" t="str">
        <f t="shared" si="549"/>
        <v>5.10967276835175E-06-0.0152268248496883i</v>
      </c>
      <c r="EC149" s="1" t="str">
        <f t="shared" si="550"/>
        <v>0.0000100107874645259-0.0298321466442872i</v>
      </c>
      <c r="ED149" s="1" t="str">
        <f t="shared" si="551"/>
        <v>0.0000247402013120706-0.0737257999099704i</v>
      </c>
      <c r="EE149" s="1" t="str">
        <f t="shared" si="552"/>
        <v>0.0000345511206240928-0.102962339459797i</v>
      </c>
      <c r="EF149" s="1" t="str">
        <f t="shared" si="553"/>
        <v>0.540881242487987i</v>
      </c>
      <c r="EG149" s="1" t="str">
        <f t="shared" si="554"/>
        <v>0.540655969167498i</v>
      </c>
      <c r="EH149" s="1" t="str">
        <f t="shared" si="555"/>
        <v>0.541086501856446i</v>
      </c>
      <c r="EI149" s="1" t="str">
        <f t="shared" si="556"/>
        <v>0.541033646332022i</v>
      </c>
      <c r="EJ149" s="1" t="str">
        <f t="shared" si="544"/>
        <v>0.005</v>
      </c>
      <c r="EK149" s="1" t="str">
        <f t="shared" si="545"/>
        <v>0.01</v>
      </c>
      <c r="EL149" s="1" t="str">
        <f t="shared" si="546"/>
        <v>0.0125</v>
      </c>
      <c r="EM149" s="1" t="str">
        <f t="shared" si="493"/>
        <v>0.00500510967276835+0.525654417638299i</v>
      </c>
      <c r="EN149" s="1" t="str">
        <f t="shared" si="494"/>
        <v>-0.005</v>
      </c>
      <c r="EO149" s="1" t="str">
        <f t="shared" si="495"/>
        <v>0.0367873847250364-109.626406480609i</v>
      </c>
      <c r="EP149" s="1" t="str">
        <f t="shared" si="496"/>
        <v>-0.005</v>
      </c>
      <c r="EQ149" s="1" t="str">
        <f t="shared" si="497"/>
        <v>0.0150100107874645+0.510823822523211i</v>
      </c>
      <c r="ER149" s="1" t="str">
        <f t="shared" si="498"/>
        <v>-0.01</v>
      </c>
      <c r="ES149" s="1" t="str">
        <f t="shared" si="499"/>
        <v>0.0720732435429287-214.778265757928i</v>
      </c>
      <c r="ET149" s="1" t="str">
        <f t="shared" si="500"/>
        <v>-0.01</v>
      </c>
      <c r="EU149" s="1" t="str">
        <f t="shared" si="501"/>
        <v>0.0225247402013121+0.467360701946476i</v>
      </c>
      <c r="EV149" s="1" t="str">
        <f t="shared" si="502"/>
        <v>-0.0125</v>
      </c>
      <c r="EW149" s="1" t="str">
        <f t="shared" si="503"/>
        <v>0.178118510734999-530.793161990297i</v>
      </c>
      <c r="EX149" s="1" t="str">
        <f t="shared" si="504"/>
        <v>-0.0125</v>
      </c>
      <c r="EY149" s="1" t="str">
        <f t="shared" si="505"/>
        <v>0.0125345511206241+0.438071306872225i</v>
      </c>
      <c r="EZ149" s="1" t="str">
        <f t="shared" si="506"/>
        <v>0.248752791950246-741.283320011738i</v>
      </c>
      <c r="FB149" s="1" t="str">
        <f t="shared" si="507"/>
        <v>0.00500510967276835+0.525654417638299i</v>
      </c>
      <c r="FC149" s="1" t="str">
        <f t="shared" si="508"/>
        <v>0.0367873847250364-109.626406480609i</v>
      </c>
      <c r="FD149" s="1" t="str">
        <f t="shared" si="509"/>
        <v>-0.0000905614970322289+0.00951109048457649i</v>
      </c>
      <c r="FE149" s="1" t="str">
        <f t="shared" si="510"/>
        <v>0.0150095579799793+0.510871377975634i</v>
      </c>
      <c r="FF149" s="1" t="str">
        <f t="shared" si="511"/>
        <v>-0.970590096472471-214.788543577558i</v>
      </c>
      <c r="FG149" s="1" t="str">
        <f t="shared" si="512"/>
        <v>-0.000574605842059898+0.0195575165316357i</v>
      </c>
      <c r="FH149" s="1" t="str">
        <f t="shared" si="513"/>
        <v>0.0225189941428915+0.467556277111792i</v>
      </c>
      <c r="FI149" s="1" t="str">
        <f t="shared" si="514"/>
        <v>-4.02316968782872-530.897598410387i</v>
      </c>
      <c r="FJ149" s="1" t="str">
        <f t="shared" si="515"/>
        <v>-0.00128465039461147+0.0266728767760854i</v>
      </c>
      <c r="FK149" s="1" t="str">
        <f t="shared" si="516"/>
        <v>0.0125184929906915+0.438404717831926i</v>
      </c>
      <c r="FL149" s="1" t="str">
        <f t="shared" si="517"/>
        <v>-13.9087989913906-741.969954589834i</v>
      </c>
      <c r="FM149" s="1" t="str">
        <f t="shared" si="518"/>
        <v>-1691.95785549138-16.5873296233814i</v>
      </c>
      <c r="FN149" s="1" t="str">
        <f t="shared" si="519"/>
        <v>-1135.87477329757-0.868589526770736i</v>
      </c>
      <c r="FO149" s="1" t="str">
        <f t="shared" si="520"/>
        <v>-420.798487590987+11.7707485510188i</v>
      </c>
      <c r="FP149" s="1" t="str">
        <f t="shared" si="521"/>
        <v>-208.458823489526+1.94775454186912i</v>
      </c>
      <c r="FQ149" s="92" t="str">
        <f t="shared" si="522"/>
        <v>0.00819442383951753-112.800582426645i</v>
      </c>
      <c r="FR149" s="1" t="str">
        <f t="shared" si="523"/>
        <v>-1.05350389666779-112.751467456599i</v>
      </c>
      <c r="FS149" s="1" t="str">
        <f t="shared" si="524"/>
        <v>1.06169832050731-0.0491149700457484i</v>
      </c>
      <c r="FT149" s="1" t="str">
        <f t="shared" si="525"/>
        <v>-0.274860929119428-227.331705781898i</v>
      </c>
      <c r="FU149" s="1" t="str">
        <f t="shared" si="526"/>
        <v>0.270257738946278-614.536416760136i</v>
      </c>
      <c r="FV149" s="1" t="str">
        <f t="shared" si="527"/>
        <v>2.01508209532035-915.490685969684i</v>
      </c>
      <c r="FW149" s="1" t="str">
        <f t="shared" si="528"/>
        <v>-1.05350389666779-112.751467456599i</v>
      </c>
      <c r="FX149" s="1" t="str">
        <f t="shared" si="529"/>
        <v>-6.36392546567799-227.507214132722i</v>
      </c>
      <c r="FY149" s="1" t="str">
        <f t="shared" si="530"/>
        <v>0.469982068589523-614.606507630566i</v>
      </c>
      <c r="FZ149" s="1" t="str">
        <f t="shared" si="531"/>
        <v>8.9743034290492-915.40612799661i</v>
      </c>
      <c r="GA149" s="1" t="str">
        <f t="shared" si="532"/>
        <v>1.06169832050731-0.0491149700457484i</v>
      </c>
      <c r="GB149" s="1" t="str">
        <f t="shared" si="533"/>
        <v>7.15076285706583+0.126393380777895i</v>
      </c>
      <c r="GC149" s="1" t="str">
        <f t="shared" si="534"/>
        <v>6.95103852742263+0.196484251207634i</v>
      </c>
      <c r="GD149" s="92" t="str">
        <f t="shared" si="535"/>
        <v>2.01867332898672-1870.15939093836i</v>
      </c>
      <c r="GE149" s="1" t="str">
        <f t="shared" si="557"/>
        <v>0.00415541229483695+3.84969832157582i</v>
      </c>
      <c r="GF149" s="1">
        <f t="shared" si="558"/>
        <v>29.8</v>
      </c>
      <c r="GG149" s="56">
        <f t="shared" si="559"/>
        <v>0.21220519129709772</v>
      </c>
      <c r="GH149" s="1">
        <f t="shared" si="560"/>
        <v>0.78779481447878119</v>
      </c>
      <c r="GJ149" s="1">
        <f t="shared" si="536"/>
        <v>1870.1604804286042</v>
      </c>
      <c r="GK149" s="1">
        <f t="shared" si="537"/>
        <v>3.8497005642770485</v>
      </c>
      <c r="GM149" s="1" t="str">
        <f t="shared" si="561"/>
        <v>0.0191834803010191+14.2916928242593i</v>
      </c>
      <c r="GP149" s="1">
        <f t="shared" si="547"/>
        <v>29.8</v>
      </c>
      <c r="GQ149" s="1">
        <f t="shared" si="548"/>
        <v>3.8497005642770485</v>
      </c>
      <c r="GR149" s="1">
        <f t="shared" si="562"/>
        <v>14.291705699072494</v>
      </c>
      <c r="GS149" s="1">
        <f t="shared" si="563"/>
        <v>3.0327741418334941</v>
      </c>
    </row>
    <row r="150" spans="2:201" ht="18" customHeight="1" x14ac:dyDescent="0.25">
      <c r="B150" s="6"/>
      <c r="AN150" s="7"/>
      <c r="AP150" s="8"/>
      <c r="AR150" s="6"/>
      <c r="CD150" s="7"/>
      <c r="CF150" s="8"/>
      <c r="EA150" s="1">
        <f t="shared" si="538"/>
        <v>30</v>
      </c>
      <c r="EB150" s="1" t="str">
        <f t="shared" si="549"/>
        <v>0.0000050417709022192-0.0151253127066576i</v>
      </c>
      <c r="EC150" s="1" t="str">
        <f t="shared" si="550"/>
        <v>0.0000098777552370009-0.0296332657110027i</v>
      </c>
      <c r="ED150" s="1" t="str">
        <f t="shared" si="551"/>
        <v>0.0000244114315622757-0.073234294686827i</v>
      </c>
      <c r="EE150" s="1" t="str">
        <f t="shared" si="552"/>
        <v>0.0000340919746721489-0.102275924016447i</v>
      </c>
      <c r="EF150" s="1" t="str">
        <f t="shared" si="553"/>
        <v>0.544511317940926i</v>
      </c>
      <c r="EG150" s="1" t="str">
        <f t="shared" si="554"/>
        <v>0.544284532718959i</v>
      </c>
      <c r="EH150" s="1" t="str">
        <f t="shared" si="555"/>
        <v>0.544717954889039i</v>
      </c>
      <c r="EI150" s="1" t="str">
        <f t="shared" si="556"/>
        <v>0.544664744629553i</v>
      </c>
      <c r="EJ150" s="1" t="str">
        <f t="shared" si="544"/>
        <v>0.005</v>
      </c>
      <c r="EK150" s="1" t="str">
        <f t="shared" si="545"/>
        <v>0.01</v>
      </c>
      <c r="EL150" s="1" t="str">
        <f t="shared" si="546"/>
        <v>0.0125</v>
      </c>
      <c r="EM150" s="1" t="str">
        <f t="shared" si="493"/>
        <v>0.00500504177090222+0.529386005234268i</v>
      </c>
      <c r="EN150" s="1" t="str">
        <f t="shared" si="494"/>
        <v>-0.005</v>
      </c>
      <c r="EO150" s="1" t="str">
        <f t="shared" si="495"/>
        <v>0.0362985213112308-108.895563933692i</v>
      </c>
      <c r="EP150" s="1" t="str">
        <f t="shared" si="496"/>
        <v>-0.005</v>
      </c>
      <c r="EQ150" s="1" t="str">
        <f t="shared" si="497"/>
        <v>0.015009877755237+0.514651267007956i</v>
      </c>
      <c r="ER150" s="1" t="str">
        <f t="shared" si="498"/>
        <v>-0.01</v>
      </c>
      <c r="ES150" s="1" t="str">
        <f t="shared" si="499"/>
        <v>0.0711154703240442-213.346410972133i</v>
      </c>
      <c r="ET150" s="1" t="str">
        <f t="shared" si="500"/>
        <v>-0.01</v>
      </c>
      <c r="EU150" s="1" t="str">
        <f t="shared" si="501"/>
        <v>0.0225244114315623+0.471483660202212i</v>
      </c>
      <c r="EV150" s="1" t="str">
        <f t="shared" si="502"/>
        <v>-0.0125</v>
      </c>
      <c r="EW150" s="1" t="str">
        <f t="shared" si="503"/>
        <v>0.175751513899787-527.254541699359i</v>
      </c>
      <c r="EX150" s="1" t="str">
        <f t="shared" si="504"/>
        <v>-0.0125</v>
      </c>
      <c r="EY150" s="1" t="str">
        <f t="shared" si="505"/>
        <v>0.0125340919746721+0.442388820613106i</v>
      </c>
      <c r="EZ150" s="1" t="str">
        <f t="shared" si="506"/>
        <v>0.245447144104513-736.341432313542i</v>
      </c>
      <c r="FB150" s="1" t="str">
        <f t="shared" si="507"/>
        <v>0.00500504177090222+0.529386005234268i</v>
      </c>
      <c r="FC150" s="1" t="str">
        <f t="shared" si="508"/>
        <v>0.0362985213112308-108.895563933692i</v>
      </c>
      <c r="FD150" s="1" t="str">
        <f t="shared" si="509"/>
        <v>-0.0000892881819516382+0.00944405983438728i</v>
      </c>
      <c r="FE150" s="1" t="str">
        <f t="shared" si="510"/>
        <v>0.0150094313143272+0.514698487307128i</v>
      </c>
      <c r="FF150" s="1" t="str">
        <f t="shared" si="511"/>
        <v>-0.957297510136116-213.356476864466i</v>
      </c>
      <c r="FG150" s="1" t="str">
        <f t="shared" si="512"/>
        <v>-0.000566094958819414+0.0194123423382749i</v>
      </c>
      <c r="FH150" s="1" t="str">
        <f t="shared" si="513"/>
        <v>0.0225187504819741+0.471677783625595i</v>
      </c>
      <c r="FI150" s="1" t="str">
        <f t="shared" si="514"/>
        <v>-3.96653937637603-527.356738338357i</v>
      </c>
      <c r="FJ150" s="1" t="str">
        <f t="shared" si="515"/>
        <v>-0.00126233524194803+0.026440875997589i</v>
      </c>
      <c r="FK150" s="1" t="str">
        <f t="shared" si="516"/>
        <v>0.0125183127841478+0.442719331563076i</v>
      </c>
      <c r="FL150" s="1" t="str">
        <f t="shared" si="517"/>
        <v>-13.695402954804-737.011651326992i</v>
      </c>
      <c r="FM150" s="1" t="str">
        <f t="shared" si="518"/>
        <v>-1664.28196844055-16.1244354565414i</v>
      </c>
      <c r="FN150" s="1" t="str">
        <f t="shared" si="519"/>
        <v>-1118.42972416701-0.881058898010214i</v>
      </c>
      <c r="FO150" s="1" t="str">
        <f t="shared" si="520"/>
        <v>-414.879329873175+11.4911780240213i</v>
      </c>
      <c r="FP150" s="1" t="str">
        <f t="shared" si="521"/>
        <v>-205.611116540299+1.90599277508684i</v>
      </c>
      <c r="FQ150" s="92" t="str">
        <f t="shared" si="522"/>
        <v>0.00850642871595791-112.005505976908i</v>
      </c>
      <c r="FR150" s="1" t="str">
        <f t="shared" si="523"/>
        <v>-1.03783463794842-111.957580050664i</v>
      </c>
      <c r="FS150" s="1" t="str">
        <f t="shared" si="524"/>
        <v>1.04634106666438-0.0479259262446723i</v>
      </c>
      <c r="FT150" s="1" t="str">
        <f t="shared" si="525"/>
        <v>-0.265307584920836-225.640753899311i</v>
      </c>
      <c r="FU150" s="1" t="str">
        <f t="shared" si="526"/>
        <v>0.267577711541835-609.161932197603i</v>
      </c>
      <c r="FV150" s="1" t="str">
        <f t="shared" si="527"/>
        <v>1.95132733838123-906.556858745865i</v>
      </c>
      <c r="FW150" s="1" t="str">
        <f t="shared" si="528"/>
        <v>-1.03783463794842-111.957580050664i</v>
      </c>
      <c r="FX150" s="1" t="str">
        <f t="shared" si="529"/>
        <v>-6.2544704611948-225.812402194776i</v>
      </c>
      <c r="FY150" s="1" t="str">
        <f t="shared" si="530"/>
        <v>0.479928601060914-609.228752035366i</v>
      </c>
      <c r="FZ150" s="1" t="str">
        <f t="shared" si="531"/>
        <v>8.78241152023283-906.475713332242i</v>
      </c>
      <c r="GA150" s="1" t="str">
        <f t="shared" si="532"/>
        <v>1.04634106666438-0.0479259262446723i</v>
      </c>
      <c r="GB150" s="1" t="str">
        <f t="shared" si="533"/>
        <v>7.03550394293835+0.123722369220315i</v>
      </c>
      <c r="GC150" s="1" t="str">
        <f t="shared" si="534"/>
        <v>6.82315305341925+0.19054220698164i</v>
      </c>
      <c r="GD150" s="92" t="str">
        <f t="shared" si="535"/>
        <v>1.96210389371819-1853.36505081969i</v>
      </c>
      <c r="GE150" s="1" t="str">
        <f t="shared" si="557"/>
        <v>0.00411249516695243+3.88458268621592i</v>
      </c>
      <c r="GF150" s="1">
        <f t="shared" si="558"/>
        <v>30</v>
      </c>
      <c r="GG150" s="56">
        <f t="shared" si="559"/>
        <v>0.21259526564066555</v>
      </c>
      <c r="GH150" s="1">
        <f t="shared" si="560"/>
        <v>0.78740474067353738</v>
      </c>
      <c r="GJ150" s="1">
        <f t="shared" si="536"/>
        <v>1853.3660894306772</v>
      </c>
      <c r="GK150" s="1">
        <f t="shared" si="537"/>
        <v>3.8845848631050641</v>
      </c>
      <c r="GM150" s="1" t="str">
        <f t="shared" si="561"/>
        <v>0.0191834803010191+14.3876102257644i</v>
      </c>
      <c r="GP150" s="1">
        <f t="shared" si="547"/>
        <v>30</v>
      </c>
      <c r="GQ150" s="1">
        <f t="shared" si="548"/>
        <v>3.8845848631050641</v>
      </c>
      <c r="GR150" s="1">
        <f t="shared" si="562"/>
        <v>14.387623014745584</v>
      </c>
      <c r="GS150" s="1">
        <f t="shared" si="563"/>
        <v>3.0587405367575924</v>
      </c>
    </row>
    <row r="151" spans="2:201" ht="18" customHeight="1" x14ac:dyDescent="0.25">
      <c r="B151" s="6"/>
      <c r="AN151" s="9"/>
      <c r="AP151" s="8"/>
      <c r="AR151" s="6"/>
      <c r="CD151" s="9"/>
      <c r="CF151" s="8"/>
      <c r="EA151" s="1">
        <f t="shared" si="538"/>
        <v>30.2</v>
      </c>
      <c r="EB151" s="1" t="str">
        <f t="shared" si="549"/>
        <v>4.97521360757534E-06-0.0150251450948775i</v>
      </c>
      <c r="EC151" s="1" t="str">
        <f t="shared" si="550"/>
        <v>9.74735727198432E-06-0.0294370189613927i</v>
      </c>
      <c r="ED151" s="1" t="str">
        <f t="shared" si="551"/>
        <v>0.0000240891720081071-0.0727492994644835i</v>
      </c>
      <c r="EE151" s="1" t="str">
        <f t="shared" si="552"/>
        <v>0.0000336419205845571-0.101598600165362i</v>
      </c>
      <c r="EF151" s="1" t="str">
        <f t="shared" si="553"/>
        <v>0.548141393393865i</v>
      </c>
      <c r="EG151" s="1" t="str">
        <f t="shared" si="554"/>
        <v>0.54791309627042i</v>
      </c>
      <c r="EH151" s="1" t="str">
        <f t="shared" si="555"/>
        <v>0.548349407921632i</v>
      </c>
      <c r="EI151" s="1" t="str">
        <f t="shared" si="556"/>
        <v>0.548295842927084i</v>
      </c>
      <c r="EJ151" s="1" t="str">
        <f t="shared" si="544"/>
        <v>0.005</v>
      </c>
      <c r="EK151" s="1" t="str">
        <f t="shared" si="545"/>
        <v>0.01</v>
      </c>
      <c r="EL151" s="1" t="str">
        <f t="shared" si="546"/>
        <v>0.0125</v>
      </c>
      <c r="EM151" s="1" t="str">
        <f t="shared" si="493"/>
        <v>0.00500497521360758+0.533116248298988i</v>
      </c>
      <c r="EN151" s="1" t="str">
        <f t="shared" si="494"/>
        <v>-0.005</v>
      </c>
      <c r="EO151" s="1" t="str">
        <f t="shared" si="495"/>
        <v>0.0358193382176506-108.174401417305i</v>
      </c>
      <c r="EP151" s="1" t="str">
        <f t="shared" si="496"/>
        <v>-0.005</v>
      </c>
      <c r="EQ151" s="1" t="str">
        <f t="shared" si="497"/>
        <v>0.015009747357272+0.518476077309027i</v>
      </c>
      <c r="ER151" s="1" t="str">
        <f t="shared" si="498"/>
        <v>-0.01</v>
      </c>
      <c r="ES151" s="1" t="str">
        <f t="shared" si="499"/>
        <v>0.070176662630499-211.933521144107i</v>
      </c>
      <c r="ET151" s="1" t="str">
        <f t="shared" si="500"/>
        <v>-0.01</v>
      </c>
      <c r="EU151" s="1" t="str">
        <f t="shared" si="501"/>
        <v>0.0225240891720081+0.475600108457149i</v>
      </c>
      <c r="EV151" s="1" t="str">
        <f t="shared" si="502"/>
        <v>-0.0125</v>
      </c>
      <c r="EW151" s="1" t="str">
        <f t="shared" si="503"/>
        <v>0.173431387594645-523.762790535828i</v>
      </c>
      <c r="EX151" s="1" t="str">
        <f t="shared" si="504"/>
        <v>-0.0125</v>
      </c>
      <c r="EY151" s="1" t="str">
        <f t="shared" si="505"/>
        <v>0.0125336419205846+0.446697242761722i</v>
      </c>
      <c r="EZ151" s="1" t="str">
        <f t="shared" si="506"/>
        <v>0.242206953662209-731.465000059869i</v>
      </c>
      <c r="FB151" s="1" t="str">
        <f t="shared" si="507"/>
        <v>0.00500497521360758+0.533116248298988i</v>
      </c>
      <c r="FC151" s="1" t="str">
        <f t="shared" si="508"/>
        <v>0.0358193382176506-108.174401417305i</v>
      </c>
      <c r="FD151" s="1" t="str">
        <f t="shared" si="509"/>
        <v>-0.0000880419841073686+0.00937799095038627i</v>
      </c>
      <c r="FE151" s="1" t="str">
        <f t="shared" si="510"/>
        <v>0.0150093071473515+0.518522967263779i</v>
      </c>
      <c r="FF151" s="1" t="str">
        <f t="shared" si="511"/>
        <v>-0.944278741318831-211.943380946467i</v>
      </c>
      <c r="FG151" s="1" t="str">
        <f t="shared" si="512"/>
        <v>-0.00055777739869074+0.0192694032444282i</v>
      </c>
      <c r="FH151" s="1" t="str">
        <f t="shared" si="513"/>
        <v>0.0225185113980212+0.475792802489593i</v>
      </c>
      <c r="FI151" s="1" t="str">
        <f t="shared" si="514"/>
        <v>-3.91111778219025-523.86281207568i</v>
      </c>
      <c r="FJ151" s="1" t="str">
        <f t="shared" si="515"/>
        <v>-0.00124062986908151+0.0262132230603156i</v>
      </c>
      <c r="FK151" s="1" t="str">
        <f t="shared" si="516"/>
        <v>0.0125181340472211+0.447024908049976i</v>
      </c>
      <c r="FL151" s="1" t="str">
        <f t="shared" si="517"/>
        <v>-13.4870887411871-732.11934201777i</v>
      </c>
      <c r="FM151" s="1" t="str">
        <f t="shared" si="518"/>
        <v>-1637.32054132168-15.6794602428792i</v>
      </c>
      <c r="FN151" s="1" t="str">
        <f t="shared" si="519"/>
        <v>-1101.40111759652-0.891751765598869i</v>
      </c>
      <c r="FO151" s="1" t="str">
        <f t="shared" si="520"/>
        <v>-409.086437153144+11.2206908846084i</v>
      </c>
      <c r="FP151" s="1" t="str">
        <f t="shared" si="521"/>
        <v>-202.821870033892+1.8654363254244i</v>
      </c>
      <c r="FQ151" s="92" t="str">
        <f t="shared" si="522"/>
        <v>0.00879996889060039-111.221838723923i</v>
      </c>
      <c r="FR151" s="1" t="str">
        <f t="shared" si="523"/>
        <v>-1.02252286670566-111.175062451127i</v>
      </c>
      <c r="FS151" s="1" t="str">
        <f t="shared" si="524"/>
        <v>1.03132283559626-0.04677627279592i</v>
      </c>
      <c r="FT151" s="1" t="str">
        <f t="shared" si="525"/>
        <v>-0.25613951604159-223.975915723516i</v>
      </c>
      <c r="FU151" s="1" t="str">
        <f t="shared" si="526"/>
        <v>0.264837544809883-603.888928788812i</v>
      </c>
      <c r="FV151" s="1" t="str">
        <f t="shared" si="527"/>
        <v>1.89030077330979-897.813947592987i</v>
      </c>
      <c r="FW151" s="1" t="str">
        <f t="shared" si="528"/>
        <v>-1.02252286670566-111.175062451127i</v>
      </c>
      <c r="FX151" s="1" t="str">
        <f t="shared" si="529"/>
        <v>-6.14796348487907-224.143816422814i</v>
      </c>
      <c r="FY151" s="1" t="str">
        <f t="shared" si="530"/>
        <v>0.48899155267921-603.952650718276i</v>
      </c>
      <c r="FZ151" s="1" t="str">
        <f t="shared" si="531"/>
        <v>8.59698287051115-897.7360463458i</v>
      </c>
      <c r="GA151" s="1" t="str">
        <f t="shared" si="532"/>
        <v>1.03132283559626-0.04677627279592i</v>
      </c>
      <c r="GB151" s="1" t="str">
        <f t="shared" si="533"/>
        <v>6.92314680443376+0.121124426502073i</v>
      </c>
      <c r="GC151" s="1" t="str">
        <f t="shared" si="534"/>
        <v>6.6989927965645+0.184846355966004i</v>
      </c>
      <c r="GD151" s="92" t="str">
        <f t="shared" si="535"/>
        <v>1.90779877096868-1836.90063082924i</v>
      </c>
      <c r="GE151" s="1" t="str">
        <f t="shared" si="557"/>
        <v>0.00407067655353459+3.91940095720517i</v>
      </c>
      <c r="GF151" s="1">
        <f t="shared" si="558"/>
        <v>30.2</v>
      </c>
      <c r="GG151" s="56">
        <f t="shared" si="559"/>
        <v>0.21297696853130979</v>
      </c>
      <c r="GH151" s="1">
        <f t="shared" si="560"/>
        <v>0.78702303831942888</v>
      </c>
      <c r="GJ151" s="1">
        <f t="shared" si="536"/>
        <v>1836.9016215456425</v>
      </c>
      <c r="GK151" s="1">
        <f t="shared" si="537"/>
        <v>3.9194030711000374</v>
      </c>
      <c r="GM151" s="1" t="str">
        <f t="shared" si="561"/>
        <v>0.0191834803010191+14.4835276272695i</v>
      </c>
      <c r="GP151" s="1">
        <f t="shared" si="547"/>
        <v>30.2</v>
      </c>
      <c r="GQ151" s="1">
        <f t="shared" si="548"/>
        <v>3.9194030711000374</v>
      </c>
      <c r="GR151" s="1">
        <f t="shared" si="562"/>
        <v>14.483540331555519</v>
      </c>
      <c r="GS151" s="1">
        <f t="shared" si="563"/>
        <v>3.0846605134156588</v>
      </c>
    </row>
    <row r="152" spans="2:201" ht="18" customHeight="1" thickBot="1" x14ac:dyDescent="0.3">
      <c r="B152" s="6"/>
      <c r="C152" s="10" t="str">
        <f>"Harmonic Filter Design - H - Type | "&amp; H12 &amp; " | " &amp; AE13</f>
        <v xml:space="preserve">Harmonic Filter Design - H - Type | Enter Customer PO #  | </v>
      </c>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1"/>
      <c r="AO152" s="10"/>
      <c r="AP152" s="8"/>
      <c r="AR152" s="6"/>
      <c r="AS152" s="10" t="str">
        <f>"Harmonic Filter Design - H - Type | "&amp; H12 &amp; " | " &amp; AE13</f>
        <v xml:space="preserve">Harmonic Filter Design - H - Type | Enter Customer PO #  | </v>
      </c>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1"/>
      <c r="CE152" s="10"/>
      <c r="CF152" s="8"/>
      <c r="EA152" s="1">
        <f t="shared" si="538"/>
        <v>30.4</v>
      </c>
      <c r="EB152" s="1" t="str">
        <f t="shared" si="549"/>
        <v>4.90996561761794E-06-0.0149262954775586i</v>
      </c>
      <c r="EC152" s="1" t="str">
        <f t="shared" si="550"/>
        <v>9.61952447533315E-06-0.0292433544050128i</v>
      </c>
      <c r="ED152" s="1" t="str">
        <f t="shared" si="551"/>
        <v>0.0000237732518934664-0.0722706857561381i</v>
      </c>
      <c r="EE152" s="1" t="str">
        <f t="shared" si="552"/>
        <v>0.0000332007198905595-0.100930188467301i</v>
      </c>
      <c r="EF152" s="1" t="str">
        <f t="shared" si="553"/>
        <v>0.551771468846803i</v>
      </c>
      <c r="EG152" s="1" t="str">
        <f t="shared" si="554"/>
        <v>0.551541659821879i</v>
      </c>
      <c r="EH152" s="1" t="str">
        <f t="shared" si="555"/>
        <v>0.551980860954225i</v>
      </c>
      <c r="EI152" s="1" t="str">
        <f t="shared" si="556"/>
        <v>0.551926941224615i</v>
      </c>
      <c r="EJ152" s="1" t="str">
        <f t="shared" si="544"/>
        <v>0.005</v>
      </c>
      <c r="EK152" s="1" t="str">
        <f t="shared" si="545"/>
        <v>0.01</v>
      </c>
      <c r="EL152" s="1" t="str">
        <f t="shared" si="546"/>
        <v>0.0125</v>
      </c>
      <c r="EM152" s="1" t="str">
        <f t="shared" si="493"/>
        <v>0.00500490996561762+0.536845173369244i</v>
      </c>
      <c r="EN152" s="1" t="str">
        <f t="shared" si="494"/>
        <v>-0.005</v>
      </c>
      <c r="EO152" s="1" t="str">
        <f t="shared" si="495"/>
        <v>0.0353495815389128-107.462727878295i</v>
      </c>
      <c r="EP152" s="1" t="str">
        <f t="shared" si="496"/>
        <v>-0.005</v>
      </c>
      <c r="EQ152" s="1" t="str">
        <f t="shared" si="497"/>
        <v>0.0150096195244753+0.522298305416866i</v>
      </c>
      <c r="ER152" s="1" t="str">
        <f t="shared" si="498"/>
        <v>-0.01</v>
      </c>
      <c r="ES152" s="1" t="str">
        <f t="shared" si="499"/>
        <v>0.0692563230150131-210.53922196564i</v>
      </c>
      <c r="ET152" s="1" t="str">
        <f t="shared" si="500"/>
        <v>-0.01</v>
      </c>
      <c r="EU152" s="1" t="str">
        <f t="shared" si="501"/>
        <v>0.0225237732518935+0.479710175198087i</v>
      </c>
      <c r="EV152" s="1" t="str">
        <f t="shared" si="502"/>
        <v>-0.0125</v>
      </c>
      <c r="EW152" s="1" t="str">
        <f t="shared" si="503"/>
        <v>0.171156902451164-520.31698345154i</v>
      </c>
      <c r="EX152" s="1" t="str">
        <f t="shared" si="504"/>
        <v>-0.0125</v>
      </c>
      <c r="EY152" s="1" t="str">
        <f t="shared" si="505"/>
        <v>0.0125332007198906+0.450996752757314i</v>
      </c>
      <c r="EZ152" s="1" t="str">
        <f t="shared" si="506"/>
        <v>0.239030503739316-726.65273136752i</v>
      </c>
      <c r="FB152" s="1" t="str">
        <f t="shared" si="507"/>
        <v>0.00500490996561762+0.536845173369244i</v>
      </c>
      <c r="FC152" s="1" t="str">
        <f t="shared" si="508"/>
        <v>0.0353495815389128-107.462727878295i</v>
      </c>
      <c r="FD152" s="1" t="str">
        <f t="shared" si="509"/>
        <v>-0.0000868221273507934+0.00931286283472063i</v>
      </c>
      <c r="FE152" s="1" t="str">
        <f t="shared" si="510"/>
        <v>0.0150091854138385+0.52234486973104i</v>
      </c>
      <c r="FF152" s="1" t="str">
        <f t="shared" si="511"/>
        <v>-0.931526252434587-210.548881314089i</v>
      </c>
      <c r="FG152" s="1" t="str">
        <f t="shared" si="512"/>
        <v>-0.00054964720665288+0.0191286462683322i</v>
      </c>
      <c r="FH152" s="1" t="str">
        <f t="shared" si="513"/>
        <v>0.022518276779827+0.47990146166077i</v>
      </c>
      <c r="FI152" s="1" t="str">
        <f t="shared" si="514"/>
        <v>-3.85687018120168-520.414892219846i</v>
      </c>
      <c r="FJ152" s="1" t="str">
        <f t="shared" si="515"/>
        <v>-0.00121951140945594+0.0259897910320645i</v>
      </c>
      <c r="FK152" s="1" t="str">
        <f t="shared" si="516"/>
        <v>0.0125179568272724+0.451321625145215i</v>
      </c>
      <c r="FL152" s="1" t="str">
        <f t="shared" si="517"/>
        <v>-13.283690438805-727.291712197501i</v>
      </c>
      <c r="FM152" s="1" t="str">
        <f t="shared" si="518"/>
        <v>-1611.04798413641-15.2515153047763i</v>
      </c>
      <c r="FN152" s="1" t="str">
        <f t="shared" si="519"/>
        <v>-1084.77529877024-0.90081083984412i</v>
      </c>
      <c r="FO152" s="1" t="str">
        <f t="shared" si="520"/>
        <v>-403.416183370009+10.9589110120694i</v>
      </c>
      <c r="FP152" s="1" t="str">
        <f t="shared" si="521"/>
        <v>-200.089481706095+1.82604136710898i</v>
      </c>
      <c r="FQ152" s="92" t="str">
        <f t="shared" si="522"/>
        <v>0.00907598101482299-110.449331569992i</v>
      </c>
      <c r="FR152" s="1" t="str">
        <f t="shared" si="523"/>
        <v>-1.00755752730475-110.403667221768i</v>
      </c>
      <c r="FS152" s="1" t="str">
        <f t="shared" si="524"/>
        <v>1.01663350831957-0.0456643482248021i</v>
      </c>
      <c r="FT152" s="1" t="str">
        <f t="shared" si="525"/>
        <v>-0.247338323754257-222.336569808159i</v>
      </c>
      <c r="FU152" s="1" t="str">
        <f t="shared" si="526"/>
        <v>0.262047756008736-598.714416769782i</v>
      </c>
      <c r="FV152" s="1" t="str">
        <f t="shared" si="527"/>
        <v>1.83185677071388-889.255601674985i</v>
      </c>
      <c r="FW152" s="1" t="str">
        <f t="shared" si="528"/>
        <v>-1.00755752730475-110.403667221768i</v>
      </c>
      <c r="FX152" s="1" t="str">
        <f t="shared" si="529"/>
        <v>-6.04429596943702-222.500831374902i</v>
      </c>
      <c r="FY152" s="1" t="str">
        <f t="shared" si="530"/>
        <v>0.497230342934056-598.775203357074i</v>
      </c>
      <c r="FZ152" s="1" t="str">
        <f t="shared" si="531"/>
        <v>8.41772219120559-889.180786050491i</v>
      </c>
      <c r="GA152" s="1" t="str">
        <f t="shared" si="532"/>
        <v>1.01663350831957-0.0456643482248021i</v>
      </c>
      <c r="GB152" s="1" t="str">
        <f t="shared" si="533"/>
        <v>6.81359115400231+0.118597218519135i</v>
      </c>
      <c r="GC152" s="1" t="str">
        <f t="shared" si="534"/>
        <v>6.57840856707713+0.179383805811653i</v>
      </c>
      <c r="GD152" s="92" t="str">
        <f t="shared" si="535"/>
        <v>1.85564218398318-1820.75591982292i</v>
      </c>
      <c r="GE152" s="1" t="str">
        <f t="shared" si="557"/>
        <v>0.00402991745373604+3.95415459058895i</v>
      </c>
      <c r="GF152" s="1">
        <f t="shared" si="558"/>
        <v>30.4</v>
      </c>
      <c r="GG152" s="56">
        <f t="shared" si="559"/>
        <v>0.21335054300275738</v>
      </c>
      <c r="GH152" s="1">
        <f t="shared" si="560"/>
        <v>0.78664946438090111</v>
      </c>
      <c r="GJ152" s="1">
        <f t="shared" si="536"/>
        <v>1820.7568654211148</v>
      </c>
      <c r="GK152" s="1">
        <f t="shared" si="537"/>
        <v>3.9541566441543963</v>
      </c>
      <c r="GM152" s="1" t="str">
        <f t="shared" si="561"/>
        <v>0.0191834803010191+14.5794450287746i</v>
      </c>
      <c r="GP152" s="1">
        <f t="shared" si="547"/>
        <v>30.4</v>
      </c>
      <c r="GQ152" s="1">
        <f t="shared" si="548"/>
        <v>3.9541566441543963</v>
      </c>
      <c r="GR152" s="1">
        <f t="shared" si="562"/>
        <v>14.579457649479863</v>
      </c>
      <c r="GS152" s="1">
        <f t="shared" si="563"/>
        <v>3.1105352062022296</v>
      </c>
    </row>
    <row r="153" spans="2:201" ht="18" customHeight="1" x14ac:dyDescent="0.25">
      <c r="B153" s="6"/>
      <c r="AN153" s="9"/>
      <c r="AP153" s="8"/>
      <c r="AR153" s="6"/>
      <c r="CD153" s="9"/>
      <c r="CF153" s="8"/>
      <c r="EA153" s="1">
        <f t="shared" si="538"/>
        <v>30.6</v>
      </c>
      <c r="EB153" s="1" t="str">
        <f t="shared" si="549"/>
        <v>4.84599281427558E-06-0.0148287380116833i</v>
      </c>
      <c r="EC153" s="1" t="str">
        <f t="shared" si="550"/>
        <v>9.49419000347869E-06-0.0290522214106448i</v>
      </c>
      <c r="ED153" s="1" t="str">
        <f t="shared" si="551"/>
        <v>0.0000234635060242222-0.0717983284341199i</v>
      </c>
      <c r="EE153" s="1" t="str">
        <f t="shared" si="552"/>
        <v>0.0000327681418870064-0.10027051417424i</v>
      </c>
      <c r="EF153" s="1" t="str">
        <f t="shared" si="553"/>
        <v>0.555401544299744i</v>
      </c>
      <c r="EG153" s="1" t="str">
        <f t="shared" si="554"/>
        <v>0.555170223373338i</v>
      </c>
      <c r="EH153" s="1" t="str">
        <f t="shared" si="555"/>
        <v>0.555612313986819i</v>
      </c>
      <c r="EI153" s="1" t="str">
        <f t="shared" si="556"/>
        <v>0.555558039522143i</v>
      </c>
      <c r="EJ153" s="1" t="str">
        <f t="shared" si="544"/>
        <v>0.005</v>
      </c>
      <c r="EK153" s="1" t="str">
        <f t="shared" si="545"/>
        <v>0.01</v>
      </c>
      <c r="EL153" s="1" t="str">
        <f t="shared" si="546"/>
        <v>0.0125</v>
      </c>
      <c r="EM153" s="1" t="str">
        <f t="shared" si="493"/>
        <v>0.00500484599281428+0.540572806288061i</v>
      </c>
      <c r="EN153" s="1" t="str">
        <f t="shared" si="494"/>
        <v>-0.005</v>
      </c>
      <c r="EO153" s="1" t="str">
        <f t="shared" si="495"/>
        <v>0.0348890056399881-106.760357258364i</v>
      </c>
      <c r="EP153" s="1" t="str">
        <f t="shared" si="496"/>
        <v>-0.005</v>
      </c>
      <c r="EQ153" s="1" t="str">
        <f t="shared" si="497"/>
        <v>0.0150094941900035+0.526118001962693i</v>
      </c>
      <c r="ER153" s="1" t="str">
        <f t="shared" si="498"/>
        <v>-0.01</v>
      </c>
      <c r="ES153" s="1" t="str">
        <f t="shared" si="499"/>
        <v>0.0683539702334461-209.163148914345i</v>
      </c>
      <c r="ET153" s="1" t="str">
        <f t="shared" si="500"/>
        <v>-0.01</v>
      </c>
      <c r="EU153" s="1" t="str">
        <f t="shared" si="501"/>
        <v>0.0225234635060242+0.483813985552699i</v>
      </c>
      <c r="EV153" s="1" t="str">
        <f t="shared" si="502"/>
        <v>-0.0125</v>
      </c>
      <c r="EW153" s="1" t="str">
        <f t="shared" si="503"/>
        <v>0.168926869144637-516.91621958259i</v>
      </c>
      <c r="EX153" s="1" t="str">
        <f t="shared" si="504"/>
        <v>-0.0125</v>
      </c>
      <c r="EY153" s="1" t="str">
        <f t="shared" si="505"/>
        <v>0.012532768141887+0.455287525347903i</v>
      </c>
      <c r="EZ153" s="1" t="str">
        <f t="shared" si="506"/>
        <v>0.235916133375158-721.903368127987i</v>
      </c>
      <c r="FB153" s="1" t="str">
        <f t="shared" si="507"/>
        <v>0.00500484599281428+0.540572806288061i</v>
      </c>
      <c r="FC153" s="1" t="str">
        <f t="shared" si="508"/>
        <v>0.0348890056399881-106.760357258364i</v>
      </c>
      <c r="FD153" s="1" t="str">
        <f t="shared" si="509"/>
        <v>-0.0000856278634702648+0.00924865510727608i</v>
      </c>
      <c r="FE153" s="1" t="str">
        <f t="shared" si="510"/>
        <v>0.0150090660506861+0.526164245238229i</v>
      </c>
      <c r="FF153" s="1" t="str">
        <f t="shared" si="511"/>
        <v>-0.91903276570773-209.172613252021i</v>
      </c>
      <c r="FG153" s="1" t="str">
        <f t="shared" si="512"/>
        <v>-0.000541698659729079+0.0189900201305252i</v>
      </c>
      <c r="FH153" s="1" t="str">
        <f t="shared" si="513"/>
        <v>0.0225180465194269+0.484003885754004i</v>
      </c>
      <c r="FI153" s="1" t="str">
        <f t="shared" si="514"/>
        <v>-3.80376310608323-517.012075656119i</v>
      </c>
      <c r="FJ153" s="1" t="str">
        <f t="shared" si="515"/>
        <v>-0.00119895808480947+0.0257704579925849i</v>
      </c>
      <c r="FK153" s="1" t="str">
        <f t="shared" si="516"/>
        <v>0.0125177811658269+0.45560965607281i</v>
      </c>
      <c r="FL153" s="1" t="str">
        <f t="shared" si="517"/>
        <v>-13.0850490528282-722.52748233141i</v>
      </c>
      <c r="FM153" s="1" t="str">
        <f t="shared" si="518"/>
        <v>-1585.43988645786-14.8397655916763i</v>
      </c>
      <c r="FN153" s="1" t="str">
        <f t="shared" si="519"/>
        <v>-1068.53918591636-0.908367520239418i</v>
      </c>
      <c r="FO153" s="1" t="str">
        <f t="shared" si="520"/>
        <v>-397.86507368516+10.7054812364137i</v>
      </c>
      <c r="FP153" s="1" t="str">
        <f t="shared" si="521"/>
        <v>-197.412404220731+1.78776599811953i</v>
      </c>
      <c r="FQ153" s="92" t="str">
        <f t="shared" si="522"/>
        <v>0.00933535111998064-109.687742744311i</v>
      </c>
      <c r="FR153" s="1" t="str">
        <f t="shared" si="523"/>
        <v>-0.99292799620216-109.643154168119i</v>
      </c>
      <c r="FS153" s="1" t="str">
        <f t="shared" si="524"/>
        <v>1.00226334732214-0.0445885761914709i</v>
      </c>
      <c r="FT153" s="1" t="str">
        <f t="shared" si="525"/>
        <v>-0.238886634349033-220.722114766482i</v>
      </c>
      <c r="FU153" s="1" t="str">
        <f t="shared" si="526"/>
        <v>0.25921781432754-593.635525684252i</v>
      </c>
      <c r="FV153" s="1" t="str">
        <f t="shared" si="527"/>
        <v>1.77585897863051-880.875754463921i</v>
      </c>
      <c r="FW153" s="1" t="str">
        <f t="shared" si="528"/>
        <v>-0.99292799620216-109.643154168119i</v>
      </c>
      <c r="FX153" s="1" t="str">
        <f t="shared" si="529"/>
        <v>-5.94336440933887-220.88284183024i</v>
      </c>
      <c r="FY153" s="1" t="str">
        <f t="shared" si="530"/>
        <v>0.504700179870692-593.693529672581i</v>
      </c>
      <c r="FZ153" s="1" t="str">
        <f t="shared" si="531"/>
        <v>8.24435107907984-880.803875100738i</v>
      </c>
      <c r="GA153" s="1" t="str">
        <f t="shared" si="532"/>
        <v>1.00226334732214-0.0445885761914709i</v>
      </c>
      <c r="GB153" s="1" t="str">
        <f t="shared" si="533"/>
        <v>6.706741122312+0.116138487566531i</v>
      </c>
      <c r="GC153" s="1" t="str">
        <f t="shared" si="534"/>
        <v>6.46125875676875+0.174142475892961i</v>
      </c>
      <c r="GD153" s="92" t="str">
        <f t="shared" si="535"/>
        <v>1.805525509729-1804.92113765897i</v>
      </c>
      <c r="GE153" s="1" t="str">
        <f t="shared" si="557"/>
        <v>0.00399018065036986+3.9888449983802i</v>
      </c>
      <c r="GF153" s="1">
        <f t="shared" si="558"/>
        <v>30.6</v>
      </c>
      <c r="GG153" s="56">
        <f t="shared" si="559"/>
        <v>0.21371622313969568</v>
      </c>
      <c r="GH153" s="1">
        <f t="shared" si="560"/>
        <v>0.78628378477166516</v>
      </c>
      <c r="GJ153" s="1">
        <f t="shared" si="536"/>
        <v>1804.922040723786</v>
      </c>
      <c r="GK153" s="1">
        <f t="shared" si="537"/>
        <v>3.9888469941380751</v>
      </c>
      <c r="GM153" s="1" t="str">
        <f t="shared" si="561"/>
        <v>0.0191834803010191+14.6753624302797i</v>
      </c>
      <c r="GP153" s="1">
        <f t="shared" si="547"/>
        <v>30.6</v>
      </c>
      <c r="GQ153" s="1">
        <f t="shared" si="548"/>
        <v>3.9888469941380751</v>
      </c>
      <c r="GR153" s="1">
        <f t="shared" si="562"/>
        <v>14.675374968496763</v>
      </c>
      <c r="GS153" s="1">
        <f t="shared" si="563"/>
        <v>3.13636571142596</v>
      </c>
    </row>
    <row r="154" spans="2:201" ht="18" customHeight="1" x14ac:dyDescent="0.25">
      <c r="B154" s="6"/>
      <c r="AO154" s="17"/>
      <c r="AP154" s="8"/>
      <c r="AR154" s="6"/>
      <c r="AS154" s="46"/>
      <c r="AT154" s="46"/>
      <c r="AU154" s="46"/>
      <c r="AV154" s="46"/>
      <c r="AW154" s="46"/>
      <c r="AX154" s="46"/>
      <c r="AY154" s="46"/>
      <c r="AZ154" s="46"/>
      <c r="BA154" s="46"/>
      <c r="BB154" s="46"/>
      <c r="BC154" s="46"/>
      <c r="BD154" s="46"/>
      <c r="BE154" s="46"/>
      <c r="BF154" s="46"/>
      <c r="BG154" s="46"/>
      <c r="BH154" s="46"/>
      <c r="BI154" s="46"/>
      <c r="BJ154" s="46"/>
      <c r="BK154" s="46"/>
      <c r="BL154" s="46"/>
      <c r="BM154" s="46"/>
      <c r="BN154" s="46"/>
      <c r="BO154" s="46"/>
      <c r="BP154" s="46"/>
      <c r="BQ154" s="46"/>
      <c r="BR154" s="46"/>
      <c r="BS154" s="46"/>
      <c r="BT154" s="46"/>
      <c r="BU154" s="46"/>
      <c r="BV154" s="46"/>
      <c r="BW154" s="46"/>
      <c r="BX154" s="46"/>
      <c r="BY154" s="46"/>
      <c r="BZ154" s="46"/>
      <c r="CA154" s="46"/>
      <c r="CB154" s="46"/>
      <c r="CC154" s="46"/>
      <c r="CD154" s="46"/>
      <c r="CE154" s="46"/>
      <c r="CF154" s="8"/>
      <c r="EA154" s="1">
        <f t="shared" si="538"/>
        <v>30.8</v>
      </c>
      <c r="EB154" s="1" t="str">
        <f t="shared" si="549"/>
        <v>4.78326218359773E-06-0.014732447525481i</v>
      </c>
      <c r="EC154" s="1" t="str">
        <f t="shared" si="550"/>
        <v>9.37128917602822E-06-0.0288635706621669i</v>
      </c>
      <c r="ED154" s="1" t="str">
        <f t="shared" si="551"/>
        <v>0.0000231597745522156-0.071332105620824i</v>
      </c>
      <c r="EE154" s="1" t="str">
        <f t="shared" si="552"/>
        <v>0.0000323439633367082-0.0996194070770617i</v>
      </c>
      <c r="EF154" s="1" t="str">
        <f t="shared" si="553"/>
        <v>0.559031619752683i</v>
      </c>
      <c r="EG154" s="1" t="str">
        <f t="shared" si="554"/>
        <v>0.558798786924797i</v>
      </c>
      <c r="EH154" s="1" t="str">
        <f t="shared" si="555"/>
        <v>0.559243767019414i</v>
      </c>
      <c r="EI154" s="1" t="str">
        <f t="shared" si="556"/>
        <v>0.559189137819674i</v>
      </c>
      <c r="EJ154" s="1" t="str">
        <f t="shared" si="544"/>
        <v>0.005</v>
      </c>
      <c r="EK154" s="1" t="str">
        <f t="shared" si="545"/>
        <v>0.01</v>
      </c>
      <c r="EL154" s="1" t="str">
        <f t="shared" si="546"/>
        <v>0.0125</v>
      </c>
      <c r="EM154" s="1" t="str">
        <f t="shared" ref="EM154:EM217" si="564">IMSUM(EB154,EF154,EJ154)</f>
        <v>0.0050047832621836+0.544299172227202i</v>
      </c>
      <c r="EN154" s="1" t="str">
        <f t="shared" ref="EN154:EN217" si="565">IMPRODUCT("-1+0i",EJ154)</f>
        <v>-0.005</v>
      </c>
      <c r="EO154" s="1" t="str">
        <f t="shared" ref="EO154:EO217" si="566">IMPRODUCT($EO$1,EB154)</f>
        <v>0.0344373728350297-106.067108331891i</v>
      </c>
      <c r="EP154" s="1" t="str">
        <f t="shared" ref="EP154:EP217" si="567">IMPRODUCT("-1+0i",EJ154)</f>
        <v>-0.005</v>
      </c>
      <c r="EQ154" s="1" t="str">
        <f t="shared" ref="EQ154:EQ217" si="568">IMSUM(EC154,EG154,EJ154,EK154)</f>
        <v>0.015009371289176+0.52993521626263i</v>
      </c>
      <c r="ER154" s="1" t="str">
        <f t="shared" ref="ER154:ER217" si="569">IMPRODUCT("-1+0i",EK154)</f>
        <v>-0.01</v>
      </c>
      <c r="ES154" s="1" t="str">
        <f t="shared" ref="ES154:ES217" si="570">IMPRODUCT($EO$1,EC154)</f>
        <v>0.0674691386155685-207.804946935951i</v>
      </c>
      <c r="ET154" s="1" t="str">
        <f t="shared" ref="ET154:ET217" si="571">IMPRODUCT("-1+0i",EK154)</f>
        <v>-0.01</v>
      </c>
      <c r="EU154" s="1" t="str">
        <f t="shared" ref="EU154:EU217" si="572">IMSUM(ED154,EH154,EK154,EL154)</f>
        <v>0.0225231597745522+0.48791166139859i</v>
      </c>
      <c r="EV154" s="1" t="str">
        <f t="shared" ref="EV154:EV217" si="573">IMPRODUCT("-1+0i",EL154)</f>
        <v>-0.0125</v>
      </c>
      <c r="EW154" s="1" t="str">
        <f t="shared" ref="EW154:EW217" si="574">IMPRODUCT($EO$1,ED154)</f>
        <v>0.166740136838996-513.559621464108i</v>
      </c>
      <c r="EX154" s="1" t="str">
        <f t="shared" ref="EX154:EX217" si="575">IMPRODUCT("-1+0i",EL154)</f>
        <v>-0.0125</v>
      </c>
      <c r="EY154" s="1" t="str">
        <f t="shared" ref="EY154:EY217" si="576">IMSUM(EE154,EI154,EL154)</f>
        <v>0.0125323439633367+0.459569730742612i</v>
      </c>
      <c r="EZ154" s="1" t="str">
        <f t="shared" ref="EZ154:EZ217" si="577">IMPRODUCT($EO$1,EE154)</f>
        <v>0.232862235360675-717.215684910882i</v>
      </c>
      <c r="FB154" s="1" t="str">
        <f t="shared" ref="FB154:FB217" si="578">EM154</f>
        <v>0.0050047832621836+0.544299172227202i</v>
      </c>
      <c r="FC154" s="1" t="str">
        <f t="shared" ref="FC154:FC217" si="579">EO154</f>
        <v>0.0344373728350297-106.067108331891i</v>
      </c>
      <c r="FD154" s="1" t="str">
        <f t="shared" ref="FD154:FD217" si="580">IMDIV(EP154,FB154)</f>
        <v>-0.0000844584709793968+0.0091853479828023i</v>
      </c>
      <c r="FE154" s="1" t="str">
        <f t="shared" ref="FE154:FE217" si="581">IMSUB(EQ154,IMPRODUCT(FD154,EN154))</f>
        <v>0.0150089489968211+0.529981143002544i</v>
      </c>
      <c r="FF154" s="1" t="str">
        <f t="shared" ref="FF154:FF217" si="582">IMSUB(ES154,IMPRODUCT(FD154,FC154))</f>
        <v>-0.906791252414586-207.814221520995i</v>
      </c>
      <c r="FG154" s="1" t="str">
        <f t="shared" ref="FG154:FG217" si="583">IMDIV(ET154,FE154)</f>
        <v>-0.00053392625605435+0.0188534751848838i</v>
      </c>
      <c r="FH154" s="1" t="str">
        <f t="shared" ref="FH154:FH217" si="584">IMSUB(EU154,IMPRODUCT(FG154,ER154))</f>
        <v>0.0225178205119917+0.488100196150439i</v>
      </c>
      <c r="FI154" s="1" t="str">
        <f t="shared" ref="FI154:FI217" si="585">IMSUB(EW154,IMPRODUCT(FG154,FF154))</f>
        <v>-3.75176429133145-513.653482766984i</v>
      </c>
      <c r="FJ154" s="1" t="str">
        <f t="shared" ref="FJ154:FJ217" si="586">IMDIV(EX154,FH154)</f>
        <v>-0.00117894914262839+0.0255551067858392i</v>
      </c>
      <c r="FK154" s="1" t="str">
        <f t="shared" ref="FK154:FK217" si="587">IMSUB(EY154,IMPRODUCT(FJ154,EV154))</f>
        <v>0.0125176070990538+0.459889169577435i</v>
      </c>
      <c r="FL154" s="1" t="str">
        <f t="shared" ref="FL154:FL217" si="588">IMSUB(EZ154,IMPRODUCT(FJ154,EW154))</f>
        <v>-12.8910121539084-717.825406648298i</v>
      </c>
      <c r="FM154" s="1" t="str">
        <f t="shared" ref="FM154:FM217" si="589">IMDIV(FL154,FK154)</f>
        <v>-1560.47295085765-14.4434258796136i</v>
      </c>
      <c r="FN154" s="1" t="str">
        <f t="shared" ref="FN154:FN217" si="590">IMDIV(IMSUB(FI154,IMPRODUCT(EV154,FM154)),FH154)</f>
        <v>-1052.68024092406-0.914542850252291i</v>
      </c>
      <c r="FO154" s="1" t="str">
        <f t="shared" ref="FO154:FO217" si="591">IMDIV(IMSUB(FF154,IMPRODUCT(ER154,FN154)),FE154)</f>
        <v>-392.429738747838+10.4600622138106i</v>
      </c>
      <c r="FP154" s="1" t="str">
        <f t="shared" ref="FP154:FP217" si="592">IMDIV(IMSUB(FC154,IMPRODUCT(EN154,FO154)),FB154)</f>
        <v>-194.789142910377+1.75057014125585i</v>
      </c>
      <c r="FQ154" s="92" t="str">
        <f t="shared" ref="FQ154:FQ217" si="593">IMPRODUCT(IMSUB($EO$1,FP154),EB154)</f>
        <v>0.00957891763036263-108.936837531788i</v>
      </c>
      <c r="FR154" s="1" t="str">
        <f t="shared" ref="FR154:FR217" si="594">IMPRODUCT(FP154,EF154)</f>
        <v>-0.978624061556941-108.893290071425i</v>
      </c>
      <c r="FS154" s="1" t="str">
        <f t="shared" ref="FS154:FS217" si="595">IMPRODUCT(IMSUB(FP154,FO154),EJ154)</f>
        <v>0.988202979187305-0.0435474603627738i</v>
      </c>
      <c r="FT154" s="1" t="str">
        <f t="shared" ref="FT154:FT217" si="596">IMPRODUCT(IMSUB($EO$1,FO154),EC154)</f>
        <v>-0.230768033660336-219.131968454502i</v>
      </c>
      <c r="FU154" s="1" t="str">
        <f t="shared" ref="FU154:FU217" si="597">IMPRODUCT(IMSUB($EO$1,FN154),ED154)</f>
        <v>0.256356241083335-588.649498414051i</v>
      </c>
      <c r="FV154" s="1" t="str">
        <f t="shared" ref="FV154:FV217" si="598">IMPRODUCT(IMSUB($EO$1,FM154),EE154)</f>
        <v>1.72217963755973-872.668607877477i</v>
      </c>
      <c r="FW154" s="1" t="str">
        <f t="shared" ref="FW154:FW217" si="599">IMPRODUCT(FP154,EF154)</f>
        <v>-0.978624061556941-108.893290071425i</v>
      </c>
      <c r="FX154" s="1" t="str">
        <f t="shared" ref="FX154:FX217" si="600">IMPRODUCT(FO154,EG154)</f>
        <v>-5.84507007623527-219.289261965507i</v>
      </c>
      <c r="FY154" s="1" t="str">
        <f t="shared" ref="FY154:FY217" si="601">IMPRODUCT(FN154,EH154)</f>
        <v>0.511452388675763-588.704863401276i</v>
      </c>
      <c r="FZ154" s="1" t="str">
        <f t="shared" ref="FZ154:FZ217" si="602">IMPRODUCT(FM154,EI154)</f>
        <v>8.0766068647835-872.599523981012i</v>
      </c>
      <c r="GA154" s="1" t="str">
        <f t="shared" ref="GA154:GA217" si="603">IMPRODUCT(IMSUB(FP154,FO154),EJ154)</f>
        <v>0.988202979187305-0.0435474603627738i</v>
      </c>
      <c r="GB154" s="1" t="str">
        <f t="shared" ref="GB154:GB217" si="604">IMPRODUCT(IMSUB(FO154,FN154),EK154)</f>
        <v>6.60250502176222+0.113746050640629i</v>
      </c>
      <c r="GC154" s="1" t="str">
        <f t="shared" ref="GC154:GC217" si="605">IMPRODUCT(IMSUB(FN154,FM154),EL154)</f>
        <v>6.34740887416988+0.169111037867016i</v>
      </c>
      <c r="GD154" s="92" t="str">
        <f t="shared" ref="GD154:GD217" si="606">IMSUM(FQ154,FT154,FU154,FV154)</f>
        <v>1.75734676261309-1789.38691227782i</v>
      </c>
      <c r="GE154" s="1" t="str">
        <f t="shared" si="557"/>
        <v>0.00395143060984908+4.02347355027656i</v>
      </c>
      <c r="GF154" s="1">
        <f t="shared" si="558"/>
        <v>30.8</v>
      </c>
      <c r="GG154" s="56">
        <f t="shared" si="559"/>
        <v>0.21407423447900112</v>
      </c>
      <c r="GH154" s="1">
        <f t="shared" si="560"/>
        <v>0.78592577395348417</v>
      </c>
      <c r="GJ154" s="1">
        <f t="shared" ref="GJ154:GJ217" si="607">IMABS(GD154)</f>
        <v>1789.3877752177686</v>
      </c>
      <c r="GK154" s="1">
        <f t="shared" ref="GK154:GK217" si="608">IMABS(GE154)</f>
        <v>4.0234754906149153</v>
      </c>
      <c r="GM154" s="1" t="str">
        <f t="shared" si="561"/>
        <v>0.0191834803010191+14.7712798317848i</v>
      </c>
      <c r="GP154" s="1">
        <f t="shared" si="547"/>
        <v>30.8</v>
      </c>
      <c r="GQ154" s="1">
        <f t="shared" si="548"/>
        <v>4.0234754906149153</v>
      </c>
      <c r="GR154" s="1">
        <f t="shared" si="562"/>
        <v>14.77129228858494</v>
      </c>
      <c r="GS154" s="1">
        <f t="shared" si="563"/>
        <v>3.1621530889444136</v>
      </c>
    </row>
    <row r="155" spans="2:201" ht="18" customHeight="1" x14ac:dyDescent="0.3">
      <c r="B155" s="6"/>
      <c r="C155" s="30" t="s">
        <v>135</v>
      </c>
      <c r="AP155" s="8"/>
      <c r="AR155" s="6"/>
      <c r="AS155" s="30" t="s">
        <v>174</v>
      </c>
      <c r="CF155" s="8"/>
      <c r="EA155" s="1">
        <f t="shared" si="538"/>
        <v>31</v>
      </c>
      <c r="EB155" s="1" t="str">
        <f t="shared" si="549"/>
        <v>4.72174177315316E-06-0.0146373994967748i</v>
      </c>
      <c r="EC155" s="1" t="str">
        <f t="shared" si="550"/>
        <v>9.25075939230007E-06-0.0286773541161303i</v>
      </c>
      <c r="ED155" s="1" t="str">
        <f t="shared" si="551"/>
        <v>0.0000228619027689916-0.070871898583874i</v>
      </c>
      <c r="EE155" s="1" t="str">
        <f t="shared" si="552"/>
        <v>0.0000319279681803689-0.0989767013591439i</v>
      </c>
      <c r="EF155" s="1" t="str">
        <f t="shared" si="553"/>
        <v>0.562661695205623i</v>
      </c>
      <c r="EG155" s="1" t="str">
        <f t="shared" si="554"/>
        <v>0.562427350476256i</v>
      </c>
      <c r="EH155" s="1" t="str">
        <f t="shared" si="555"/>
        <v>0.562875220052008i</v>
      </c>
      <c r="EI155" s="1" t="str">
        <f t="shared" si="556"/>
        <v>0.562820236117204i</v>
      </c>
      <c r="EJ155" s="1" t="str">
        <f t="shared" si="544"/>
        <v>0.005</v>
      </c>
      <c r="EK155" s="1" t="str">
        <f t="shared" si="545"/>
        <v>0.01</v>
      </c>
      <c r="EL155" s="1" t="str">
        <f t="shared" si="546"/>
        <v>0.0125</v>
      </c>
      <c r="EM155" s="1" t="str">
        <f t="shared" si="564"/>
        <v>0.00500472174177315+0.548024295708848i</v>
      </c>
      <c r="EN155" s="1" t="str">
        <f t="shared" si="565"/>
        <v>-0.005</v>
      </c>
      <c r="EO155" s="1" t="str">
        <f t="shared" si="566"/>
        <v>0.0339944530806603-105.382804550047i</v>
      </c>
      <c r="EP155" s="1" t="str">
        <f t="shared" si="567"/>
        <v>-0.005</v>
      </c>
      <c r="EQ155" s="1" t="str">
        <f t="shared" si="568"/>
        <v>0.0150092507593923+0.533749996360126i</v>
      </c>
      <c r="ER155" s="1" t="str">
        <f t="shared" si="569"/>
        <v>-0.01</v>
      </c>
      <c r="ES155" s="1" t="str">
        <f t="shared" si="570"/>
        <v>0.0666013774641507-206.464270138868i</v>
      </c>
      <c r="ET155" s="1" t="str">
        <f t="shared" si="571"/>
        <v>-0.01</v>
      </c>
      <c r="EU155" s="1" t="str">
        <f t="shared" si="572"/>
        <v>0.022522861902769+0.492003321468134i</v>
      </c>
      <c r="EV155" s="1" t="str">
        <f t="shared" si="573"/>
        <v>-0.0125</v>
      </c>
      <c r="EW155" s="1" t="str">
        <f t="shared" si="574"/>
        <v>0.164595591701768-510.246334275483i</v>
      </c>
      <c r="EX155" s="1" t="str">
        <f t="shared" si="575"/>
        <v>-0.0125</v>
      </c>
      <c r="EY155" s="1" t="str">
        <f t="shared" si="576"/>
        <v>0.0125319279681804+0.46384353475806i</v>
      </c>
      <c r="EZ155" s="1" t="str">
        <f t="shared" si="577"/>
        <v>0.229867254164464-712.588487909841i</v>
      </c>
      <c r="FB155" s="1" t="str">
        <f t="shared" si="578"/>
        <v>0.00500472174177315+0.548024295708848i</v>
      </c>
      <c r="FC155" s="1" t="str">
        <f t="shared" si="579"/>
        <v>0.0339944530806603-105.382804550047i</v>
      </c>
      <c r="FD155" s="1" t="str">
        <f t="shared" si="580"/>
        <v>-0.0000833132539667959+0.00912292224905783i</v>
      </c>
      <c r="FE155" s="1" t="str">
        <f t="shared" si="581"/>
        <v>0.0150088341931225+0.533795610971371i</v>
      </c>
      <c r="FF155" s="1" t="str">
        <f t="shared" si="582"/>
        <v>-0.894794922645083-206.47336005198i</v>
      </c>
      <c r="FG155" s="1" t="str">
        <f t="shared" si="583"/>
        <v>-0.000526324704546381+0.0187189633530232i</v>
      </c>
      <c r="FH155" s="1" t="str">
        <f t="shared" si="584"/>
        <v>0.0225175986557235+0.492190511101664i</v>
      </c>
      <c r="FI155" s="1" t="str">
        <f t="shared" si="585"/>
        <v>-3.7008426211601-510.338256672344i</v>
      </c>
      <c r="FJ155" s="1" t="str">
        <f t="shared" si="586"/>
        <v>-0.00115946479779765+0.0253436247868891i</v>
      </c>
      <c r="FK155" s="1" t="str">
        <f t="shared" si="587"/>
        <v>0.0125174346582079+0.464160330067896i</v>
      </c>
      <c r="FL155" s="1" t="str">
        <f t="shared" si="588"/>
        <v>-12.7014335478045-713.184272021556i</v>
      </c>
      <c r="FM155" s="1" t="str">
        <f t="shared" si="589"/>
        <v>-1536.12493077411-14.0617572791062i</v>
      </c>
      <c r="FN155" s="1" t="str">
        <f t="shared" si="590"/>
        <v>-1037.18644174181-0.919448384835044i</v>
      </c>
      <c r="FO155" s="1" t="str">
        <f t="shared" si="591"/>
        <v>-387.106929254316+10.2223313787588i</v>
      </c>
      <c r="FP155" s="1" t="str">
        <f t="shared" si="592"/>
        <v>-192.218253625383+1.71441545103587i</v>
      </c>
      <c r="FQ155" s="92" t="str">
        <f t="shared" si="593"/>
        <v>0.00980747417811041-108.196388013961i</v>
      </c>
      <c r="FR155" s="1" t="str">
        <f t="shared" si="594"/>
        <v>-0.964635903966555-108.153848434322i</v>
      </c>
      <c r="FS155" s="1" t="str">
        <f t="shared" si="595"/>
        <v>0.974443378144665-0.0425395796386146i</v>
      </c>
      <c r="FT155" s="1" t="str">
        <f t="shared" si="596"/>
        <v>-0.222967006315322-217.56556719423i</v>
      </c>
      <c r="FU155" s="1" t="str">
        <f t="shared" si="597"/>
        <v>0.253470699969322-583.753685566837i</v>
      </c>
      <c r="FV155" s="1" t="str">
        <f t="shared" si="598"/>
        <v>1.67069895287415-864.628617470066i</v>
      </c>
      <c r="FW155" s="1" t="str">
        <f t="shared" si="599"/>
        <v>-0.964635903966555-108.153848434322i</v>
      </c>
      <c r="FX155" s="1" t="str">
        <f t="shared" si="600"/>
        <v>-5.74931875304561-217.719524571504i</v>
      </c>
      <c r="FY155" s="1" t="str">
        <f t="shared" si="601"/>
        <v>0.517534711940489-583.80654663038i</v>
      </c>
      <c r="FZ155" s="1" t="str">
        <f t="shared" si="602"/>
        <v>7.91424155204936-864.562196243808i</v>
      </c>
      <c r="GA155" s="1" t="str">
        <f t="shared" si="603"/>
        <v>0.974443378144665-0.0425395796386146i</v>
      </c>
      <c r="GB155" s="1" t="str">
        <f t="shared" si="604"/>
        <v>6.50079512487494+0.111417797635938i</v>
      </c>
      <c r="GC155" s="1" t="str">
        <f t="shared" si="605"/>
        <v>6.23673111290375+0.16427886117839i</v>
      </c>
      <c r="GD155" s="92" t="str">
        <f t="shared" si="606"/>
        <v>1.71101012070626-1774.14425824509i</v>
      </c>
      <c r="GE155" s="1" t="str">
        <f t="shared" si="557"/>
        <v>0.00391363338877722+4.05804157529433i</v>
      </c>
      <c r="GF155" s="1">
        <f t="shared" si="558"/>
        <v>31</v>
      </c>
      <c r="GG155" s="56">
        <f t="shared" si="559"/>
        <v>0.21442479438965792</v>
      </c>
      <c r="GH155" s="1">
        <f t="shared" si="560"/>
        <v>0.7855752145562096</v>
      </c>
      <c r="GJ155" s="1">
        <f t="shared" si="607"/>
        <v>1774.1450833062254</v>
      </c>
      <c r="GK155" s="1">
        <f t="shared" si="608"/>
        <v>4.0580434624759238</v>
      </c>
      <c r="GM155" s="1" t="str">
        <f t="shared" si="561"/>
        <v>0.0191834803010191+14.8671972332899i</v>
      </c>
      <c r="GP155" s="1">
        <f t="shared" si="547"/>
        <v>31</v>
      </c>
      <c r="GQ155" s="1">
        <f t="shared" si="548"/>
        <v>4.0580434624759238</v>
      </c>
      <c r="GR155" s="1">
        <f t="shared" si="562"/>
        <v>14.867209609723655</v>
      </c>
      <c r="GS155" s="1">
        <f t="shared" si="563"/>
        <v>3.1878983637129363</v>
      </c>
    </row>
    <row r="156" spans="2:201" ht="18" customHeight="1" x14ac:dyDescent="0.25">
      <c r="B156" s="6"/>
      <c r="AP156" s="8"/>
      <c r="AR156" s="6"/>
      <c r="CF156" s="8"/>
      <c r="EA156" s="1">
        <f t="shared" si="538"/>
        <v>31.2</v>
      </c>
      <c r="EB156" s="1" t="str">
        <f t="shared" si="549"/>
        <v>4.66140065133373E-06-0.0145435700321613i</v>
      </c>
      <c r="EC156" s="1" t="str">
        <f t="shared" si="550"/>
        <v>9.13254005159262E-06-0.028493524960969i</v>
      </c>
      <c r="ED156" s="1" t="str">
        <f t="shared" si="551"/>
        <v>0.0000225697409087535-0.0704175916353111i</v>
      </c>
      <c r="EE156" s="1" t="str">
        <f t="shared" si="552"/>
        <v>0.0000315199472613995-0.0983422354555666i</v>
      </c>
      <c r="EF156" s="1" t="str">
        <f t="shared" si="553"/>
        <v>0.566291770658562i</v>
      </c>
      <c r="EG156" s="1" t="str">
        <f t="shared" si="554"/>
        <v>0.566055914027717i</v>
      </c>
      <c r="EH156" s="1" t="str">
        <f t="shared" si="555"/>
        <v>0.566506673084602i</v>
      </c>
      <c r="EI156" s="1" t="str">
        <f t="shared" si="556"/>
        <v>0.566451334414734i</v>
      </c>
      <c r="EJ156" s="1" t="str">
        <f t="shared" si="544"/>
        <v>0.005</v>
      </c>
      <c r="EK156" s="1" t="str">
        <f t="shared" si="545"/>
        <v>0.01</v>
      </c>
      <c r="EL156" s="1" t="str">
        <f t="shared" si="546"/>
        <v>0.0125</v>
      </c>
      <c r="EM156" s="1" t="str">
        <f t="shared" si="564"/>
        <v>0.00500466140065133+0.551748200626401i</v>
      </c>
      <c r="EN156" s="1" t="str">
        <f t="shared" si="565"/>
        <v>-0.005</v>
      </c>
      <c r="EO156" s="1" t="str">
        <f t="shared" si="566"/>
        <v>0.0335600236829774-104.70727389089i</v>
      </c>
      <c r="EP156" s="1" t="str">
        <f t="shared" si="567"/>
        <v>-0.005</v>
      </c>
      <c r="EQ156" s="1" t="str">
        <f t="shared" si="568"/>
        <v>0.0150091325400516+0.537562389066748i</v>
      </c>
      <c r="ER156" s="1" t="str">
        <f t="shared" si="569"/>
        <v>-0.01</v>
      </c>
      <c r="ES156" s="1" t="str">
        <f t="shared" si="570"/>
        <v>0.0657502504809353-205.140781500518i</v>
      </c>
      <c r="ET156" s="1" t="str">
        <f t="shared" si="571"/>
        <v>-0.01</v>
      </c>
      <c r="EU156" s="1" t="str">
        <f t="shared" si="572"/>
        <v>0.0225225697409088+0.496089081449291i</v>
      </c>
      <c r="EV156" s="1" t="str">
        <f t="shared" si="573"/>
        <v>-0.0125</v>
      </c>
      <c r="EW156" s="1" t="str">
        <f t="shared" si="574"/>
        <v>0.162492155485436-506.97552511456i</v>
      </c>
      <c r="EX156" s="1" t="str">
        <f t="shared" si="575"/>
        <v>-0.0125</v>
      </c>
      <c r="EY156" s="1" t="str">
        <f t="shared" si="576"/>
        <v>0.0125315199472614+0.468109098959167i</v>
      </c>
      <c r="EZ156" s="1" t="str">
        <f t="shared" si="577"/>
        <v>0.226929683951561-708.020613928872i</v>
      </c>
      <c r="FB156" s="1" t="str">
        <f t="shared" si="578"/>
        <v>0.00500466140065133+0.551748200626401i</v>
      </c>
      <c r="FC156" s="1" t="str">
        <f t="shared" si="579"/>
        <v>0.0335600236829774-104.70727389089i</v>
      </c>
      <c r="FD156" s="1" t="str">
        <f t="shared" si="580"/>
        <v>-0.0000821915410037038+0.00906135924592275i</v>
      </c>
      <c r="FE156" s="1" t="str">
        <f t="shared" si="581"/>
        <v>0.0150087215823466+0.537607695862978i</v>
      </c>
      <c r="FF156" s="1" t="str">
        <f t="shared" si="582"/>
        <v>-0.883037215555584-205.149691652144i</v>
      </c>
      <c r="FG156" s="1" t="str">
        <f t="shared" si="583"/>
        <v>-0.000518888915141565+0.0185864380618674i</v>
      </c>
      <c r="FH156" s="1" t="str">
        <f t="shared" si="584"/>
        <v>0.0225173808517574+0.49627494582991i</v>
      </c>
      <c r="FI156" s="1" t="str">
        <f t="shared" si="585"/>
        <v>-3.65096808004114-507.06556249899i</v>
      </c>
      <c r="FJ156" s="1" t="str">
        <f t="shared" si="586"/>
        <v>-0.0011404861781271+0.0251359036824041i</v>
      </c>
      <c r="FK156" s="1" t="str">
        <f t="shared" si="587"/>
        <v>0.0125172638700348+0.468423297755197i</v>
      </c>
      <c r="FL156" s="1" t="str">
        <f t="shared" si="588"/>
        <v>-12.5161729646068-708.602896895083i</v>
      </c>
      <c r="FM156" s="1" t="str">
        <f t="shared" si="589"/>
        <v>-1512.37457248013-13.6940640232853i</v>
      </c>
      <c r="FN156" s="1" t="str">
        <f t="shared" si="590"/>
        <v>-1022.04625643203-0.923186979314811i</v>
      </c>
      <c r="FO156" s="1" t="str">
        <f t="shared" si="591"/>
        <v>-381.893510783492+9.99198196707122i</v>
      </c>
      <c r="FP156" s="1" t="str">
        <f t="shared" si="592"/>
        <v>-189.698340685273+1.67926522603499i</v>
      </c>
      <c r="FQ156" s="92" t="str">
        <f t="shared" si="593"/>
        <v>0.0100217722343916-107.466172821359i</v>
      </c>
      <c r="FR156" s="1" t="str">
        <f t="shared" si="594"/>
        <v>-0.950954078256705-107.424609237654i</v>
      </c>
      <c r="FS156" s="1" t="str">
        <f t="shared" si="595"/>
        <v>0.960975850491095-0.0415635837051812i</v>
      </c>
      <c r="FT156" s="1" t="str">
        <f t="shared" si="596"/>
        <v>-0.215468879324687-216.022365034636i</v>
      </c>
      <c r="FU156" s="1" t="str">
        <f t="shared" si="597"/>
        <v>0.250568078402295-578.945540196298i</v>
      </c>
      <c r="FV156" s="1" t="str">
        <f t="shared" si="598"/>
        <v>1.62130451923714-856.750478596549i</v>
      </c>
      <c r="FW156" s="1" t="str">
        <f t="shared" si="599"/>
        <v>-0.950954078256705-107.424609237654i</v>
      </c>
      <c r="FX156" s="1" t="str">
        <f t="shared" si="600"/>
        <v>-5.65602048531897-216.173080307803i</v>
      </c>
      <c r="FY156" s="1" t="str">
        <f t="shared" si="601"/>
        <v>0.522991584286657-578.996024469881i</v>
      </c>
      <c r="FZ156" s="1" t="str">
        <f t="shared" si="602"/>
        <v>7.75702083955076-856.686594716283i</v>
      </c>
      <c r="GA156" s="1" t="str">
        <f t="shared" si="603"/>
        <v>0.960975850491095-0.0415635837051812i</v>
      </c>
      <c r="GB156" s="1" t="str">
        <f t="shared" si="604"/>
        <v>6.40152745648538+0.10915168946386i</v>
      </c>
      <c r="GC156" s="1" t="str">
        <f t="shared" si="605"/>
        <v>6.12910395060125+0.159635963049631i</v>
      </c>
      <c r="GD156" s="92" t="str">
        <f t="shared" si="606"/>
        <v>1.66642549054914-1759.18455664884i</v>
      </c>
      <c r="GE156" s="1" t="str">
        <f t="shared" si="557"/>
        <v>0.00387675654667657+4.09255036332487i</v>
      </c>
      <c r="GF156" s="1">
        <f t="shared" si="558"/>
        <v>31.2</v>
      </c>
      <c r="GG156" s="56">
        <f t="shared" si="559"/>
        <v>0.2147681124327207</v>
      </c>
      <c r="GH156" s="1">
        <f t="shared" si="560"/>
        <v>0.78523189701778162</v>
      </c>
      <c r="GJ156" s="1">
        <f t="shared" si="607"/>
        <v>1759.1853459273957</v>
      </c>
      <c r="GK156" s="1">
        <f t="shared" si="608"/>
        <v>4.0925521994950591</v>
      </c>
      <c r="GM156" s="1" t="str">
        <f t="shared" si="561"/>
        <v>0.0191834803010191+14.963114634795i</v>
      </c>
      <c r="GP156" s="1">
        <f t="shared" si="547"/>
        <v>31.2</v>
      </c>
      <c r="GQ156" s="1">
        <f t="shared" si="548"/>
        <v>4.0925521994950591</v>
      </c>
      <c r="GR156" s="1">
        <f t="shared" si="562"/>
        <v>14.963126931892704</v>
      </c>
      <c r="GS156" s="1">
        <f t="shared" si="563"/>
        <v>3.2136025272538107</v>
      </c>
    </row>
    <row r="157" spans="2:201" ht="18" customHeight="1" x14ac:dyDescent="0.25">
      <c r="B157" s="6"/>
      <c r="AP157" s="8"/>
      <c r="AR157" s="6"/>
      <c r="AT157" s="163" t="s">
        <v>295</v>
      </c>
      <c r="AU157" s="163"/>
      <c r="AV157" s="163"/>
      <c r="AW157" s="163"/>
      <c r="AX157" s="163"/>
      <c r="AY157" s="163"/>
      <c r="AZ157" s="163"/>
      <c r="BA157" s="163"/>
      <c r="BB157" s="163"/>
      <c r="BC157" s="163"/>
      <c r="BD157" s="163"/>
      <c r="BE157" s="163"/>
      <c r="BF157" s="163"/>
      <c r="BG157" s="163"/>
      <c r="BH157" s="163"/>
      <c r="BI157" s="163"/>
      <c r="BJ157" s="163"/>
      <c r="BK157" s="163"/>
      <c r="BL157" s="163"/>
      <c r="BM157" s="163"/>
      <c r="BN157" s="163"/>
      <c r="BO157" s="163"/>
      <c r="BP157" s="163"/>
      <c r="BQ157" s="163"/>
      <c r="BR157" s="163"/>
      <c r="BS157" s="163"/>
      <c r="BT157" s="163"/>
      <c r="BU157" s="163"/>
      <c r="BV157" s="163"/>
      <c r="BW157" s="163"/>
      <c r="BX157" s="163"/>
      <c r="BY157" s="163"/>
      <c r="BZ157" s="163"/>
      <c r="CA157" s="163"/>
      <c r="CB157" s="163"/>
      <c r="CC157" s="163"/>
      <c r="CD157" s="163"/>
      <c r="CE157" s="163"/>
      <c r="CF157" s="8"/>
      <c r="EA157" s="1">
        <f t="shared" si="538"/>
        <v>31.4</v>
      </c>
      <c r="EB157" s="1" t="str">
        <f t="shared" si="549"/>
        <v>4.60220886846676E-06-0.0144509358469856i</v>
      </c>
      <c r="EC157" s="1" t="str">
        <f t="shared" si="550"/>
        <v>9.01657247699608E-06-0.0283120375777677i</v>
      </c>
      <c r="ED157" s="1" t="str">
        <f t="shared" si="551"/>
        <v>0.0000222831439600764-0.0699690720346398i</v>
      </c>
      <c r="EE157" s="1" t="str">
        <f t="shared" si="552"/>
        <v>0.0000311196980629659-0.0977158519177126i</v>
      </c>
      <c r="EF157" s="1" t="str">
        <f t="shared" si="553"/>
        <v>0.569921846111501i</v>
      </c>
      <c r="EG157" s="1" t="str">
        <f t="shared" si="554"/>
        <v>0.569684477579177i</v>
      </c>
      <c r="EH157" s="1" t="str">
        <f t="shared" si="555"/>
        <v>0.570138126117193i</v>
      </c>
      <c r="EI157" s="1" t="str">
        <f t="shared" si="556"/>
        <v>0.570082432712265i</v>
      </c>
      <c r="EJ157" s="1" t="str">
        <f t="shared" si="544"/>
        <v>0.005</v>
      </c>
      <c r="EK157" s="1" t="str">
        <f t="shared" si="545"/>
        <v>0.01</v>
      </c>
      <c r="EL157" s="1" t="str">
        <f t="shared" si="546"/>
        <v>0.0125</v>
      </c>
      <c r="EM157" s="1" t="str">
        <f t="shared" si="564"/>
        <v>0.00500460220886847+0.555470910264515i</v>
      </c>
      <c r="EN157" s="1" t="str">
        <f t="shared" si="565"/>
        <v>-0.005</v>
      </c>
      <c r="EO157" s="1" t="str">
        <f t="shared" si="566"/>
        <v>0.0331338690175798-104.0403487152i</v>
      </c>
      <c r="EP157" s="1" t="str">
        <f t="shared" si="567"/>
        <v>-0.005</v>
      </c>
      <c r="EQ157" s="1" t="str">
        <f t="shared" si="568"/>
        <v>0.015009016572477+0.541372440001409i</v>
      </c>
      <c r="ER157" s="1" t="str">
        <f t="shared" si="569"/>
        <v>-0.01</v>
      </c>
      <c r="ES157" s="1" t="str">
        <f t="shared" si="570"/>
        <v>0.0649153352181154-203.834152584882i</v>
      </c>
      <c r="ET157" s="1" t="str">
        <f t="shared" si="571"/>
        <v>-0.01</v>
      </c>
      <c r="EU157" s="1" t="str">
        <f t="shared" si="572"/>
        <v>0.0225222831439601+0.500169054082553i</v>
      </c>
      <c r="EV157" s="1" t="str">
        <f t="shared" si="573"/>
        <v>-0.0125</v>
      </c>
      <c r="EW157" s="1" t="str">
        <f t="shared" si="574"/>
        <v>0.160428784171854-503.746382299621i</v>
      </c>
      <c r="EX157" s="1" t="str">
        <f t="shared" si="575"/>
        <v>-0.0125</v>
      </c>
      <c r="EY157" s="1" t="str">
        <f t="shared" si="576"/>
        <v>0.012531119698063+0.472366580794552i</v>
      </c>
      <c r="EZ157" s="1" t="str">
        <f t="shared" si="577"/>
        <v>0.224048066690303-703.510929407549i</v>
      </c>
      <c r="FB157" s="1" t="str">
        <f t="shared" si="578"/>
        <v>0.00500460220886847+0.555470910264515i</v>
      </c>
      <c r="FC157" s="1" t="str">
        <f t="shared" si="579"/>
        <v>0.0331338690175798-104.0403487152i</v>
      </c>
      <c r="FD157" s="1" t="str">
        <f t="shared" si="580"/>
        <v>-0.0000810926841061969+0.00900064084542824i</v>
      </c>
      <c r="FE157" s="1" t="str">
        <f t="shared" si="581"/>
        <v>0.0150086111090565+0.541417443205636i</v>
      </c>
      <c r="FF157" s="1" t="str">
        <f t="shared" si="582"/>
        <v>-0.871511790086138-203.842887722069i</v>
      </c>
      <c r="FG157" s="1" t="str">
        <f t="shared" si="583"/>
        <v>-0.00051161398956092+0.0184558541842132i</v>
      </c>
      <c r="FH157" s="1" t="str">
        <f t="shared" si="584"/>
        <v>0.0225171670040645+0.500353612624395i</v>
      </c>
      <c r="FI157" s="1" t="str">
        <f t="shared" si="585"/>
        <v>-3.60211170573947-503.834586678134i</v>
      </c>
      <c r="FJ157" s="1" t="str">
        <f t="shared" si="586"/>
        <v>-0.00112199527345984+0.0249318392638733i</v>
      </c>
      <c r="FK157" s="1" t="str">
        <f t="shared" si="587"/>
        <v>0.0125170947571448+0.47267822878535i</v>
      </c>
      <c r="FL157" s="1" t="str">
        <f t="shared" si="588"/>
        <v>-12.335095766224-704.080130252172i</v>
      </c>
      <c r="FM157" s="1" t="str">
        <f t="shared" si="589"/>
        <v>-1489.20156083954-13.3396905110176i</v>
      </c>
      <c r="FN157" s="1" t="str">
        <f t="shared" si="590"/>
        <v>-1007.24861876795-0.925853507377887i</v>
      </c>
      <c r="FO157" s="1" t="str">
        <f t="shared" si="591"/>
        <v>-376.786458892788+9.76872210427924i</v>
      </c>
      <c r="FP157" s="1" t="str">
        <f t="shared" si="592"/>
        <v>-187.228054926958+1.64508432630902i</v>
      </c>
      <c r="FQ157" s="92" t="str">
        <f t="shared" si="593"/>
        <v>0.0102225235700173-106.745976896727i</v>
      </c>
      <c r="FR157" s="1" t="str">
        <f t="shared" si="594"/>
        <v>-0.937569496259132-106.705358707837i</v>
      </c>
      <c r="FS157" s="1" t="str">
        <f t="shared" si="595"/>
        <v>0.94779201982915-0.0406181888898511i</v>
      </c>
      <c r="FT157" s="1" t="str">
        <f t="shared" si="596"/>
        <v>-0.208259769670051-214.50183304824i</v>
      </c>
      <c r="FU157" s="1" t="str">
        <f t="shared" si="597"/>
        <v>0.247654560898695-574.22261283206i</v>
      </c>
      <c r="FV157" s="1" t="str">
        <f t="shared" si="598"/>
        <v>1.57389079222124-849.02911347503i</v>
      </c>
      <c r="FW157" s="1" t="str">
        <f t="shared" si="599"/>
        <v>-0.937569496259132-106.705358707837i</v>
      </c>
      <c r="FX157" s="1" t="str">
        <f t="shared" si="600"/>
        <v>-5.56508934859248-214.649396993246i</v>
      </c>
      <c r="FY157" s="1" t="str">
        <f t="shared" si="601"/>
        <v>0.527864383755459-574.27084003849i</v>
      </c>
      <c r="FZ157" s="1" t="str">
        <f t="shared" si="602"/>
        <v>7.60472321814963-848.967648602307i</v>
      </c>
      <c r="GA157" s="1" t="str">
        <f t="shared" si="603"/>
        <v>0.94779201982915-0.0406181888898511i</v>
      </c>
      <c r="GB157" s="1" t="str">
        <f t="shared" si="604"/>
        <v>6.30462159875162+0.106945756116571i</v>
      </c>
      <c r="GC157" s="1" t="str">
        <f t="shared" si="605"/>
        <v>6.02441177589488+0.155172962545496i</v>
      </c>
      <c r="GD157" s="92" t="str">
        <f t="shared" si="606"/>
        <v>1.6235081070199-1744.49953625206i</v>
      </c>
      <c r="GE157" s="1" t="str">
        <f t="shared" si="557"/>
        <v>0.00384076906439203+4.12700116661692i</v>
      </c>
      <c r="GF157" s="1">
        <f t="shared" si="558"/>
        <v>31.4</v>
      </c>
      <c r="GG157" s="56">
        <f t="shared" si="559"/>
        <v>0.21510439070250373</v>
      </c>
      <c r="GH157" s="1">
        <f t="shared" si="560"/>
        <v>0.78489561924305629</v>
      </c>
      <c r="GJ157" s="1">
        <f t="shared" si="607"/>
        <v>1744.5002917059733</v>
      </c>
      <c r="GK157" s="1">
        <f t="shared" si="608"/>
        <v>4.1270029538109645</v>
      </c>
      <c r="GM157" s="1" t="str">
        <f t="shared" si="561"/>
        <v>0.0191834803010191+15.0590320363001i</v>
      </c>
      <c r="GP157" s="1">
        <f t="shared" si="547"/>
        <v>31.4</v>
      </c>
      <c r="GQ157" s="1">
        <f t="shared" si="548"/>
        <v>4.1270029538109645</v>
      </c>
      <c r="GR157" s="1">
        <f t="shared" si="562"/>
        <v>15.059044255072404</v>
      </c>
      <c r="GS157" s="1">
        <f t="shared" si="563"/>
        <v>3.2392665390493804</v>
      </c>
    </row>
    <row r="158" spans="2:201" ht="18" customHeight="1" x14ac:dyDescent="0.25">
      <c r="B158" s="6"/>
      <c r="AP158" s="8"/>
      <c r="AR158" s="6"/>
      <c r="AT158" s="163"/>
      <c r="AU158" s="163"/>
      <c r="AV158" s="163"/>
      <c r="AW158" s="163"/>
      <c r="AX158" s="163"/>
      <c r="AY158" s="163"/>
      <c r="AZ158" s="163"/>
      <c r="BA158" s="163"/>
      <c r="BB158" s="163"/>
      <c r="BC158" s="163"/>
      <c r="BD158" s="163"/>
      <c r="BE158" s="163"/>
      <c r="BF158" s="163"/>
      <c r="BG158" s="163"/>
      <c r="BH158" s="163"/>
      <c r="BI158" s="163"/>
      <c r="BJ158" s="163"/>
      <c r="BK158" s="163"/>
      <c r="BL158" s="163"/>
      <c r="BM158" s="163"/>
      <c r="BN158" s="163"/>
      <c r="BO158" s="163"/>
      <c r="BP158" s="163"/>
      <c r="BQ158" s="163"/>
      <c r="BR158" s="163"/>
      <c r="BS158" s="163"/>
      <c r="BT158" s="163"/>
      <c r="BU158" s="163"/>
      <c r="BV158" s="163"/>
      <c r="BW158" s="163"/>
      <c r="BX158" s="163"/>
      <c r="BY158" s="163"/>
      <c r="BZ158" s="163"/>
      <c r="CA158" s="163"/>
      <c r="CB158" s="163"/>
      <c r="CC158" s="163"/>
      <c r="CD158" s="163"/>
      <c r="CE158" s="163"/>
      <c r="CF158" s="8"/>
      <c r="EA158" s="1">
        <f t="shared" si="538"/>
        <v>31.6</v>
      </c>
      <c r="EB158" s="1" t="str">
        <f t="shared" si="549"/>
        <v>4.54413741964491E-06-0.0143594742460779i</v>
      </c>
      <c r="EC158" s="1" t="str">
        <f t="shared" si="550"/>
        <v>8.90279984256964E-06-0.0281328475025201i</v>
      </c>
      <c r="ED158" s="1" t="str">
        <f t="shared" si="551"/>
        <v>0.0000220019714859338-0.0695262298955509i</v>
      </c>
      <c r="EE158" s="1" t="str">
        <f t="shared" si="552"/>
        <v>0.0000307270244566463-0.0970973972830029i</v>
      </c>
      <c r="EF158" s="1" t="str">
        <f t="shared" si="553"/>
        <v>0.573551921564442i</v>
      </c>
      <c r="EG158" s="1" t="str">
        <f t="shared" si="554"/>
        <v>0.573313041130636i</v>
      </c>
      <c r="EH158" s="1" t="str">
        <f t="shared" si="555"/>
        <v>0.573769579149786i</v>
      </c>
      <c r="EI158" s="1" t="str">
        <f t="shared" si="556"/>
        <v>0.573713531009797i</v>
      </c>
      <c r="EJ158" s="1" t="str">
        <f t="shared" si="544"/>
        <v>0.005</v>
      </c>
      <c r="EK158" s="1" t="str">
        <f t="shared" si="545"/>
        <v>0.01</v>
      </c>
      <c r="EL158" s="1" t="str">
        <f t="shared" si="546"/>
        <v>0.0125</v>
      </c>
      <c r="EM158" s="1" t="str">
        <f t="shared" si="564"/>
        <v>0.00500454413741964+0.559192447318364i</v>
      </c>
      <c r="EN158" s="1" t="str">
        <f t="shared" si="565"/>
        <v>-0.005</v>
      </c>
      <c r="EO158" s="1" t="str">
        <f t="shared" si="566"/>
        <v>0.032715780261959-103.38186562779i</v>
      </c>
      <c r="EP158" s="1" t="str">
        <f t="shared" si="567"/>
        <v>-0.005</v>
      </c>
      <c r="EQ158" s="1" t="str">
        <f t="shared" si="568"/>
        <v>0.0150089027998426+0.545180193628116i</v>
      </c>
      <c r="ER158" s="1" t="str">
        <f t="shared" si="569"/>
        <v>-0.01</v>
      </c>
      <c r="ES158" s="1" t="str">
        <f t="shared" si="570"/>
        <v>0.0640962225540423-202.544063270774i</v>
      </c>
      <c r="ET158" s="1" t="str">
        <f t="shared" si="571"/>
        <v>-0.01</v>
      </c>
      <c r="EU158" s="1" t="str">
        <f t="shared" si="572"/>
        <v>0.0225220019714859+0.504243349254235i</v>
      </c>
      <c r="EV158" s="1" t="str">
        <f t="shared" si="573"/>
        <v>-0.0125</v>
      </c>
      <c r="EW158" s="1" t="str">
        <f t="shared" si="574"/>
        <v>0.158404466676526-500.558114697823i</v>
      </c>
      <c r="EX158" s="1" t="str">
        <f t="shared" si="575"/>
        <v>-0.0125</v>
      </c>
      <c r="EY158" s="1" t="str">
        <f t="shared" si="576"/>
        <v>0.0125307270244566+0.476616133726794i</v>
      </c>
      <c r="EZ158" s="1" t="str">
        <f t="shared" si="577"/>
        <v>0.221220990342769-699.058329483153i</v>
      </c>
      <c r="FB158" s="1" t="str">
        <f t="shared" si="578"/>
        <v>0.00500454413741964+0.559192447318364i</v>
      </c>
      <c r="FC158" s="1" t="str">
        <f t="shared" si="579"/>
        <v>0.032715780261959-103.38186562779i</v>
      </c>
      <c r="FD158" s="1" t="str">
        <f t="shared" si="580"/>
        <v>-0.0000800160577488331+0.0089407494326562i</v>
      </c>
      <c r="FE158" s="1" t="str">
        <f t="shared" si="581"/>
        <v>0.0150085027195539+0.545224897375279i</v>
      </c>
      <c r="FF158" s="1" t="str">
        <f t="shared" si="582"/>
        <v>-0.860212516116798-202.552627983698i</v>
      </c>
      <c r="FG158" s="1" t="str">
        <f t="shared" si="583"/>
        <v>-0.000504495212572843+0.0183271679821186i</v>
      </c>
      <c r="FH158" s="1" t="str">
        <f t="shared" si="584"/>
        <v>0.0225169570193602+0.504426620934056i</v>
      </c>
      <c r="FI158" s="1" t="str">
        <f t="shared" si="585"/>
        <v>-3.55424554469646-500.644536269652i</v>
      </c>
      <c r="FJ158" s="1" t="str">
        <f t="shared" si="586"/>
        <v>-0.00110397488809436+0.0247313312326655i</v>
      </c>
      <c r="FK158" s="1" t="str">
        <f t="shared" si="587"/>
        <v>0.0125169273383554+0.476925275367202i</v>
      </c>
      <c r="FL158" s="1" t="str">
        <f t="shared" si="588"/>
        <v>-12.1580726708943-699.614850625145i</v>
      </c>
      <c r="FM158" s="1" t="str">
        <f t="shared" si="589"/>
        <v>-1466.58646856675-12.998018582257i</v>
      </c>
      <c r="FN158" s="1" t="str">
        <f t="shared" si="590"/>
        <v>-992.782905266357-0.927535515058351i</v>
      </c>
      <c r="FO158" s="1" t="str">
        <f t="shared" si="591"/>
        <v>-371.782854459324+9.55227395450241i</v>
      </c>
      <c r="FP158" s="1" t="str">
        <f t="shared" si="592"/>
        <v>-184.80609184458+1.61183909556861i</v>
      </c>
      <c r="FQ158" s="92" t="str">
        <f t="shared" si="593"/>
        <v>0.0104104025576493-106.035591268569i</v>
      </c>
      <c r="FR158" s="1" t="str">
        <f t="shared" si="594"/>
        <v>-0.924473410516069-105.995889094274i</v>
      </c>
      <c r="FS158" s="1" t="str">
        <f t="shared" si="595"/>
        <v>0.93488381307372-0.039702174294669i</v>
      </c>
      <c r="FT158" s="1" t="str">
        <f t="shared" si="596"/>
        <v>-0.201326535572118-213.003458661313i</v>
      </c>
      <c r="FU158" s="1" t="str">
        <f t="shared" si="597"/>
        <v>0.244735695306154-569.582546798135i</v>
      </c>
      <c r="FV158" s="1" t="str">
        <f t="shared" si="598"/>
        <v>1.52835860280347-841.45965908102i</v>
      </c>
      <c r="FW158" s="1" t="str">
        <f t="shared" si="599"/>
        <v>-0.924473410516069-105.995889094274i</v>
      </c>
      <c r="FX158" s="1" t="str">
        <f t="shared" si="600"/>
        <v>-5.47644323056874-213.147958930304i</v>
      </c>
      <c r="FY158" s="1" t="str">
        <f t="shared" si="601"/>
        <v>0.53219166212151-569.628629741779i</v>
      </c>
      <c r="FZ158" s="1" t="str">
        <f t="shared" si="602"/>
        <v>7.45713913695762-841.400501412619i</v>
      </c>
      <c r="GA158" s="1" t="str">
        <f t="shared" si="603"/>
        <v>0.93488381307372-0.039702174294669i</v>
      </c>
      <c r="GB158" s="1" t="str">
        <f t="shared" si="604"/>
        <v>6.21000050807033+0.104798094695608i</v>
      </c>
      <c r="GC158" s="1" t="str">
        <f t="shared" si="605"/>
        <v>5.92254454125491+0.150881038339983i</v>
      </c>
      <c r="GD158" s="92" t="str">
        <f t="shared" si="606"/>
        <v>1.58217816509516-1730.08125580904i</v>
      </c>
      <c r="GE158" s="1" t="str">
        <f t="shared" si="557"/>
        <v>0.00380564126774226+4.16139520118977i</v>
      </c>
      <c r="GF158" s="1">
        <f t="shared" si="558"/>
        <v>31.6</v>
      </c>
      <c r="GG158" s="56">
        <f t="shared" si="559"/>
        <v>0.21543382415014053</v>
      </c>
      <c r="GH158" s="1">
        <f t="shared" si="560"/>
        <v>0.78456618628019015</v>
      </c>
      <c r="GJ158" s="1">
        <f t="shared" si="607"/>
        <v>1730.081979268477</v>
      </c>
      <c r="GK158" s="1">
        <f t="shared" si="608"/>
        <v>4.1613969413396159</v>
      </c>
      <c r="GM158" s="1" t="str">
        <f t="shared" si="561"/>
        <v>0.0191834803010191+15.1549494378051i</v>
      </c>
      <c r="GP158" s="1">
        <f t="shared" si="547"/>
        <v>31.6</v>
      </c>
      <c r="GQ158" s="1">
        <f t="shared" si="548"/>
        <v>4.1613969413396159</v>
      </c>
      <c r="GR158" s="1">
        <f t="shared" si="562"/>
        <v>15.154961579243466</v>
      </c>
      <c r="GS158" s="1">
        <f t="shared" si="563"/>
        <v>3.2648913278648726</v>
      </c>
    </row>
    <row r="159" spans="2:201" ht="18" customHeight="1" x14ac:dyDescent="0.25">
      <c r="B159" s="6"/>
      <c r="AP159" s="8"/>
      <c r="AR159" s="6"/>
      <c r="CF159" s="8"/>
      <c r="EA159" s="1">
        <f t="shared" si="538"/>
        <v>31.8</v>
      </c>
      <c r="EB159" s="1" t="str">
        <f t="shared" si="549"/>
        <v>4.48715820918728E-06-0.0142691631052156i</v>
      </c>
      <c r="EC159" s="1" t="str">
        <f t="shared" si="550"/>
        <v>8.79116710371385E-06-0.0279559113898101i</v>
      </c>
      <c r="ED159" s="1" t="str">
        <f t="shared" si="551"/>
        <v>0.0000217260874516261-0.0690889580961712i</v>
      </c>
      <c r="EE159" s="1" t="str">
        <f t="shared" si="552"/>
        <v>0.0000303417364621234-0.0964867219495528i</v>
      </c>
      <c r="EF159" s="1" t="str">
        <f t="shared" si="553"/>
        <v>0.577181997017379i</v>
      </c>
      <c r="EG159" s="1" t="str">
        <f t="shared" si="554"/>
        <v>0.576941604682097i</v>
      </c>
      <c r="EH159" s="1" t="str">
        <f t="shared" si="555"/>
        <v>0.577401032182382i</v>
      </c>
      <c r="EI159" s="1" t="str">
        <f t="shared" si="556"/>
        <v>0.577344629307326i</v>
      </c>
      <c r="EJ159" s="1" t="str">
        <f t="shared" si="544"/>
        <v>0.005</v>
      </c>
      <c r="EK159" s="1" t="str">
        <f t="shared" si="545"/>
        <v>0.01</v>
      </c>
      <c r="EL159" s="1" t="str">
        <f t="shared" si="546"/>
        <v>0.0125</v>
      </c>
      <c r="EM159" s="1" t="str">
        <f t="shared" si="564"/>
        <v>0.00500448715820919+0.562912833912163i</v>
      </c>
      <c r="EN159" s="1" t="str">
        <f t="shared" si="565"/>
        <v>-0.005</v>
      </c>
      <c r="EO159" s="1" t="str">
        <f t="shared" si="566"/>
        <v>0.0323055551396348-102.731665344039i</v>
      </c>
      <c r="EP159" s="1" t="str">
        <f t="shared" si="567"/>
        <v>-0.005</v>
      </c>
      <c r="EQ159" s="1" t="str">
        <f t="shared" si="568"/>
        <v>0.0150087911671037+0.548985693292287i</v>
      </c>
      <c r="ER159" s="1" t="str">
        <f t="shared" si="569"/>
        <v>-0.01</v>
      </c>
      <c r="ES159" s="1" t="str">
        <f t="shared" si="570"/>
        <v>0.0632925161919376-201.270201490362i</v>
      </c>
      <c r="ET159" s="1" t="str">
        <f t="shared" si="571"/>
        <v>-0.01</v>
      </c>
      <c r="EU159" s="1" t="str">
        <f t="shared" si="572"/>
        <v>0.0225217260874516+0.508312074086211i</v>
      </c>
      <c r="EV159" s="1" t="str">
        <f t="shared" si="573"/>
        <v>-0.0125</v>
      </c>
      <c r="EW159" s="1" t="str">
        <f t="shared" si="574"/>
        <v>0.156418223609762-497.409951079045i</v>
      </c>
      <c r="EX159" s="1" t="str">
        <f t="shared" si="575"/>
        <v>-0.0125</v>
      </c>
      <c r="EY159" s="1" t="str">
        <f t="shared" si="576"/>
        <v>0.0125303417364621+0.480857907357773i</v>
      </c>
      <c r="EZ159" s="1" t="str">
        <f t="shared" si="577"/>
        <v>0.218447087134673-694.661737088262i</v>
      </c>
      <c r="FB159" s="1" t="str">
        <f t="shared" si="578"/>
        <v>0.00500448715820919+0.562912833912163i</v>
      </c>
      <c r="FC159" s="1" t="str">
        <f t="shared" si="579"/>
        <v>0.0323055551396348-102.731665344039i</v>
      </c>
      <c r="FD159" s="1" t="str">
        <f t="shared" si="580"/>
        <v>-0.0000789610579268362+0.00888166788746505i</v>
      </c>
      <c r="FE159" s="1" t="str">
        <f t="shared" si="581"/>
        <v>0.0150083963618141+0.549030101631724i</v>
      </c>
      <c r="FF159" s="1" t="str">
        <f t="shared" si="582"/>
        <v>-0.849133466039209-201.278600218552i</v>
      </c>
      <c r="FG159" s="1" t="str">
        <f t="shared" si="583"/>
        <v>-0.000497528043722227+0.0182003370529608i</v>
      </c>
      <c r="FH159" s="1" t="str">
        <f t="shared" si="584"/>
        <v>0.0225167508070144+0.508494077456741i</v>
      </c>
      <c r="FI159" s="1" t="str">
        <f t="shared" si="585"/>
        <v>-3.50734260962825-497.49463831197i</v>
      </c>
      <c r="FJ159" s="1" t="str">
        <f t="shared" si="586"/>
        <v>-0.00108640859627428+0.0245342830161565i</v>
      </c>
      <c r="FK159" s="1" t="str">
        <f t="shared" si="587"/>
        <v>0.0125167616290087+0.481164585895475i</v>
      </c>
      <c r="FL159" s="1" t="str">
        <f t="shared" si="588"/>
        <v>-11.9849794935884-695.205965143954i</v>
      </c>
      <c r="FM159" s="1" t="str">
        <f t="shared" si="589"/>
        <v>-1444.51070872923-12.6684650051323i</v>
      </c>
      <c r="FN159" s="1" t="str">
        <f t="shared" si="590"/>
        <v>-978.638913559387-0.928313816910844i</v>
      </c>
      <c r="FO159" s="1" t="str">
        <f t="shared" si="591"/>
        <v>-366.879879252333+9.34237292526477i</v>
      </c>
      <c r="FP159" s="1" t="str">
        <f t="shared" si="592"/>
        <v>-182.431189816025+1.57949728779795i</v>
      </c>
      <c r="FQ159" s="92" t="str">
        <f t="shared" si="593"/>
        <v>0.010586048326795-105.334812834457i</v>
      </c>
      <c r="FR159" s="1" t="str">
        <f t="shared" si="594"/>
        <v>-0.911657398854755-105.29599845627i</v>
      </c>
      <c r="FS159" s="1" t="str">
        <f t="shared" si="595"/>
        <v>0.92224344718154-0.0388143781873341i</v>
      </c>
      <c r="FT159" s="1" t="str">
        <f t="shared" si="596"/>
        <v>-0.194656731151828-211.526745015806i</v>
      </c>
      <c r="FU159" s="1" t="str">
        <f t="shared" si="597"/>
        <v>0.241816452625968-565.023073800604i</v>
      </c>
      <c r="FV159" s="1" t="str">
        <f t="shared" si="598"/>
        <v>1.48461471085349-834.037455811344i</v>
      </c>
      <c r="FW159" s="1" t="str">
        <f t="shared" si="599"/>
        <v>-0.911657398854755-105.29599845627i</v>
      </c>
      <c r="FX159" s="1" t="str">
        <f t="shared" si="600"/>
        <v>-5.39000362704083-211.668266261415i</v>
      </c>
      <c r="FY159" s="1" t="str">
        <f t="shared" si="601"/>
        <v>0.536009356073488-565.067118823035i</v>
      </c>
      <c r="FZ159" s="1" t="str">
        <f t="shared" si="602"/>
        <v>7.31407023228094-833.98049966174i</v>
      </c>
      <c r="GA159" s="1" t="str">
        <f t="shared" si="603"/>
        <v>0.92224344718154-0.0388143781873341i</v>
      </c>
      <c r="GB159" s="1" t="str">
        <f t="shared" si="604"/>
        <v>6.11759034307054+0.102706867421756i</v>
      </c>
      <c r="GC159" s="1" t="str">
        <f t="shared" si="605"/>
        <v>5.82339743962304+0.146751889852769i</v>
      </c>
      <c r="GD159" s="92" t="str">
        <f t="shared" si="606"/>
        <v>1.54236048065442-1715.92208746221i</v>
      </c>
      <c r="GE159" s="1" t="str">
        <f t="shared" si="557"/>
        <v>0.00377134475602949+4.19573364818062i</v>
      </c>
      <c r="GF159" s="1">
        <f t="shared" si="558"/>
        <v>31.8</v>
      </c>
      <c r="GG159" s="56">
        <f t="shared" si="559"/>
        <v>0.21575660089056678</v>
      </c>
      <c r="GH159" s="1">
        <f t="shared" si="560"/>
        <v>0.78424341001367615</v>
      </c>
      <c r="GJ159" s="1">
        <f t="shared" si="607"/>
        <v>1715.9227806391873</v>
      </c>
      <c r="GK159" s="1">
        <f t="shared" si="608"/>
        <v>4.1957353431211946</v>
      </c>
      <c r="GM159" s="1" t="str">
        <f t="shared" si="561"/>
        <v>0.0191834803010191+15.2508668393102i</v>
      </c>
      <c r="GP159" s="1">
        <f t="shared" si="547"/>
        <v>31.8</v>
      </c>
      <c r="GQ159" s="1">
        <f t="shared" si="548"/>
        <v>4.1957353431211946</v>
      </c>
      <c r="GR159" s="1">
        <f t="shared" si="562"/>
        <v>15.250878904387379</v>
      </c>
      <c r="GS159" s="1">
        <f t="shared" si="563"/>
        <v>3.2904777930042628</v>
      </c>
    </row>
    <row r="160" spans="2:201" ht="18" customHeight="1" x14ac:dyDescent="0.25">
      <c r="B160" s="6"/>
      <c r="AP160" s="8"/>
      <c r="AR160" s="6"/>
      <c r="CF160" s="8"/>
      <c r="EA160" s="1">
        <f t="shared" si="538"/>
        <v>32</v>
      </c>
      <c r="EB160" s="1" t="str">
        <f t="shared" si="549"/>
        <v>4.43124401665036E-06-0.0141799808532812i</v>
      </c>
      <c r="EC160" s="1" t="str">
        <f t="shared" si="550"/>
        <v>0.0000086816209305803-0.027781186977857i</v>
      </c>
      <c r="ED160" s="1" t="str">
        <f t="shared" si="551"/>
        <v>0.00002145536006021-0.0686571521926724i</v>
      </c>
      <c r="EE160" s="1" t="str">
        <f t="shared" si="552"/>
        <v>0.0000299636500173501-0.0958836800555203i</v>
      </c>
      <c r="EF160" s="1" t="str">
        <f t="shared" si="553"/>
        <v>0.58081207247032i</v>
      </c>
      <c r="EG160" s="1" t="str">
        <f t="shared" si="554"/>
        <v>0.580570168233555i</v>
      </c>
      <c r="EH160" s="1" t="str">
        <f t="shared" si="555"/>
        <v>0.581032485214975i</v>
      </c>
      <c r="EI160" s="1" t="str">
        <f t="shared" si="556"/>
        <v>0.580975727604855i</v>
      </c>
      <c r="EJ160" s="1" t="str">
        <f t="shared" si="544"/>
        <v>0.005</v>
      </c>
      <c r="EK160" s="1" t="str">
        <f t="shared" si="545"/>
        <v>0.01</v>
      </c>
      <c r="EL160" s="1" t="str">
        <f t="shared" si="546"/>
        <v>0.0125</v>
      </c>
      <c r="EM160" s="1" t="str">
        <f t="shared" si="564"/>
        <v>0.00500443124401665+0.566632091617039i</v>
      </c>
      <c r="EN160" s="1" t="str">
        <f t="shared" si="565"/>
        <v>-0.005</v>
      </c>
      <c r="EO160" s="1" t="str">
        <f t="shared" si="566"/>
        <v>0.0319029976754493-102.089592561438i</v>
      </c>
      <c r="EP160" s="1" t="str">
        <f t="shared" si="567"/>
        <v>-0.005</v>
      </c>
      <c r="EQ160" s="1" t="str">
        <f t="shared" si="568"/>
        <v>0.0150086816209306+0.552788981255698i</v>
      </c>
      <c r="ER160" s="1" t="str">
        <f t="shared" si="569"/>
        <v>-0.01</v>
      </c>
      <c r="ES160" s="1" t="str">
        <f t="shared" si="570"/>
        <v>0.0625038321804721-200.012262977511i</v>
      </c>
      <c r="ET160" s="1" t="str">
        <f t="shared" si="571"/>
        <v>-0.01</v>
      </c>
      <c r="EU160" s="1" t="str">
        <f t="shared" si="572"/>
        <v>0.0225214553600602+0.512375333022303i</v>
      </c>
      <c r="EV160" s="1" t="str">
        <f t="shared" si="573"/>
        <v>-0.0125</v>
      </c>
      <c r="EW160" s="1" t="str">
        <f t="shared" si="574"/>
        <v>0.154469106091843-494.3011394939i</v>
      </c>
      <c r="EX160" s="1" t="str">
        <f t="shared" si="575"/>
        <v>-0.0125</v>
      </c>
      <c r="EY160" s="1" t="str">
        <f t="shared" si="576"/>
        <v>0.0125299636500174+0.485092047549335i</v>
      </c>
      <c r="EZ160" s="1" t="str">
        <f t="shared" si="577"/>
        <v>0.215725031900658-690.320102082104i</v>
      </c>
      <c r="FB160" s="1" t="str">
        <f t="shared" si="578"/>
        <v>0.00500443124401665+0.566632091617039i</v>
      </c>
      <c r="FC160" s="1" t="str">
        <f t="shared" si="579"/>
        <v>0.0319029976754493-102.089592561438i</v>
      </c>
      <c r="FD160" s="1" t="str">
        <f t="shared" si="580"/>
        <v>-0.0000779271012640612+0.00882337956699899i</v>
      </c>
      <c r="FE160" s="1" t="str">
        <f t="shared" si="581"/>
        <v>0.0150082919854243+0.552833098153533i</v>
      </c>
      <c r="FF160" s="1" t="str">
        <f t="shared" si="582"/>
        <v>-0.838268906721242-200.020500015786i</v>
      </c>
      <c r="FG160" s="1" t="str">
        <f t="shared" si="583"/>
        <v>-0.00049070810949743+0.0180753202780162i</v>
      </c>
      <c r="FH160" s="1" t="str">
        <f t="shared" si="584"/>
        <v>0.0225165482789652+0.512556086225083i</v>
      </c>
      <c r="FI160" s="1" t="str">
        <f t="shared" si="585"/>
        <v>-3.4613768392129-494.384139196355i</v>
      </c>
      <c r="FJ160" s="1" t="str">
        <f t="shared" si="586"/>
        <v>-0.00106928070052026+0.0243406015941918i</v>
      </c>
      <c r="FK160" s="1" t="str">
        <f t="shared" si="587"/>
        <v>0.0125165976412609+0.485396305069262i</v>
      </c>
      <c r="FL160" s="1" t="str">
        <f t="shared" si="588"/>
        <v>-11.8156969012414-690.85240862178i</v>
      </c>
      <c r="FM160" s="1" t="str">
        <f t="shared" si="589"/>
        <v>-1422.95649025377-12.3504791562647i</v>
      </c>
      <c r="FN160" s="1" t="str">
        <f t="shared" si="590"/>
        <v>-964.806842014735-0.928263039894527i</v>
      </c>
      <c r="FO160" s="1" t="str">
        <f t="shared" si="591"/>
        <v>-362.074811723697+9.13876692409745i</v>
      </c>
      <c r="FP160" s="1" t="str">
        <f t="shared" si="592"/>
        <v>-180.102128411516+1.54802799803189i</v>
      </c>
      <c r="FQ160" s="92" t="str">
        <f t="shared" si="593"/>
        <v>0.0107500667819234-104.643444153638i</v>
      </c>
      <c r="FR160" s="1" t="str">
        <f t="shared" si="594"/>
        <v>-0.899113349778982-104.605490459008i</v>
      </c>
      <c r="FS160" s="1" t="str">
        <f t="shared" si="595"/>
        <v>0.909863416560905-0.0379536946303278i</v>
      </c>
      <c r="FT160" s="1" t="str">
        <f t="shared" si="596"/>
        <v>-0.188238564221038-210.07121036129i</v>
      </c>
      <c r="FU160" s="1" t="str">
        <f t="shared" si="597"/>
        <v>0.238901281080694-560.542009766419i</v>
      </c>
      <c r="FV160" s="1" t="str">
        <f t="shared" si="598"/>
        <v>1.4425713941162-826.758036861087i</v>
      </c>
      <c r="FW160" s="1" t="str">
        <f t="shared" si="599"/>
        <v>-0.899113349778982-104.605490459008i</v>
      </c>
      <c r="FX160" s="1" t="str">
        <f t="shared" si="600"/>
        <v>-5.3056954505705-210.20983435556i</v>
      </c>
      <c r="FY160" s="1" t="str">
        <f t="shared" si="601"/>
        <v>0.539350981003125-560.584117168233i</v>
      </c>
      <c r="FZ160" s="1" t="str">
        <f t="shared" si="602"/>
        <v>7.17532861407948-826.703182275235i</v>
      </c>
      <c r="GA160" s="1" t="str">
        <f t="shared" si="603"/>
        <v>0.909863416560905-0.0379536946303278i</v>
      </c>
      <c r="GB160" s="1" t="str">
        <f t="shared" si="604"/>
        <v>6.02732030291038+0.10067029963992i</v>
      </c>
      <c r="GC160" s="1" t="str">
        <f t="shared" si="605"/>
        <v>5.72687060298794+0.142777701454628i</v>
      </c>
      <c r="GD160" s="92" t="str">
        <f t="shared" si="606"/>
        <v>1.50398417775778-1702.01470114243i</v>
      </c>
      <c r="GE160" s="1" t="str">
        <f t="shared" si="557"/>
        <v>0.00373785233504849+4.23001765513034i</v>
      </c>
      <c r="GF160" s="1">
        <f t="shared" si="558"/>
        <v>32</v>
      </c>
      <c r="GG160" s="56">
        <f t="shared" si="559"/>
        <v>0.2160729024939152</v>
      </c>
      <c r="GH160" s="1">
        <f t="shared" si="560"/>
        <v>0.78392710887290551</v>
      </c>
      <c r="GJ160" s="1">
        <f t="shared" si="607"/>
        <v>1702.015365639618</v>
      </c>
      <c r="GK160" s="1">
        <f t="shared" si="608"/>
        <v>4.2300193066054037</v>
      </c>
      <c r="GM160" s="1" t="str">
        <f t="shared" si="561"/>
        <v>0.0191834803010191+15.3467842408153i</v>
      </c>
      <c r="GP160" s="1">
        <f t="shared" si="547"/>
        <v>32</v>
      </c>
      <c r="GQ160" s="1">
        <f t="shared" si="548"/>
        <v>4.2300193066054037</v>
      </c>
      <c r="GR160" s="1">
        <f t="shared" si="562"/>
        <v>15.346796230485806</v>
      </c>
      <c r="GS160" s="1">
        <f t="shared" si="563"/>
        <v>3.3160268055037396</v>
      </c>
    </row>
    <row r="161" spans="2:201" ht="18" customHeight="1" x14ac:dyDescent="0.25">
      <c r="B161" s="6"/>
      <c r="AP161" s="8"/>
      <c r="AR161" s="6"/>
      <c r="CF161" s="8"/>
      <c r="EA161" s="1">
        <f t="shared" si="538"/>
        <v>32.200000000000003</v>
      </c>
      <c r="EB161" s="1" t="str">
        <f t="shared" si="549"/>
        <v>4.37636846431226E-06-0.0140919064550855i</v>
      </c>
      <c r="EC161" s="1" t="str">
        <f t="shared" si="550"/>
        <v>8.57410964436686E-06-0.0276086330548613i</v>
      </c>
      <c r="ED161" s="1" t="str">
        <f t="shared" si="551"/>
        <v>0.000021189661595063-0.0682307103361029i</v>
      </c>
      <c r="EE161" s="1" t="str">
        <f t="shared" si="552"/>
        <v>0.0000295925867586831-0.0952881293629593i</v>
      </c>
      <c r="EF161" s="1" t="str">
        <f t="shared" si="553"/>
        <v>0.584442147923261i</v>
      </c>
      <c r="EG161" s="1" t="str">
        <f t="shared" si="554"/>
        <v>0.584198731785017i</v>
      </c>
      <c r="EH161" s="1" t="str">
        <f t="shared" si="555"/>
        <v>0.584663938247568i</v>
      </c>
      <c r="EI161" s="1" t="str">
        <f t="shared" si="556"/>
        <v>0.584606825902387i</v>
      </c>
      <c r="EJ161" s="1" t="str">
        <f t="shared" si="544"/>
        <v>0.005</v>
      </c>
      <c r="EK161" s="1" t="str">
        <f t="shared" si="545"/>
        <v>0.01</v>
      </c>
      <c r="EL161" s="1" t="str">
        <f t="shared" si="546"/>
        <v>0.0125</v>
      </c>
      <c r="EM161" s="1" t="str">
        <f t="shared" si="564"/>
        <v>0.00500437636846431+0.570350241468175i</v>
      </c>
      <c r="EN161" s="1" t="str">
        <f t="shared" si="565"/>
        <v>-0.005</v>
      </c>
      <c r="EO161" s="1" t="str">
        <f t="shared" si="566"/>
        <v>0.0315079179614676-101.455495835926i</v>
      </c>
      <c r="EP161" s="1" t="str">
        <f t="shared" si="567"/>
        <v>-0.005</v>
      </c>
      <c r="EQ161" s="1" t="str">
        <f t="shared" si="568"/>
        <v>0.0150085741096444+0.556590098730156i</v>
      </c>
      <c r="ER161" s="1" t="str">
        <f t="shared" si="569"/>
        <v>-0.01</v>
      </c>
      <c r="ES161" s="1" t="str">
        <f t="shared" si="570"/>
        <v>0.0617297984551201-198.769951025487i</v>
      </c>
      <c r="ET161" s="1" t="str">
        <f t="shared" si="571"/>
        <v>-0.01</v>
      </c>
      <c r="EU161" s="1" t="str">
        <f t="shared" si="572"/>
        <v>0.0225211896615951+0.516433227911465i</v>
      </c>
      <c r="EV161" s="1" t="str">
        <f t="shared" si="573"/>
        <v>-0.0125</v>
      </c>
      <c r="EW161" s="1" t="str">
        <f t="shared" si="574"/>
        <v>0.152556194619555-491.230946674968i</v>
      </c>
      <c r="EX161" s="1" t="str">
        <f t="shared" si="575"/>
        <v>-0.0125</v>
      </c>
      <c r="EY161" s="1" t="str">
        <f t="shared" si="576"/>
        <v>0.0125295925867587+0.489318696539428i</v>
      </c>
      <c r="EZ161" s="1" t="str">
        <f t="shared" si="577"/>
        <v>0.213053540501354-686.032400414357i</v>
      </c>
      <c r="FB161" s="1" t="str">
        <f t="shared" si="578"/>
        <v>0.00500437636846431+0.570350241468175i</v>
      </c>
      <c r="FC161" s="1" t="str">
        <f t="shared" si="579"/>
        <v>0.0315079179614676-101.455495835926i</v>
      </c>
      <c r="FD161" s="1" t="str">
        <f t="shared" si="580"/>
        <v>-0.0000769136241642224+0.00876586828894293i</v>
      </c>
      <c r="FE161" s="1" t="str">
        <f t="shared" si="581"/>
        <v>0.0150081895415236+0.556633928071601i</v>
      </c>
      <c r="FF161" s="1" t="str">
        <f t="shared" si="582"/>
        <v>-0.827613291843845-198.778030529622i</v>
      </c>
      <c r="FG161" s="1" t="str">
        <f t="shared" si="583"/>
        <v>-0.000484031195908455+0.0179520777734238i</v>
      </c>
      <c r="FH161" s="1" t="str">
        <f t="shared" si="584"/>
        <v>0.022516349349636+0.516612748689199i</v>
      </c>
      <c r="FI161" s="1" t="str">
        <f t="shared" si="585"/>
        <v>-3.41632305974764-491.312304064624i</v>
      </c>
      <c r="FJ161" s="1" t="str">
        <f t="shared" si="586"/>
        <v>-0.00105257619259687+0.0241501973352119i</v>
      </c>
      <c r="FK161" s="1" t="str">
        <f t="shared" si="587"/>
        <v>0.0125164353843512+0.489620574006118i</v>
      </c>
      <c r="FL161" s="1" t="str">
        <f t="shared" si="588"/>
        <v>-11.6501101818435-686.553142676099i</v>
      </c>
      <c r="FM161" s="1" t="str">
        <f t="shared" si="589"/>
        <v>-1401.90677621796-12.0435408776328i</v>
      </c>
      <c r="FN161" s="1" t="str">
        <f t="shared" si="590"/>
        <v>-951.277270521472-0.927452119935597i</v>
      </c>
      <c r="FO161" s="1" t="str">
        <f t="shared" si="591"/>
        <v>-357.365023004198+8.94121566312511i</v>
      </c>
      <c r="FP161" s="1" t="str">
        <f t="shared" si="592"/>
        <v>-177.817726780015+1.51740159702529i</v>
      </c>
      <c r="FQ161" s="92" t="str">
        <f t="shared" si="593"/>
        <v>0.0109030324932656-103.961293248474i</v>
      </c>
      <c r="FR161" s="1" t="str">
        <f t="shared" si="594"/>
        <v>-0.886833448627647-103.924174178144i</v>
      </c>
      <c r="FS161" s="1" t="str">
        <f t="shared" si="595"/>
        <v>0.897736481120915-0.0371190703304991i</v>
      </c>
      <c r="FT161" s="1" t="str">
        <f t="shared" si="596"/>
        <v>-0.18206085696218-208.636387475215i</v>
      </c>
      <c r="FU161" s="1" t="str">
        <f t="shared" si="597"/>
        <v>0.235994155010911-556.137250916841i</v>
      </c>
      <c r="FV161" s="1" t="str">
        <f t="shared" si="598"/>
        <v>1.40214606954013-819.617118261895i</v>
      </c>
      <c r="FW161" s="1" t="str">
        <f t="shared" si="599"/>
        <v>-0.886833448627647-103.924174178144i</v>
      </c>
      <c r="FX161" s="1" t="str">
        <f t="shared" si="600"/>
        <v>-5.22344685101402-208.772193223376i</v>
      </c>
      <c r="FY161" s="1" t="str">
        <f t="shared" si="601"/>
        <v>0.542247808977602-556.177515348481i</v>
      </c>
      <c r="FZ161" s="1" t="str">
        <f t="shared" si="602"/>
        <v>7.04073620509856-819.56427065583i</v>
      </c>
      <c r="GA161" s="1" t="str">
        <f t="shared" si="603"/>
        <v>0.897736481120915-0.0371190703304991i</v>
      </c>
      <c r="GB161" s="1" t="str">
        <f t="shared" si="604"/>
        <v>5.93912247517274+0.0986866778306071i</v>
      </c>
      <c r="GC161" s="1" t="str">
        <f t="shared" si="605"/>
        <v>5.6328688212061+0.138951109471215i</v>
      </c>
      <c r="GD161" s="92" t="str">
        <f t="shared" si="606"/>
        <v>1.46698240008213-1688.35204990243i</v>
      </c>
      <c r="GE161" s="1" t="str">
        <f t="shared" si="557"/>
        <v>0.00370513795427256+4.26424833721055i</v>
      </c>
      <c r="GF161" s="1">
        <f t="shared" si="558"/>
        <v>32.200000000000003</v>
      </c>
      <c r="GG161" s="56">
        <f t="shared" si="559"/>
        <v>0.21638290426223211</v>
      </c>
      <c r="GH161" s="1">
        <f t="shared" si="560"/>
        <v>0.78361710755545122</v>
      </c>
      <c r="GJ161" s="1">
        <f t="shared" si="607"/>
        <v>1688.3526872212158</v>
      </c>
      <c r="GK161" s="1">
        <f t="shared" si="608"/>
        <v>4.2642499468781381</v>
      </c>
      <c r="GM161" s="1" t="str">
        <f t="shared" si="561"/>
        <v>0.0191834803010191+15.4427016423204i</v>
      </c>
      <c r="GP161" s="1">
        <f t="shared" si="547"/>
        <v>32.200000000000003</v>
      </c>
      <c r="GQ161" s="1">
        <f t="shared" si="548"/>
        <v>4.2642499468781381</v>
      </c>
      <c r="GR161" s="1">
        <f t="shared" si="562"/>
        <v>15.44271355752096</v>
      </c>
      <c r="GS161" s="1">
        <f t="shared" si="563"/>
        <v>3.3415392092661329</v>
      </c>
    </row>
    <row r="162" spans="2:201" ht="18" customHeight="1" x14ac:dyDescent="0.25">
      <c r="B162" s="6"/>
      <c r="AP162" s="8"/>
      <c r="AR162" s="6"/>
      <c r="CF162" s="8"/>
      <c r="EA162" s="1">
        <f t="shared" si="538"/>
        <v>32.4</v>
      </c>
      <c r="EB162" s="1" t="str">
        <f t="shared" si="549"/>
        <v>4.32250598605755E-06-0.0140049193948265i</v>
      </c>
      <c r="EC162" s="1" t="str">
        <f t="shared" si="550"/>
        <v>8.46858315635765E-06-0.0274382094265988i</v>
      </c>
      <c r="ED162" s="1" t="str">
        <f t="shared" si="551"/>
        <v>0.0000209288682692276-0.0678095331922976i</v>
      </c>
      <c r="EE162" s="1" t="str">
        <f t="shared" si="552"/>
        <v>0.0000292283738104841-0.0946999311459691i</v>
      </c>
      <c r="EF162" s="1" t="str">
        <f t="shared" si="553"/>
        <v>0.588072223376198i</v>
      </c>
      <c r="EG162" s="1" t="str">
        <f t="shared" si="554"/>
        <v>0.587827295336476i</v>
      </c>
      <c r="EH162" s="1" t="str">
        <f t="shared" si="555"/>
        <v>0.588295391280162i</v>
      </c>
      <c r="EI162" s="1" t="str">
        <f t="shared" si="556"/>
        <v>0.588237924199919i</v>
      </c>
      <c r="EJ162" s="1" t="str">
        <f t="shared" si="544"/>
        <v>0.005</v>
      </c>
      <c r="EK162" s="1" t="str">
        <f t="shared" si="545"/>
        <v>0.01</v>
      </c>
      <c r="EL162" s="1" t="str">
        <f t="shared" si="546"/>
        <v>0.0125</v>
      </c>
      <c r="EM162" s="1" t="str">
        <f t="shared" si="564"/>
        <v>0.00500432250598606+0.574067303981372i</v>
      </c>
      <c r="EN162" s="1" t="str">
        <f t="shared" si="565"/>
        <v>-0.005</v>
      </c>
      <c r="EO162" s="1" t="str">
        <f t="shared" si="566"/>
        <v>0.0311201319329625-100.829227462799i</v>
      </c>
      <c r="EP162" s="1" t="str">
        <f t="shared" si="567"/>
        <v>-0.005</v>
      </c>
      <c r="EQ162" s="1" t="str">
        <f t="shared" si="568"/>
        <v>0.0150084685831564+0.560389085909877i</v>
      </c>
      <c r="ER162" s="1" t="str">
        <f t="shared" si="569"/>
        <v>-0.01</v>
      </c>
      <c r="ES162" s="1" t="str">
        <f t="shared" si="570"/>
        <v>0.0609700543992734-197.542976253646i</v>
      </c>
      <c r="ET162" s="1" t="str">
        <f t="shared" si="571"/>
        <v>-0.01</v>
      </c>
      <c r="EU162" s="1" t="str">
        <f t="shared" si="572"/>
        <v>0.0225209288682692+0.520485858087864i</v>
      </c>
      <c r="EV162" s="1" t="str">
        <f t="shared" si="573"/>
        <v>-0.0125</v>
      </c>
      <c r="EW162" s="1" t="str">
        <f t="shared" si="574"/>
        <v>0.150678597981537-488.198657460183i</v>
      </c>
      <c r="EX162" s="1" t="str">
        <f t="shared" si="575"/>
        <v>-0.0125</v>
      </c>
      <c r="EY162" s="1" t="str">
        <f t="shared" si="576"/>
        <v>0.0125292283738105+0.49353799305395i</v>
      </c>
      <c r="EZ162" s="1" t="str">
        <f t="shared" si="577"/>
        <v>0.210431368308601-681.797633319873i</v>
      </c>
      <c r="FB162" s="1" t="str">
        <f t="shared" si="578"/>
        <v>0.00500432250598606+0.574067303981372i</v>
      </c>
      <c r="FC162" s="1" t="str">
        <f t="shared" si="579"/>
        <v>0.0311201319329625-100.829227462799i</v>
      </c>
      <c r="FD162" s="1" t="str">
        <f t="shared" si="580"/>
        <v>-0.0000759200820029436+0.0087091183154845i</v>
      </c>
      <c r="FE162" s="1" t="str">
        <f t="shared" si="581"/>
        <v>0.0150080889827464+0.560432631501454i</v>
      </c>
      <c r="FF162" s="1" t="str">
        <f t="shared" si="582"/>
        <v>-0.817161254590174-197.550902245774i</v>
      </c>
      <c r="FG162" s="1" t="str">
        <f t="shared" si="583"/>
        <v>-0.000477493241451841+0.0178305708434069i</v>
      </c>
      <c r="FH162" s="1" t="str">
        <f t="shared" si="584"/>
        <v>0.0225161539358547+0.520664163796298i</v>
      </c>
      <c r="FI162" s="1" t="str">
        <f t="shared" si="585"/>
        <v>-3.37215694866693-488.278416229208i</v>
      </c>
      <c r="FJ162" s="1" t="str">
        <f t="shared" si="586"/>
        <v>-0.00103628071692466+0.0239629838414197i</v>
      </c>
      <c r="FK162" s="1" t="str">
        <f t="shared" si="587"/>
        <v>0.0125162748648489+0.493837530351968i</v>
      </c>
      <c r="FL162" s="1" t="str">
        <f t="shared" si="588"/>
        <v>-11.488109026487-682.307154883436i</v>
      </c>
      <c r="FM162" s="1" t="str">
        <f t="shared" si="589"/>
        <v>-1381.34524472582-11.747158494857i</v>
      </c>
      <c r="FN162" s="1" t="str">
        <f t="shared" si="590"/>
        <v>-938.041142364508-0.925944755616331i</v>
      </c>
      <c r="FO162" s="1" t="str">
        <f t="shared" si="591"/>
        <v>-352.747973094091+8.74949000813672i</v>
      </c>
      <c r="FP162" s="1" t="str">
        <f t="shared" si="592"/>
        <v>-175.576842109252+1.48758966956934i</v>
      </c>
      <c r="FQ162" s="92" t="str">
        <f t="shared" si="593"/>
        <v>0.0110454904690976-103.288173414252i</v>
      </c>
      <c r="FR162" s="1" t="str">
        <f t="shared" si="594"/>
        <v>-0.874810164455106-103.251863912559i</v>
      </c>
      <c r="FS162" s="1" t="str">
        <f t="shared" si="595"/>
        <v>0.885855654924195-0.0363095016928369i</v>
      </c>
      <c r="FT162" s="1" t="str">
        <f t="shared" si="596"/>
        <v>-0.176113009276532-207.221823109994i</v>
      </c>
      <c r="FU162" s="1" t="str">
        <f t="shared" si="597"/>
        <v>0.233098619121399-551.806770060114i</v>
      </c>
      <c r="FV162" s="1" t="str">
        <f t="shared" si="598"/>
        <v>1.36326094410653-812.61058953388i</v>
      </c>
      <c r="FW162" s="1" t="str">
        <f t="shared" si="599"/>
        <v>-0.874810164455106-103.251863912559i</v>
      </c>
      <c r="FX162" s="1" t="str">
        <f t="shared" si="600"/>
        <v>-5.14318904705653-207.354886959324i</v>
      </c>
      <c r="FY162" s="1" t="str">
        <f t="shared" si="601"/>
        <v>0.544729032309123-551.845280884218i</v>
      </c>
      <c r="FZ162" s="1" t="str">
        <f t="shared" si="602"/>
        <v>6.91012412826213-812.559659360946i</v>
      </c>
      <c r="GA162" s="1" t="str">
        <f t="shared" si="603"/>
        <v>0.885855654924195-0.0363095016928369i</v>
      </c>
      <c r="GB162" s="1" t="str">
        <f t="shared" si="604"/>
        <v>5.85293169270417+0.0967543476375305i</v>
      </c>
      <c r="GC162" s="1" t="str">
        <f t="shared" si="605"/>
        <v>5.5413012795164+0.135265171740509i</v>
      </c>
      <c r="GD162" s="92" t="str">
        <f t="shared" si="606"/>
        <v>1.43129204442049-1674.92735611824i</v>
      </c>
      <c r="GE162" s="1" t="str">
        <f t="shared" si="557"/>
        <v>0.00367317664791154+4.29842677839568i</v>
      </c>
      <c r="GF162" s="1">
        <f t="shared" si="558"/>
        <v>32.4</v>
      </c>
      <c r="GG162" s="56">
        <f t="shared" si="559"/>
        <v>0.21668677549238416</v>
      </c>
      <c r="GH162" s="1">
        <f t="shared" si="560"/>
        <v>0.7833132367641692</v>
      </c>
      <c r="GJ162" s="1">
        <f t="shared" si="607"/>
        <v>1674.9279676661185</v>
      </c>
      <c r="GK162" s="1">
        <f t="shared" si="608"/>
        <v>4.2984283478331653</v>
      </c>
      <c r="GM162" s="1" t="str">
        <f t="shared" si="561"/>
        <v>0.0191834803010191+15.5386190438255i</v>
      </c>
      <c r="GP162" s="1">
        <f t="shared" si="547"/>
        <v>32.4</v>
      </c>
      <c r="GQ162" s="1">
        <f t="shared" si="548"/>
        <v>4.2984283478331653</v>
      </c>
      <c r="GR162" s="1">
        <f t="shared" si="562"/>
        <v>15.538630885475497</v>
      </c>
      <c r="GS162" s="1">
        <f t="shared" si="563"/>
        <v>3.367015822140055</v>
      </c>
    </row>
    <row r="163" spans="2:201" ht="18" customHeight="1" x14ac:dyDescent="0.25">
      <c r="B163" s="6"/>
      <c r="AP163" s="8"/>
      <c r="AR163" s="6"/>
      <c r="CF163" s="8"/>
      <c r="EA163" s="1">
        <f t="shared" si="538"/>
        <v>32.6</v>
      </c>
      <c r="EB163" s="1" t="str">
        <f t="shared" si="549"/>
        <v>4.26963179759418E-06-0.013918999660157i</v>
      </c>
      <c r="EC163" s="1" t="str">
        <f t="shared" si="550"/>
        <v>8.36499290957225E-06-0.0272698768852056i</v>
      </c>
      <c r="ED163" s="1" t="str">
        <f t="shared" si="551"/>
        <v>0.0000206728600812085-0.0673935238647398i</v>
      </c>
      <c r="EE163" s="1" t="str">
        <f t="shared" si="552"/>
        <v>0.000028870843583732-0.0941189500829665i</v>
      </c>
      <c r="EF163" s="1" t="str">
        <f t="shared" si="553"/>
        <v>0.591702298829138i</v>
      </c>
      <c r="EG163" s="1" t="str">
        <f t="shared" si="554"/>
        <v>0.591455858887935i</v>
      </c>
      <c r="EH163" s="1" t="str">
        <f t="shared" si="555"/>
        <v>0.591926844312755i</v>
      </c>
      <c r="EI163" s="1" t="str">
        <f t="shared" si="556"/>
        <v>0.591869022497449i</v>
      </c>
      <c r="EJ163" s="1" t="str">
        <f t="shared" si="544"/>
        <v>0.005</v>
      </c>
      <c r="EK163" s="1" t="str">
        <f t="shared" si="545"/>
        <v>0.01</v>
      </c>
      <c r="EL163" s="1" t="str">
        <f t="shared" si="546"/>
        <v>0.0125</v>
      </c>
      <c r="EM163" s="1" t="str">
        <f t="shared" si="564"/>
        <v>0.00500426963179759+0.577783299168981i</v>
      </c>
      <c r="EN163" s="1" t="str">
        <f t="shared" si="565"/>
        <v>-0.005</v>
      </c>
      <c r="EO163" s="1" t="str">
        <f t="shared" si="566"/>
        <v>0.0307394611539894-100.210643362005i</v>
      </c>
      <c r="EP163" s="1" t="str">
        <f t="shared" si="567"/>
        <v>-0.005</v>
      </c>
      <c r="EQ163" s="1" t="str">
        <f t="shared" si="568"/>
        <v>0.0150083649929096+0.564185982002729i</v>
      </c>
      <c r="ER163" s="1" t="str">
        <f t="shared" si="569"/>
        <v>-0.01</v>
      </c>
      <c r="ES163" s="1" t="str">
        <f t="shared" si="570"/>
        <v>0.0602242504241423-196.331056382704i</v>
      </c>
      <c r="ET163" s="1" t="str">
        <f t="shared" si="571"/>
        <v>-0.01</v>
      </c>
      <c r="EU163" s="1" t="str">
        <f t="shared" si="572"/>
        <v>0.0225206728600812+0.524533320448015i</v>
      </c>
      <c r="EV163" s="1" t="str">
        <f t="shared" si="573"/>
        <v>-0.0125</v>
      </c>
      <c r="EW163" s="1" t="str">
        <f t="shared" si="574"/>
        <v>0.148835452220081-485.203574237464i</v>
      </c>
      <c r="EX163" s="1" t="str">
        <f t="shared" si="575"/>
        <v>-0.0125</v>
      </c>
      <c r="EY163" s="1" t="str">
        <f t="shared" si="576"/>
        <v>0.0125288708435837+0.497750072414482i</v>
      </c>
      <c r="EZ163" s="1" t="str">
        <f t="shared" si="577"/>
        <v>0.207857308755547-677.614826543083i</v>
      </c>
      <c r="FB163" s="1" t="str">
        <f t="shared" si="578"/>
        <v>0.00500426963179759+0.577783299168981i</v>
      </c>
      <c r="FC163" s="1" t="str">
        <f t="shared" si="579"/>
        <v>0.0307394611539894-100.210643362005i</v>
      </c>
      <c r="FD163" s="1" t="str">
        <f t="shared" si="580"/>
        <v>-0.0000749459483584108+0.00865311433794903i</v>
      </c>
      <c r="FE163" s="1" t="str">
        <f t="shared" si="581"/>
        <v>0.0150079902631678+0.564229247574419i</v>
      </c>
      <c r="FF163" s="1" t="str">
        <f t="shared" si="582"/>
        <v>-0.806907600668652-196.338832756478i</v>
      </c>
      <c r="FG163" s="1" t="str">
        <f t="shared" si="583"/>
        <v>-0.000471090330438948+0.0177107619356256i</v>
      </c>
      <c r="FH163" s="1" t="str">
        <f t="shared" si="584"/>
        <v>0.0225159619567768+0.524710428067371i</v>
      </c>
      <c r="FI163" s="1" t="str">
        <f t="shared" si="585"/>
        <v>-3.32885499981674-485.281776614646i</v>
      </c>
      <c r="FJ163" s="1" t="str">
        <f t="shared" si="586"/>
        <v>-0.00102038053626248+0.0237788778024097i</v>
      </c>
      <c r="FK163" s="1" t="str">
        <f t="shared" si="587"/>
        <v>0.0125161160868804+0.498047308387012i</v>
      </c>
      <c r="FL163" s="1" t="str">
        <f t="shared" si="588"/>
        <v>-11.329587323531-678.113457966391i</v>
      </c>
      <c r="FM163" s="1" t="str">
        <f t="shared" si="589"/>
        <v>-1361.25625218308-11.4608669832397i</v>
      </c>
      <c r="FN163" s="1" t="str">
        <f t="shared" si="590"/>
        <v>-925.089747116559-0.923799823001184i</v>
      </c>
      <c r="FO163" s="1" t="str">
        <f t="shared" si="591"/>
        <v>-348.221207237079+8.5633713689298i</v>
      </c>
      <c r="FP163" s="1" t="str">
        <f t="shared" si="592"/>
        <v>-173.378368155599+1.4585649562246i</v>
      </c>
      <c r="FQ163" s="92" t="str">
        <f t="shared" si="593"/>
        <v>0.0111779578176744-102.623903036977i</v>
      </c>
      <c r="FR163" s="1" t="str">
        <f t="shared" si="594"/>
        <v>-0.863036237589717-102.588379004913i</v>
      </c>
      <c r="FS163" s="1" t="str">
        <f t="shared" si="595"/>
        <v>0.8742141954074-0.035524032063526i</v>
      </c>
      <c r="FT163" s="1" t="str">
        <f t="shared" si="596"/>
        <v>-0.170384964599367-205.827077465418i</v>
      </c>
      <c r="FU163" s="1" t="str">
        <f t="shared" si="597"/>
        <v>0.230217828542455-547.548613089205i</v>
      </c>
      <c r="FV163" s="1" t="str">
        <f t="shared" si="598"/>
        <v>1.32584269259276-805.73450490753i</v>
      </c>
      <c r="FW163" s="1" t="str">
        <f t="shared" si="599"/>
        <v>-0.863036237589717-102.588379004913i</v>
      </c>
      <c r="FX163" s="1" t="str">
        <f t="shared" si="600"/>
        <v>-5.06485616798673-205.9574732094i</v>
      </c>
      <c r="FY163" s="1" t="str">
        <f t="shared" si="601"/>
        <v>0.546821914005773-547.585454716789i</v>
      </c>
      <c r="FZ163" s="1" t="str">
        <f t="shared" si="602"/>
        <v>6.78333213834337-805.685407348141i</v>
      </c>
      <c r="GA163" s="1" t="str">
        <f t="shared" si="603"/>
        <v>0.8742141954074-0.035524032063526i</v>
      </c>
      <c r="GB163" s="1" t="str">
        <f t="shared" si="604"/>
        <v>5.7686853987948+0.0948717119193098i</v>
      </c>
      <c r="GC163" s="1" t="str">
        <f t="shared" si="605"/>
        <v>5.45208131333151+0.131713339502981i</v>
      </c>
      <c r="GD163" s="92" t="str">
        <f t="shared" si="606"/>
        <v>1.39685351435352-1661.73409849913i</v>
      </c>
      <c r="GE163" s="1" t="str">
        <f t="shared" si="557"/>
        <v>0.00364194447956806+4.33255403258216i</v>
      </c>
      <c r="GF163" s="1">
        <f t="shared" si="558"/>
        <v>32.6</v>
      </c>
      <c r="GG163" s="56">
        <f t="shared" si="559"/>
        <v>0.21698467972591118</v>
      </c>
      <c r="GH163" s="1">
        <f t="shared" si="560"/>
        <v>0.78301533295729342</v>
      </c>
      <c r="GJ163" s="1">
        <f t="shared" si="607"/>
        <v>1661.734685596487</v>
      </c>
      <c r="GK163" s="1">
        <f t="shared" si="608"/>
        <v>4.3325555632909687</v>
      </c>
      <c r="GM163" s="1" t="str">
        <f t="shared" si="561"/>
        <v>0.0191834803010191+15.6345364453306i</v>
      </c>
      <c r="GP163" s="1">
        <f t="shared" si="547"/>
        <v>32.6</v>
      </c>
      <c r="GQ163" s="1">
        <f t="shared" si="548"/>
        <v>4.3325555632909687</v>
      </c>
      <c r="GR163" s="1">
        <f t="shared" si="562"/>
        <v>15.634548214332492</v>
      </c>
      <c r="GS163" s="1">
        <f t="shared" si="563"/>
        <v>3.3924574369462599</v>
      </c>
    </row>
    <row r="164" spans="2:201" ht="18" customHeight="1" x14ac:dyDescent="0.25">
      <c r="B164" s="6"/>
      <c r="AP164" s="8"/>
      <c r="AR164" s="6"/>
      <c r="CF164" s="8"/>
      <c r="EA164" s="1">
        <f t="shared" si="538"/>
        <v>32.799999999999997</v>
      </c>
      <c r="EB164" s="1" t="str">
        <f t="shared" si="549"/>
        <v>4.21772186793777E-06-0.0138341277268359i</v>
      </c>
      <c r="EC164" s="1" t="str">
        <f t="shared" si="550"/>
        <v>8.26329182289851E-06-0.0271035971791071i</v>
      </c>
      <c r="ED164" s="1" t="str">
        <f t="shared" si="551"/>
        <v>0.000020421520676903-0.0669825878202416i</v>
      </c>
      <c r="EE164" s="1" t="str">
        <f t="shared" si="552"/>
        <v>0.0000285198335831984-0.0935450541528907i</v>
      </c>
      <c r="EF164" s="1" t="str">
        <f t="shared" si="553"/>
        <v>0.595332374282076i</v>
      </c>
      <c r="EG164" s="1" t="str">
        <f t="shared" si="554"/>
        <v>0.595084422439394i</v>
      </c>
      <c r="EH164" s="1" t="str">
        <f t="shared" si="555"/>
        <v>0.595558297345349i</v>
      </c>
      <c r="EI164" s="1" t="str">
        <f t="shared" si="556"/>
        <v>0.595500120794978i</v>
      </c>
      <c r="EJ164" s="1" t="str">
        <f t="shared" si="544"/>
        <v>0.005</v>
      </c>
      <c r="EK164" s="1" t="str">
        <f t="shared" si="545"/>
        <v>0.01</v>
      </c>
      <c r="EL164" s="1" t="str">
        <f t="shared" si="546"/>
        <v>0.0125</v>
      </c>
      <c r="EM164" s="1" t="str">
        <f t="shared" si="564"/>
        <v>0.00500421772186794+0.58149824655524i</v>
      </c>
      <c r="EN164" s="1" t="str">
        <f t="shared" si="565"/>
        <v>-0.005</v>
      </c>
      <c r="EO164" s="1" t="str">
        <f t="shared" si="566"/>
        <v>0.0303657326120859-99.5996029676419i</v>
      </c>
      <c r="EP164" s="1" t="str">
        <f t="shared" si="567"/>
        <v>-0.005</v>
      </c>
      <c r="EQ164" s="1" t="str">
        <f t="shared" si="568"/>
        <v>0.0150082632918229+0.567980825260287i</v>
      </c>
      <c r="ER164" s="1" t="str">
        <f t="shared" si="569"/>
        <v>-0.01</v>
      </c>
      <c r="ES164" s="1" t="str">
        <f t="shared" si="570"/>
        <v>0.0594920475665358-195.133916018237i</v>
      </c>
      <c r="ET164" s="1" t="str">
        <f t="shared" si="571"/>
        <v>-0.01</v>
      </c>
      <c r="EU164" s="1" t="str">
        <f t="shared" si="572"/>
        <v>0.0225204215206769+0.528575709525107i</v>
      </c>
      <c r="EV164" s="1" t="str">
        <f t="shared" si="573"/>
        <v>-0.0125</v>
      </c>
      <c r="EW164" s="1" t="str">
        <f t="shared" si="574"/>
        <v>0.147025919637091-482.245016409657i</v>
      </c>
      <c r="EX164" s="1" t="str">
        <f t="shared" si="575"/>
        <v>-0.0125</v>
      </c>
      <c r="EY164" s="1" t="str">
        <f t="shared" si="576"/>
        <v>0.0125285198335832+0.501955066642087i</v>
      </c>
      <c r="EZ164" s="1" t="str">
        <f t="shared" si="577"/>
        <v>0.205330191948391-673.483029590724i</v>
      </c>
      <c r="FB164" s="1" t="str">
        <f t="shared" si="578"/>
        <v>0.00500421772186794+0.58149824655524i</v>
      </c>
      <c r="FC164" s="1" t="str">
        <f t="shared" si="579"/>
        <v>0.0303657326120859-99.5996029676419i</v>
      </c>
      <c r="FD164" s="1" t="str">
        <f t="shared" si="580"/>
        <v>-0.0000739907142785128+0.00859784146207466i</v>
      </c>
      <c r="FE164" s="1" t="str">
        <f t="shared" si="581"/>
        <v>0.0150078933382515+0.568023814467597i</v>
      </c>
      <c r="FF164" s="1" t="str">
        <f t="shared" si="582"/>
        <v>-0.796847301652584-195.141546543757i</v>
      </c>
      <c r="FG164" s="1" t="str">
        <f t="shared" si="583"/>
        <v>-0.000464818686666391+0.0175926145985538i</v>
      </c>
      <c r="FH164" s="1" t="str">
        <f t="shared" si="584"/>
        <v>0.0225157733338102+0.528751635671093i</v>
      </c>
      <c r="FI164" s="1" t="str">
        <f t="shared" si="585"/>
        <v>-3.2863944903892-482.321703219564i</v>
      </c>
      <c r="FJ164" s="1" t="str">
        <f t="shared" si="586"/>
        <v>-0.00100486249949933+0.0235977988567228i</v>
      </c>
      <c r="FK164" s="1" t="str">
        <f t="shared" si="587"/>
        <v>0.0125159590523395+0.502250039127796i</v>
      </c>
      <c r="FL164" s="1" t="str">
        <f t="shared" si="588"/>
        <v>-11.1744429641106-673.971089011363i</v>
      </c>
      <c r="FM164" s="1" t="str">
        <f t="shared" si="589"/>
        <v>-1341.62479880244-11.1842262691684i</v>
      </c>
      <c r="FN164" s="1" t="str">
        <f t="shared" si="590"/>
        <v>-912.414704481717-0.921071755187937i</v>
      </c>
      <c r="FO164" s="1" t="str">
        <f t="shared" si="591"/>
        <v>-343.782352467669+8.38265112797205i</v>
      </c>
      <c r="FP164" s="1" t="str">
        <f t="shared" si="592"/>
        <v>-171.221233840209+1.43030129825846i</v>
      </c>
      <c r="FQ164" s="92" t="str">
        <f t="shared" si="593"/>
        <v>0.0113009253063423-101.968305418747i</v>
      </c>
      <c r="FR164" s="1" t="str">
        <f t="shared" si="594"/>
        <v>-0.851504667830945-101.933543669598i</v>
      </c>
      <c r="FS164" s="1" t="str">
        <f t="shared" si="595"/>
        <v>0.8628055931373-0.034761749148568i</v>
      </c>
      <c r="FT164" s="1" t="str">
        <f t="shared" si="596"/>
        <v>-0.164867177997004-204.451723685099i</v>
      </c>
      <c r="FU164" s="1" t="str">
        <f t="shared" si="597"/>
        <v>0.227354585121195-543.360895671397i</v>
      </c>
      <c r="FV164" s="1" t="str">
        <f t="shared" si="598"/>
        <v>1.28982215994887-798.985075075287i</v>
      </c>
      <c r="FW164" s="1" t="str">
        <f t="shared" si="599"/>
        <v>-0.851504667830945-101.933543669598i</v>
      </c>
      <c r="FX164" s="1" t="str">
        <f t="shared" si="600"/>
        <v>-4.98838510500018-204.579522663079i</v>
      </c>
      <c r="FY164" s="1" t="str">
        <f t="shared" si="601"/>
        <v>0.54855192625262-543.396147873991i</v>
      </c>
      <c r="FZ164" s="1" t="str">
        <f t="shared" si="602"/>
        <v>6.66020809428815-798.937729748391i</v>
      </c>
      <c r="GA164" s="1" t="str">
        <f t="shared" si="603"/>
        <v>0.8628055931373-0.034761749148568i</v>
      </c>
      <c r="GB164" s="1" t="str">
        <f t="shared" si="604"/>
        <v>5.68632352014048+0.0930372288315999i</v>
      </c>
      <c r="GC164" s="1" t="str">
        <f t="shared" si="605"/>
        <v>5.36512617900904+0.128289431424756i</v>
      </c>
      <c r="GD164" s="92" t="str">
        <f t="shared" si="606"/>
        <v>1.3636104923794-1648.76599985053i</v>
      </c>
      <c r="GE164" s="1" t="str">
        <f t="shared" si="557"/>
        <v>0.00361141849023753+4.36663112465879i</v>
      </c>
      <c r="GF164" s="1">
        <f t="shared" si="558"/>
        <v>32.799999999999997</v>
      </c>
      <c r="GG164" s="56">
        <f t="shared" si="559"/>
        <v>0.21727677498664522</v>
      </c>
      <c r="GH164" s="1">
        <f t="shared" si="560"/>
        <v>0.78272323811084699</v>
      </c>
      <c r="GJ164" s="1">
        <f t="shared" si="607"/>
        <v>1648.7665637368721</v>
      </c>
      <c r="GK164" s="1">
        <f t="shared" si="608"/>
        <v>4.3666326180688015</v>
      </c>
      <c r="GM164" s="1" t="str">
        <f t="shared" si="561"/>
        <v>0.0191834803010191+15.7304538468357i</v>
      </c>
      <c r="GP164" s="1">
        <f t="shared" si="547"/>
        <v>32.799999999999997</v>
      </c>
      <c r="GQ164" s="1">
        <f t="shared" si="548"/>
        <v>4.3666326180688015</v>
      </c>
      <c r="GR164" s="1">
        <f t="shared" si="562"/>
        <v>15.730465544075434</v>
      </c>
      <c r="GS164" s="1">
        <f t="shared" si="563"/>
        <v>3.417864822455261</v>
      </c>
    </row>
    <row r="165" spans="2:201" ht="18" customHeight="1" x14ac:dyDescent="0.25">
      <c r="B165" s="6"/>
      <c r="AP165" s="8"/>
      <c r="AR165" s="6"/>
      <c r="CF165" s="8"/>
      <c r="EA165" s="1">
        <f t="shared" si="538"/>
        <v>33</v>
      </c>
      <c r="EB165" s="1" t="str">
        <f t="shared" si="549"/>
        <v>0.000004166752892102-0.0137502845439366i</v>
      </c>
      <c r="EC165" s="1" t="str">
        <f t="shared" si="550"/>
        <v>8.16343423758758E-06-0.0269393329840391i</v>
      </c>
      <c r="ED165" s="1" t="str">
        <f t="shared" si="551"/>
        <v>0.0000201747372173715-0.0665766328173259i</v>
      </c>
      <c r="EE165" s="1" t="str">
        <f t="shared" si="552"/>
        <v>0.0000281751862227852-0.0929781145351908i</v>
      </c>
      <c r="EF165" s="1" t="str">
        <f t="shared" si="553"/>
        <v>0.598962449735017i</v>
      </c>
      <c r="EG165" s="1" t="str">
        <f t="shared" si="554"/>
        <v>0.598712985990856i</v>
      </c>
      <c r="EH165" s="1" t="str">
        <f t="shared" si="555"/>
        <v>0.599189750377943i</v>
      </c>
      <c r="EI165" s="1" t="str">
        <f t="shared" si="556"/>
        <v>0.59913121909251i</v>
      </c>
      <c r="EJ165" s="1" t="str">
        <f t="shared" si="544"/>
        <v>0.005</v>
      </c>
      <c r="EK165" s="1" t="str">
        <f t="shared" si="545"/>
        <v>0.01</v>
      </c>
      <c r="EL165" s="1" t="str">
        <f t="shared" si="546"/>
        <v>0.0125</v>
      </c>
      <c r="EM165" s="1" t="str">
        <f t="shared" si="564"/>
        <v>0.0050041667528921+0.58521216519108i</v>
      </c>
      <c r="EN165" s="1" t="str">
        <f t="shared" si="565"/>
        <v>-0.005</v>
      </c>
      <c r="EO165" s="1" t="str">
        <f t="shared" si="566"/>
        <v>0.0299987785216547-98.9959691214606i</v>
      </c>
      <c r="EP165" s="1" t="str">
        <f t="shared" si="567"/>
        <v>-0.005</v>
      </c>
      <c r="EQ165" s="1" t="str">
        <f t="shared" si="568"/>
        <v>0.0150081634342376+0.571773653006817i</v>
      </c>
      <c r="ER165" s="1" t="str">
        <f t="shared" si="569"/>
        <v>-0.01</v>
      </c>
      <c r="ES165" s="1" t="str">
        <f t="shared" si="570"/>
        <v>0.05877311710365-193.951286442046i</v>
      </c>
      <c r="ET165" s="1" t="str">
        <f t="shared" si="571"/>
        <v>-0.01</v>
      </c>
      <c r="EU165" s="1" t="str">
        <f t="shared" si="572"/>
        <v>0.0225201747372174+0.532613117560617i</v>
      </c>
      <c r="EV165" s="1" t="str">
        <f t="shared" si="573"/>
        <v>-0.0125</v>
      </c>
      <c r="EW165" s="1" t="str">
        <f t="shared" si="574"/>
        <v>0.145249187842094-479.32231987891i</v>
      </c>
      <c r="EX165" s="1" t="str">
        <f t="shared" si="575"/>
        <v>-0.0125</v>
      </c>
      <c r="EY165" s="1" t="str">
        <f t="shared" si="576"/>
        <v>0.0125281751862228+0.506153104557319i</v>
      </c>
      <c r="EZ165" s="1" t="str">
        <f t="shared" si="577"/>
        <v>0.202848883336905-669.401315011784i</v>
      </c>
      <c r="FB165" s="1" t="str">
        <f t="shared" si="578"/>
        <v>0.0050041667528921+0.58521216519108i</v>
      </c>
      <c r="FC165" s="1" t="str">
        <f t="shared" si="579"/>
        <v>0.0299987785216547-98.9959691214606i</v>
      </c>
      <c r="FD165" s="1" t="str">
        <f t="shared" si="580"/>
        <v>-0.0000730538875824787+0.00854328519389569i</v>
      </c>
      <c r="FE165" s="1" t="str">
        <f t="shared" si="581"/>
        <v>0.0150077981647997+0.571816369432786i</v>
      </c>
      <c r="FF165" s="1" t="str">
        <f t="shared" si="582"/>
        <v>-0.786975488619686-193.958774770566i</v>
      </c>
      <c r="FG165" s="1" t="str">
        <f t="shared" si="583"/>
        <v>-0.000458674667408344+0.0174760934407683i</v>
      </c>
      <c r="FH165" s="1" t="str">
        <f t="shared" si="584"/>
        <v>0.0225155879905433+0.532787878495025i</v>
      </c>
      <c r="FI165" s="1" t="str">
        <f t="shared" si="585"/>
        <v>-3.24475344942576-479.397530598244i</v>
      </c>
      <c r="FJ165" s="1" t="str">
        <f t="shared" si="586"/>
        <v>-0.000989714011407817+0.0234196694608306i</v>
      </c>
      <c r="FK165" s="1" t="str">
        <f t="shared" si="587"/>
        <v>0.0125158037610802+0.506445850425579i</v>
      </c>
      <c r="FL165" s="1" t="str">
        <f t="shared" si="588"/>
        <v>-11.0225776582693-669.879108715717i</v>
      </c>
      <c r="FM165" s="1" t="str">
        <f t="shared" si="589"/>
        <v>-1322.43649618298-10.916819655648i</v>
      </c>
      <c r="FN165" s="1" t="str">
        <f t="shared" si="590"/>
        <v>-900.007949029511-0.917810889824549i</v>
      </c>
      <c r="FO165" s="1" t="str">
        <f t="shared" si="591"/>
        <v>-339.429114322341+8.20713010465857i</v>
      </c>
      <c r="FP165" s="1" t="str">
        <f t="shared" si="592"/>
        <v>-169.104401907919+1.40277358558788i</v>
      </c>
      <c r="FQ165" s="92" t="str">
        <f t="shared" si="593"/>
        <v>0.0114148588248202-101.321208610338i</v>
      </c>
      <c r="FR165" s="1" t="str">
        <f t="shared" si="594"/>
        <v>-0.84020870324729-101.287186827742i</v>
      </c>
      <c r="FS165" s="1" t="str">
        <f t="shared" si="595"/>
        <v>0.85162356207211-0.0340217825953534i</v>
      </c>
      <c r="FT165" s="1" t="str">
        <f t="shared" si="596"/>
        <v>-0.159550586375986-203.095347375619i</v>
      </c>
      <c r="FU165" s="1" t="str">
        <f t="shared" si="597"/>
        <v>0.224511370314902-539.241800117529i</v>
      </c>
      <c r="FV165" s="1" t="str">
        <f t="shared" si="598"/>
        <v>1.25513408618753-792.358659435975i</v>
      </c>
      <c r="FW165" s="1" t="str">
        <f t="shared" si="599"/>
        <v>-0.84020870324729-101.287186827742i</v>
      </c>
      <c r="FX165" s="1" t="str">
        <f t="shared" si="600"/>
        <v>-4.91371537137558-203.22061856816i</v>
      </c>
      <c r="FY165" s="1" t="str">
        <f t="shared" si="601"/>
        <v>0.549942877968129-539.275538317157i</v>
      </c>
      <c r="FZ165" s="1" t="str">
        <f t="shared" si="602"/>
        <v>6.54060746890146-792.312990130536i</v>
      </c>
      <c r="GA165" s="1" t="str">
        <f t="shared" si="603"/>
        <v>0.85162356207211-0.0340217825953534i</v>
      </c>
      <c r="GB165" s="1" t="str">
        <f t="shared" si="604"/>
        <v>5.6057883470717+0.0912494099448312i</v>
      </c>
      <c r="GC165" s="1" t="str">
        <f t="shared" si="605"/>
        <v>5.28035683941836+0.124987609572793i</v>
      </c>
      <c r="GD165" s="92" t="str">
        <f t="shared" si="606"/>
        <v>1.33150972895127-1636.01701553946i</v>
      </c>
      <c r="GE165" s="1" t="str">
        <f t="shared" si="557"/>
        <v>0.00358157664941967+4.40065905152979i</v>
      </c>
      <c r="GF165" s="1">
        <f t="shared" si="558"/>
        <v>33</v>
      </c>
      <c r="GG165" s="56">
        <f t="shared" si="559"/>
        <v>0.21756321400672229</v>
      </c>
      <c r="GH165" s="1">
        <f t="shared" si="560"/>
        <v>0.7824367994925987</v>
      </c>
      <c r="GJ165" s="1">
        <f t="shared" si="607"/>
        <v>1636.0175573791378</v>
      </c>
      <c r="GK165" s="1">
        <f t="shared" si="608"/>
        <v>4.4006605090034352</v>
      </c>
      <c r="GM165" s="1" t="str">
        <f t="shared" si="561"/>
        <v>0.0191834803010191+15.8263712483408i</v>
      </c>
      <c r="GP165" s="1">
        <f t="shared" si="547"/>
        <v>33</v>
      </c>
      <c r="GQ165" s="1">
        <f t="shared" si="548"/>
        <v>4.4006605090034352</v>
      </c>
      <c r="GR165" s="1">
        <f t="shared" si="562"/>
        <v>15.826382874688226</v>
      </c>
      <c r="GS165" s="1">
        <f t="shared" si="563"/>
        <v>3.4432387243181188</v>
      </c>
    </row>
    <row r="166" spans="2:201" ht="18" customHeight="1" x14ac:dyDescent="0.25">
      <c r="B166" s="6"/>
      <c r="AP166" s="8"/>
      <c r="AR166" s="6"/>
      <c r="CF166" s="8"/>
      <c r="EA166" s="1">
        <f t="shared" si="538"/>
        <v>33.200000000000003</v>
      </c>
      <c r="EB166" s="1" t="str">
        <f t="shared" si="549"/>
        <v>4.11670226493698E-06-0.0136674515195908i</v>
      </c>
      <c r="EC166" s="1" t="str">
        <f t="shared" si="550"/>
        <v>8.06537586599899E-06-0.0267770478751167i</v>
      </c>
      <c r="ED166" s="1" t="str">
        <f t="shared" si="551"/>
        <v>0.0000199324002521694-0.0661755688372024i</v>
      </c>
      <c r="EE166" s="1" t="str">
        <f t="shared" si="552"/>
        <v>0.0000278367486486213-0.0924180055134232i</v>
      </c>
      <c r="EF166" s="1" t="str">
        <f t="shared" si="553"/>
        <v>0.602592525187957i</v>
      </c>
      <c r="EG166" s="1" t="str">
        <f t="shared" si="554"/>
        <v>0.602341549542315i</v>
      </c>
      <c r="EH166" s="1" t="str">
        <f t="shared" si="555"/>
        <v>0.602821203410535i</v>
      </c>
      <c r="EI166" s="1" t="str">
        <f t="shared" si="556"/>
        <v>0.60276231739004i</v>
      </c>
      <c r="EJ166" s="1" t="str">
        <f t="shared" si="544"/>
        <v>0.005</v>
      </c>
      <c r="EK166" s="1" t="str">
        <f t="shared" si="545"/>
        <v>0.01</v>
      </c>
      <c r="EL166" s="1" t="str">
        <f t="shared" si="546"/>
        <v>0.0125</v>
      </c>
      <c r="EM166" s="1" t="str">
        <f t="shared" si="564"/>
        <v>0.00500411670226494+0.588925073668366i</v>
      </c>
      <c r="EN166" s="1" t="str">
        <f t="shared" si="565"/>
        <v>-0.005</v>
      </c>
      <c r="EO166" s="1" t="str">
        <f t="shared" si="566"/>
        <v>0.0296384361356113-98.3996079702297i</v>
      </c>
      <c r="EP166" s="1" t="str">
        <f t="shared" si="567"/>
        <v>-0.005</v>
      </c>
      <c r="EQ166" s="1" t="str">
        <f t="shared" si="568"/>
        <v>0.015008065375866+0.575564501667198i</v>
      </c>
      <c r="ER166" s="1" t="str">
        <f t="shared" si="569"/>
        <v>-0.01</v>
      </c>
      <c r="ES166" s="1" t="str">
        <f t="shared" si="570"/>
        <v>0.0580671401840549-192.782905411063i</v>
      </c>
      <c r="ET166" s="1" t="str">
        <f t="shared" si="571"/>
        <v>-0.01</v>
      </c>
      <c r="EU166" s="1" t="str">
        <f t="shared" si="572"/>
        <v>0.0225199324002522+0.536645634573333i</v>
      </c>
      <c r="EV166" s="1" t="str">
        <f t="shared" si="573"/>
        <v>-0.0125</v>
      </c>
      <c r="EW166" s="1" t="str">
        <f t="shared" si="574"/>
        <v>0.143504468840282-476.434836549735i</v>
      </c>
      <c r="EX166" s="1" t="str">
        <f t="shared" si="575"/>
        <v>-0.0125</v>
      </c>
      <c r="EY166" s="1" t="str">
        <f t="shared" si="576"/>
        <v>0.0125278367486486+0.510344311876617i</v>
      </c>
      <c r="EZ166" s="1" t="str">
        <f t="shared" si="577"/>
        <v>0.200412282440799-665.368777703456i</v>
      </c>
      <c r="FB166" s="1" t="str">
        <f t="shared" si="578"/>
        <v>0.00500411670226494+0.588925073668366i</v>
      </c>
      <c r="FC166" s="1" t="str">
        <f t="shared" si="579"/>
        <v>0.0296384361356113-98.3996079702297i</v>
      </c>
      <c r="FD166" s="1" t="str">
        <f t="shared" si="580"/>
        <v>-0.0000721349921951723+0.00848943142620571i</v>
      </c>
      <c r="FE166" s="1" t="str">
        <f t="shared" si="581"/>
        <v>0.015007704700905+0.575606948824329i</v>
      </c>
      <c r="FF166" s="1" t="str">
        <f t="shared" si="582"/>
        <v>-0.777287446076375-192.790255079487i</v>
      </c>
      <c r="FG166" s="1" t="str">
        <f t="shared" si="583"/>
        <v>-0.000452654757712101+0.0173611640920524i</v>
      </c>
      <c r="FH166" s="1" t="str">
        <f t="shared" si="584"/>
        <v>0.0225154058526751+0.536819246214254i</v>
      </c>
      <c r="FI166" s="1" t="str">
        <f t="shared" si="585"/>
        <v>-3.20391062780391-476.508609361039i</v>
      </c>
      <c r="FJ166" s="1" t="str">
        <f t="shared" si="586"/>
        <v>-0.0009749230042228+0.0232444147650858i</v>
      </c>
      <c r="FK166" s="1" t="str">
        <f t="shared" si="587"/>
        <v>0.0125156502110958+0.510634867061181i</v>
      </c>
      <c r="FL166" s="1" t="str">
        <f t="shared" si="588"/>
        <v>-10.8738967610492-665.836600663016i</v>
      </c>
      <c r="FM166" s="1" t="str">
        <f t="shared" si="589"/>
        <v>-1303.67753681974-10.6582523617556i</v>
      </c>
      <c r="FN166" s="1" t="str">
        <f t="shared" si="590"/>
        <v>-887.861715763041-0.914063787517193i</v>
      </c>
      <c r="FO166" s="1" t="str">
        <f t="shared" si="591"/>
        <v>-335.159273705655+8.03661805266761i</v>
      </c>
      <c r="FP166" s="1" t="str">
        <f t="shared" si="592"/>
        <v>-167.026867645822+1.37595770754281i</v>
      </c>
      <c r="FQ166" s="92" t="str">
        <f t="shared" si="593"/>
        <v>0.0115202007591056-100.682445250656i</v>
      </c>
      <c r="FR166" s="1" t="str">
        <f t="shared" si="594"/>
        <v>-0.829141829540054-100.649141948931i</v>
      </c>
      <c r="FS166" s="1" t="str">
        <f t="shared" si="595"/>
        <v>0.840662030299165-0.033303301725624i</v>
      </c>
      <c r="FT166" s="1" t="str">
        <f t="shared" si="596"/>
        <v>-0.154426580648842-201.757546147213i</v>
      </c>
      <c r="FU166" s="1" t="str">
        <f t="shared" si="597"/>
        <v>0.221690375019886-535.189572419643i</v>
      </c>
      <c r="FV166" s="1" t="str">
        <f t="shared" si="598"/>
        <v>1.22171685188429-785.851758797896i</v>
      </c>
      <c r="FW166" s="1" t="str">
        <f t="shared" si="599"/>
        <v>-0.829141829540054-100.649141948931i</v>
      </c>
      <c r="FX166" s="1" t="str">
        <f t="shared" si="600"/>
        <v>-4.84078897092355-201.880356267341i</v>
      </c>
      <c r="FY166" s="1" t="str">
        <f t="shared" si="601"/>
        <v>0.551017032385106-535.221867958419i</v>
      </c>
      <c r="FZ166" s="1" t="str">
        <f t="shared" si="602"/>
        <v>6.42439289289967-785.807693222806i</v>
      </c>
      <c r="GA166" s="1" t="str">
        <f t="shared" si="603"/>
        <v>0.840662030299165-0.033303301725624i</v>
      </c>
      <c r="GB166" s="1" t="str">
        <f t="shared" si="604"/>
        <v>5.52702442057386+0.089506818401848i</v>
      </c>
      <c r="GC166" s="1" t="str">
        <f t="shared" si="605"/>
        <v>5.19769776320874+0.12180235717798i</v>
      </c>
      <c r="GD166" s="92" t="str">
        <f t="shared" si="606"/>
        <v>1.30050084701444-1623.48132261541i</v>
      </c>
      <c r="GE166" s="1" t="str">
        <f t="shared" si="557"/>
        <v>0.00355239780912616+4.43463878309353i</v>
      </c>
      <c r="GF166" s="1">
        <f t="shared" si="558"/>
        <v>33.200000000000003</v>
      </c>
      <c r="GG166" s="56">
        <f t="shared" si="559"/>
        <v>0.2178441444416766</v>
      </c>
      <c r="GH166" s="1">
        <f t="shared" si="560"/>
        <v>0.78215586944697635</v>
      </c>
      <c r="GJ166" s="1">
        <f t="shared" si="607"/>
        <v>1623.4818435028876</v>
      </c>
      <c r="GK166" s="1">
        <f t="shared" si="608"/>
        <v>4.4346402059296155</v>
      </c>
      <c r="GM166" s="1" t="str">
        <f t="shared" si="561"/>
        <v>0.0191834803010191+15.9222886498459i</v>
      </c>
      <c r="GP166" s="1">
        <f t="shared" si="547"/>
        <v>33.200000000000003</v>
      </c>
      <c r="GQ166" s="1">
        <f t="shared" si="548"/>
        <v>4.4346402059296155</v>
      </c>
      <c r="GR166" s="1">
        <f t="shared" si="562"/>
        <v>15.922300206155141</v>
      </c>
      <c r="GS166" s="1">
        <f t="shared" si="563"/>
        <v>3.4685798659533935</v>
      </c>
    </row>
    <row r="167" spans="2:201" ht="18" customHeight="1" x14ac:dyDescent="0.25">
      <c r="B167" s="6"/>
      <c r="AP167" s="8"/>
      <c r="AR167" s="6"/>
      <c r="CF167" s="8"/>
      <c r="EA167" s="1">
        <f t="shared" si="538"/>
        <v>33.4</v>
      </c>
      <c r="EB167" s="1" t="str">
        <f t="shared" si="549"/>
        <v>4.06754805606114E-06-0.0135856105072442i</v>
      </c>
      <c r="EC167" s="1" t="str">
        <f t="shared" si="550"/>
        <v>7.96907374248715E-06-0.0266167062999071i</v>
      </c>
      <c r="ED167" s="1" t="str">
        <f t="shared" si="551"/>
        <v>0.0000196944035979694-0.0657793080172181i</v>
      </c>
      <c r="EE167" s="1" t="str">
        <f t="shared" si="552"/>
        <v>0.0000275043725695562-0.0918646043823179i</v>
      </c>
      <c r="EF167" s="1" t="str">
        <f t="shared" si="553"/>
        <v>0.606222600640896i</v>
      </c>
      <c r="EG167" s="1" t="str">
        <f t="shared" si="554"/>
        <v>0.605970113093775i</v>
      </c>
      <c r="EH167" s="1" t="str">
        <f t="shared" si="555"/>
        <v>0.60645265644313i</v>
      </c>
      <c r="EI167" s="1" t="str">
        <f t="shared" si="556"/>
        <v>0.606393415687569i</v>
      </c>
      <c r="EJ167" s="1" t="str">
        <f t="shared" si="544"/>
        <v>0.005</v>
      </c>
      <c r="EK167" s="1" t="str">
        <f t="shared" si="545"/>
        <v>0.01</v>
      </c>
      <c r="EL167" s="1" t="str">
        <f t="shared" si="546"/>
        <v>0.0125</v>
      </c>
      <c r="EM167" s="1" t="str">
        <f t="shared" si="564"/>
        <v>0.00500406754805606+0.592636990133652i</v>
      </c>
      <c r="EN167" s="1" t="str">
        <f t="shared" si="565"/>
        <v>-0.005</v>
      </c>
      <c r="EO167" s="1" t="str">
        <f t="shared" si="566"/>
        <v>0.0292845475649047-97.8103888667817i</v>
      </c>
      <c r="EP167" s="1" t="str">
        <f t="shared" si="567"/>
        <v>-0.005</v>
      </c>
      <c r="EQ167" s="1" t="str">
        <f t="shared" si="568"/>
        <v>0.0150079690737425+0.579353406793868i</v>
      </c>
      <c r="ER167" s="1" t="str">
        <f t="shared" si="569"/>
        <v>-0.01</v>
      </c>
      <c r="ES167" s="1" t="str">
        <f t="shared" si="570"/>
        <v>0.0573738074740992-191.628516963491i</v>
      </c>
      <c r="ET167" s="1" t="str">
        <f t="shared" si="571"/>
        <v>-0.01</v>
      </c>
      <c r="EU167" s="1" t="str">
        <f t="shared" si="572"/>
        <v>0.022519694403598+0.540673348425912i</v>
      </c>
      <c r="EV167" s="1" t="str">
        <f t="shared" si="573"/>
        <v>-0.0125</v>
      </c>
      <c r="EW167" s="1" t="str">
        <f t="shared" si="574"/>
        <v>0.141790998158645-473.581933849877i</v>
      </c>
      <c r="EX167" s="1" t="str">
        <f t="shared" si="575"/>
        <v>-0.0125</v>
      </c>
      <c r="EY167" s="1" t="str">
        <f t="shared" si="576"/>
        <v>0.0125275043725696+0.514528811305251i</v>
      </c>
      <c r="EZ167" s="1" t="str">
        <f t="shared" si="577"/>
        <v>0.198019321629355-661.384534242048i</v>
      </c>
      <c r="FB167" s="1" t="str">
        <f t="shared" si="578"/>
        <v>0.00500406754805606+0.592636990133652i</v>
      </c>
      <c r="FC167" s="1" t="str">
        <f t="shared" si="579"/>
        <v>0.0292845475649047-97.8103888667817i</v>
      </c>
      <c r="FD167" s="1" t="str">
        <f t="shared" si="580"/>
        <v>-0.0000712335675122784+0.00843626642557184i</v>
      </c>
      <c r="FE167" s="1" t="str">
        <f t="shared" si="581"/>
        <v>0.0150076129059049+0.579395588125996i</v>
      </c>
      <c r="FF167" s="1" t="str">
        <f t="shared" si="582"/>
        <v>-0.767778606152061-191.635731398675i</v>
      </c>
      <c r="FG167" s="1" t="str">
        <f t="shared" si="583"/>
        <v>-0.000446755564979282+0.0172477931662194i</v>
      </c>
      <c r="FH167" s="1" t="str">
        <f t="shared" si="584"/>
        <v>0.0225152268479482+0.540845826357574i</v>
      </c>
      <c r="FI167" s="1" t="str">
        <f t="shared" si="585"/>
        <v>-3.16384546962784-473.654305692732i</v>
      </c>
      <c r="FJ167" s="1" t="str">
        <f t="shared" si="586"/>
        <v>-0.000960477910919591+0.0230719624962092i</v>
      </c>
      <c r="FK167" s="1" t="str">
        <f t="shared" si="587"/>
        <v>0.0125154983986831+0.514817210836454i</v>
      </c>
      <c r="FL167" s="1" t="str">
        <f t="shared" si="588"/>
        <v>-10.7283091079155-661.842670625113i</v>
      </c>
      <c r="FM167" s="1" t="str">
        <f t="shared" si="589"/>
        <v>-1285.33466541114-10.4081501667427i</v>
      </c>
      <c r="FN167" s="1" t="str">
        <f t="shared" si="590"/>
        <v>-875.968526468396-0.909873523747036i</v>
      </c>
      <c r="FO167" s="1" t="str">
        <f t="shared" si="591"/>
        <v>-330.97068390294+7.87093318809734i</v>
      </c>
      <c r="FP167" s="1" t="str">
        <f t="shared" si="592"/>
        <v>-164.987657658396+1.34983050627878i</v>
      </c>
      <c r="FQ167" s="92" t="str">
        <f t="shared" si="593"/>
        <v>0.0116173712819875-100.051852412732i</v>
      </c>
      <c r="FR167" s="1" t="str">
        <f t="shared" si="594"/>
        <v>-0.818297759940739-100.019246899323i</v>
      </c>
      <c r="FS167" s="1" t="str">
        <f t="shared" si="595"/>
        <v>0.82991513122272-0.0326055134090928i</v>
      </c>
      <c r="FT167" s="1" t="str">
        <f t="shared" si="596"/>
        <v>-0.149486979713055-200.437929174862i</v>
      </c>
      <c r="FU167" s="1" t="str">
        <f t="shared" si="597"/>
        <v>0.2188935266333-531.202519446414i</v>
      </c>
      <c r="FV167" s="1" t="str">
        <f t="shared" si="598"/>
        <v>1.18951224256296-779.461008509281i</v>
      </c>
      <c r="FW167" s="1" t="str">
        <f t="shared" si="599"/>
        <v>-0.818297759940739-100.019246899323i</v>
      </c>
      <c r="FX167" s="1" t="str">
        <f t="shared" si="600"/>
        <v>-4.76955027414489-200.558342755389i</v>
      </c>
      <c r="FY167" s="1" t="str">
        <f t="shared" si="601"/>
        <v>0.551795215503661-531.233439837333i</v>
      </c>
      <c r="FZ167" s="1" t="str">
        <f t="shared" si="602"/>
        <v>6.31143373060025-779.4184780603i</v>
      </c>
      <c r="GA167" s="1" t="str">
        <f t="shared" si="603"/>
        <v>0.82991513122272-0.0326055134090928i</v>
      </c>
      <c r="GB167" s="1" t="str">
        <f t="shared" si="604"/>
        <v>5.44997842565456+0.0878080671184438i</v>
      </c>
      <c r="GC167" s="1" t="str">
        <f t="shared" si="605"/>
        <v>5.1170767367843+0.118728458037446i</v>
      </c>
      <c r="GD167" s="92" t="str">
        <f t="shared" si="606"/>
        <v>1.27053616076519-1611.15330954329i</v>
      </c>
      <c r="GE167" s="1" t="str">
        <f t="shared" si="557"/>
        <v>0.00352386166058558+4.46857126317905i</v>
      </c>
      <c r="GF167" s="1">
        <f t="shared" si="558"/>
        <v>33.4</v>
      </c>
      <c r="GG167" s="56">
        <f t="shared" si="559"/>
        <v>0.21811970907521391</v>
      </c>
      <c r="GH167" s="1">
        <f t="shared" si="560"/>
        <v>0.78188030519027063</v>
      </c>
      <c r="GJ167" s="1">
        <f t="shared" si="607"/>
        <v>1611.1538105079949</v>
      </c>
      <c r="GK167" s="1">
        <f t="shared" si="608"/>
        <v>4.468572652616337</v>
      </c>
      <c r="GM167" s="1" t="str">
        <f t="shared" si="561"/>
        <v>0.0191834803010191+16.018206051351i</v>
      </c>
      <c r="GP167" s="1">
        <f t="shared" si="547"/>
        <v>33.4</v>
      </c>
      <c r="GQ167" s="1">
        <f t="shared" si="548"/>
        <v>4.468572652616337</v>
      </c>
      <c r="GR167" s="1">
        <f t="shared" si="562"/>
        <v>16.018217538460835</v>
      </c>
      <c r="GS167" s="1">
        <f t="shared" si="563"/>
        <v>3.4938889493925567</v>
      </c>
    </row>
    <row r="168" spans="2:201" ht="18" customHeight="1" x14ac:dyDescent="0.25">
      <c r="B168" s="6"/>
      <c r="AP168" s="8"/>
      <c r="AR168" s="6"/>
      <c r="CF168" s="8"/>
      <c r="EA168" s="1">
        <f t="shared" si="538"/>
        <v>33.6</v>
      </c>
      <c r="EB168" s="1" t="str">
        <f t="shared" si="549"/>
        <v>4.01926898583428E-06-0.0135047437924032i</v>
      </c>
      <c r="EC168" s="1" t="str">
        <f t="shared" si="550"/>
        <v>7.87448617632839E-06-0.0264582735524634i</v>
      </c>
      <c r="ED168" s="1" t="str">
        <f t="shared" si="551"/>
        <v>0.0000194606442222284-0.0653877645866871i</v>
      </c>
      <c r="EE168" s="1" t="str">
        <f t="shared" si="552"/>
        <v>0.000027177914094689-0.091317791358155i</v>
      </c>
      <c r="EF168" s="1" t="str">
        <f t="shared" si="553"/>
        <v>0.609852676093836i</v>
      </c>
      <c r="EG168" s="1" t="str">
        <f t="shared" si="554"/>
        <v>0.609598676645234i</v>
      </c>
      <c r="EH168" s="1" t="str">
        <f t="shared" si="555"/>
        <v>0.610084109475724i</v>
      </c>
      <c r="EI168" s="1" t="str">
        <f t="shared" si="556"/>
        <v>0.610024513985098i</v>
      </c>
      <c r="EJ168" s="1" t="str">
        <f t="shared" si="544"/>
        <v>0.005</v>
      </c>
      <c r="EK168" s="1" t="str">
        <f t="shared" si="545"/>
        <v>0.01</v>
      </c>
      <c r="EL168" s="1" t="str">
        <f t="shared" si="546"/>
        <v>0.0125</v>
      </c>
      <c r="EM168" s="1" t="str">
        <f t="shared" si="564"/>
        <v>0.00500401926898583+0.596347932301433i</v>
      </c>
      <c r="EN168" s="1" t="str">
        <f t="shared" si="565"/>
        <v>-0.005</v>
      </c>
      <c r="EO168" s="1" t="str">
        <f t="shared" si="566"/>
        <v>0.0289369596055342-97.228184274595i</v>
      </c>
      <c r="EP168" s="1" t="str">
        <f t="shared" si="567"/>
        <v>-0.005</v>
      </c>
      <c r="EQ168" s="1" t="str">
        <f t="shared" si="568"/>
        <v>0.0150078744861763+0.583140403092771i</v>
      </c>
      <c r="ER168" s="1" t="str">
        <f t="shared" si="569"/>
        <v>-0.01</v>
      </c>
      <c r="ES168" s="1" t="str">
        <f t="shared" si="570"/>
        <v>0.0566928188190058-190.48787123186i</v>
      </c>
      <c r="ET168" s="1" t="str">
        <f t="shared" si="571"/>
        <v>-0.01</v>
      </c>
      <c r="EU168" s="1" t="str">
        <f t="shared" si="572"/>
        <v>0.0225194606442222+0.544696344889037i</v>
      </c>
      <c r="EV168" s="1" t="str">
        <f t="shared" si="573"/>
        <v>-0.0125</v>
      </c>
      <c r="EW168" s="1" t="str">
        <f t="shared" si="574"/>
        <v>0.14010803400843-470.762994268321i</v>
      </c>
      <c r="EX168" s="1" t="str">
        <f t="shared" si="575"/>
        <v>-0.0125</v>
      </c>
      <c r="EY168" s="1" t="str">
        <f t="shared" si="576"/>
        <v>0.0125271779140947+0.518706722626943i</v>
      </c>
      <c r="EZ168" s="1" t="str">
        <f t="shared" si="577"/>
        <v>0.195668964951708-657.447722237738i</v>
      </c>
      <c r="FB168" s="1" t="str">
        <f t="shared" si="578"/>
        <v>0.00500401926898583+0.596347932301433i</v>
      </c>
      <c r="FC168" s="1" t="str">
        <f t="shared" si="579"/>
        <v>0.0289369596055342-97.228184274595i</v>
      </c>
      <c r="FD168" s="1" t="str">
        <f t="shared" si="580"/>
        <v>-0.0000703491677947545+0.00838377681987443i</v>
      </c>
      <c r="FE168" s="1" t="str">
        <f t="shared" si="581"/>
        <v>0.0150075227403373+0.58318232197687i</v>
      </c>
      <c r="FF168" s="1" t="str">
        <f t="shared" si="582"/>
        <v>-0.758444543049796-190.494953754721i</v>
      </c>
      <c r="FG168" s="1" t="str">
        <f t="shared" si="583"/>
        <v>-0.000440973813816377+0.0171359482255664i</v>
      </c>
      <c r="FH168" s="1" t="str">
        <f t="shared" si="584"/>
        <v>0.022515050906084+0.544867704371293i</v>
      </c>
      <c r="FI168" s="1" t="str">
        <f t="shared" si="585"/>
        <v>-3.12453808494685-470.834000888169i</v>
      </c>
      <c r="FJ168" s="1" t="str">
        <f t="shared" si="586"/>
        <v>-0.000946367640075627+0.0229022428459155i</v>
      </c>
      <c r="FK168" s="1" t="str">
        <f t="shared" si="587"/>
        <v>0.0125153483185938+0.518993000662517i</v>
      </c>
      <c r="FL168" s="1" t="str">
        <f t="shared" si="588"/>
        <v>-10.5857268589422-657.896445889878i</v>
      </c>
      <c r="FM168" s="1" t="str">
        <f t="shared" si="589"/>
        <v>-1267.39515184192-10.1661581503436i</v>
      </c>
      <c r="FN168" s="1" t="str">
        <f t="shared" si="590"/>
        <v>-864.321176796749-0.905279956688723i</v>
      </c>
      <c r="FO168" s="1" t="str">
        <f t="shared" si="591"/>
        <v>-326.861267731691+7.70990174626177i</v>
      </c>
      <c r="FP168" s="1" t="str">
        <f t="shared" si="592"/>
        <v>-162.985828696386+1.32436973267709i</v>
      </c>
      <c r="FQ168" s="92" t="str">
        <f t="shared" si="593"/>
        <v>0.0117067695657265-99.4292714559304i</v>
      </c>
      <c r="FR168" s="1" t="str">
        <f t="shared" si="594"/>
        <v>-0.807670425610801-99.3973437958625i</v>
      </c>
      <c r="FS168" s="1" t="str">
        <f t="shared" si="595"/>
        <v>0.819377195176525-0.0319276600679234i</v>
      </c>
      <c r="FT168" s="1" t="str">
        <f t="shared" si="596"/>
        <v>-0.144724006111873-199.136116778724i</v>
      </c>
      <c r="FU168" s="1" t="str">
        <f t="shared" si="597"/>
        <v>0.216122513616817-527.279006286664i</v>
      </c>
      <c r="FV168" s="1" t="str">
        <f t="shared" si="598"/>
        <v>1.15846523039958-773.183171987002i</v>
      </c>
      <c r="FW168" s="1" t="str">
        <f t="shared" si="599"/>
        <v>-0.807670425610801-99.3973437958625i</v>
      </c>
      <c r="FX168" s="1" t="str">
        <f t="shared" si="600"/>
        <v>-4.69994590158595-199.254196255822i</v>
      </c>
      <c r="FY168" s="1" t="str">
        <f t="shared" si="601"/>
        <v>0.552296916202662-527.308615447054i</v>
      </c>
      <c r="FZ168" s="1" t="str">
        <f t="shared" si="602"/>
        <v>6.201605684759-773.142111529437i</v>
      </c>
      <c r="GA168" s="1" t="str">
        <f t="shared" si="603"/>
        <v>0.819377195176525-0.0319276600679234i</v>
      </c>
      <c r="GB168" s="1" t="str">
        <f t="shared" si="604"/>
        <v>5.37459909065058+0.0861518170295049i</v>
      </c>
      <c r="GC168" s="1" t="str">
        <f t="shared" si="605"/>
        <v>5.03842468806464+0.115760977420686i</v>
      </c>
      <c r="GD168" s="92" t="str">
        <f t="shared" si="606"/>
        <v>1.24157050747025-1599.02756650832i</v>
      </c>
      <c r="GE168" s="1" t="str">
        <f t="shared" si="557"/>
        <v>0.00349594869346343+4.50245741044289i</v>
      </c>
      <c r="GF168" s="1">
        <f t="shared" si="558"/>
        <v>33.6</v>
      </c>
      <c r="GG168" s="56">
        <f t="shared" si="559"/>
        <v>0.21839004601425474</v>
      </c>
      <c r="GH168" s="1">
        <f t="shared" si="560"/>
        <v>0.78160996861561338</v>
      </c>
      <c r="GJ168" s="1">
        <f t="shared" si="607"/>
        <v>1599.0280485191133</v>
      </c>
      <c r="GK168" s="1">
        <f t="shared" si="608"/>
        <v>4.5024587676634376</v>
      </c>
      <c r="GM168" s="1" t="str">
        <f t="shared" si="561"/>
        <v>0.0191834803010191+16.1141234528561i</v>
      </c>
      <c r="GP168" s="1">
        <f t="shared" si="547"/>
        <v>33.6</v>
      </c>
      <c r="GQ168" s="1">
        <f t="shared" si="548"/>
        <v>4.5024587676634376</v>
      </c>
      <c r="GR168" s="1">
        <f t="shared" si="562"/>
        <v>16.114134871590327</v>
      </c>
      <c r="GS168" s="1">
        <f t="shared" si="563"/>
        <v>3.5191666560865165</v>
      </c>
    </row>
    <row r="169" spans="2:201" ht="18" customHeight="1" x14ac:dyDescent="0.25">
      <c r="B169" s="6"/>
      <c r="AP169" s="8"/>
      <c r="AR169" s="6"/>
      <c r="CF169" s="8"/>
      <c r="EA169" s="1">
        <f t="shared" si="538"/>
        <v>33.799999999999997</v>
      </c>
      <c r="EB169" s="1" t="str">
        <f t="shared" si="549"/>
        <v>3.97184440232304E-06-0.0134248340798519i</v>
      </c>
      <c r="EC169" s="1" t="str">
        <f t="shared" si="550"/>
        <v>7.78157270659209E-06-0.0263017157482813i</v>
      </c>
      <c r="ED169" s="1" t="str">
        <f t="shared" si="551"/>
        <v>0.000019231022131656-0.0650008548049972i</v>
      </c>
      <c r="EE169" s="1" t="str">
        <f t="shared" si="552"/>
        <v>0.0000268572335776131-0.090777449492332i</v>
      </c>
      <c r="EF169" s="1" t="str">
        <f t="shared" si="553"/>
        <v>0.613482751546774i</v>
      </c>
      <c r="EG169" s="1" t="str">
        <f t="shared" si="554"/>
        <v>0.613227240196693i</v>
      </c>
      <c r="EH169" s="1" t="str">
        <f t="shared" si="555"/>
        <v>0.613715562508319i</v>
      </c>
      <c r="EI169" s="1" t="str">
        <f t="shared" si="556"/>
        <v>0.613655612282628i</v>
      </c>
      <c r="EJ169" s="1" t="str">
        <f t="shared" si="544"/>
        <v>0.005</v>
      </c>
      <c r="EK169" s="1" t="str">
        <f t="shared" si="545"/>
        <v>0.01</v>
      </c>
      <c r="EL169" s="1" t="str">
        <f t="shared" si="546"/>
        <v>0.0125</v>
      </c>
      <c r="EM169" s="1" t="str">
        <f t="shared" si="564"/>
        <v>0.00500397184440232+0.600057917466922i</v>
      </c>
      <c r="EN169" s="1" t="str">
        <f t="shared" si="565"/>
        <v>-0.005</v>
      </c>
      <c r="EO169" s="1" t="str">
        <f t="shared" si="566"/>
        <v>0.0285955235727106-96.6528696757621i</v>
      </c>
      <c r="EP169" s="1" t="str">
        <f t="shared" si="567"/>
        <v>-0.005</v>
      </c>
      <c r="EQ169" s="1" t="str">
        <f t="shared" si="568"/>
        <v>0.0150077815727066+0.586925524448412i</v>
      </c>
      <c r="ER169" s="1" t="str">
        <f t="shared" si="569"/>
        <v>-0.01</v>
      </c>
      <c r="ES169" s="1" t="str">
        <f t="shared" si="570"/>
        <v>0.0560238829179638-189.360724262718i</v>
      </c>
      <c r="ET169" s="1" t="str">
        <f t="shared" si="571"/>
        <v>-0.01</v>
      </c>
      <c r="EU169" s="1" t="str">
        <f t="shared" si="572"/>
        <v>0.0225192310221317+0.548714707703322i</v>
      </c>
      <c r="EV169" s="1" t="str">
        <f t="shared" si="573"/>
        <v>-0.0125</v>
      </c>
      <c r="EW169" s="1" t="str">
        <f t="shared" si="574"/>
        <v>0.138454856482155-467.977414909685i</v>
      </c>
      <c r="EX169" s="1" t="str">
        <f t="shared" si="575"/>
        <v>-0.0125</v>
      </c>
      <c r="EY169" s="1" t="str">
        <f t="shared" si="576"/>
        <v>0.0125268572335776+0.522878162790296i</v>
      </c>
      <c r="EZ169" s="1" t="str">
        <f t="shared" si="577"/>
        <v>0.193360207015473-653.557499712297i</v>
      </c>
      <c r="FB169" s="1" t="str">
        <f t="shared" si="578"/>
        <v>0.00500397184440232+0.600057917466922i</v>
      </c>
      <c r="FC169" s="1" t="str">
        <f t="shared" si="579"/>
        <v>0.0285955235727106-96.6528696757621i</v>
      </c>
      <c r="FD169" s="1" t="str">
        <f t="shared" si="580"/>
        <v>-0.0000694813615909989+0.00833194958634721i</v>
      </c>
      <c r="FE169" s="1" t="str">
        <f t="shared" si="581"/>
        <v>0.0150074341658986+0.586967184196344i</v>
      </c>
      <c r="FF169" s="1" t="str">
        <f t="shared" si="582"/>
        <v>-0.74928096774036-189.367678092166i</v>
      </c>
      <c r="FG169" s="1" t="str">
        <f t="shared" si="583"/>
        <v>-0.000435306341139237+0.0170255977468759i</v>
      </c>
      <c r="FH169" s="1" t="str">
        <f t="shared" si="584"/>
        <v>0.0225148779587203+0.548884963680791i</v>
      </c>
      <c r="FI169" s="1" t="str">
        <f t="shared" si="585"/>
        <v>-3.0859692237315-468.047090904409i</v>
      </c>
      <c r="FJ169" s="1" t="str">
        <f t="shared" si="586"/>
        <v>-0.000932581552208472+0.0227351883653034i</v>
      </c>
      <c r="FK169" s="1" t="str">
        <f t="shared" si="587"/>
        <v>0.012515199964175+0.523162352644862i</v>
      </c>
      <c r="FL169" s="1" t="str">
        <f t="shared" si="588"/>
        <v>-10.446065351219-653.997074613534i</v>
      </c>
      <c r="FM169" s="1" t="str">
        <f t="shared" si="589"/>
        <v>-1249.84676572906-9.9319395216208i</v>
      </c>
      <c r="FN169" s="1" t="str">
        <f t="shared" si="590"/>
        <v>-852.912724033682-0.900319973058357i</v>
      </c>
      <c r="FO169" s="1" t="str">
        <f t="shared" si="591"/>
        <v>-322.829014824281+7.55335756517664i</v>
      </c>
      <c r="FP169" s="1" t="str">
        <f t="shared" si="592"/>
        <v>-161.020466536735+1.29955400458378i</v>
      </c>
      <c r="FQ169" s="92" t="str">
        <f t="shared" si="593"/>
        <v>0.0117887749220397-98.8145478841044i</v>
      </c>
      <c r="FR169" s="1" t="str">
        <f t="shared" si="594"/>
        <v>-0.797253966515686-98.7832788663014i</v>
      </c>
      <c r="FS169" s="1" t="str">
        <f t="shared" si="595"/>
        <v>0.80904274143773-0.0312690178029643i</v>
      </c>
      <c r="FT169" s="1" t="str">
        <f t="shared" si="596"/>
        <v>-0.14013026325579-197.851740022925i</v>
      </c>
      <c r="FU169" s="1" t="str">
        <f t="shared" si="597"/>
        <v>0.213378807801224-523.41745373186i</v>
      </c>
      <c r="FV169" s="1" t="str">
        <f t="shared" si="598"/>
        <v>1.12852377182371-767.015134617001i</v>
      </c>
      <c r="FW169" s="1" t="str">
        <f t="shared" si="599"/>
        <v>-0.797253966515686-98.7832788663014i</v>
      </c>
      <c r="FX169" s="1" t="str">
        <f t="shared" si="600"/>
        <v>-4.63192461391208-197.967545816111i</v>
      </c>
      <c r="FY169" s="1" t="str">
        <f t="shared" si="601"/>
        <v>0.552540378702984-523.445812200834i</v>
      </c>
      <c r="FZ169" s="1" t="str">
        <f t="shared" si="602"/>
        <v>6.09479042829424-766.975482282929i</v>
      </c>
      <c r="GA169" s="1" t="str">
        <f t="shared" si="603"/>
        <v>0.80904274143773-0.0312690178029643i</v>
      </c>
      <c r="GB169" s="1" t="str">
        <f t="shared" si="604"/>
        <v>5.30083709209401+0.08453677538235i</v>
      </c>
      <c r="GC169" s="1" t="str">
        <f t="shared" si="605"/>
        <v>4.96167552119223+0.112895244357031i</v>
      </c>
      <c r="GD169" s="92" t="str">
        <f t="shared" si="606"/>
        <v>1.21356109129118-1587.09887625589i</v>
      </c>
      <c r="GE169" s="1" t="str">
        <f t="shared" si="557"/>
        <v>0.00346864015742926+4.53629811922764i</v>
      </c>
      <c r="GF169" s="1">
        <f t="shared" si="558"/>
        <v>33.799999999999997</v>
      </c>
      <c r="GG169" s="56">
        <f t="shared" si="559"/>
        <v>0.21865528887474675</v>
      </c>
      <c r="GH169" s="1">
        <f t="shared" si="560"/>
        <v>0.7813447261071288</v>
      </c>
      <c r="GJ169" s="1">
        <f t="shared" si="607"/>
        <v>1587.0993402251893</v>
      </c>
      <c r="GK169" s="1">
        <f t="shared" si="608"/>
        <v>4.5362994453599255</v>
      </c>
      <c r="GM169" s="1" t="str">
        <f t="shared" si="561"/>
        <v>0.0191834803010191+16.2100408543612i</v>
      </c>
      <c r="GP169" s="1">
        <f t="shared" si="547"/>
        <v>33.799999999999997</v>
      </c>
      <c r="GQ169" s="1">
        <f t="shared" si="548"/>
        <v>4.5362994453599255</v>
      </c>
      <c r="GR169" s="1">
        <f t="shared" si="562"/>
        <v>16.210052205529003</v>
      </c>
      <c r="GS169" s="1">
        <f t="shared" si="563"/>
        <v>3.5444136476746566</v>
      </c>
    </row>
    <row r="170" spans="2:201" ht="18" customHeight="1" x14ac:dyDescent="0.25">
      <c r="B170" s="6"/>
      <c r="AP170" s="8"/>
      <c r="AR170" s="6"/>
      <c r="CF170" s="8"/>
      <c r="EA170" s="1">
        <f t="shared" si="538"/>
        <v>34</v>
      </c>
      <c r="EB170" s="1" t="str">
        <f t="shared" si="549"/>
        <v>3.92525425921188E-06-0.0133458644813204i</v>
      </c>
      <c r="EC170" s="1" t="str">
        <f t="shared" si="550"/>
        <v>7.69029405886411E-06-0.026146999800138i</v>
      </c>
      <c r="ED170" s="1" t="str">
        <f t="shared" si="551"/>
        <v>0.0000190054402652657-0.0646184969019035i</v>
      </c>
      <c r="EE170" s="1" t="str">
        <f t="shared" si="552"/>
        <v>0.0000265421954670516-0.0902434645879759i</v>
      </c>
      <c r="EF170" s="1" t="str">
        <f t="shared" si="553"/>
        <v>0.617112826999715i</v>
      </c>
      <c r="EG170" s="1" t="str">
        <f t="shared" si="554"/>
        <v>0.616855803748155i</v>
      </c>
      <c r="EH170" s="1" t="str">
        <f t="shared" si="555"/>
        <v>0.61734701554091i</v>
      </c>
      <c r="EI170" s="1" t="str">
        <f t="shared" si="556"/>
        <v>0.617286710580161i</v>
      </c>
      <c r="EJ170" s="1" t="str">
        <f t="shared" si="544"/>
        <v>0.005</v>
      </c>
      <c r="EK170" s="1" t="str">
        <f t="shared" si="545"/>
        <v>0.01</v>
      </c>
      <c r="EL170" s="1" t="str">
        <f t="shared" si="546"/>
        <v>0.0125</v>
      </c>
      <c r="EM170" s="1" t="str">
        <f t="shared" si="564"/>
        <v>0.00500392525425921+0.603766962518395i</v>
      </c>
      <c r="EN170" s="1" t="str">
        <f t="shared" si="565"/>
        <v>-0.005</v>
      </c>
      <c r="EO170" s="1" t="str">
        <f t="shared" si="566"/>
        <v>0.0282600951418255-96.0843234822067i</v>
      </c>
      <c r="EP170" s="1" t="str">
        <f t="shared" si="567"/>
        <v>-0.005</v>
      </c>
      <c r="EQ170" s="1" t="str">
        <f t="shared" si="568"/>
        <v>0.0150076902940589+0.590708803948017i</v>
      </c>
      <c r="ER170" s="1" t="str">
        <f t="shared" si="569"/>
        <v>-0.01</v>
      </c>
      <c r="ES170" s="1" t="str">
        <f t="shared" si="570"/>
        <v>0.0553667170125562-188.246837842691i</v>
      </c>
      <c r="ET170" s="1" t="str">
        <f t="shared" si="571"/>
        <v>-0.01</v>
      </c>
      <c r="EU170" s="1" t="str">
        <f t="shared" si="572"/>
        <v>0.0225190054402653+0.552728518639007i</v>
      </c>
      <c r="EV170" s="1" t="str">
        <f t="shared" si="573"/>
        <v>-0.0125</v>
      </c>
      <c r="EW170" s="1" t="str">
        <f t="shared" si="574"/>
        <v>0.136830766783635-465.224607064359i</v>
      </c>
      <c r="EX170" s="1" t="str">
        <f t="shared" si="575"/>
        <v>-0.0125</v>
      </c>
      <c r="EY170" s="1" t="str">
        <f t="shared" si="576"/>
        <v>0.0125265421954671+0.527043245992185i</v>
      </c>
      <c r="EZ170" s="1" t="str">
        <f t="shared" si="577"/>
        <v>0.19109207191139-649.71304449873i</v>
      </c>
      <c r="FB170" s="1" t="str">
        <f t="shared" si="578"/>
        <v>0.00500392525425921+0.603766962518395i</v>
      </c>
      <c r="FC170" s="1" t="str">
        <f t="shared" si="579"/>
        <v>0.0282600951418255-96.0843234822067i</v>
      </c>
      <c r="FD170" s="1" t="str">
        <f t="shared" si="580"/>
        <v>-0.0000686297311852808+0.0082807720400942i</v>
      </c>
      <c r="FE170" s="1" t="str">
        <f t="shared" si="581"/>
        <v>0.015007347145403+0.590750207808217i</v>
      </c>
      <c r="FF170" s="1" t="str">
        <f t="shared" si="582"/>
        <v>-0.740283722887535-188.253666099388i</v>
      </c>
      <c r="FG170" s="1" t="str">
        <f t="shared" si="583"/>
        <v>-0.000429750091517218+0.0169167110888858i</v>
      </c>
      <c r="FH170" s="1" t="str">
        <f t="shared" si="584"/>
        <v>0.0225147079393501+0.552897685749896i</v>
      </c>
      <c r="FI170" s="1" t="str">
        <f t="shared" si="585"/>
        <v>-3.04812025104094-465.29298592873i</v>
      </c>
      <c r="FJ170" s="1" t="str">
        <f t="shared" si="586"/>
        <v>-0.000919109437491161+0.0225707338646659i</v>
      </c>
      <c r="FK170" s="1" t="str">
        <f t="shared" si="587"/>
        <v>0.0125150533274985+0.527325380165493i</v>
      </c>
      <c r="FL170" s="1" t="str">
        <f t="shared" si="588"/>
        <v>-10.3092429589829-650.143725196458i</v>
      </c>
      <c r="FM170" s="1" t="str">
        <f t="shared" si="589"/>
        <v>-1232.67775242616-9.70517452933018i</v>
      </c>
      <c r="FN170" s="1" t="str">
        <f t="shared" si="590"/>
        <v>-841.736475513648-0.895027713940647i</v>
      </c>
      <c r="FO170" s="1" t="str">
        <f t="shared" si="591"/>
        <v>-318.871979035095+7.40114169392233i</v>
      </c>
      <c r="FP170" s="1" t="str">
        <f t="shared" si="592"/>
        <v>-159.090684911018+1.27536276724739i</v>
      </c>
      <c r="FQ170" s="92" t="str">
        <f t="shared" si="593"/>
        <v>0.011863747874168-98.2075312093927i</v>
      </c>
      <c r="FR170" s="1" t="str">
        <f t="shared" si="594"/>
        <v>-0.787042722746216-98.1769023147592i</v>
      </c>
      <c r="FS170" s="1" t="str">
        <f t="shared" si="595"/>
        <v>0.798906470620385-0.0306288946333747i</v>
      </c>
      <c r="FT170" s="1" t="str">
        <f t="shared" si="596"/>
        <v>-0.135698714093312-196.584440331748i</v>
      </c>
      <c r="FU170" s="1" t="str">
        <f t="shared" si="597"/>
        <v>0.210663684648496-519.616335889161i</v>
      </c>
      <c r="FV170" s="1" t="str">
        <f t="shared" si="598"/>
        <v>1.0996386197219-760.953898001546i</v>
      </c>
      <c r="FW170" s="1" t="str">
        <f t="shared" si="599"/>
        <v>-0.787042722746216-98.1769023147592i</v>
      </c>
      <c r="FX170" s="1" t="str">
        <f t="shared" si="600"/>
        <v>-4.56543720825844-196.698030920458i</v>
      </c>
      <c r="FY170" s="1" t="str">
        <f t="shared" si="601"/>
        <v>0.552542688027662-519.643501030275i</v>
      </c>
      <c r="FZ170" s="1" t="str">
        <f t="shared" si="602"/>
        <v>5.99087526081659-760.91559500049i</v>
      </c>
      <c r="GA170" s="1" t="str">
        <f t="shared" si="603"/>
        <v>0.798906470620385-0.0306288946333747i</v>
      </c>
      <c r="GB170" s="1" t="str">
        <f t="shared" si="604"/>
        <v>5.22864496478553+0.0829616940786298i</v>
      </c>
      <c r="GC170" s="1" t="str">
        <f t="shared" si="605"/>
        <v>4.8867659614064+0.110126835192369i</v>
      </c>
      <c r="GD170" s="92" t="str">
        <f t="shared" si="606"/>
        <v>1.18646733815125-1575.36220543185i</v>
      </c>
      <c r="GE170" s="1" t="str">
        <f t="shared" si="557"/>
        <v>0.00344191802591375+4.57009426038485i</v>
      </c>
      <c r="GF170" s="1">
        <f t="shared" si="558"/>
        <v>34</v>
      </c>
      <c r="GG170" s="56">
        <f t="shared" si="559"/>
        <v>0.21891556695879374</v>
      </c>
      <c r="GH170" s="1">
        <f t="shared" si="560"/>
        <v>0.78108444836281743</v>
      </c>
      <c r="GJ170" s="1">
        <f t="shared" si="607"/>
        <v>1575.3626522194334</v>
      </c>
      <c r="GK170" s="1">
        <f t="shared" si="608"/>
        <v>4.5700955565066961</v>
      </c>
      <c r="GM170" s="1" t="str">
        <f t="shared" si="561"/>
        <v>0.0191834803010191+16.3059582558663i</v>
      </c>
      <c r="GP170" s="1">
        <f t="shared" si="547"/>
        <v>34</v>
      </c>
      <c r="GQ170" s="1">
        <f t="shared" si="548"/>
        <v>4.5700955565066961</v>
      </c>
      <c r="GR170" s="1">
        <f t="shared" si="562"/>
        <v>16.305969540262577</v>
      </c>
      <c r="GS170" s="1">
        <f t="shared" si="563"/>
        <v>3.5696305667193893</v>
      </c>
    </row>
    <row r="171" spans="2:201" ht="18" customHeight="1" x14ac:dyDescent="0.25">
      <c r="B171" s="6"/>
      <c r="AP171" s="8"/>
      <c r="AR171" s="6"/>
      <c r="CF171" s="8"/>
      <c r="EA171" s="1">
        <f t="shared" si="538"/>
        <v>34.200000000000003</v>
      </c>
      <c r="EB171" s="1" t="str">
        <f t="shared" si="549"/>
        <v>3.87947909461583E-06-0.0132678185035862i</v>
      </c>
      <c r="EC171" s="1" t="str">
        <f t="shared" si="550"/>
        <v>7.60061210373716E-06-0.0259940933947811i</v>
      </c>
      <c r="ED171" s="1" t="str">
        <f t="shared" si="551"/>
        <v>0.0000187838043917878-0.0642406110199145i</v>
      </c>
      <c r="EE171" s="1" t="str">
        <f t="shared" si="552"/>
        <v>0.0000262326681635927-0.0897157251194872i</v>
      </c>
      <c r="EF171" s="1" t="str">
        <f t="shared" si="553"/>
        <v>0.620742902452656i</v>
      </c>
      <c r="EG171" s="1" t="str">
        <f t="shared" si="554"/>
        <v>0.620484367299614i</v>
      </c>
      <c r="EH171" s="1" t="str">
        <f t="shared" si="555"/>
        <v>0.620978468573503i</v>
      </c>
      <c r="EI171" s="1" t="str">
        <f t="shared" si="556"/>
        <v>0.620917808877692i</v>
      </c>
      <c r="EJ171" s="1" t="str">
        <f t="shared" si="544"/>
        <v>0.005</v>
      </c>
      <c r="EK171" s="1" t="str">
        <f t="shared" si="545"/>
        <v>0.01</v>
      </c>
      <c r="EL171" s="1" t="str">
        <f t="shared" si="546"/>
        <v>0.0125</v>
      </c>
      <c r="EM171" s="1" t="str">
        <f t="shared" si="564"/>
        <v>0.00500387947909462+0.60747508394907i</v>
      </c>
      <c r="EN171" s="1" t="str">
        <f t="shared" si="565"/>
        <v>-0.005</v>
      </c>
      <c r="EO171" s="1" t="str">
        <f t="shared" si="566"/>
        <v>0.0279305341959119-95.5224269500193i</v>
      </c>
      <c r="EP171" s="1" t="str">
        <f t="shared" si="567"/>
        <v>-0.005</v>
      </c>
      <c r="EQ171" s="1" t="str">
        <f t="shared" si="568"/>
        <v>0.0150076006121037+0.594490273904833i</v>
      </c>
      <c r="ER171" s="1" t="str">
        <f t="shared" si="569"/>
        <v>-0.01</v>
      </c>
      <c r="ES171" s="1" t="str">
        <f t="shared" si="570"/>
        <v>0.0547210465879093-187.14597933065i</v>
      </c>
      <c r="ET171" s="1" t="str">
        <f t="shared" si="571"/>
        <v>-0.01</v>
      </c>
      <c r="EU171" s="1" t="str">
        <f t="shared" si="572"/>
        <v>0.0225187838043918+0.556737857553589i</v>
      </c>
      <c r="EV171" s="1" t="str">
        <f t="shared" si="573"/>
        <v>-0.0125</v>
      </c>
      <c r="EW171" s="1" t="str">
        <f t="shared" si="574"/>
        <v>0.135235086489389-462.503995793713i</v>
      </c>
      <c r="EX171" s="1" t="str">
        <f t="shared" si="575"/>
        <v>-0.0125</v>
      </c>
      <c r="EY171" s="1" t="str">
        <f t="shared" si="576"/>
        <v>0.0125262326681636+0.531202083758205i</v>
      </c>
      <c r="EZ171" s="1" t="str">
        <f t="shared" si="577"/>
        <v>0.18886361218188-645.913553662032i</v>
      </c>
      <c r="FB171" s="1" t="str">
        <f t="shared" si="578"/>
        <v>0.00500387947909462+0.60747508394907i</v>
      </c>
      <c r="FC171" s="1" t="str">
        <f t="shared" si="579"/>
        <v>0.0279305341959119-95.5224269500193i</v>
      </c>
      <c r="FD171" s="1" t="str">
        <f t="shared" si="580"/>
        <v>-0.0000677938720710772+0.00823023182306173i</v>
      </c>
      <c r="FE171" s="1" t="str">
        <f t="shared" si="581"/>
        <v>0.0150072616427433+0.594531425063948i</v>
      </c>
      <c r="FF171" s="1" t="str">
        <f t="shared" si="582"/>
        <v>-0.731448777993167-187.152685040614i</v>
      </c>
      <c r="FG171" s="1" t="str">
        <f t="shared" si="583"/>
        <v>-0.000424302112743512+0.0168092584611546i</v>
      </c>
      <c r="FH171" s="1" t="str">
        <f t="shared" si="584"/>
        <v>0.0225145407832644+0.556905950138201i</v>
      </c>
      <c r="FI171" s="1" t="str">
        <f t="shared" si="585"/>
        <v>-3.01097312331922-462.571109961821i</v>
      </c>
      <c r="FJ171" s="1" t="str">
        <f t="shared" si="586"/>
        <v>-0.000905941494753326+0.0224088163183967i</v>
      </c>
      <c r="FK171" s="1" t="str">
        <f t="shared" si="587"/>
        <v>0.0125149083994792+0.531482193962185i</v>
      </c>
      <c r="FL171" s="1" t="str">
        <f t="shared" si="588"/>
        <v>-10.1751809610075-646.335585681524i</v>
      </c>
      <c r="FM171" s="1" t="str">
        <f t="shared" si="589"/>
        <v>-1215.87681039019-9.48555944742593i</v>
      </c>
      <c r="FN171" s="1" t="str">
        <f t="shared" si="590"/>
        <v>-830.785977640241-0.889434782346789i</v>
      </c>
      <c r="FO171" s="1" t="str">
        <f t="shared" si="591"/>
        <v>-314.988275965552+7.2531020242035i</v>
      </c>
      <c r="FP171" s="1" t="str">
        <f t="shared" si="592"/>
        <v>-157.195624480005+1.25177625582524i</v>
      </c>
      <c r="FQ171" s="92" t="str">
        <f t="shared" si="593"/>
        <v>0.0119320311654592-97.6080748214177i</v>
      </c>
      <c r="FR171" s="1" t="str">
        <f t="shared" si="594"/>
        <v>-0.777031226262278-97.5780681925761i</v>
      </c>
      <c r="FS171" s="1" t="str">
        <f t="shared" si="595"/>
        <v>0.788963257427735-0.0300066288418913i</v>
      </c>
      <c r="FT171" s="1" t="str">
        <f t="shared" si="596"/>
        <v>-0.131422661128273-195.333869122375i</v>
      </c>
      <c r="FU171" s="1" t="str">
        <f t="shared" si="597"/>
        <v>0.207978241665146-515.874177917131i</v>
      </c>
      <c r="FV171" s="1" t="str">
        <f t="shared" si="598"/>
        <v>1.07176314906647-754.996574530623i</v>
      </c>
      <c r="FW171" s="1" t="str">
        <f t="shared" si="599"/>
        <v>-0.777031226262278-97.5780681925761i</v>
      </c>
      <c r="FX171" s="1" t="str">
        <f t="shared" si="600"/>
        <v>-4.50043642044746-195.445301119282i</v>
      </c>
      <c r="FY171" s="1" t="str">
        <f t="shared" si="601"/>
        <v>0.552319849037716-515.900204107377i</v>
      </c>
      <c r="FZ171" s="1" t="str">
        <f t="shared" si="602"/>
        <v>5.8897527880748-754.959564972674i</v>
      </c>
      <c r="GA171" s="1" t="str">
        <f t="shared" si="603"/>
        <v>0.788963257427735-0.0300066288418913i</v>
      </c>
      <c r="GB171" s="1" t="str">
        <f t="shared" si="604"/>
        <v>5.15797701674689+0.0814253680655029i</v>
      </c>
      <c r="GC171" s="1" t="str">
        <f t="shared" si="605"/>
        <v>4.81363540937436+0.107451558313489i</v>
      </c>
      <c r="GD171" s="92" t="str">
        <f t="shared" si="606"/>
        <v>1.1602507607688-1563.81269639155i</v>
      </c>
      <c r="GE171" s="1" t="str">
        <f t="shared" si="557"/>
        <v>0.00341576496191168+4.60384668206332i</v>
      </c>
      <c r="GF171" s="1">
        <f t="shared" si="558"/>
        <v>34.200000000000003</v>
      </c>
      <c r="GG171" s="56">
        <f t="shared" si="559"/>
        <v>0.21917100542352511</v>
      </c>
      <c r="GH171" s="1">
        <f t="shared" si="560"/>
        <v>0.78082901022567952</v>
      </c>
      <c r="GJ171" s="1">
        <f t="shared" si="607"/>
        <v>1563.8131268080717</v>
      </c>
      <c r="GK171" s="1">
        <f t="shared" si="608"/>
        <v>4.6038479492046349</v>
      </c>
      <c r="GM171" s="1" t="str">
        <f t="shared" si="561"/>
        <v>0.0191834803010191+16.4018756573714i</v>
      </c>
      <c r="GP171" s="1">
        <f t="shared" si="547"/>
        <v>34.200000000000003</v>
      </c>
      <c r="GQ171" s="1">
        <f t="shared" si="548"/>
        <v>4.6038479492046349</v>
      </c>
      <c r="GR171" s="1">
        <f t="shared" si="562"/>
        <v>16.401886875777095</v>
      </c>
      <c r="GS171" s="1">
        <f t="shared" si="563"/>
        <v>3.5948180374069714</v>
      </c>
    </row>
    <row r="172" spans="2:201" ht="18" customHeight="1" x14ac:dyDescent="0.25">
      <c r="B172" s="6"/>
      <c r="AP172" s="8"/>
      <c r="AR172" s="6"/>
      <c r="CF172" s="8"/>
      <c r="EA172" s="1">
        <f t="shared" si="538"/>
        <v>34.4</v>
      </c>
      <c r="EB172" s="1" t="str">
        <f t="shared" si="549"/>
        <v>3.83450001075274E-06-0.0131906800369895i</v>
      </c>
      <c r="EC172" s="1" t="str">
        <f t="shared" si="550"/>
        <v>7.51248981698497E-06-0.0258429649704283i</v>
      </c>
      <c r="ED172" s="1" t="str">
        <f t="shared" si="551"/>
        <v>0.0000185660230112468-0.0638671191586889i</v>
      </c>
      <c r="EE172" s="1" t="str">
        <f t="shared" si="552"/>
        <v>0.0000259285238822329-0.0891941221548811i</v>
      </c>
      <c r="EF172" s="1" t="str">
        <f t="shared" si="553"/>
        <v>0.624372977905595i</v>
      </c>
      <c r="EG172" s="1" t="str">
        <f t="shared" si="554"/>
        <v>0.624112930851072i</v>
      </c>
      <c r="EH172" s="1" t="str">
        <f t="shared" si="555"/>
        <v>0.6246099216061i</v>
      </c>
      <c r="EI172" s="1" t="str">
        <f t="shared" si="556"/>
        <v>0.62454890717522i</v>
      </c>
      <c r="EJ172" s="1" t="str">
        <f t="shared" si="544"/>
        <v>0.005</v>
      </c>
      <c r="EK172" s="1" t="str">
        <f t="shared" si="545"/>
        <v>0.01</v>
      </c>
      <c r="EL172" s="1" t="str">
        <f t="shared" si="546"/>
        <v>0.0125</v>
      </c>
      <c r="EM172" s="1" t="str">
        <f t="shared" si="564"/>
        <v>0.00500383450001075+0.611182297868605i</v>
      </c>
      <c r="EN172" s="1" t="str">
        <f t="shared" si="565"/>
        <v>-0.005</v>
      </c>
      <c r="EO172" s="1" t="str">
        <f t="shared" si="566"/>
        <v>0.027606704679294-94.9670640967719i</v>
      </c>
      <c r="EP172" s="1" t="str">
        <f t="shared" si="567"/>
        <v>-0.005</v>
      </c>
      <c r="EQ172" s="1" t="str">
        <f t="shared" si="568"/>
        <v>0.015007512489817+0.598269965880644i</v>
      </c>
      <c r="ER172" s="1" t="str">
        <f t="shared" si="569"/>
        <v>-0.01</v>
      </c>
      <c r="ES172" s="1" t="str">
        <f t="shared" si="570"/>
        <v>0.0540866050859638-186.057921495716i</v>
      </c>
      <c r="ET172" s="1" t="str">
        <f t="shared" si="571"/>
        <v>-0.01</v>
      </c>
      <c r="EU172" s="1" t="str">
        <f t="shared" si="572"/>
        <v>0.0225185660230112+0.560742802447411i</v>
      </c>
      <c r="EV172" s="1" t="str">
        <f t="shared" si="573"/>
        <v>-0.0125</v>
      </c>
      <c r="EW172" s="1" t="str">
        <f t="shared" si="574"/>
        <v>0.133667156840052-459.815019529778i</v>
      </c>
      <c r="EX172" s="1" t="str">
        <f t="shared" si="575"/>
        <v>-0.0125</v>
      </c>
      <c r="EY172" s="1" t="str">
        <f t="shared" si="576"/>
        <v>0.0125259285238822+0.535354785020339i</v>
      </c>
      <c r="EZ172" s="1" t="str">
        <f t="shared" si="577"/>
        <v>0.186673907831417-642.158242940075i</v>
      </c>
      <c r="FB172" s="1" t="str">
        <f t="shared" si="578"/>
        <v>0.00500383450001075+0.611182297868605i</v>
      </c>
      <c r="FC172" s="1" t="str">
        <f t="shared" si="579"/>
        <v>0.027606704679294-94.9670640967719i</v>
      </c>
      <c r="FD172" s="1" t="str">
        <f t="shared" si="580"/>
        <v>-0.000066973392448016+0.00818031689344369i</v>
      </c>
      <c r="FE172" s="1" t="str">
        <f t="shared" si="581"/>
        <v>0.0150071776228548+0.598310867465111i</v>
      </c>
      <c r="FF172" s="1" t="str">
        <f t="shared" si="582"/>
        <v>-0.722772224750942-186.064507593762i</v>
      </c>
      <c r="FG172" s="1" t="str">
        <f t="shared" si="583"/>
        <v>-0.00041895955161912+0.0167032108942511i</v>
      </c>
      <c r="FH172" s="1" t="str">
        <f t="shared" si="584"/>
        <v>0.022514376427495+0.560909834556354i</v>
      </c>
      <c r="FI172" s="1" t="str">
        <f t="shared" si="585"/>
        <v>-2.97451036576075-459.880900415553i</v>
      </c>
      <c r="FJ172" s="1" t="str">
        <f t="shared" si="586"/>
        <v>-0.00089306831168338+0.0222493747746929i</v>
      </c>
      <c r="FK172" s="1" t="str">
        <f t="shared" si="587"/>
        <v>0.0125147651699862+0.535632902205023i</v>
      </c>
      <c r="FL172" s="1" t="str">
        <f t="shared" si="588"/>
        <v>-10.0438034148173-642.571863173921i</v>
      </c>
      <c r="FM172" s="1" t="str">
        <f t="shared" si="589"/>
        <v>-1199.43306982118-9.27280562987005i</v>
      </c>
      <c r="FN172" s="1" t="str">
        <f t="shared" si="590"/>
        <v>-820.055005475856-0.883570434098906i</v>
      </c>
      <c r="FO172" s="1" t="str">
        <f t="shared" si="591"/>
        <v>-311.176080600777+7.10909294355728i</v>
      </c>
      <c r="FP172" s="1" t="str">
        <f t="shared" si="592"/>
        <v>-155.334451852045+1.22877545983594i</v>
      </c>
      <c r="FQ172" s="92" t="str">
        <f t="shared" si="593"/>
        <v>0.0119939507085904-97.0160358616129i</v>
      </c>
      <c r="FR172" s="1" t="str">
        <f t="shared" si="594"/>
        <v>-0.767214193035083-96.9866342741946i</v>
      </c>
      <c r="FS172" s="1" t="str">
        <f t="shared" si="595"/>
        <v>0.77920814374366-0.0294015874186067i</v>
      </c>
      <c r="FT172" s="1" t="str">
        <f t="shared" si="596"/>
        <v>-0.127295727689103-194.099687453305i</v>
      </c>
      <c r="FU172" s="1" t="str">
        <f t="shared" si="597"/>
        <v>0.205323415141894-512.189553876794i</v>
      </c>
      <c r="FV172" s="1" t="str">
        <f t="shared" si="598"/>
        <v>1.04485319489651-749.140382256146i</v>
      </c>
      <c r="FW172" s="1" t="str">
        <f t="shared" si="599"/>
        <v>-0.767214193035083-96.9866342741946i</v>
      </c>
      <c r="FX172" s="1" t="str">
        <f t="shared" si="600"/>
        <v>-4.43687683269621-194.2090156745i</v>
      </c>
      <c r="FY172" s="1" t="str">
        <f t="shared" si="601"/>
        <v>0.551886859575985-512.214492682964i</v>
      </c>
      <c r="FZ172" s="1" t="str">
        <f t="shared" si="602"/>
        <v>5.79132062258357-749.104612986637i</v>
      </c>
      <c r="GA172" s="1" t="str">
        <f t="shared" si="603"/>
        <v>0.77920814374366-0.0294015874186067i</v>
      </c>
      <c r="GB172" s="1" t="str">
        <f t="shared" si="604"/>
        <v>5.08878924875079+0.0799266337765619i</v>
      </c>
      <c r="GC172" s="1" t="str">
        <f t="shared" si="605"/>
        <v>4.74222580431655+0.104865439947139i</v>
      </c>
      <c r="GD172" s="92" t="str">
        <f t="shared" si="606"/>
        <v>1.13487483305789-1552.44565944786i</v>
      </c>
      <c r="GE172" s="1" t="str">
        <f t="shared" si="557"/>
        <v>0.00339016428569897+4.63755621046542i</v>
      </c>
      <c r="GF172" s="1">
        <f t="shared" si="558"/>
        <v>34.4</v>
      </c>
      <c r="GG172" s="56">
        <f t="shared" si="559"/>
        <v>0.21942172544220051</v>
      </c>
      <c r="GH172" s="1">
        <f t="shared" si="560"/>
        <v>0.78057829052261363</v>
      </c>
      <c r="GJ172" s="1">
        <f t="shared" si="607"/>
        <v>1552.4460742581005</v>
      </c>
      <c r="GK172" s="1">
        <f t="shared" si="608"/>
        <v>4.6375574496107621</v>
      </c>
      <c r="GM172" s="1" t="str">
        <f t="shared" si="561"/>
        <v>0.0191834803010191+16.4977930588765i</v>
      </c>
      <c r="GP172" s="1">
        <f t="shared" si="547"/>
        <v>34.4</v>
      </c>
      <c r="GQ172" s="1">
        <f t="shared" si="548"/>
        <v>4.6375574496107621</v>
      </c>
      <c r="GR172" s="1">
        <f t="shared" si="562"/>
        <v>16.497804212058952</v>
      </c>
      <c r="GS172" s="1">
        <f t="shared" si="563"/>
        <v>3.6199766662175787</v>
      </c>
    </row>
    <row r="173" spans="2:201" ht="18" customHeight="1" x14ac:dyDescent="0.25">
      <c r="B173" s="6"/>
      <c r="AP173" s="8"/>
      <c r="AR173" s="6"/>
      <c r="AT173" s="176" t="s">
        <v>188</v>
      </c>
      <c r="AU173" s="176"/>
      <c r="AV173" s="176"/>
      <c r="AW173" s="176"/>
      <c r="AX173" s="176"/>
      <c r="AY173" s="176"/>
      <c r="AZ173" s="176"/>
      <c r="BA173" s="176"/>
      <c r="BB173" s="176"/>
      <c r="BC173" s="176"/>
      <c r="CF173" s="8"/>
      <c r="EA173" s="1">
        <f t="shared" si="538"/>
        <v>34.6</v>
      </c>
      <c r="EB173" s="1" t="str">
        <f t="shared" si="549"/>
        <v>3.79029865443592E-06-0.0131144333443483i</v>
      </c>
      <c r="EC173" s="1" t="str">
        <f t="shared" si="550"/>
        <v>7.42589124134386E-06-0.0256935836950497i</v>
      </c>
      <c r="ED173" s="1" t="str">
        <f t="shared" si="551"/>
        <v>0.0000183520072605086-0.0634979451213599i</v>
      </c>
      <c r="EE173" s="1" t="str">
        <f t="shared" si="552"/>
        <v>0.0000256296385204716-0.0886785492808315i</v>
      </c>
      <c r="EF173" s="1" t="str">
        <f t="shared" si="553"/>
        <v>0.628003053358533i</v>
      </c>
      <c r="EG173" s="1" t="str">
        <f t="shared" si="554"/>
        <v>0.627741494402533i</v>
      </c>
      <c r="EH173" s="1" t="str">
        <f t="shared" si="555"/>
        <v>0.628241374638692i</v>
      </c>
      <c r="EI173" s="1" t="str">
        <f t="shared" si="556"/>
        <v>0.628180005472751i</v>
      </c>
      <c r="EJ173" s="1" t="str">
        <f t="shared" si="544"/>
        <v>0.005</v>
      </c>
      <c r="EK173" s="1" t="str">
        <f t="shared" si="545"/>
        <v>0.01</v>
      </c>
      <c r="EL173" s="1" t="str">
        <f t="shared" si="546"/>
        <v>0.0125</v>
      </c>
      <c r="EM173" s="1" t="str">
        <f t="shared" si="564"/>
        <v>0.00500379029865444+0.614888620014185i</v>
      </c>
      <c r="EN173" s="1" t="str">
        <f t="shared" si="565"/>
        <v>-0.005</v>
      </c>
      <c r="EO173" s="1" t="str">
        <f t="shared" si="566"/>
        <v>0.0272884744571423-94.4181216217123i</v>
      </c>
      <c r="EP173" s="1" t="str">
        <f t="shared" si="567"/>
        <v>-0.005</v>
      </c>
      <c r="EQ173" s="1" t="str">
        <f t="shared" si="568"/>
        <v>0.0150074258912413+0.602047910707483i</v>
      </c>
      <c r="ER173" s="1" t="str">
        <f t="shared" si="569"/>
        <v>-0.01</v>
      </c>
      <c r="ES173" s="1" t="str">
        <f t="shared" si="570"/>
        <v>0.0534631336303196-184.982442360906i</v>
      </c>
      <c r="ET173" s="1" t="str">
        <f t="shared" si="571"/>
        <v>-0.01</v>
      </c>
      <c r="EU173" s="1" t="str">
        <f t="shared" si="572"/>
        <v>0.0225183520072605+0.564743429517332i</v>
      </c>
      <c r="EV173" s="1" t="str">
        <f t="shared" si="573"/>
        <v>-0.0125</v>
      </c>
      <c r="EW173" s="1" t="str">
        <f t="shared" si="574"/>
        <v>0.132126338060347-457.157129688801i</v>
      </c>
      <c r="EX173" s="1" t="str">
        <f t="shared" si="575"/>
        <v>-0.0125</v>
      </c>
      <c r="EY173" s="1" t="str">
        <f t="shared" si="576"/>
        <v>0.0125256296385205+0.539501456191919i</v>
      </c>
      <c r="EZ173" s="1" t="str">
        <f t="shared" si="577"/>
        <v>0.184522065376868-638.446346203961i</v>
      </c>
      <c r="FB173" s="1" t="str">
        <f t="shared" si="578"/>
        <v>0.00500379029865444+0.614888620014185i</v>
      </c>
      <c r="FC173" s="1" t="str">
        <f t="shared" si="579"/>
        <v>0.0272884744571423-94.4181216217123i</v>
      </c>
      <c r="FD173" s="1" t="str">
        <f t="shared" si="580"/>
        <v>-0.0000661679127412253+0.00813101551550069i</v>
      </c>
      <c r="FE173" s="1" t="str">
        <f t="shared" si="581"/>
        <v>0.0150070950516776+0.602088565785061i</v>
      </c>
      <c r="FF173" s="1" t="str">
        <f t="shared" si="582"/>
        <v>-0.714250272598857-184.988911693948i</v>
      </c>
      <c r="FG173" s="1" t="str">
        <f t="shared" si="583"/>
        <v>-0.000413719649938568+0.0165985402112026i</v>
      </c>
      <c r="FH173" s="1" t="str">
        <f t="shared" si="584"/>
        <v>0.0225142148107611+0.564909414919444i</v>
      </c>
      <c r="FI173" s="1" t="str">
        <f t="shared" si="585"/>
        <v>-2.938715050691-457.221807724719i</v>
      </c>
      <c r="FJ173" s="1" t="str">
        <f t="shared" si="586"/>
        <v>-0.000880480846153317+0.0220923502697731i</v>
      </c>
      <c r="FK173" s="1" t="str">
        <f t="shared" si="587"/>
        <v>0.0125146236279436+0.539777610570291i</v>
      </c>
      <c r="FL173" s="1" t="str">
        <f t="shared" si="588"/>
        <v>-9.91503703732223-638.851783281675i</v>
      </c>
      <c r="FM173" s="1" t="str">
        <f t="shared" si="589"/>
        <v>-1183.33607249254-9.06663862941684i</v>
      </c>
      <c r="FN173" s="1" t="str">
        <f t="shared" si="590"/>
        <v>-809.537552866585-0.877461753472545i</v>
      </c>
      <c r="FO173" s="1" t="str">
        <f t="shared" si="591"/>
        <v>-307.433625052318+6.96897500877083i</v>
      </c>
      <c r="FP173" s="1" t="str">
        <f t="shared" si="592"/>
        <v>-153.506358643188+1.20634208944505i</v>
      </c>
      <c r="FQ173" s="92" t="str">
        <f t="shared" si="593"/>
        <v>0.0120498164792459-96.4312751024688i</v>
      </c>
      <c r="FR173" s="1" t="str">
        <f t="shared" si="594"/>
        <v>-0.757586515566404-96.4024619378721i</v>
      </c>
      <c r="FS173" s="1" t="str">
        <f t="shared" si="595"/>
        <v>0.76963633204565-0.0288131645966289i</v>
      </c>
      <c r="FT173" s="1" t="str">
        <f t="shared" si="596"/>
        <v>-0.123311840362673-192.88156568771i</v>
      </c>
      <c r="FU173" s="1" t="str">
        <f t="shared" si="597"/>
        <v>0.202699995376301-508.561084691219i</v>
      </c>
      <c r="FV173" s="1" t="str">
        <f t="shared" si="598"/>
        <v>1.01886690167332-743.382640049605i</v>
      </c>
      <c r="FW173" s="1" t="str">
        <f t="shared" si="599"/>
        <v>-0.757586515566404-96.4024619378721i</v>
      </c>
      <c r="FX173" s="1" t="str">
        <f t="shared" si="600"/>
        <v>-4.37471478645971-192.98884321993i</v>
      </c>
      <c r="FY173" s="1" t="str">
        <f t="shared" si="601"/>
        <v>0.551257778194469-508.584985034546i</v>
      </c>
      <c r="FZ173" s="1" t="str">
        <f t="shared" si="602"/>
        <v>5.69548110384653-743.348060494468i</v>
      </c>
      <c r="GA173" s="1" t="str">
        <f t="shared" si="603"/>
        <v>0.76963633204565-0.0288131645966289i</v>
      </c>
      <c r="GB173" s="1" t="str">
        <f t="shared" si="604"/>
        <v>5.02103927814267+0.0784643676224337i</v>
      </c>
      <c r="GC173" s="1" t="str">
        <f t="shared" si="605"/>
        <v>4.67248149532444+0.102364710949304i</v>
      </c>
      <c r="GD173" s="92" t="str">
        <f t="shared" si="606"/>
        <v>1.11030487316619-1541.256565531i</v>
      </c>
      <c r="GE173" s="1" t="str">
        <f t="shared" si="557"/>
        <v>0.00336509994433819+4.67122365057199i</v>
      </c>
      <c r="GF173" s="1">
        <f t="shared" si="558"/>
        <v>34.6</v>
      </c>
      <c r="GG173" s="56">
        <f t="shared" si="559"/>
        <v>0.21966784435790979</v>
      </c>
      <c r="GH173" s="1">
        <f t="shared" si="560"/>
        <v>0.78033217191069915</v>
      </c>
      <c r="GJ173" s="1">
        <f t="shared" si="607"/>
        <v>1541.256965456872</v>
      </c>
      <c r="GK173" s="1">
        <f t="shared" si="608"/>
        <v>4.6712248626629771</v>
      </c>
      <c r="GM173" s="1" t="str">
        <f t="shared" si="561"/>
        <v>0.0191834803010191+16.5937104603816i</v>
      </c>
      <c r="GP173" s="1">
        <f t="shared" si="547"/>
        <v>34.6</v>
      </c>
      <c r="GQ173" s="1">
        <f t="shared" si="548"/>
        <v>4.6712248626629771</v>
      </c>
      <c r="GR173" s="1">
        <f t="shared" si="562"/>
        <v>16.593721549094834</v>
      </c>
      <c r="GS173" s="1">
        <f t="shared" si="563"/>
        <v>3.6451070425650558</v>
      </c>
    </row>
    <row r="174" spans="2:201" ht="18" customHeight="1" x14ac:dyDescent="0.25">
      <c r="B174" s="6"/>
      <c r="AP174" s="8"/>
      <c r="AR174" s="6"/>
      <c r="AT174" s="176"/>
      <c r="AU174" s="176"/>
      <c r="AV174" s="176"/>
      <c r="AW174" s="176"/>
      <c r="AX174" s="176"/>
      <c r="AY174" s="176"/>
      <c r="AZ174" s="176"/>
      <c r="BA174" s="176"/>
      <c r="BB174" s="176"/>
      <c r="BC174" s="176"/>
      <c r="CF174" s="8"/>
      <c r="EA174" s="1">
        <f t="shared" si="538"/>
        <v>34.799999999999997</v>
      </c>
      <c r="EB174" s="1" t="str">
        <f t="shared" si="549"/>
        <v>3.74685719834906E-06-0.0130390630502548i</v>
      </c>
      <c r="EC174" s="1" t="str">
        <f t="shared" si="550"/>
        <v>7.34078144982673E-06-0.0255459194453971i</v>
      </c>
      <c r="ED174" s="1" t="str">
        <f t="shared" si="551"/>
        <v>0.0000181416708226187-0.063133014462713i</v>
      </c>
      <c r="EE174" s="1" t="str">
        <f t="shared" si="552"/>
        <v>0.0000253358915316935-0.0881689025302937i</v>
      </c>
      <c r="EF174" s="1" t="str">
        <f t="shared" si="553"/>
        <v>0.631633128811472i</v>
      </c>
      <c r="EG174" s="1" t="str">
        <f t="shared" si="554"/>
        <v>0.631370057953991i</v>
      </c>
      <c r="EH174" s="1" t="str">
        <f t="shared" si="555"/>
        <v>0.631872827671285i</v>
      </c>
      <c r="EI174" s="1" t="str">
        <f t="shared" si="556"/>
        <v>0.631811103770281i</v>
      </c>
      <c r="EJ174" s="1" t="str">
        <f t="shared" si="544"/>
        <v>0.005</v>
      </c>
      <c r="EK174" s="1" t="str">
        <f t="shared" si="545"/>
        <v>0.01</v>
      </c>
      <c r="EL174" s="1" t="str">
        <f t="shared" si="546"/>
        <v>0.0125</v>
      </c>
      <c r="EM174" s="1" t="str">
        <f t="shared" si="564"/>
        <v>0.00500374685719835+0.618594065761217i</v>
      </c>
      <c r="EN174" s="1" t="str">
        <f t="shared" si="565"/>
        <v>-0.005</v>
      </c>
      <c r="EO174" s="1" t="str">
        <f t="shared" si="566"/>
        <v>0.0269757151806615-93.8754888287026i</v>
      </c>
      <c r="EP174" s="1" t="str">
        <f t="shared" si="567"/>
        <v>-0.005</v>
      </c>
      <c r="EQ174" s="1" t="str">
        <f t="shared" si="568"/>
        <v>0.0150073407814498+0.605824138508594i</v>
      </c>
      <c r="ER174" s="1" t="str">
        <f t="shared" si="569"/>
        <v>-0.01</v>
      </c>
      <c r="ES174" s="1" t="str">
        <f t="shared" si="570"/>
        <v>0.0528503807621123-183.919325052152i</v>
      </c>
      <c r="ET174" s="1" t="str">
        <f t="shared" si="571"/>
        <v>-0.01</v>
      </c>
      <c r="EU174" s="1" t="str">
        <f t="shared" si="572"/>
        <v>0.0225181416708226+0.568739813208572i</v>
      </c>
      <c r="EV174" s="1" t="str">
        <f t="shared" si="573"/>
        <v>-0.0125</v>
      </c>
      <c r="EW174" s="1" t="str">
        <f t="shared" si="574"/>
        <v>0.130612008706366-454.529790298155i</v>
      </c>
      <c r="EX174" s="1" t="str">
        <f t="shared" si="575"/>
        <v>-0.0125</v>
      </c>
      <c r="EY174" s="1" t="str">
        <f t="shared" si="576"/>
        <v>0.0125253358915317+0.543642201239987i</v>
      </c>
      <c r="EZ174" s="1" t="str">
        <f t="shared" si="577"/>
        <v>0.182407216935901-634.777114936936i</v>
      </c>
      <c r="FB174" s="1" t="str">
        <f t="shared" si="578"/>
        <v>0.00500374685719835+0.618594065761217i</v>
      </c>
      <c r="FC174" s="1" t="str">
        <f t="shared" si="579"/>
        <v>0.0269757151806615-93.8754888287026i</v>
      </c>
      <c r="FD174" s="1" t="str">
        <f t="shared" si="580"/>
        <v>-0.0000653770651419434+0.00808231624977418i</v>
      </c>
      <c r="FE174" s="1" t="str">
        <f t="shared" si="581"/>
        <v>0.0150070138961241+0.605864550089843i</v>
      </c>
      <c r="FF174" s="1" t="str">
        <f t="shared" si="582"/>
        <v>-0.705879244460517-183.925680382362i</v>
      </c>
      <c r="FG174" s="1" t="str">
        <f t="shared" si="583"/>
        <v>-0.000408579740666499+0.0164952190001415i</v>
      </c>
      <c r="FH174" s="1" t="str">
        <f t="shared" si="584"/>
        <v>0.0225140558734159+0.568904765398573i</v>
      </c>
      <c r="FI174" s="1" t="str">
        <f t="shared" si="585"/>
        <v>-2.90357077690936-454.593294972223i</v>
      </c>
      <c r="FJ174" s="1" t="str">
        <f t="shared" si="586"/>
        <v>-0.000868170408593206+0.0219376857463472i</v>
      </c>
      <c r="FK174" s="1" t="str">
        <f t="shared" si="587"/>
        <v>0.0125144837614243+0.543916422311816i</v>
      </c>
      <c r="FL174" s="1" t="str">
        <f t="shared" si="588"/>
        <v>-9.78881109149715-635.174589575899i</v>
      </c>
      <c r="FM174" s="1" t="str">
        <f t="shared" si="589"/>
        <v>-1167.57575269544-8.86679737549427i</v>
      </c>
      <c r="FN174" s="1" t="str">
        <f t="shared" si="590"/>
        <v>-799.227823070676-0.871133814905102i</v>
      </c>
      <c r="FO174" s="1" t="str">
        <f t="shared" si="591"/>
        <v>-303.759196401312+6.83261463817852i</v>
      </c>
      <c r="FP174" s="1" t="str">
        <f t="shared" si="592"/>
        <v>-151.710560576978+1.184458543477i</v>
      </c>
      <c r="FQ174" s="92" t="str">
        <f t="shared" si="593"/>
        <v>0.0120999233578153-95.8536568314523i</v>
      </c>
      <c r="FR174" s="1" t="str">
        <f t="shared" si="594"/>
        <v>-0.748143255763857-95.825416050979i</v>
      </c>
      <c r="FS174" s="1" t="str">
        <f t="shared" si="595"/>
        <v>0.76024317912167-0.0282407804735076i</v>
      </c>
      <c r="FT174" s="1" t="str">
        <f t="shared" si="596"/>
        <v>-0.11946521251208-191.679183170949i</v>
      </c>
      <c r="FU174" s="1" t="str">
        <f t="shared" si="597"/>
        <v>0.200108640520155-504.987436207255i</v>
      </c>
      <c r="FV174" s="1" t="str">
        <f t="shared" si="598"/>
        <v>0.993764583117046-737.720763024858i</v>
      </c>
      <c r="FW174" s="1" t="str">
        <f t="shared" si="599"/>
        <v>-0.748143255763857-95.825416050979i</v>
      </c>
      <c r="FX174" s="1" t="str">
        <f t="shared" si="600"/>
        <v>-4.31390830008406-191.784461435954i</v>
      </c>
      <c r="FY174" s="1" t="str">
        <f t="shared" si="601"/>
        <v>0.550445786904161-505.010344517234i</v>
      </c>
      <c r="FZ174" s="1" t="str">
        <f t="shared" si="602"/>
        <v>5.60214103671847-737.687325045923i</v>
      </c>
      <c r="GA174" s="1" t="str">
        <f t="shared" si="603"/>
        <v>0.76024317912167-0.0282407804735076i</v>
      </c>
      <c r="GB174" s="1" t="str">
        <f t="shared" si="604"/>
        <v>4.95468626669364+0.0770374845308362i</v>
      </c>
      <c r="GC174" s="1" t="str">
        <f t="shared" si="605"/>
        <v>4.60434912030955+0.0999457945073646i</v>
      </c>
      <c r="GD174" s="92" t="str">
        <f t="shared" si="606"/>
        <v>1.08650793448294-1530.24103923451i</v>
      </c>
      <c r="GE174" s="1" t="str">
        <f t="shared" si="557"/>
        <v>0.00334055648285789+4.70484978683817i</v>
      </c>
      <c r="GF174" s="1">
        <f t="shared" si="558"/>
        <v>34.799999999999997</v>
      </c>
      <c r="GG174" s="56">
        <f t="shared" si="559"/>
        <v>0.21990947583029935</v>
      </c>
      <c r="GH174" s="1">
        <f t="shared" si="560"/>
        <v>0.7800905407304779</v>
      </c>
      <c r="GJ174" s="1">
        <f t="shared" si="607"/>
        <v>1530.2414249578412</v>
      </c>
      <c r="GK174" s="1">
        <f t="shared" si="608"/>
        <v>4.7048509727757351</v>
      </c>
      <c r="GM174" s="1" t="str">
        <f t="shared" si="561"/>
        <v>0.0191834803010191+16.6896278618867i</v>
      </c>
      <c r="GP174" s="1">
        <f t="shared" si="547"/>
        <v>34.799999999999997</v>
      </c>
      <c r="GQ174" s="1">
        <f t="shared" si="548"/>
        <v>4.7048509727757351</v>
      </c>
      <c r="GR174" s="1">
        <f t="shared" si="562"/>
        <v>16.689638886871737</v>
      </c>
      <c r="GS174" s="1">
        <f t="shared" si="563"/>
        <v>3.6702097394089455</v>
      </c>
    </row>
    <row r="175" spans="2:201" ht="18" customHeight="1" x14ac:dyDescent="0.25">
      <c r="B175" s="6"/>
      <c r="AP175" s="8"/>
      <c r="AR175" s="6"/>
      <c r="AT175" s="176"/>
      <c r="AU175" s="176"/>
      <c r="AV175" s="176"/>
      <c r="AW175" s="176"/>
      <c r="AX175" s="176"/>
      <c r="AY175" s="176"/>
      <c r="AZ175" s="176"/>
      <c r="BA175" s="176"/>
      <c r="BB175" s="176"/>
      <c r="BC175" s="176"/>
      <c r="CF175" s="8"/>
      <c r="EA175" s="1">
        <f t="shared" ref="EA175:EA238" si="609">ROUND(EA174+0.2,1)</f>
        <v>35</v>
      </c>
      <c r="EB175" s="1" t="str">
        <f t="shared" si="549"/>
        <v>0.0000037041583230682-0.0129645541307387i</v>
      </c>
      <c r="EC175" s="1" t="str">
        <f t="shared" si="550"/>
        <v>7.25712651050097E-06-0.0253999427867534i</v>
      </c>
      <c r="ED175" s="1" t="str">
        <f t="shared" si="551"/>
        <v>0.0000179349298397536-0.0627722544391377i</v>
      </c>
      <c r="EE175" s="1" t="str">
        <f t="shared" si="552"/>
        <v>0.0000250471658036039-0.0876650803126139i</v>
      </c>
      <c r="EF175" s="1" t="str">
        <f t="shared" si="553"/>
        <v>0.635263204264413i</v>
      </c>
      <c r="EG175" s="1" t="str">
        <f t="shared" si="554"/>
        <v>0.634998621505451i</v>
      </c>
      <c r="EH175" s="1" t="str">
        <f t="shared" si="555"/>
        <v>0.635504280703881i</v>
      </c>
      <c r="EI175" s="1" t="str">
        <f t="shared" si="556"/>
        <v>0.63544220206781i</v>
      </c>
      <c r="EJ175" s="1" t="str">
        <f t="shared" si="544"/>
        <v>0.005</v>
      </c>
      <c r="EK175" s="1" t="str">
        <f t="shared" si="545"/>
        <v>0.01</v>
      </c>
      <c r="EL175" s="1" t="str">
        <f t="shared" si="546"/>
        <v>0.0125</v>
      </c>
      <c r="EM175" s="1" t="str">
        <f t="shared" si="564"/>
        <v>0.00500370415832307+0.622298650133674i</v>
      </c>
      <c r="EN175" s="1" t="str">
        <f t="shared" si="565"/>
        <v>-0.005</v>
      </c>
      <c r="EO175" s="1" t="str">
        <f t="shared" si="566"/>
        <v>0.0266683021576569-93.3390575517991i</v>
      </c>
      <c r="EP175" s="1" t="str">
        <f t="shared" si="567"/>
        <v>-0.005</v>
      </c>
      <c r="EQ175" s="1" t="str">
        <f t="shared" si="568"/>
        <v>0.0150072571265105+0.609598678718698i</v>
      </c>
      <c r="ER175" s="1" t="str">
        <f t="shared" si="569"/>
        <v>-0.01</v>
      </c>
      <c r="ES175" s="1" t="str">
        <f t="shared" si="570"/>
        <v>0.0522481021864299-182.868357652505i</v>
      </c>
      <c r="ET175" s="1" t="str">
        <f t="shared" si="571"/>
        <v>-0.01</v>
      </c>
      <c r="EU175" s="1" t="str">
        <f t="shared" si="572"/>
        <v>0.0225179349298398+0.572732026264743i</v>
      </c>
      <c r="EV175" s="1" t="str">
        <f t="shared" si="573"/>
        <v>-0.0125</v>
      </c>
      <c r="EW175" s="1" t="str">
        <f t="shared" si="574"/>
        <v>0.129123565038859-451.932477636006i</v>
      </c>
      <c r="EX175" s="1" t="str">
        <f t="shared" si="575"/>
        <v>-0.0125</v>
      </c>
      <c r="EY175" s="1" t="str">
        <f t="shared" si="576"/>
        <v>0.0125250471658036+0.547777121755196i</v>
      </c>
      <c r="EZ175" s="1" t="str">
        <f t="shared" si="577"/>
        <v>0.180328519351774-631.149817731212i</v>
      </c>
      <c r="FB175" s="1" t="str">
        <f t="shared" si="578"/>
        <v>0.00500370415832307+0.622298650133674i</v>
      </c>
      <c r="FC175" s="1" t="str">
        <f t="shared" si="579"/>
        <v>0.0266683021576569-93.3390575517991i</v>
      </c>
      <c r="FD175" s="1" t="str">
        <f t="shared" si="580"/>
        <v>-0.0000646004931683133+0.00803420794367743i</v>
      </c>
      <c r="FE175" s="1" t="str">
        <f t="shared" si="581"/>
        <v>0.0150069341240447+0.609638849758416i</v>
      </c>
      <c r="FF175" s="1" t="str">
        <f t="shared" si="582"/>
        <v>-0.697655572666128-182.87460166034i</v>
      </c>
      <c r="FG175" s="1" t="str">
        <f t="shared" si="583"/>
        <v>-0.000403537244294497+0.0163932205880885i</v>
      </c>
      <c r="FH175" s="1" t="str">
        <f t="shared" si="584"/>
        <v>0.0225138995573969+0.572895958470624i</v>
      </c>
      <c r="FI175" s="1" t="str">
        <f t="shared" si="585"/>
        <v>-2.86906164994517-451.994837527114i</v>
      </c>
      <c r="FJ175" s="1" t="str">
        <f t="shared" si="586"/>
        <v>-0.000856128645348301+0.0217853259760959i</v>
      </c>
      <c r="FK175" s="1" t="str">
        <f t="shared" si="587"/>
        <v>0.0125143455577367+0.548049438329897i</v>
      </c>
      <c r="FL175" s="1" t="str">
        <f t="shared" si="588"/>
        <v>-9.66505727875047-631.539543070035i</v>
      </c>
      <c r="FM175" s="1" t="str">
        <f t="shared" si="589"/>
        <v>-1152.14241922617-8.67303340672583i</v>
      </c>
      <c r="FN175" s="1" t="str">
        <f t="shared" si="590"/>
        <v>-789.120219860944-0.864609831967134i</v>
      </c>
      <c r="FO175" s="1" t="str">
        <f t="shared" si="591"/>
        <v>-300.151134637042+6.69988382160815i</v>
      </c>
      <c r="FP175" s="1" t="str">
        <f t="shared" si="592"/>
        <v>-149.946296622013+1.16310787905351i</v>
      </c>
      <c r="FQ175" s="92" t="str">
        <f t="shared" si="593"/>
        <v>0.0121445519224247-95.2830487393948i</v>
      </c>
      <c r="FR175" s="1" t="str">
        <f t="shared" si="594"/>
        <v>-0.738879638152718-95.2553648596821i</v>
      </c>
      <c r="FS175" s="1" t="str">
        <f t="shared" si="595"/>
        <v>0.751024190075145-0.0276838797127732i</v>
      </c>
      <c r="FT175" s="1" t="str">
        <f t="shared" si="596"/>
        <v>-0.11575032880398-190.492227921569i</v>
      </c>
      <c r="FU175" s="1" t="str">
        <f t="shared" si="597"/>
        <v>0.197549889180017-501.467317353469i</v>
      </c>
      <c r="FV175" s="1" t="str">
        <f t="shared" si="598"/>
        <v>0.969508591710101-732.152258209337i</v>
      </c>
      <c r="FW175" s="1" t="str">
        <f t="shared" si="599"/>
        <v>-0.738879638152718-95.2553648596821i</v>
      </c>
      <c r="FX175" s="1" t="str">
        <f t="shared" si="600"/>
        <v>-4.25441699096785-190.595556737819i</v>
      </c>
      <c r="FY175" s="1" t="str">
        <f t="shared" si="601"/>
        <v>0.549463249353777-501.489277711618i</v>
      </c>
      <c r="FZ175" s="1" t="str">
        <f t="shared" si="602"/>
        <v>5.51121144657754-732.119915968811i</v>
      </c>
      <c r="GA175" s="1" t="str">
        <f t="shared" si="603"/>
        <v>0.751024190075145-0.0276838797127732i</v>
      </c>
      <c r="GB175" s="1" t="str">
        <f t="shared" si="604"/>
        <v>4.88969085223902+0.0756449365357528i</v>
      </c>
      <c r="GC175" s="1" t="str">
        <f t="shared" si="605"/>
        <v>4.53777749206533+0.0976052946844838i</v>
      </c>
      <c r="GD175" s="92" t="str">
        <f t="shared" si="606"/>
        <v>1.06345270400856-1519.39485222377i</v>
      </c>
      <c r="GE175" s="1" t="str">
        <f t="shared" si="557"/>
        <v>0.00331651901700322+4.7384353838611i</v>
      </c>
      <c r="GF175" s="1">
        <f t="shared" si="558"/>
        <v>35</v>
      </c>
      <c r="GG175" s="56">
        <f t="shared" si="559"/>
        <v>0.22014672997567256</v>
      </c>
      <c r="GH175" s="1">
        <f t="shared" si="560"/>
        <v>0.77985328686584998</v>
      </c>
      <c r="GJ175" s="1">
        <f t="shared" si="607"/>
        <v>1519.3952243888834</v>
      </c>
      <c r="GK175" s="1">
        <f t="shared" si="608"/>
        <v>4.7384365445076169</v>
      </c>
      <c r="GM175" s="1" t="str">
        <f t="shared" si="561"/>
        <v>0.0191834803010191+16.7855452633918i</v>
      </c>
      <c r="GP175" s="1">
        <f t="shared" si="547"/>
        <v>35</v>
      </c>
      <c r="GQ175" s="1">
        <f t="shared" si="548"/>
        <v>4.7384365445076169</v>
      </c>
      <c r="GR175" s="1">
        <f t="shared" si="562"/>
        <v>16.785556225376965</v>
      </c>
      <c r="GS175" s="1">
        <f t="shared" si="563"/>
        <v>3.695285313839531</v>
      </c>
    </row>
    <row r="176" spans="2:201" ht="18" customHeight="1" x14ac:dyDescent="0.25">
      <c r="B176" s="6"/>
      <c r="AP176" s="8"/>
      <c r="AR176" s="6"/>
      <c r="CF176" s="8"/>
      <c r="EA176" s="1">
        <f t="shared" si="609"/>
        <v>35.200000000000003</v>
      </c>
      <c r="EB176" s="1" t="str">
        <f t="shared" si="549"/>
        <v>3.66218519979649E-06-0.0128908919032837i</v>
      </c>
      <c r="EC176" s="1" t="str">
        <f t="shared" si="550"/>
        <v>7.17489345266252E-06-0.0252556249533721i</v>
      </c>
      <c r="ED176" s="1" t="str">
        <f t="shared" si="551"/>
        <v>0.000017731702829627-0.062415593960287i</v>
      </c>
      <c r="EE176" s="1" t="str">
        <f t="shared" si="552"/>
        <v>0.0000247633475414811-0.0871669833460135i</v>
      </c>
      <c r="EF176" s="1" t="str">
        <f t="shared" si="553"/>
        <v>0.638893279717354i</v>
      </c>
      <c r="EG176" s="1" t="str">
        <f t="shared" si="554"/>
        <v>0.638627185056911i</v>
      </c>
      <c r="EH176" s="1" t="str">
        <f t="shared" si="555"/>
        <v>0.639135733736473i</v>
      </c>
      <c r="EI176" s="1" t="str">
        <f t="shared" si="556"/>
        <v>0.639073300365341i</v>
      </c>
      <c r="EJ176" s="1" t="str">
        <f t="shared" si="544"/>
        <v>0.005</v>
      </c>
      <c r="EK176" s="1" t="str">
        <f t="shared" si="545"/>
        <v>0.01</v>
      </c>
      <c r="EL176" s="1" t="str">
        <f t="shared" si="546"/>
        <v>0.0125</v>
      </c>
      <c r="EM176" s="1" t="str">
        <f t="shared" si="564"/>
        <v>0.0050036621851998+0.62600238781407i</v>
      </c>
      <c r="EN176" s="1" t="str">
        <f t="shared" si="565"/>
        <v>-0.005</v>
      </c>
      <c r="EO176" s="1" t="str">
        <f t="shared" si="566"/>
        <v>0.0263661142282318-92.8087220833765i</v>
      </c>
      <c r="EP176" s="1" t="str">
        <f t="shared" si="567"/>
        <v>-0.005</v>
      </c>
      <c r="EQ176" s="1" t="str">
        <f t="shared" si="568"/>
        <v>0.0150071748934527+0.613371560103539i</v>
      </c>
      <c r="ER176" s="1" t="str">
        <f t="shared" si="569"/>
        <v>-0.01</v>
      </c>
      <c r="ES176" s="1" t="str">
        <f t="shared" si="570"/>
        <v>0.0516560605287808-181.829333061309i</v>
      </c>
      <c r="ET176" s="1" t="str">
        <f t="shared" si="571"/>
        <v>-0.01</v>
      </c>
      <c r="EU176" s="1" t="str">
        <f t="shared" si="572"/>
        <v>0.0225177317028296+0.576720139776186i</v>
      </c>
      <c r="EV176" s="1" t="str">
        <f t="shared" si="573"/>
        <v>-0.0125</v>
      </c>
      <c r="EW176" s="1" t="str">
        <f t="shared" si="574"/>
        <v>0.127660420421389-449.364679883288i</v>
      </c>
      <c r="EX176" s="1" t="str">
        <f t="shared" si="575"/>
        <v>-0.0125</v>
      </c>
      <c r="EY176" s="1" t="str">
        <f t="shared" si="576"/>
        <v>0.0125247633475415+0.551906317019328i</v>
      </c>
      <c r="EZ176" s="1" t="str">
        <f t="shared" si="577"/>
        <v>0.178285153352806-627.563739801878i</v>
      </c>
      <c r="FB176" s="1" t="str">
        <f t="shared" si="578"/>
        <v>0.0050036621851998+0.62600238781407i</v>
      </c>
      <c r="FC176" s="1" t="str">
        <f t="shared" si="579"/>
        <v>0.0263661142282318-92.8087220833765i</v>
      </c>
      <c r="FD176" s="1" t="str">
        <f t="shared" si="580"/>
        <v>-0.0000638378512453487+0.00798667972244653i</v>
      </c>
      <c r="FE176" s="1" t="str">
        <f t="shared" si="581"/>
        <v>0.0150068557041965+0.613411493502151i</v>
      </c>
      <c r="FF176" s="1" t="str">
        <f t="shared" si="582"/>
        <v>-0.689575795044619-181.835468348413i</v>
      </c>
      <c r="FG176" s="1" t="str">
        <f t="shared" si="583"/>
        <v>-0.000398589665368632+0.0162925190158205i</v>
      </c>
      <c r="FH176" s="1" t="str">
        <f t="shared" si="584"/>
        <v>0.0225137458061759+0.576883064966344i</v>
      </c>
      <c r="FI176" s="1" t="str">
        <f t="shared" si="585"/>
        <v>-2.83517226318115-449.425922695016i</v>
      </c>
      <c r="FJ176" s="1" t="str">
        <f t="shared" si="586"/>
        <v>-0.000844347522955891+0.0216352174859289i</v>
      </c>
      <c r="FK176" s="1" t="str">
        <f t="shared" si="587"/>
        <v>0.0125142090035046+0.552176757237902i</v>
      </c>
      <c r="FL176" s="1" t="str">
        <f t="shared" si="588"/>
        <v>-9.54370963665718-627.945921717201i</v>
      </c>
      <c r="FM176" s="1" t="str">
        <f t="shared" si="589"/>
        <v>-1137.02673835077-8.48511015399161i</v>
      </c>
      <c r="FN176" s="1" t="str">
        <f t="shared" si="590"/>
        <v>-779.209339073515-0.857911294661813i</v>
      </c>
      <c r="FO176" s="1" t="str">
        <f t="shared" si="591"/>
        <v>-296.60783068605+6.57065984683142i</v>
      </c>
      <c r="FP176" s="1" t="str">
        <f t="shared" si="592"/>
        <v>-148.212828165492+1.14227378276585i</v>
      </c>
      <c r="FQ176" s="92" t="str">
        <f t="shared" si="593"/>
        <v>0.01218396919637-94.719321813156i</v>
      </c>
      <c r="FR176" s="1" t="str">
        <f t="shared" si="594"/>
        <v>-0.729791043406422-94.6921798828358i</v>
      </c>
      <c r="FS176" s="1" t="str">
        <f t="shared" si="595"/>
        <v>0.74197501260279-0.0271419303203279i</v>
      </c>
      <c r="FT176" s="1" t="str">
        <f t="shared" si="596"/>
        <v>-0.112161930676577-189.320396335133i</v>
      </c>
      <c r="FU176" s="1" t="str">
        <f t="shared" si="597"/>
        <v>0.195024171885466-497.999478388736i</v>
      </c>
      <c r="FV176" s="1" t="str">
        <f t="shared" si="598"/>
        <v>0.94606319712062-726.67472044794i</v>
      </c>
      <c r="FW176" s="1" t="str">
        <f t="shared" si="599"/>
        <v>-0.729791043406422-94.6921798828358i</v>
      </c>
      <c r="FX176" s="1" t="str">
        <f t="shared" si="600"/>
        <v>-4.19620200194842-189.421823976869i</v>
      </c>
      <c r="FY176" s="1" t="str">
        <f t="shared" si="601"/>
        <v>0.548321764794485-498.020532663063i</v>
      </c>
      <c r="FZ176" s="1" t="str">
        <f t="shared" si="602"/>
        <v>5.42260735007488-726.643430281466i</v>
      </c>
      <c r="GA176" s="1" t="str">
        <f t="shared" si="603"/>
        <v>0.74197501260279-0.0271419303203279i</v>
      </c>
      <c r="GB176" s="1" t="str">
        <f t="shared" si="604"/>
        <v>4.82601508387465+0.0742857114149323i</v>
      </c>
      <c r="GC176" s="1" t="str">
        <f t="shared" si="605"/>
        <v>4.47271749096569+0.0953399857416225i</v>
      </c>
      <c r="GD176" s="92" t="str">
        <f t="shared" si="606"/>
        <v>1.04110940752588-1508.71391698496i</v>
      </c>
      <c r="GE176" s="1" t="str">
        <f t="shared" si="557"/>
        <v>0.00329297320745387+4.77198118702117i</v>
      </c>
      <c r="GF176" s="1">
        <f t="shared" si="558"/>
        <v>35.200000000000003</v>
      </c>
      <c r="GG176" s="56">
        <f t="shared" si="559"/>
        <v>0.22037971350081784</v>
      </c>
      <c r="GH176" s="1">
        <f t="shared" si="560"/>
        <v>0.77962030361023504</v>
      </c>
      <c r="GJ176" s="1">
        <f t="shared" si="607"/>
        <v>1508.7142762010635</v>
      </c>
      <c r="GK176" s="1">
        <f t="shared" si="608"/>
        <v>4.7719823232024368</v>
      </c>
      <c r="GM176" s="1" t="str">
        <f t="shared" si="561"/>
        <v>0.0191834803010191+16.8814626648969i</v>
      </c>
      <c r="GP176" s="1">
        <f t="shared" si="547"/>
        <v>35.200000000000003</v>
      </c>
      <c r="GQ176" s="1">
        <f t="shared" si="548"/>
        <v>4.7719823232024368</v>
      </c>
      <c r="GR176" s="1">
        <f t="shared" si="562"/>
        <v>16.881473564598096</v>
      </c>
      <c r="GS176" s="1">
        <f t="shared" si="563"/>
        <v>3.7203343076377715</v>
      </c>
    </row>
    <row r="177" spans="2:201" ht="18" customHeight="1" x14ac:dyDescent="0.3">
      <c r="B177" s="6"/>
      <c r="AP177" s="8"/>
      <c r="AR177" s="6"/>
      <c r="AS177" s="154" t="s">
        <v>150</v>
      </c>
      <c r="AT177" s="154"/>
      <c r="AU177" s="154"/>
      <c r="AV177" s="154"/>
      <c r="AW177" s="154"/>
      <c r="AX177" s="154"/>
      <c r="AY177" s="154"/>
      <c r="AZ177" s="154"/>
      <c r="BA177" s="154"/>
      <c r="BB177" s="154"/>
      <c r="BC177" s="154"/>
      <c r="BD177" s="154"/>
      <c r="BE177" s="154"/>
      <c r="BF177" s="154"/>
      <c r="BG177" s="154"/>
      <c r="BH177" s="154"/>
      <c r="BI177" s="154"/>
      <c r="BJ177" s="154"/>
      <c r="BK177" s="154"/>
      <c r="BL177" s="154"/>
      <c r="BM177" s="154"/>
      <c r="BN177" s="154"/>
      <c r="BO177" s="154"/>
      <c r="BP177" s="154"/>
      <c r="BQ177" s="154"/>
      <c r="BR177" s="154"/>
      <c r="BS177" s="154"/>
      <c r="BT177" s="154"/>
      <c r="BU177" s="154"/>
      <c r="BV177" s="154"/>
      <c r="BW177" s="154"/>
      <c r="BX177" s="154"/>
      <c r="BY177" s="154"/>
      <c r="BZ177" s="154"/>
      <c r="CA177" s="154"/>
      <c r="CB177" s="154"/>
      <c r="CC177" s="154"/>
      <c r="CD177" s="154"/>
      <c r="CE177" s="154"/>
      <c r="CF177" s="8"/>
      <c r="EA177" s="1">
        <f t="shared" si="609"/>
        <v>35.4</v>
      </c>
      <c r="EB177" s="1" t="str">
        <f t="shared" si="549"/>
        <v>3.62092147378006E-06-0.0128180620171814i</v>
      </c>
      <c r="EC177" s="1" t="str">
        <f t="shared" si="550"/>
        <v>7.09405023434462E-06-0.02511293782958i</v>
      </c>
      <c r="ED177" s="1" t="str">
        <f t="shared" si="551"/>
        <v>0.0000175319106051902-0.0620629635423734i</v>
      </c>
      <c r="EE177" s="1" t="str">
        <f t="shared" si="552"/>
        <v>0.0000244843261560368-0.0866745145923699i</v>
      </c>
      <c r="EF177" s="1" t="str">
        <f t="shared" si="553"/>
        <v>0.642523355170292i</v>
      </c>
      <c r="EG177" s="1" t="str">
        <f t="shared" si="554"/>
        <v>0.642255748608371i</v>
      </c>
      <c r="EH177" s="1" t="str">
        <f t="shared" si="555"/>
        <v>0.642767186769066i</v>
      </c>
      <c r="EI177" s="1" t="str">
        <f t="shared" si="556"/>
        <v>0.642704398662873i</v>
      </c>
      <c r="EJ177" s="1" t="str">
        <f t="shared" si="544"/>
        <v>0.005</v>
      </c>
      <c r="EK177" s="1" t="str">
        <f t="shared" si="545"/>
        <v>0.01</v>
      </c>
      <c r="EL177" s="1" t="str">
        <f t="shared" si="546"/>
        <v>0.0125</v>
      </c>
      <c r="EM177" s="1" t="str">
        <f t="shared" si="564"/>
        <v>0.00500362092147378+0.629705293153111i</v>
      </c>
      <c r="EN177" s="1" t="str">
        <f t="shared" si="565"/>
        <v>-0.005</v>
      </c>
      <c r="EO177" s="1" t="str">
        <f t="shared" si="566"/>
        <v>0.0260690336453896-92.2843791046792i</v>
      </c>
      <c r="EP177" s="1" t="str">
        <f t="shared" si="567"/>
        <v>-0.005</v>
      </c>
      <c r="EQ177" s="1" t="str">
        <f t="shared" si="568"/>
        <v>0.0150070940502343+0.617142810778791i</v>
      </c>
      <c r="ER177" s="1" t="str">
        <f t="shared" si="569"/>
        <v>-0.01</v>
      </c>
      <c r="ES177" s="1" t="str">
        <f t="shared" si="570"/>
        <v>0.0510740251011716-180.802048858148i</v>
      </c>
      <c r="ET177" s="1" t="str">
        <f t="shared" si="571"/>
        <v>-0.01</v>
      </c>
      <c r="EU177" s="1" t="str">
        <f t="shared" si="572"/>
        <v>0.0225175319106052+0.580704223226693i</v>
      </c>
      <c r="EV177" s="1" t="str">
        <f t="shared" si="573"/>
        <v>-0.0125</v>
      </c>
      <c r="EW177" s="1" t="str">
        <f t="shared" si="574"/>
        <v>0.126222004742218-446.825896787453i</v>
      </c>
      <c r="EX177" s="1" t="str">
        <f t="shared" si="575"/>
        <v>-0.0125</v>
      </c>
      <c r="EY177" s="1" t="str">
        <f t="shared" si="576"/>
        <v>0.012524484326156+0.556029884070503i</v>
      </c>
      <c r="EZ177" s="1" t="str">
        <f t="shared" si="577"/>
        <v>0.176276322745017-624.018182517358i</v>
      </c>
      <c r="FB177" s="1" t="str">
        <f t="shared" si="578"/>
        <v>0.00500362092147378+0.629705293153111i</v>
      </c>
      <c r="FC177" s="1" t="str">
        <f t="shared" si="579"/>
        <v>0.0260690336453896-92.2843791046792i</v>
      </c>
      <c r="FD177" s="1" t="str">
        <f t="shared" si="580"/>
        <v>-0.0000630888043031115+0.00793972098043524i</v>
      </c>
      <c r="FE177" s="1" t="str">
        <f t="shared" si="581"/>
        <v>0.0150067786062128+0.617182509383693i</v>
      </c>
      <c r="FF177" s="1" t="str">
        <f t="shared" si="582"/>
        <v>-0.681636551178527-180.808077950135i</v>
      </c>
      <c r="FG177" s="1" t="str">
        <f t="shared" si="583"/>
        <v>-0.00039373458917844+0.0161930890137676i</v>
      </c>
      <c r="FH177" s="1" t="str">
        <f t="shared" si="584"/>
        <v>0.0225135945647134+0.580866154116831i</v>
      </c>
      <c r="FI177" s="1" t="str">
        <f t="shared" si="585"/>
        <v>-2.80188767979999-446.886049380397i</v>
      </c>
      <c r="FJ177" s="1" t="str">
        <f t="shared" si="586"/>
        <v>-0.000832819313283898+0.0214873084878082i</v>
      </c>
      <c r="FK177" s="1" t="str">
        <f t="shared" si="587"/>
        <v>0.01251407408474+0.556298475426601i</v>
      </c>
      <c r="FL177" s="1" t="str">
        <f t="shared" si="588"/>
        <v>-9.42470444174522-624.393019925032i</v>
      </c>
      <c r="FM177" s="1" t="str">
        <f t="shared" si="589"/>
        <v>-1122.21971768585-8.30280227029126i</v>
      </c>
      <c r="FN177" s="1" t="str">
        <f t="shared" si="590"/>
        <v>-769.48996057696-0.851058096035071i</v>
      </c>
      <c r="FO177" s="1" t="str">
        <f t="shared" si="591"/>
        <v>-293.12772452723+6.44482504145661i</v>
      </c>
      <c r="FP177" s="1" t="str">
        <f t="shared" si="592"/>
        <v>-146.509438220991+1.12194054329325i</v>
      </c>
      <c r="FQ177" s="92" t="str">
        <f t="shared" si="593"/>
        <v>0.0122184293528324-94.1623502323568i</v>
      </c>
      <c r="FR177" s="1" t="str">
        <f t="shared" si="594"/>
        <v>-0.720873002178359-94.1357358098658i</v>
      </c>
      <c r="FS177" s="1" t="str">
        <f t="shared" si="595"/>
        <v>0.733091431531195-0.0266144224908168i</v>
      </c>
      <c r="FT177" s="1" t="str">
        <f t="shared" si="596"/>
        <v>-0.108695002684573-188.163392900239i</v>
      </c>
      <c r="FU177" s="1" t="str">
        <f t="shared" si="597"/>
        <v>0.192531821529311-494.582709236289i</v>
      </c>
      <c r="FV177" s="1" t="str">
        <f t="shared" si="598"/>
        <v>0.923394472865495-721.285828525246i</v>
      </c>
      <c r="FW177" s="1" t="str">
        <f t="shared" si="599"/>
        <v>-0.720873002178359-94.1357358098658i</v>
      </c>
      <c r="FX177" s="1" t="str">
        <f t="shared" si="600"/>
        <v>-4.13922593165069-188.262966154104i</v>
      </c>
      <c r="FY177" s="1" t="str">
        <f t="shared" si="601"/>
        <v>0.5470322181655-494.602897207092i</v>
      </c>
      <c r="FZ177" s="1" t="str">
        <f t="shared" si="602"/>
        <v>5.33624754034428-721.255548822903i</v>
      </c>
      <c r="GA177" s="1" t="str">
        <f t="shared" si="603"/>
        <v>0.733091431531195-0.0266144224908168i</v>
      </c>
      <c r="GB177" s="1" t="str">
        <f t="shared" si="604"/>
        <v>4.7636223604973+0.0729588313749168i</v>
      </c>
      <c r="GC177" s="1" t="str">
        <f t="shared" si="605"/>
        <v>4.40912196386112+0.0931468021782024i</v>
      </c>
      <c r="GD177" s="92" t="str">
        <f t="shared" si="606"/>
        <v>1.01944972106307-1498.19428089413i</v>
      </c>
      <c r="GE177" s="1" t="str">
        <f t="shared" si="557"/>
        <v>0.0032699052354212+4.80548792309761i</v>
      </c>
      <c r="GF177" s="1">
        <f t="shared" si="558"/>
        <v>35.4</v>
      </c>
      <c r="GG177" s="56">
        <f t="shared" si="559"/>
        <v>0.22060852983087897</v>
      </c>
      <c r="GH177" s="1">
        <f t="shared" si="560"/>
        <v>0.77939148753871523</v>
      </c>
      <c r="GJ177" s="1">
        <f t="shared" si="607"/>
        <v>1498.1946277375357</v>
      </c>
      <c r="GK177" s="1">
        <f t="shared" si="608"/>
        <v>4.8054890356047251</v>
      </c>
      <c r="GM177" s="1" t="str">
        <f t="shared" si="561"/>
        <v>0.0191834803010191+16.977380066402i</v>
      </c>
      <c r="GP177" s="1">
        <f t="shared" si="547"/>
        <v>35.4</v>
      </c>
      <c r="GQ177" s="1">
        <f t="shared" si="548"/>
        <v>4.8054890356047251</v>
      </c>
      <c r="GR177" s="1">
        <f t="shared" si="562"/>
        <v>16.977390904523006</v>
      </c>
      <c r="GS177" s="1">
        <f t="shared" si="563"/>
        <v>3.7453572478109503</v>
      </c>
    </row>
    <row r="178" spans="2:201" ht="18" customHeight="1" x14ac:dyDescent="0.25">
      <c r="B178" s="6"/>
      <c r="AP178" s="8"/>
      <c r="AR178" s="6"/>
      <c r="AU178" s="177" t="s">
        <v>151</v>
      </c>
      <c r="AV178" s="177"/>
      <c r="AW178" s="177"/>
      <c r="AX178" s="177"/>
      <c r="AY178" s="177"/>
      <c r="AZ178" s="177"/>
      <c r="BA178" s="177"/>
      <c r="BB178" s="24" t="s">
        <v>152</v>
      </c>
      <c r="CF178" s="8"/>
      <c r="EA178" s="1">
        <f t="shared" si="609"/>
        <v>35.6</v>
      </c>
      <c r="EB178" s="1" t="str">
        <f t="shared" si="549"/>
        <v>3.58035124837398E-06-0.0127460504442114i</v>
      </c>
      <c r="EC178" s="1" t="str">
        <f t="shared" si="550"/>
        <v>7.01456571110003E-06-0.0249718539315162i</v>
      </c>
      <c r="ED178" s="1" t="str">
        <f t="shared" si="551"/>
        <v>0.0000173354761974842-0.0617142952630438i</v>
      </c>
      <c r="EE178" s="1" t="str">
        <f t="shared" si="552"/>
        <v>0.0000242099941556715-0.0861875791941909i</v>
      </c>
      <c r="EF178" s="1" t="str">
        <f t="shared" si="553"/>
        <v>0.646153430623233i</v>
      </c>
      <c r="EG178" s="1" t="str">
        <f t="shared" si="554"/>
        <v>0.645884312159832i</v>
      </c>
      <c r="EH178" s="1" t="str">
        <f t="shared" si="555"/>
        <v>0.64639863980166i</v>
      </c>
      <c r="EI178" s="1" t="str">
        <f t="shared" si="556"/>
        <v>0.646335496960405i</v>
      </c>
      <c r="EJ178" s="1" t="str">
        <f t="shared" si="544"/>
        <v>0.005</v>
      </c>
      <c r="EK178" s="1" t="str">
        <f t="shared" si="545"/>
        <v>0.01</v>
      </c>
      <c r="EL178" s="1" t="str">
        <f t="shared" si="546"/>
        <v>0.0125</v>
      </c>
      <c r="EM178" s="1" t="str">
        <f t="shared" si="564"/>
        <v>0.00500358035124837+0.633407380179022i</v>
      </c>
      <c r="EN178" s="1" t="str">
        <f t="shared" si="565"/>
        <v>-0.005</v>
      </c>
      <c r="EO178" s="1" t="str">
        <f t="shared" si="566"/>
        <v>0.0257769459603154-91.7659276187229i</v>
      </c>
      <c r="EP178" s="1" t="str">
        <f t="shared" si="567"/>
        <v>-0.005</v>
      </c>
      <c r="EQ178" s="1" t="str">
        <f t="shared" si="568"/>
        <v>0.0150070145657111+0.620912458228316i</v>
      </c>
      <c r="ER178" s="1" t="str">
        <f t="shared" si="569"/>
        <v>-0.01</v>
      </c>
      <c r="ES178" s="1" t="str">
        <f t="shared" si="570"/>
        <v>0.0505017716773525-179.786307171375i</v>
      </c>
      <c r="ET178" s="1" t="str">
        <f t="shared" si="571"/>
        <v>-0.01</v>
      </c>
      <c r="EU178" s="1" t="str">
        <f t="shared" si="572"/>
        <v>0.0225173354761975+0.584684344538616i</v>
      </c>
      <c r="EV178" s="1" t="str">
        <f t="shared" si="573"/>
        <v>-0.0125</v>
      </c>
      <c r="EW178" s="1" t="str">
        <f t="shared" si="574"/>
        <v>0.124807763858874-444.315639337591i</v>
      </c>
      <c r="EX178" s="1" t="str">
        <f t="shared" si="575"/>
        <v>-0.0125</v>
      </c>
      <c r="EY178" s="1" t="str">
        <f t="shared" si="576"/>
        <v>0.0125242099941557+0.560147917766214i</v>
      </c>
      <c r="EZ178" s="1" t="str">
        <f t="shared" si="577"/>
        <v>0.174301253636417-620.512462945647i</v>
      </c>
      <c r="FB178" s="1" t="str">
        <f t="shared" si="578"/>
        <v>0.00500358035124837+0.633407380179022i</v>
      </c>
      <c r="FC178" s="1" t="str">
        <f t="shared" si="579"/>
        <v>0.0257769459603154-91.7659276187229i</v>
      </c>
      <c r="FD178" s="1" t="str">
        <f t="shared" si="580"/>
        <v>-0.0000623530273921974+0.00789332137273838i</v>
      </c>
      <c r="FE178" s="1" t="str">
        <f t="shared" si="581"/>
        <v>0.0150067028005741+0.62095192483518i</v>
      </c>
      <c r="FF178" s="1" t="str">
        <f t="shared" si="582"/>
        <v>-0.673834578814059-179.792232520492i</v>
      </c>
      <c r="FG178" s="1" t="str">
        <f t="shared" si="583"/>
        <v>-0.000388969678598774+0.016094905978893i</v>
      </c>
      <c r="FH178" s="1" t="str">
        <f t="shared" si="584"/>
        <v>0.0225134457794115+0.584845293598405i</v>
      </c>
      <c r="FI178" s="1" t="str">
        <f t="shared" si="585"/>
        <v>-2.76919341551327-444.374727760298i</v>
      </c>
      <c r="FJ178" s="1" t="str">
        <f t="shared" si="586"/>
        <v>-0.00082153657947727+0.0213415488119373i</v>
      </c>
      <c r="FK178" s="1" t="str">
        <f t="shared" si="587"/>
        <v>0.0125139407869122+0.560414687126363i</v>
      </c>
      <c r="FL178" s="1" t="str">
        <f t="shared" si="588"/>
        <v>-9.30798011705049-620.880148087181i</v>
      </c>
      <c r="FM178" s="1" t="str">
        <f t="shared" si="589"/>
        <v>-1107.71269093861-8.12589500396087i</v>
      </c>
      <c r="FN178" s="1" t="str">
        <f t="shared" si="590"/>
        <v>-759.957040637964-0.844068648995384i</v>
      </c>
      <c r="FO178" s="1" t="str">
        <f t="shared" si="591"/>
        <v>-289.709303388604+6.3222665292834i</v>
      </c>
      <c r="FP178" s="1" t="str">
        <f t="shared" si="592"/>
        <v>-144.835430668893+1.10209302538587i</v>
      </c>
      <c r="FQ178" s="92" t="str">
        <f t="shared" si="593"/>
        <v>0.0122481743795377-93.6120112700179i</v>
      </c>
      <c r="FR178" s="1" t="str">
        <f t="shared" si="594"/>
        <v>-0.712121189219018-93.5859104024986i</v>
      </c>
      <c r="FS178" s="1" t="str">
        <f t="shared" si="595"/>
        <v>0.724369363598555-0.0261008675194877i</v>
      </c>
      <c r="FT178" s="1" t="str">
        <f t="shared" si="596"/>
        <v>-0.10534475966229-187.020929926151i</v>
      </c>
      <c r="FU178" s="1" t="str">
        <f t="shared" si="597"/>
        <v>0.190073082874343-491.215837898419i</v>
      </c>
      <c r="FV178" s="1" t="str">
        <f t="shared" si="598"/>
        <v>0.901470190587761-715.983341492458i</v>
      </c>
      <c r="FW178" s="1" t="str">
        <f t="shared" si="599"/>
        <v>-0.712121189219018-93.5859104024986i</v>
      </c>
      <c r="FX178" s="1" t="str">
        <f t="shared" si="600"/>
        <v>-4.08345276855734-187.118694145453i</v>
      </c>
      <c r="FY178" s="1" t="str">
        <f t="shared" si="601"/>
        <v>0.545604826609841-491.235197376075i</v>
      </c>
      <c r="FZ178" s="1" t="str">
        <f t="shared" si="602"/>
        <v>5.25205438563312-715.954032587154i</v>
      </c>
      <c r="GA178" s="1" t="str">
        <f t="shared" si="603"/>
        <v>0.724369363598555-0.0261008675194877i</v>
      </c>
      <c r="GB178" s="1" t="str">
        <f t="shared" si="604"/>
        <v>4.7024773724936+0.0716633517827878i</v>
      </c>
      <c r="GC178" s="1" t="str">
        <f t="shared" si="605"/>
        <v>4.34694562875807+0.0910228294370686i</v>
      </c>
      <c r="GD178" s="92" t="str">
        <f t="shared" si="606"/>
        <v>0.998446688179352-1487.83212058705i</v>
      </c>
      <c r="GE178" s="1" t="str">
        <f t="shared" si="557"/>
        <v>0.00324730177953959+4.83895630086022i</v>
      </c>
      <c r="GF178" s="1">
        <f t="shared" si="558"/>
        <v>35.6</v>
      </c>
      <c r="GG178" s="56">
        <f t="shared" si="559"/>
        <v>0.220833279231579</v>
      </c>
      <c r="GH178" s="1">
        <f t="shared" si="560"/>
        <v>0.77916673838579031</v>
      </c>
      <c r="GJ178" s="1">
        <f t="shared" si="607"/>
        <v>1487.8324556032333</v>
      </c>
      <c r="GK178" s="1">
        <f t="shared" si="608"/>
        <v>4.838957390451343</v>
      </c>
      <c r="GM178" s="1" t="str">
        <f t="shared" si="561"/>
        <v>0.0191834803010191+17.0732974679071i</v>
      </c>
      <c r="GP178" s="1">
        <f t="shared" si="547"/>
        <v>35.6</v>
      </c>
      <c r="GQ178" s="1">
        <f t="shared" si="548"/>
        <v>4.838957390451343</v>
      </c>
      <c r="GR178" s="1">
        <f t="shared" si="562"/>
        <v>17.07330824513982</v>
      </c>
      <c r="GS178" s="1">
        <f t="shared" si="563"/>
        <v>3.7703546471057812</v>
      </c>
    </row>
    <row r="179" spans="2:201" ht="18" customHeight="1" x14ac:dyDescent="0.25">
      <c r="B179" s="6"/>
      <c r="AP179" s="8"/>
      <c r="AR179" s="6"/>
      <c r="AT179" s="24"/>
      <c r="AU179" s="177" t="s">
        <v>153</v>
      </c>
      <c r="AV179" s="177"/>
      <c r="AW179" s="177"/>
      <c r="AX179" s="177"/>
      <c r="AY179" s="177"/>
      <c r="AZ179" s="177"/>
      <c r="BA179" s="177"/>
      <c r="BB179" s="24" t="s">
        <v>154</v>
      </c>
      <c r="CF179" s="8"/>
      <c r="EA179" s="1">
        <f t="shared" si="609"/>
        <v>35.799999999999997</v>
      </c>
      <c r="EB179" s="1" t="str">
        <f t="shared" si="549"/>
        <v>3.54045906972977E-06-0.0126748434696326i</v>
      </c>
      <c r="EC179" s="1" t="str">
        <f t="shared" si="550"/>
        <v>6.93640960600119E-06-0.0248323463894843i</v>
      </c>
      <c r="ED179" s="1" t="str">
        <f t="shared" si="551"/>
        <v>0.0000171423247814976-0.0613695227177617i</v>
      </c>
      <c r="EE179" s="1" t="str">
        <f t="shared" si="552"/>
        <v>0.0000239402470429346-0.0857060844137059i</v>
      </c>
      <c r="EF179" s="1" t="str">
        <f t="shared" si="553"/>
        <v>0.649783506076172i</v>
      </c>
      <c r="EG179" s="1" t="str">
        <f t="shared" si="554"/>
        <v>0.649512875711291i</v>
      </c>
      <c r="EH179" s="1" t="str">
        <f t="shared" si="555"/>
        <v>0.650030092834254i</v>
      </c>
      <c r="EI179" s="1" t="str">
        <f t="shared" si="556"/>
        <v>0.649966595257932i</v>
      </c>
      <c r="EJ179" s="1" t="str">
        <f t="shared" si="544"/>
        <v>0.005</v>
      </c>
      <c r="EK179" s="1" t="str">
        <f t="shared" si="545"/>
        <v>0.01</v>
      </c>
      <c r="EL179" s="1" t="str">
        <f t="shared" si="546"/>
        <v>0.0125</v>
      </c>
      <c r="EM179" s="1" t="str">
        <f t="shared" si="564"/>
        <v>0.00500354045906973+0.637108662606539i</v>
      </c>
      <c r="EN179" s="1" t="str">
        <f t="shared" si="565"/>
        <v>-0.005</v>
      </c>
      <c r="EO179" s="1" t="str">
        <f t="shared" si="566"/>
        <v>0.0254897399121328-91.2532688854355i</v>
      </c>
      <c r="EP179" s="1" t="str">
        <f t="shared" si="567"/>
        <v>-0.005</v>
      </c>
      <c r="EQ179" s="1" t="str">
        <f t="shared" si="568"/>
        <v>0.015006936409606+0.624680529321807i</v>
      </c>
      <c r="ER179" s="1" t="str">
        <f t="shared" si="569"/>
        <v>-0.01</v>
      </c>
      <c r="ES179" s="1" t="str">
        <f t="shared" si="570"/>
        <v>0.0499390822768316-178.781914551058i</v>
      </c>
      <c r="ET179" s="1" t="str">
        <f t="shared" si="571"/>
        <v>-0.01</v>
      </c>
      <c r="EU179" s="1" t="str">
        <f t="shared" si="572"/>
        <v>0.0225171423247815+0.588660570116492i</v>
      </c>
      <c r="EV179" s="1" t="str">
        <f t="shared" si="573"/>
        <v>-0.0125</v>
      </c>
      <c r="EW179" s="1" t="str">
        <f t="shared" si="574"/>
        <v>0.123417159064356-441.833429450398i</v>
      </c>
      <c r="EX179" s="1" t="str">
        <f t="shared" si="575"/>
        <v>-0.0125</v>
      </c>
      <c r="EY179" s="1" t="str">
        <f t="shared" si="576"/>
        <v>0.0125239402470429+0.564260510844226i</v>
      </c>
      <c r="EZ179" s="1" t="str">
        <f t="shared" si="577"/>
        <v>0.172359193691564-617.0459134158i</v>
      </c>
      <c r="FB179" s="1" t="str">
        <f t="shared" si="578"/>
        <v>0.00500354045906973+0.637108662606539i</v>
      </c>
      <c r="FC179" s="1" t="str">
        <f t="shared" si="579"/>
        <v>0.0254897399121328-91.2532688854355i</v>
      </c>
      <c r="FD179" s="1" t="str">
        <f t="shared" si="580"/>
        <v>-0.0000616302053156836+0.00784747080712961i</v>
      </c>
      <c r="FE179" s="1" t="str">
        <f t="shared" si="581"/>
        <v>0.0150066282585794+0.624719766675843i</v>
      </c>
      <c r="FF179" s="1" t="str">
        <f t="shared" si="582"/>
        <v>-0.666166710418868-178.787738538745i</v>
      </c>
      <c r="FG179" s="1" t="str">
        <f t="shared" si="583"/>
        <v>-0.000384292671076442+0.0159979459525066i</v>
      </c>
      <c r="FH179" s="1" t="str">
        <f t="shared" si="584"/>
        <v>0.0225132993980707+0.588820549576017i</v>
      </c>
      <c r="FI179" s="1" t="str">
        <f t="shared" si="585"/>
        <v>-2.73707542203389-441.891478968968i</v>
      </c>
      <c r="FJ179" s="1" t="str">
        <f t="shared" si="586"/>
        <v>-0.000810492162661929+0.0211978898431275i</v>
      </c>
      <c r="FK179" s="1" t="str">
        <f t="shared" si="587"/>
        <v>0.0125138090950096+0.564525484467265i</v>
      </c>
      <c r="FL179" s="1" t="str">
        <f t="shared" si="588"/>
        <v>-9.19347714416906-617.406632130914i</v>
      </c>
      <c r="FM179" s="1" t="str">
        <f t="shared" si="589"/>
        <v>-1093.49730345341-7.95418361208653i</v>
      </c>
      <c r="FN179" s="1" t="str">
        <f t="shared" si="590"/>
        <v>-750.605704660666-0.836959994142111i</v>
      </c>
      <c r="FO179" s="1" t="str">
        <f t="shared" si="591"/>
        <v>-286.351100021744+6.20287600019967i</v>
      </c>
      <c r="FP179" s="1" t="str">
        <f t="shared" si="592"/>
        <v>-143.190129527895+1.08271664513584i</v>
      </c>
      <c r="FQ179" s="92" t="str">
        <f t="shared" si="593"/>
        <v>0.0122734347058531-93.068185196912i</v>
      </c>
      <c r="FR179" s="1" t="str">
        <f t="shared" si="594"/>
        <v>-0.703531417763397-93.0425844001368i</v>
      </c>
      <c r="FS179" s="1" t="str">
        <f t="shared" si="595"/>
        <v>0.715804852469245-0.0256007967753192i</v>
      </c>
      <c r="FT179" s="1" t="str">
        <f t="shared" si="596"/>
        <v>-0.102106634650266-185.892727281496i</v>
      </c>
      <c r="FU179" s="1" t="str">
        <f t="shared" si="597"/>
        <v>0.187648121210856-487.897728947212i</v>
      </c>
      <c r="FV179" s="1" t="str">
        <f t="shared" si="598"/>
        <v>0.880259721376626-710.765095186617i</v>
      </c>
      <c r="FW179" s="1" t="str">
        <f t="shared" si="599"/>
        <v>-0.703531417763397-93.0425844001368i</v>
      </c>
      <c r="FX179" s="1" t="str">
        <f t="shared" si="600"/>
        <v>-4.02884782857024-185.988726438214i</v>
      </c>
      <c r="FY179" s="1" t="str">
        <f t="shared" si="601"/>
        <v>0.544049182690753-487.916295882493i</v>
      </c>
      <c r="FZ179" s="1" t="str">
        <f t="shared" si="602"/>
        <v>5.16995364040432-710.736719249343i</v>
      </c>
      <c r="GA179" s="1" t="str">
        <f t="shared" si="603"/>
        <v>0.715804852469245-0.0256007967753192i</v>
      </c>
      <c r="GB179" s="1" t="str">
        <f t="shared" si="604"/>
        <v>4.64254604638922+0.0703983599434178i</v>
      </c>
      <c r="GC179" s="1" t="str">
        <f t="shared" si="605"/>
        <v>4.2861449849093+0.0889652952243053i</v>
      </c>
      <c r="GD179" s="92" t="str">
        <f t="shared" si="606"/>
        <v>0.978074642643069-1477.62373661224i</v>
      </c>
      <c r="GE179" s="1" t="str">
        <f t="shared" si="557"/>
        <v>0.00322514999397101+4.87238701163781i</v>
      </c>
      <c r="GF179" s="1">
        <f t="shared" si="558"/>
        <v>35.799999999999997</v>
      </c>
      <c r="GG179" s="56">
        <f t="shared" si="559"/>
        <v>0.22105405892609087</v>
      </c>
      <c r="GH179" s="1">
        <f t="shared" si="560"/>
        <v>0.77894595892852514</v>
      </c>
      <c r="GJ179" s="1">
        <f t="shared" si="607"/>
        <v>1477.6240603177539</v>
      </c>
      <c r="GK179" s="1">
        <f t="shared" si="608"/>
        <v>4.8723880790398164</v>
      </c>
      <c r="GM179" s="1" t="str">
        <f t="shared" si="561"/>
        <v>0.0191834803010191+17.1692148694122i</v>
      </c>
      <c r="GP179" s="1">
        <f t="shared" si="547"/>
        <v>35.799999999999997</v>
      </c>
      <c r="GQ179" s="1">
        <f t="shared" si="548"/>
        <v>4.8723880790398164</v>
      </c>
      <c r="GR179" s="1">
        <f t="shared" si="562"/>
        <v>17.169225586436959</v>
      </c>
      <c r="GS179" s="1">
        <f t="shared" si="563"/>
        <v>3.7953270044995873</v>
      </c>
    </row>
    <row r="180" spans="2:201" ht="18" customHeight="1" x14ac:dyDescent="0.25">
      <c r="B180" s="6"/>
      <c r="AP180" s="8"/>
      <c r="AR180" s="6"/>
      <c r="AT180" s="24"/>
      <c r="AU180" s="177" t="s">
        <v>155</v>
      </c>
      <c r="AV180" s="177"/>
      <c r="AW180" s="177"/>
      <c r="AX180" s="177"/>
      <c r="AY180" s="177"/>
      <c r="AZ180" s="177"/>
      <c r="BA180" s="177"/>
      <c r="BB180" s="24" t="s">
        <v>156</v>
      </c>
      <c r="CF180" s="8"/>
      <c r="EA180" s="1">
        <f t="shared" si="609"/>
        <v>36</v>
      </c>
      <c r="EB180" s="1" t="str">
        <f t="shared" si="549"/>
        <v>3.50122991207668E-06-0.0126044276834761i</v>
      </c>
      <c r="EC180" s="1" t="str">
        <f t="shared" si="550"/>
        <v>6.85955248080329E-06-0.0246943889308919i</v>
      </c>
      <c r="ED180" s="1" t="str">
        <f t="shared" si="551"/>
        <v>0.000016952383604902-0.061028580977647i</v>
      </c>
      <c r="EE180" s="1" t="str">
        <f t="shared" si="552"/>
        <v>0.0000236749832149947-0.0852299395739811i</v>
      </c>
      <c r="EF180" s="1" t="str">
        <f t="shared" si="553"/>
        <v>0.653413581529111i</v>
      </c>
      <c r="EG180" s="1" t="str">
        <f t="shared" si="554"/>
        <v>0.653141439262753i</v>
      </c>
      <c r="EH180" s="1" t="str">
        <f t="shared" si="555"/>
        <v>0.653661545866848i</v>
      </c>
      <c r="EI180" s="1" t="str">
        <f t="shared" si="556"/>
        <v>0.653597693555464i</v>
      </c>
      <c r="EJ180" s="1" t="str">
        <f t="shared" si="544"/>
        <v>0.005</v>
      </c>
      <c r="EK180" s="1" t="str">
        <f t="shared" si="545"/>
        <v>0.01</v>
      </c>
      <c r="EL180" s="1" t="str">
        <f t="shared" si="546"/>
        <v>0.0125</v>
      </c>
      <c r="EM180" s="1" t="str">
        <f t="shared" si="564"/>
        <v>0.00500350122991208+0.640809153845635i</v>
      </c>
      <c r="EN180" s="1" t="str">
        <f t="shared" si="565"/>
        <v>-0.005</v>
      </c>
      <c r="EO180" s="1" t="str">
        <f t="shared" si="566"/>
        <v>0.025207307321936-90.7463063589701i</v>
      </c>
      <c r="EP180" s="1" t="str">
        <f t="shared" si="567"/>
        <v>-0.005</v>
      </c>
      <c r="EQ180" s="1" t="str">
        <f t="shared" si="568"/>
        <v>0.0150068595524808+0.628447050331861i</v>
      </c>
      <c r="ER180" s="1" t="str">
        <f t="shared" si="569"/>
        <v>-0.01</v>
      </c>
      <c r="ES180" s="1" t="str">
        <f t="shared" si="570"/>
        <v>0.0493857449572625-177.788681846145i</v>
      </c>
      <c r="ET180" s="1" t="str">
        <f t="shared" si="571"/>
        <v>-0.01</v>
      </c>
      <c r="EU180" s="1" t="str">
        <f t="shared" si="572"/>
        <v>0.0225169523836049+0.592632964889201i</v>
      </c>
      <c r="EV180" s="1" t="str">
        <f t="shared" si="573"/>
        <v>-0.0125</v>
      </c>
      <c r="EW180" s="1" t="str">
        <f t="shared" si="574"/>
        <v>0.122049666574069-439.378799666646i</v>
      </c>
      <c r="EX180" s="1" t="str">
        <f t="shared" si="575"/>
        <v>-0.0125</v>
      </c>
      <c r="EY180" s="1" t="str">
        <f t="shared" si="576"/>
        <v>0.012523674983215+0.568367753981483i</v>
      </c>
      <c r="EZ180" s="1" t="str">
        <f t="shared" si="577"/>
        <v>0.170449411414996-613.617881093988i</v>
      </c>
      <c r="FB180" s="1" t="str">
        <f t="shared" si="578"/>
        <v>0.00500350122991208+0.640809153845635i</v>
      </c>
      <c r="FC180" s="1" t="str">
        <f t="shared" si="579"/>
        <v>0.025207307321936-90.7463063589701i</v>
      </c>
      <c r="FD180" s="1" t="str">
        <f t="shared" si="580"/>
        <v>-0.0000609200322767186+0.00780215943629912i</v>
      </c>
      <c r="FE180" s="1" t="str">
        <f t="shared" si="581"/>
        <v>0.0150065549523194+0.628486061129042i</v>
      </c>
      <c r="FF180" s="1" t="str">
        <f t="shared" si="582"/>
        <v>-0.658629869880692-177.794406785488i</v>
      </c>
      <c r="FG180" s="1" t="str">
        <f t="shared" si="583"/>
        <v>-0.000379701375754011+0.0159021855989694i</v>
      </c>
      <c r="FH180" s="1" t="str">
        <f t="shared" si="584"/>
        <v>0.0225131553698474+0.592791986745191i</v>
      </c>
      <c r="FI180" s="1" t="str">
        <f t="shared" si="585"/>
        <v>-2.70552007125513-439.435834793072i</v>
      </c>
      <c r="FJ180" s="1" t="str">
        <f t="shared" si="586"/>
        <v>-0.00079967916935963+0.0210562844601668i</v>
      </c>
      <c r="FK180" s="1" t="str">
        <f t="shared" si="587"/>
        <v>0.012513678993598+0.568630957537235i</v>
      </c>
      <c r="FL180" s="1" t="str">
        <f t="shared" si="588"/>
        <v>-9.08113797955655-613.971813080037i</v>
      </c>
      <c r="FM180" s="1" t="str">
        <f t="shared" si="589"/>
        <v>-1079.56549851563-7.78747281120673i</v>
      </c>
      <c r="FN180" s="1" t="str">
        <f t="shared" si="590"/>
        <v>-741.431240278825-0.829747899353416i</v>
      </c>
      <c r="FO180" s="1" t="str">
        <f t="shared" si="591"/>
        <v>-283.051691049978+6.08654949277401i</v>
      </c>
      <c r="FP180" s="1" t="str">
        <f t="shared" si="592"/>
        <v>-141.572878256186+1.06379734646416i</v>
      </c>
      <c r="FQ180" s="92" t="str">
        <f t="shared" si="593"/>
        <v>0.0122944297946441-92.5307551894909i</v>
      </c>
      <c r="FR180" s="1" t="str">
        <f t="shared" si="594"/>
        <v>-0.695099634174311-92.5056414287593i</v>
      </c>
      <c r="FS180" s="1" t="str">
        <f t="shared" si="595"/>
        <v>0.70739406396896-0.0251137607315493i</v>
      </c>
      <c r="FT180" s="1" t="str">
        <f t="shared" si="596"/>
        <v>-0.0989762675348843-184.778512143486i</v>
      </c>
      <c r="FU180" s="1" t="str">
        <f t="shared" si="597"/>
        <v>0.185257030242656-484.627282087155i</v>
      </c>
      <c r="FV180" s="1" t="str">
        <f t="shared" si="598"/>
        <v>0.859733943605011-705.628998930341i</v>
      </c>
      <c r="FW180" s="1" t="str">
        <f t="shared" si="599"/>
        <v>-0.695099634174311-92.5056414287593i</v>
      </c>
      <c r="FX180" s="1" t="str">
        <f t="shared" si="600"/>
        <v>-3.9753776958544-184.872788878139i</v>
      </c>
      <c r="FY180" s="1" t="str">
        <f t="shared" si="601"/>
        <v>0.542374294571124-484.645090674631i</v>
      </c>
      <c r="FZ180" s="1" t="str">
        <f t="shared" si="602"/>
        <v>5.0898742680306-705.601519871871i</v>
      </c>
      <c r="GA180" s="1" t="str">
        <f t="shared" si="603"/>
        <v>0.70739406396896-0.0251137607315493i</v>
      </c>
      <c r="GB180" s="1" t="str">
        <f t="shared" si="604"/>
        <v>4.58379549228847+0.0691629739212743i</v>
      </c>
      <c r="GC180" s="1" t="str">
        <f t="shared" si="605"/>
        <v>4.22667822796006+0.0869715613981664i</v>
      </c>
      <c r="GD180" s="92" t="str">
        <f t="shared" si="606"/>
        <v>0.958309136107427-1467.56554835047i</v>
      </c>
      <c r="GE180" s="1" t="str">
        <f t="shared" si="557"/>
        <v>0.00320343748764979+4.90578072986481i</v>
      </c>
      <c r="GF180" s="1">
        <f t="shared" si="558"/>
        <v>36</v>
      </c>
      <c r="GG180" s="56">
        <f t="shared" si="559"/>
        <v>0.22127096320680925</v>
      </c>
      <c r="GH180" s="1">
        <f t="shared" si="560"/>
        <v>0.77872905487476263</v>
      </c>
      <c r="GJ180" s="1">
        <f t="shared" si="607"/>
        <v>1467.5658612347236</v>
      </c>
      <c r="GK180" s="1">
        <f t="shared" si="608"/>
        <v>4.9057817757748508</v>
      </c>
      <c r="GM180" s="1" t="str">
        <f t="shared" si="561"/>
        <v>0.0191834803010191+17.2651322709173i</v>
      </c>
      <c r="GP180" s="1">
        <f t="shared" si="547"/>
        <v>36</v>
      </c>
      <c r="GQ180" s="1">
        <f t="shared" si="548"/>
        <v>4.9057817757748508</v>
      </c>
      <c r="GR180" s="1">
        <f t="shared" si="562"/>
        <v>17.265142928403066</v>
      </c>
      <c r="GS180" s="1">
        <f t="shared" si="563"/>
        <v>3.820274805670981</v>
      </c>
    </row>
    <row r="181" spans="2:201" ht="18" customHeight="1" x14ac:dyDescent="0.25">
      <c r="B181" s="6"/>
      <c r="AP181" s="8"/>
      <c r="AR181" s="6"/>
      <c r="AT181" s="24"/>
      <c r="AU181" s="177" t="s">
        <v>157</v>
      </c>
      <c r="AV181" s="177"/>
      <c r="AW181" s="177"/>
      <c r="AX181" s="177"/>
      <c r="AY181" s="177"/>
      <c r="AZ181" s="177"/>
      <c r="BA181" s="177"/>
      <c r="BB181" s="24" t="s">
        <v>158</v>
      </c>
      <c r="CF181" s="8"/>
      <c r="EA181" s="1">
        <f t="shared" si="609"/>
        <v>36.200000000000003</v>
      </c>
      <c r="EB181" s="1" t="str">
        <f t="shared" si="549"/>
        <v>3.46264916357059E-06-0.0125347899721256i</v>
      </c>
      <c r="EC181" s="1" t="str">
        <f t="shared" si="550"/>
        <v>6.78396570821995E-06-0.0245579558637562i</v>
      </c>
      <c r="ED181" s="1" t="str">
        <f t="shared" si="551"/>
        <v>0.0000167655819195332-0.0606914065487101i</v>
      </c>
      <c r="EE181" s="1" t="str">
        <f t="shared" si="552"/>
        <v>0.0000234141038679537-0.0847590560019922i</v>
      </c>
      <c r="EF181" s="1" t="str">
        <f t="shared" si="553"/>
        <v>0.65704365698205i</v>
      </c>
      <c r="EG181" s="1" t="str">
        <f t="shared" si="554"/>
        <v>0.656770002814209i</v>
      </c>
      <c r="EH181" s="1" t="str">
        <f t="shared" si="555"/>
        <v>0.657292998899438i</v>
      </c>
      <c r="EI181" s="1" t="str">
        <f t="shared" si="556"/>
        <v>0.657228791852993i</v>
      </c>
      <c r="EJ181" s="1" t="str">
        <f t="shared" si="544"/>
        <v>0.005</v>
      </c>
      <c r="EK181" s="1" t="str">
        <f t="shared" si="545"/>
        <v>0.01</v>
      </c>
      <c r="EL181" s="1" t="str">
        <f t="shared" si="546"/>
        <v>0.0125</v>
      </c>
      <c r="EM181" s="1" t="str">
        <f t="shared" si="564"/>
        <v>0.00500346264916357+0.644508867009924i</v>
      </c>
      <c r="EN181" s="1" t="str">
        <f t="shared" si="565"/>
        <v>-0.005</v>
      </c>
      <c r="EO181" s="1" t="str">
        <f t="shared" si="566"/>
        <v>0.024929542990908-90.2449456270875i</v>
      </c>
      <c r="EP181" s="1" t="str">
        <f t="shared" si="567"/>
        <v>-0.005</v>
      </c>
      <c r="EQ181" s="1" t="str">
        <f t="shared" si="568"/>
        <v>0.0150067839657082+0.632212046950453i</v>
      </c>
      <c r="ER181" s="1" t="str">
        <f t="shared" si="569"/>
        <v>-0.01</v>
      </c>
      <c r="ES181" s="1" t="str">
        <f t="shared" si="570"/>
        <v>0.0488415536148403-176.806424085722i</v>
      </c>
      <c r="ET181" s="1" t="str">
        <f t="shared" si="571"/>
        <v>-0.01</v>
      </c>
      <c r="EU181" s="1" t="str">
        <f t="shared" si="572"/>
        <v>0.0225167655819195+0.596601592350728i</v>
      </c>
      <c r="EV181" s="1" t="str">
        <f t="shared" si="573"/>
        <v>-0.0125</v>
      </c>
      <c r="EW181" s="1" t="str">
        <f t="shared" si="574"/>
        <v>0.120704777032509-436.951292857683i</v>
      </c>
      <c r="EX181" s="1" t="str">
        <f t="shared" si="575"/>
        <v>-0.0125</v>
      </c>
      <c r="EY181" s="1" t="str">
        <f t="shared" si="576"/>
        <v>0.012523414103868+0.572469735851001i</v>
      </c>
      <c r="EZ181" s="1" t="str">
        <f t="shared" si="577"/>
        <v>0.168571195462332-610.227727573639i</v>
      </c>
      <c r="FB181" s="1" t="str">
        <f t="shared" si="578"/>
        <v>0.00500346264916357+0.644508867009924i</v>
      </c>
      <c r="FC181" s="1" t="str">
        <f t="shared" si="579"/>
        <v>0.024929542990908-90.2449456270875i</v>
      </c>
      <c r="FD181" s="1" t="str">
        <f t="shared" si="580"/>
        <v>-0.0000602222115410092+0.00775737765037904i</v>
      </c>
      <c r="FE181" s="1" t="str">
        <f t="shared" si="581"/>
        <v>0.0150064828546505+0.632250833838705i</v>
      </c>
      <c r="FF181" s="1" t="str">
        <f t="shared" si="582"/>
        <v>-0.651221069340189-176.812052223808i</v>
      </c>
      <c r="FG181" s="1" t="str">
        <f t="shared" si="583"/>
        <v>-0.000375193670723676+0.0158076021852473i</v>
      </c>
      <c r="FH181" s="1" t="str">
        <f t="shared" si="584"/>
        <v>0.0225130136452123+0.59675966837258i</v>
      </c>
      <c r="FI181" s="1" t="str">
        <f t="shared" si="585"/>
        <v>-2.67451414010208-437.007337376986i</v>
      </c>
      <c r="FJ181" s="1" t="str">
        <f t="shared" si="586"/>
        <v>-0.000789090959570236+0.020916686978026i</v>
      </c>
      <c r="FK181" s="1" t="str">
        <f t="shared" si="587"/>
        <v>0.0125135504668734+0.572731194438226i</v>
      </c>
      <c r="FL181" s="1" t="str">
        <f t="shared" si="588"/>
        <v>-8.97090697483726-610.575046632643i</v>
      </c>
      <c r="FM181" s="1" t="str">
        <f t="shared" si="589"/>
        <v>-1065.90950436713-7.62557626263859i</v>
      </c>
      <c r="FN181" s="1" t="str">
        <f t="shared" si="590"/>
        <v>-732.429090780867-0.822446951797822i</v>
      </c>
      <c r="FO181" s="1" t="str">
        <f t="shared" si="591"/>
        <v>-279.809695386805+5.97318718874989i</v>
      </c>
      <c r="FP181" s="1" t="str">
        <f t="shared" si="592"/>
        <v>-139.983039080873+1.04532157875679i</v>
      </c>
      <c r="FQ181" s="92" t="str">
        <f t="shared" si="593"/>
        <v>0.0123113687010484-91.999607241208i</v>
      </c>
      <c r="FR181" s="1" t="str">
        <f t="shared" si="594"/>
        <v>-0.686821912828611-91.974967913158i</v>
      </c>
      <c r="FS181" s="1" t="str">
        <f t="shared" si="595"/>
        <v>0.69913328152966-0.0246393280499655i</v>
      </c>
      <c r="FT181" s="1" t="str">
        <f t="shared" si="596"/>
        <v>-0.0959494943541019-183.678018757179i</v>
      </c>
      <c r="FU181" s="1" t="str">
        <f t="shared" si="597"/>
        <v>0.182899839270554-481.403430785565i</v>
      </c>
      <c r="FV181" s="1" t="str">
        <f t="shared" si="598"/>
        <v>0.839865156803869-700.573032401314i</v>
      </c>
      <c r="FW181" s="1" t="str">
        <f t="shared" si="599"/>
        <v>-0.686821912828611-91.974967913158i</v>
      </c>
      <c r="FX181" s="1" t="str">
        <f t="shared" si="600"/>
        <v>-3.92301016676506-183.770614426635i</v>
      </c>
      <c r="FY181" s="1" t="str">
        <f t="shared" si="601"/>
        <v>0.540588623382892-481.420513560545i</v>
      </c>
      <c r="FZ181" s="1" t="str">
        <f t="shared" si="602"/>
        <v>5.01174827427682-700.546415779831i</v>
      </c>
      <c r="GA181" s="1" t="str">
        <f t="shared" si="603"/>
        <v>0.69913328152966-0.0246393280499655i</v>
      </c>
      <c r="GB181" s="1" t="str">
        <f t="shared" si="604"/>
        <v>4.52619395394062+0.0679563414054771i</v>
      </c>
      <c r="GC181" s="1" t="str">
        <f t="shared" si="605"/>
        <v>4.16850516982829+0.0850391163855096i</v>
      </c>
      <c r="GD181" s="92" t="str">
        <f t="shared" si="606"/>
        <v>0.939126870421369-1457.65408918527i</v>
      </c>
      <c r="GE181" s="1" t="str">
        <f t="shared" si="557"/>
        <v>0.00318215230460001+4.93913811360689i</v>
      </c>
      <c r="GF181" s="1">
        <f t="shared" si="558"/>
        <v>36.200000000000003</v>
      </c>
      <c r="GG181" s="56">
        <f t="shared" si="559"/>
        <v>0.22148408354229995</v>
      </c>
      <c r="GH181" s="1">
        <f t="shared" si="560"/>
        <v>0.77851593475617764</v>
      </c>
      <c r="GJ181" s="1">
        <f t="shared" si="607"/>
        <v>1457.6543917121844</v>
      </c>
      <c r="GK181" s="1">
        <f t="shared" si="608"/>
        <v>4.939139138693859</v>
      </c>
      <c r="GM181" s="1" t="str">
        <f t="shared" si="561"/>
        <v>0.0191834803010191+17.3610496724224i</v>
      </c>
      <c r="GP181" s="1">
        <f t="shared" si="547"/>
        <v>36.200000000000003</v>
      </c>
      <c r="GQ181" s="1">
        <f t="shared" si="548"/>
        <v>4.939139138693859</v>
      </c>
      <c r="GR181" s="1">
        <f t="shared" si="562"/>
        <v>17.361060271027064</v>
      </c>
      <c r="GS181" s="1">
        <f t="shared" si="563"/>
        <v>3.8451985234510691</v>
      </c>
    </row>
    <row r="182" spans="2:201" ht="18" customHeight="1" x14ac:dyDescent="0.25">
      <c r="B182" s="6"/>
      <c r="AP182" s="8"/>
      <c r="AR182" s="6"/>
      <c r="AT182" s="24"/>
      <c r="AU182" s="177" t="s">
        <v>65</v>
      </c>
      <c r="AV182" s="177"/>
      <c r="AW182" s="177"/>
      <c r="AX182" s="177"/>
      <c r="AY182" s="177"/>
      <c r="AZ182" s="177"/>
      <c r="BA182" s="177"/>
      <c r="BB182" s="24" t="s">
        <v>159</v>
      </c>
      <c r="CF182" s="8"/>
      <c r="EA182" s="1">
        <f t="shared" si="609"/>
        <v>36.4</v>
      </c>
      <c r="EB182" s="1" t="str">
        <f t="shared" si="549"/>
        <v>3.42470261268574E-06-0.0124659175101761i</v>
      </c>
      <c r="EC182" s="1" t="str">
        <f t="shared" si="550"/>
        <v>6.70962144526187E-06-0.0244230220607532i</v>
      </c>
      <c r="ED182" s="1" t="str">
        <f t="shared" si="551"/>
        <v>0.0000165818509155039-0.0603579373324344i</v>
      </c>
      <c r="EE182" s="1" t="str">
        <f t="shared" si="552"/>
        <v>0.0000231575129048273-0.0842933469735716i</v>
      </c>
      <c r="EF182" s="1" t="str">
        <f t="shared" si="553"/>
        <v>0.660673732434989i</v>
      </c>
      <c r="EG182" s="1" t="str">
        <f t="shared" si="554"/>
        <v>0.660398566365671i</v>
      </c>
      <c r="EH182" s="1" t="str">
        <f t="shared" si="555"/>
        <v>0.660924451932033i</v>
      </c>
      <c r="EI182" s="1" t="str">
        <f t="shared" si="556"/>
        <v>0.660859890150524i</v>
      </c>
      <c r="EJ182" s="1" t="str">
        <f t="shared" si="544"/>
        <v>0.005</v>
      </c>
      <c r="EK182" s="1" t="str">
        <f t="shared" si="545"/>
        <v>0.01</v>
      </c>
      <c r="EL182" s="1" t="str">
        <f t="shared" si="546"/>
        <v>0.0125</v>
      </c>
      <c r="EM182" s="1" t="str">
        <f t="shared" si="564"/>
        <v>0.00500342470261269+0.648207814924813i</v>
      </c>
      <c r="EN182" s="1" t="str">
        <f t="shared" si="565"/>
        <v>-0.005</v>
      </c>
      <c r="EO182" s="1" t="str">
        <f t="shared" si="566"/>
        <v>0.0246563446023467-89.7490943525421i</v>
      </c>
      <c r="EP182" s="1" t="str">
        <f t="shared" si="567"/>
        <v>-0.005</v>
      </c>
      <c r="EQ182" s="1" t="str">
        <f t="shared" si="568"/>
        <v>0.0150067096214453+0.635975544304918i</v>
      </c>
      <c r="ER182" s="1" t="str">
        <f t="shared" si="569"/>
        <v>-0.01</v>
      </c>
      <c r="ES182" s="1" t="str">
        <f t="shared" si="570"/>
        <v>0.0483063077923529-175.834960364164i</v>
      </c>
      <c r="ET182" s="1" t="str">
        <f t="shared" si="571"/>
        <v>-0.01</v>
      </c>
      <c r="EU182" s="1" t="str">
        <f t="shared" si="572"/>
        <v>0.0225165818509155+0.600566514599599i</v>
      </c>
      <c r="EV182" s="1" t="str">
        <f t="shared" si="573"/>
        <v>-0.0125</v>
      </c>
      <c r="EW182" s="1" t="str">
        <f t="shared" si="574"/>
        <v>0.119381995038913-434.550461941646i</v>
      </c>
      <c r="EX182" s="1" t="str">
        <f t="shared" si="575"/>
        <v>-0.0125</v>
      </c>
      <c r="EY182" s="1" t="str">
        <f t="shared" si="576"/>
        <v>0.0125231575129048+0.576566543176952i</v>
      </c>
      <c r="EZ182" s="1" t="str">
        <f t="shared" si="577"/>
        <v>0.166723853977773-606.874828479094i</v>
      </c>
      <c r="FB182" s="1" t="str">
        <f t="shared" si="578"/>
        <v>0.00500342470261269+0.648207814924813i</v>
      </c>
      <c r="FC182" s="1" t="str">
        <f t="shared" si="579"/>
        <v>0.0246563446023467-89.7490943525421i</v>
      </c>
      <c r="FD182" s="1" t="str">
        <f t="shared" si="580"/>
        <v>-0.0000595364551134716+0.00771311606974332i</v>
      </c>
      <c r="FE182" s="1" t="str">
        <f t="shared" si="581"/>
        <v>0.0150064119391697+0.636014109885267i</v>
      </c>
      <c r="FF182" s="1" t="str">
        <f t="shared" si="582"/>
        <v>-0.643937406151795-175.840493884339i</v>
      </c>
      <c r="FG182" s="1" t="str">
        <f t="shared" si="583"/>
        <v>-0.000370767500404358+0.0157141735612724i</v>
      </c>
      <c r="FH182" s="1" t="str">
        <f t="shared" si="584"/>
        <v>0.0225128741759115+0.600723656335212i</v>
      </c>
      <c r="FI182" s="1" t="str">
        <f t="shared" si="585"/>
        <v>-2.64404479602195-434.605538937871i</v>
      </c>
      <c r="FJ182" s="1" t="str">
        <f t="shared" si="586"/>
        <v>-0.000778721135480926+0.0207790530927475i</v>
      </c>
      <c r="FK182" s="1" t="str">
        <f t="shared" si="587"/>
        <v>0.0125134234987113+0.576826281340611i</v>
      </c>
      <c r="FL182" s="1" t="str">
        <f t="shared" si="588"/>
        <v>-8.86273030090291-607.215702753054i</v>
      </c>
      <c r="FM182" s="1" t="str">
        <f t="shared" si="589"/>
        <v>-1052.5218218906-7.46831608996249i</v>
      </c>
      <c r="FN182" s="1" t="str">
        <f t="shared" si="590"/>
        <v>-723.594848849449-0.815070642994147i</v>
      </c>
      <c r="FO182" s="1" t="str">
        <f t="shared" si="591"/>
        <v>-276.623772721048+5.86269321870803i</v>
      </c>
      <c r="FP182" s="1" t="str">
        <f t="shared" si="592"/>
        <v>-138.41999235438+1.02727627558573i</v>
      </c>
      <c r="FQ182" s="92" t="str">
        <f t="shared" si="593"/>
        <v>0.0123244506001981-91.4746300771067i</v>
      </c>
      <c r="FR182" s="1" t="str">
        <f t="shared" si="594"/>
        <v>-0.678694451233139-91.4504529923909i</v>
      </c>
      <c r="FS182" s="1" t="str">
        <f t="shared" si="595"/>
        <v>0.69101890183334-0.0241770847156115i</v>
      </c>
      <c r="FT182" s="1" t="str">
        <f t="shared" si="596"/>
        <v>-0.0930223372258631-182.590988204311i</v>
      </c>
      <c r="FU182" s="1" t="str">
        <f t="shared" si="597"/>
        <v>0.180576519737109-478.225140967194i</v>
      </c>
      <c r="FV182" s="1" t="str">
        <f t="shared" si="598"/>
        <v>0.820627001130332-695.595242661347i</v>
      </c>
      <c r="FW182" s="1" t="str">
        <f t="shared" si="599"/>
        <v>-0.678694451233139-91.4504529923909i</v>
      </c>
      <c r="FX182" s="1" t="str">
        <f t="shared" si="600"/>
        <v>-3.87171419667652-182.681942927643i</v>
      </c>
      <c r="FY182" s="1" t="str">
        <f t="shared" si="601"/>
        <v>0.538700118006796-478.241528896664i</v>
      </c>
      <c r="FZ182" s="1" t="str">
        <f t="shared" si="602"/>
        <v>4.935510550822-695.569455595651i</v>
      </c>
      <c r="GA182" s="1" t="str">
        <f t="shared" si="603"/>
        <v>0.69101890183334-0.0241770847156115i</v>
      </c>
      <c r="GB182" s="1" t="str">
        <f t="shared" si="604"/>
        <v>4.46971076128401+0.0667776386170218i</v>
      </c>
      <c r="GC182" s="1" t="str">
        <f t="shared" si="605"/>
        <v>4.11158716301439+0.0831655680871042i</v>
      </c>
      <c r="GD182" s="92" t="str">
        <f t="shared" si="606"/>
        <v>0.920505634241776-1447.88600190996i</v>
      </c>
      <c r="GE182" s="1" t="str">
        <f t="shared" si="557"/>
        <v>0.00316128290526096+4.97245980506663i</v>
      </c>
      <c r="GF182" s="1">
        <f t="shared" si="558"/>
        <v>36.4</v>
      </c>
      <c r="GG182" s="56">
        <f t="shared" si="559"/>
        <v>0.2216935086796554</v>
      </c>
      <c r="GH182" s="1">
        <f t="shared" si="560"/>
        <v>0.77830650982592453</v>
      </c>
      <c r="GJ182" s="1">
        <f t="shared" si="607"/>
        <v>1447.8862945195081</v>
      </c>
      <c r="GK182" s="1">
        <f t="shared" si="608"/>
        <v>4.9724608099725511</v>
      </c>
      <c r="GM182" s="1" t="str">
        <f t="shared" si="561"/>
        <v>0.0191834803010191+17.4569670739274i</v>
      </c>
      <c r="GP182" s="1">
        <f t="shared" si="547"/>
        <v>36.4</v>
      </c>
      <c r="GQ182" s="1">
        <f t="shared" si="548"/>
        <v>4.9724608099725511</v>
      </c>
      <c r="GR182" s="1">
        <f t="shared" si="562"/>
        <v>17.456977614298012</v>
      </c>
      <c r="GS182" s="1">
        <f t="shared" si="563"/>
        <v>3.8700986182559225</v>
      </c>
    </row>
    <row r="183" spans="2:201" ht="18" customHeight="1" x14ac:dyDescent="0.25">
      <c r="B183" s="6"/>
      <c r="AP183" s="8"/>
      <c r="AR183" s="6"/>
      <c r="AT183" s="24"/>
      <c r="AU183" s="177" t="s">
        <v>160</v>
      </c>
      <c r="AV183" s="177"/>
      <c r="AW183" s="177"/>
      <c r="AX183" s="177"/>
      <c r="AY183" s="177"/>
      <c r="AZ183" s="177"/>
      <c r="BA183" s="177"/>
      <c r="BB183" s="24" t="s">
        <v>161</v>
      </c>
      <c r="CF183" s="8"/>
      <c r="EA183" s="1">
        <f t="shared" si="609"/>
        <v>36.6</v>
      </c>
      <c r="EB183" s="1" t="str">
        <f t="shared" si="549"/>
        <v>0.0000033873764351255-0.0123977977525594i</v>
      </c>
      <c r="EC183" s="1" t="str">
        <f t="shared" si="550"/>
        <v>6.63649260759284E-06-0.0242895629437898i</v>
      </c>
      <c r="ED183" s="1" t="str">
        <f t="shared" si="551"/>
        <v>0.000016401123657827-0.060028112587647i</v>
      </c>
      <c r="EE183" s="1" t="str">
        <f t="shared" si="552"/>
        <v>0.0000229051168470391-0.0838327276601633i</v>
      </c>
      <c r="EF183" s="1" t="str">
        <f t="shared" si="553"/>
        <v>0.66430380788793i</v>
      </c>
      <c r="EG183" s="1" t="str">
        <f t="shared" si="554"/>
        <v>0.66402712991713i</v>
      </c>
      <c r="EH183" s="1" t="str">
        <f t="shared" si="555"/>
        <v>0.664555904964627i</v>
      </c>
      <c r="EI183" s="1" t="str">
        <f t="shared" si="556"/>
        <v>0.664490988448054i</v>
      </c>
      <c r="EJ183" s="1" t="str">
        <f t="shared" si="544"/>
        <v>0.005</v>
      </c>
      <c r="EK183" s="1" t="str">
        <f t="shared" si="545"/>
        <v>0.01</v>
      </c>
      <c r="EL183" s="1" t="str">
        <f t="shared" si="546"/>
        <v>0.0125</v>
      </c>
      <c r="EM183" s="1" t="str">
        <f t="shared" si="564"/>
        <v>0.00500338737643513+0.651906010135371i</v>
      </c>
      <c r="EN183" s="1" t="str">
        <f t="shared" si="565"/>
        <v>-0.005</v>
      </c>
      <c r="EO183" s="1" t="str">
        <f t="shared" si="566"/>
        <v>0.0243876126274288-89.2586622163899i</v>
      </c>
      <c r="EP183" s="1" t="str">
        <f t="shared" si="567"/>
        <v>-0.005</v>
      </c>
      <c r="EQ183" s="1" t="str">
        <f t="shared" si="568"/>
        <v>0.0150066364926076+0.63973756697334i</v>
      </c>
      <c r="ER183" s="1" t="str">
        <f t="shared" si="569"/>
        <v>-0.01</v>
      </c>
      <c r="ES183" s="1" t="str">
        <f t="shared" si="570"/>
        <v>0.0477798124945545-174.87411373007i</v>
      </c>
      <c r="ET183" s="1" t="str">
        <f t="shared" si="571"/>
        <v>-0.01</v>
      </c>
      <c r="EU183" s="1" t="str">
        <f t="shared" si="572"/>
        <v>0.0225164011236578+0.60452779237698i</v>
      </c>
      <c r="EV183" s="1" t="str">
        <f t="shared" si="573"/>
        <v>-0.0125</v>
      </c>
      <c r="EW183" s="1" t="str">
        <f t="shared" si="574"/>
        <v>0.118080838690969-432.175869608947i</v>
      </c>
      <c r="EX183" s="1" t="str">
        <f t="shared" si="575"/>
        <v>-0.0125</v>
      </c>
      <c r="EY183" s="1" t="str">
        <f t="shared" si="576"/>
        <v>0.012522905116847+0.580658260787891i</v>
      </c>
      <c r="EZ183" s="1" t="str">
        <f t="shared" si="577"/>
        <v>0.164906713956899-603.558573082253i</v>
      </c>
      <c r="FB183" s="1" t="str">
        <f t="shared" si="578"/>
        <v>0.00500338737643513+0.651906010135371i</v>
      </c>
      <c r="FC183" s="1" t="str">
        <f t="shared" si="579"/>
        <v>0.0243876126274288-89.2586622163899i</v>
      </c>
      <c r="FD183" s="1" t="str">
        <f t="shared" si="580"/>
        <v>-0.0000588624834283733+0.00766936553807083i</v>
      </c>
      <c r="FE183" s="1" t="str">
        <f t="shared" si="581"/>
        <v>0.0150063421801905+0.63977591380103i</v>
      </c>
      <c r="FF183" s="1" t="str">
        <f t="shared" si="582"/>
        <v>-0.636776059966687-174.879554754111i</v>
      </c>
      <c r="FG183" s="1" t="str">
        <f t="shared" si="583"/>
        <v>-0.000366420873035835+0.0156218781410792i</v>
      </c>
      <c r="FH183" s="1" t="str">
        <f t="shared" si="584"/>
        <v>0.0225127369149274+0.604684011158391i</v>
      </c>
      <c r="FI183" s="1" t="str">
        <f t="shared" si="585"/>
        <v>-2.61409958308376-432.230001490064i</v>
      </c>
      <c r="FJ183" s="1" t="str">
        <f t="shared" si="586"/>
        <v>-0.000768563530764759+0.0206433398288743i</v>
      </c>
      <c r="FK183" s="1" t="str">
        <f t="shared" si="587"/>
        <v>0.0125132980727124+0.580916302535752i</v>
      </c>
      <c r="FL183" s="1" t="str">
        <f t="shared" si="588"/>
        <v>-8.75655587559356-603.893165277391i</v>
      </c>
      <c r="FM183" s="1" t="str">
        <f t="shared" si="589"/>
        <v>-1039.39521292321-7.31552242640563i</v>
      </c>
      <c r="FN183" s="1" t="str">
        <f t="shared" si="590"/>
        <v>-714.924250598145-0.807631447469907i</v>
      </c>
      <c r="FO183" s="1" t="str">
        <f t="shared" si="591"/>
        <v>-273.492622065587+5.75497547821016i</v>
      </c>
      <c r="FP183" s="1" t="str">
        <f t="shared" si="592"/>
        <v>-136.883135936577+1.00964883445684i</v>
      </c>
      <c r="FQ183" s="92" t="str">
        <f t="shared" si="593"/>
        <v>0.0123338652857632-90.9557150715283i</v>
      </c>
      <c r="FR183" s="1" t="str">
        <f t="shared" si="594"/>
        <v>-0.670713565359289-90.9319884383092i</v>
      </c>
      <c r="FS183" s="1" t="str">
        <f t="shared" si="595"/>
        <v>0.68304743064505-0.0237266332187666i</v>
      </c>
      <c r="FT183" s="1" t="str">
        <f t="shared" si="596"/>
        <v>-0.0901909948588285-181.517168181246i</v>
      </c>
      <c r="FU183" s="1" t="str">
        <f t="shared" si="597"/>
        <v>0.178286991189056-475.091409769428i</v>
      </c>
      <c r="FV183" s="1" t="str">
        <f t="shared" si="598"/>
        <v>0.801994382023839-690.693741335626i</v>
      </c>
      <c r="FW183" s="1" t="str">
        <f t="shared" si="599"/>
        <v>-0.670713565359289-90.9319884383092i</v>
      </c>
      <c r="FX183" s="1" t="str">
        <f t="shared" si="600"/>
        <v>-3.82145984953936-181.606520883722i</v>
      </c>
      <c r="FY183" s="1" t="str">
        <f t="shared" si="601"/>
        <v>0.536716247451256-475.107132337408i</v>
      </c>
      <c r="FZ183" s="1" t="str">
        <f t="shared" si="602"/>
        <v>4.86109872813618-690.668752423519i</v>
      </c>
      <c r="GA183" s="1" t="str">
        <f t="shared" si="603"/>
        <v>0.68304743064505-0.0237266332187666i</v>
      </c>
      <c r="GB183" s="1" t="str">
        <f t="shared" si="604"/>
        <v>4.41431628532558+0.0656260692568007i</v>
      </c>
      <c r="GC183" s="1" t="str">
        <f t="shared" si="605"/>
        <v>4.05588702906331+0.0813486372366965i</v>
      </c>
      <c r="GD183" s="92" t="str">
        <f t="shared" si="606"/>
        <v>0.90242424363983-1438.25803435783i</v>
      </c>
      <c r="GE183" s="1" t="str">
        <f t="shared" si="557"/>
        <v>0.00314081814876+5.00574643106981i</v>
      </c>
      <c r="GF183" s="1">
        <f t="shared" si="558"/>
        <v>36.6</v>
      </c>
      <c r="GG183" s="56">
        <f t="shared" si="559"/>
        <v>0.22189932474246676</v>
      </c>
      <c r="GH183" s="1">
        <f t="shared" si="560"/>
        <v>0.77810069396065096</v>
      </c>
      <c r="GJ183" s="1">
        <f t="shared" si="607"/>
        <v>1438.2583174674724</v>
      </c>
      <c r="GK183" s="1">
        <f t="shared" si="608"/>
        <v>5.0057474164111389</v>
      </c>
      <c r="GM183" s="1" t="str">
        <f t="shared" si="561"/>
        <v>0.0191834803010191+17.5528844754325i</v>
      </c>
      <c r="GP183" s="1">
        <f t="shared" si="547"/>
        <v>36.6</v>
      </c>
      <c r="GQ183" s="1">
        <f t="shared" si="548"/>
        <v>5.0057474164111389</v>
      </c>
      <c r="GR183" s="1">
        <f t="shared" si="562"/>
        <v>17.552894958205489</v>
      </c>
      <c r="GS183" s="1">
        <f t="shared" si="563"/>
        <v>3.894975538501249</v>
      </c>
    </row>
    <row r="184" spans="2:201" ht="18" customHeight="1" x14ac:dyDescent="0.25">
      <c r="B184" s="6"/>
      <c r="AP184" s="8"/>
      <c r="AR184" s="6"/>
      <c r="AT184" s="24"/>
      <c r="AU184" s="177" t="s">
        <v>162</v>
      </c>
      <c r="AV184" s="177"/>
      <c r="AW184" s="177"/>
      <c r="AX184" s="177"/>
      <c r="AY184" s="177"/>
      <c r="AZ184" s="177"/>
      <c r="BA184" s="177"/>
      <c r="BB184" s="24" t="s">
        <v>163</v>
      </c>
      <c r="CF184" s="8"/>
      <c r="EA184" s="1">
        <f t="shared" si="609"/>
        <v>36.799999999999997</v>
      </c>
      <c r="EB184" s="1" t="str">
        <f t="shared" si="549"/>
        <v>0.0000033506571812298-0.0123304184269257i</v>
      </c>
      <c r="EC184" s="1" t="str">
        <f t="shared" si="550"/>
        <v>6.56455284485839E-06-0.0241575544690789i</v>
      </c>
      <c r="ED184" s="1" t="str">
        <f t="shared" si="551"/>
        <v>0.0000162233350254444-0.0597018728936353i</v>
      </c>
      <c r="EE184" s="1" t="str">
        <f t="shared" si="552"/>
        <v>0.0000226568247492683-0.0833771150773071i</v>
      </c>
      <c r="EF184" s="1" t="str">
        <f t="shared" si="553"/>
        <v>0.667933883340868i</v>
      </c>
      <c r="EG184" s="1" t="str">
        <f t="shared" si="554"/>
        <v>0.667655693468591i</v>
      </c>
      <c r="EH184" s="1" t="str">
        <f t="shared" si="555"/>
        <v>0.668187357997219i</v>
      </c>
      <c r="EI184" s="1" t="str">
        <f t="shared" si="556"/>
        <v>0.668122086745584i</v>
      </c>
      <c r="EJ184" s="1" t="str">
        <f t="shared" si="544"/>
        <v>0.005</v>
      </c>
      <c r="EK184" s="1" t="str">
        <f t="shared" si="545"/>
        <v>0.01</v>
      </c>
      <c r="EL184" s="1" t="str">
        <f t="shared" si="546"/>
        <v>0.0125</v>
      </c>
      <c r="EM184" s="1" t="str">
        <f t="shared" si="564"/>
        <v>0.00500335065718123+0.655603464913942i</v>
      </c>
      <c r="EN184" s="1" t="str">
        <f t="shared" si="565"/>
        <v>-0.005</v>
      </c>
      <c r="EO184" s="1" t="str">
        <f t="shared" si="566"/>
        <v>0.0241232502345484-88.7735608631383i</v>
      </c>
      <c r="EP184" s="1" t="str">
        <f t="shared" si="567"/>
        <v>-0.005</v>
      </c>
      <c r="EQ184" s="1" t="str">
        <f t="shared" si="568"/>
        <v>0.0150065645528449+0.643498138999512i</v>
      </c>
      <c r="ER184" s="1" t="str">
        <f t="shared" si="569"/>
        <v>-0.01</v>
      </c>
      <c r="ES184" s="1" t="str">
        <f t="shared" si="570"/>
        <v>0.0472618780105438-173.923711078801i</v>
      </c>
      <c r="ET184" s="1" t="str">
        <f t="shared" si="571"/>
        <v>-0.01</v>
      </c>
      <c r="EU184" s="1" t="str">
        <f t="shared" si="572"/>
        <v>0.0225162233350254+0.608485485103584i</v>
      </c>
      <c r="EV184" s="1" t="str">
        <f t="shared" si="573"/>
        <v>-0.0125</v>
      </c>
      <c r="EW184" s="1" t="str">
        <f t="shared" si="574"/>
        <v>0.11680083914585-429.827088056727i</v>
      </c>
      <c r="EX184" s="1" t="str">
        <f t="shared" si="575"/>
        <v>-0.0125</v>
      </c>
      <c r="EY184" s="1" t="str">
        <f t="shared" si="576"/>
        <v>0.0125226568247493+0.584744971668277i</v>
      </c>
      <c r="EZ184" s="1" t="str">
        <f t="shared" si="577"/>
        <v>0.163119120633614-600.278363931697i</v>
      </c>
      <c r="FB184" s="1" t="str">
        <f t="shared" si="578"/>
        <v>0.00500335065718123+0.655603464913942i</v>
      </c>
      <c r="FC184" s="1" t="str">
        <f t="shared" si="579"/>
        <v>0.0241232502345484-88.7735608631383i</v>
      </c>
      <c r="FD184" s="1" t="str">
        <f t="shared" si="580"/>
        <v>-0.0000582000250523211+0.0076261171156603i</v>
      </c>
      <c r="FE184" s="1" t="str">
        <f t="shared" si="581"/>
        <v>0.0150062735527196+0.64353626958509i</v>
      </c>
      <c r="FF184" s="1" t="str">
        <f t="shared" si="582"/>
        <v>-0.629734289932178-173.929061668999i</v>
      </c>
      <c r="FG184" s="1" t="str">
        <f t="shared" si="583"/>
        <v>-0.000362151858283749+0.0155306948846734i</v>
      </c>
      <c r="FH184" s="1" t="str">
        <f t="shared" si="584"/>
        <v>0.0225126018164426+0.608640792052431i</v>
      </c>
      <c r="FI184" s="1" t="str">
        <f t="shared" si="585"/>
        <v>-2.58466640865624-429.880296578505i</v>
      </c>
      <c r="FJ184" s="1" t="str">
        <f t="shared" si="586"/>
        <v>-0.000758612200433176+0.0205095054892792i</v>
      </c>
      <c r="FK184" s="1" t="str">
        <f t="shared" si="587"/>
        <v>0.0125131741722439+0.585001340486893i</v>
      </c>
      <c r="FL184" s="1" t="str">
        <f t="shared" si="588"/>
        <v>-8.65233329476513-600.606831532225i</v>
      </c>
      <c r="FM184" s="1" t="str">
        <f t="shared" si="589"/>
        <v>-1026.52268916224-7.16703299003149i</v>
      </c>
      <c r="FN184" s="1" t="str">
        <f t="shared" si="590"/>
        <v>-706.413169888987-0.800140895544233i</v>
      </c>
      <c r="FO184" s="1" t="str">
        <f t="shared" si="591"/>
        <v>-270.414980366514+5.64994545378626i</v>
      </c>
      <c r="FP184" s="1" t="str">
        <f t="shared" si="592"/>
        <v>-135.371884601449+0.992427097527477i</v>
      </c>
      <c r="FQ184" s="92" t="str">
        <f t="shared" si="593"/>
        <v>0.0123397936410916-90.4427561687986i</v>
      </c>
      <c r="FR184" s="1" t="str">
        <f t="shared" si="594"/>
        <v>-0.662875685184234-90.4194685770177i</v>
      </c>
      <c r="FS184" s="1" t="str">
        <f t="shared" si="595"/>
        <v>0.675215478825325-0.0232875917812939i</v>
      </c>
      <c r="FT184" s="1" t="str">
        <f t="shared" si="596"/>
        <v>-0.0874518336079651-180.456312785626i</v>
      </c>
      <c r="FU184" s="1" t="str">
        <f t="shared" si="597"/>
        <v>0.176031126710126-472.001264354875i</v>
      </c>
      <c r="FV184" s="1" t="str">
        <f t="shared" si="598"/>
        <v>0.783943399675822-685.866701933233i</v>
      </c>
      <c r="FW184" s="1" t="str">
        <f t="shared" si="599"/>
        <v>-0.662875685184234-90.4194685770177i</v>
      </c>
      <c r="FX184" s="1" t="str">
        <f t="shared" si="600"/>
        <v>-3.77221825000738-180.5441012409i</v>
      </c>
      <c r="FY184" s="1" t="str">
        <f t="shared" si="601"/>
        <v>0.53464403101923-472.016349642563i</v>
      </c>
      <c r="FZ184" s="1" t="str">
        <f t="shared" si="602"/>
        <v>4.78845303707428-685.842481174764i</v>
      </c>
      <c r="GA184" s="1" t="str">
        <f t="shared" si="603"/>
        <v>0.675215478825325-0.0232875917812939i</v>
      </c>
      <c r="GB184" s="1" t="str">
        <f t="shared" si="604"/>
        <v>4.35998189522473+0.0645008634933049i</v>
      </c>
      <c r="GC184" s="1" t="str">
        <f t="shared" si="605"/>
        <v>4.00136899091566+0.0795861511810907i</v>
      </c>
      <c r="GD184" s="92" t="str">
        <f t="shared" si="606"/>
        <v>0.884862486419075-1428.76703524253i</v>
      </c>
      <c r="GE184" s="1" t="str">
        <f t="shared" si="557"/>
        <v>0.00312074727607949+5.03899860353394i</v>
      </c>
      <c r="GF184" s="1">
        <f t="shared" si="558"/>
        <v>36.799999999999997</v>
      </c>
      <c r="GG184" s="56">
        <f t="shared" si="559"/>
        <v>0.22210161532468264</v>
      </c>
      <c r="GH184" s="1">
        <f t="shared" si="560"/>
        <v>0.77789840356665885</v>
      </c>
      <c r="GJ184" s="1">
        <f t="shared" si="607"/>
        <v>1428.7673092485525</v>
      </c>
      <c r="GK184" s="1">
        <f t="shared" si="608"/>
        <v>5.0389995699027956</v>
      </c>
      <c r="GM184" s="1" t="str">
        <f t="shared" si="561"/>
        <v>0.0191834803010191+17.6488018769376i</v>
      </c>
      <c r="GP184" s="1">
        <f t="shared" si="547"/>
        <v>36.799999999999997</v>
      </c>
      <c r="GQ184" s="1">
        <f t="shared" si="548"/>
        <v>5.0389995699027956</v>
      </c>
      <c r="GR184" s="1">
        <f t="shared" si="562"/>
        <v>17.648812302739035</v>
      </c>
      <c r="GS184" s="1">
        <f t="shared" si="563"/>
        <v>3.9198297210004536</v>
      </c>
    </row>
    <row r="185" spans="2:201" ht="18" customHeight="1" x14ac:dyDescent="0.25">
      <c r="B185" s="6"/>
      <c r="AP185" s="8"/>
      <c r="AR185" s="6"/>
      <c r="AT185" s="24"/>
      <c r="AU185" s="177" t="s">
        <v>164</v>
      </c>
      <c r="AV185" s="177"/>
      <c r="AW185" s="177"/>
      <c r="AX185" s="177"/>
      <c r="AY185" s="177"/>
      <c r="AZ185" s="177"/>
      <c r="BA185" s="177"/>
      <c r="BB185" s="24" t="s">
        <v>165</v>
      </c>
      <c r="CF185" s="8"/>
      <c r="EA185" s="1">
        <f t="shared" si="609"/>
        <v>37</v>
      </c>
      <c r="EB185" s="1" t="str">
        <f t="shared" si="549"/>
        <v>0.0000033145317638577-0.0122637675262735i</v>
      </c>
      <c r="EC185" s="1" t="str">
        <f t="shared" si="550"/>
        <v>6.49377651694571E-06-0.0240269731126991i</v>
      </c>
      <c r="ED185" s="1" t="str">
        <f t="shared" si="551"/>
        <v>0.0000160484216525559-0.059379160114457i</v>
      </c>
      <c r="EE185" s="1" t="str">
        <f t="shared" si="552"/>
        <v>0.0000224125481175141-0.082926428034802i</v>
      </c>
      <c r="EF185" s="1" t="str">
        <f t="shared" si="553"/>
        <v>0.671563958793809i</v>
      </c>
      <c r="EG185" s="1" t="str">
        <f t="shared" si="554"/>
        <v>0.671284257020049i</v>
      </c>
      <c r="EH185" s="1" t="str">
        <f t="shared" si="555"/>
        <v>0.671818811029816i</v>
      </c>
      <c r="EI185" s="1" t="str">
        <f t="shared" si="556"/>
        <v>0.671753185043115i</v>
      </c>
      <c r="EJ185" s="1" t="str">
        <f t="shared" si="544"/>
        <v>0.005</v>
      </c>
      <c r="EK185" s="1" t="str">
        <f t="shared" si="545"/>
        <v>0.01</v>
      </c>
      <c r="EL185" s="1" t="str">
        <f t="shared" si="546"/>
        <v>0.0125</v>
      </c>
      <c r="EM185" s="1" t="str">
        <f t="shared" si="564"/>
        <v>0.00500331453176386+0.659300191267536i</v>
      </c>
      <c r="EN185" s="1" t="str">
        <f t="shared" si="565"/>
        <v>-0.005</v>
      </c>
      <c r="EO185" s="1" t="str">
        <f t="shared" si="566"/>
        <v>0.0238631632020771-88.2937038476853i</v>
      </c>
      <c r="EP185" s="1" t="str">
        <f t="shared" si="567"/>
        <v>-0.005</v>
      </c>
      <c r="EQ185" s="1" t="str">
        <f t="shared" si="568"/>
        <v>0.0150064937765169+0.64725728390735i</v>
      </c>
      <c r="ER185" s="1" t="str">
        <f t="shared" si="569"/>
        <v>-0.01</v>
      </c>
      <c r="ES185" s="1" t="str">
        <f t="shared" si="570"/>
        <v>0.046752319742845-172.983583048526i</v>
      </c>
      <c r="ET185" s="1" t="str">
        <f t="shared" si="571"/>
        <v>-0.01</v>
      </c>
      <c r="EU185" s="1" t="str">
        <f t="shared" si="572"/>
        <v>0.0225160484216526+0.612439650915359i</v>
      </c>
      <c r="EV185" s="1" t="str">
        <f t="shared" si="573"/>
        <v>-0.0125</v>
      </c>
      <c r="EW185" s="1" t="str">
        <f t="shared" si="574"/>
        <v>0.115541540197812-427.503698731905i</v>
      </c>
      <c r="EX185" s="1" t="str">
        <f t="shared" si="575"/>
        <v>-0.0125</v>
      </c>
      <c r="EY185" s="1" t="str">
        <f t="shared" si="576"/>
        <v>0.0125224125481175+0.588826757008313i</v>
      </c>
      <c r="EZ185" s="1" t="str">
        <f t="shared" si="577"/>
        <v>0.161360436890236-597.033616493874i</v>
      </c>
      <c r="FB185" s="1" t="str">
        <f t="shared" si="578"/>
        <v>0.00500331453176386+0.659300191267536i</v>
      </c>
      <c r="FC185" s="1" t="str">
        <f t="shared" si="579"/>
        <v>0.0238631632020771-88.2937038476853i</v>
      </c>
      <c r="FD185" s="1" t="str">
        <f t="shared" si="580"/>
        <v>-0.0000575488163994801+0.00758336207298596i</v>
      </c>
      <c r="FE185" s="1" t="str">
        <f t="shared" si="581"/>
        <v>0.0150062060324349+0.647295200717715i</v>
      </c>
      <c r="FF185" s="1" t="str">
        <f t="shared" si="582"/>
        <v>-0.622809432002348-172.988845209685i</v>
      </c>
      <c r="FG185" s="1" t="str">
        <f t="shared" si="583"/>
        <v>-0.000357958584950062+0.0154406032806071i</v>
      </c>
      <c r="FH185" s="1" t="str">
        <f t="shared" si="584"/>
        <v>0.0225124688358031+0.612594056948165i</v>
      </c>
      <c r="FI185" s="1" t="str">
        <f t="shared" si="585"/>
        <v>-2.55573353063826-427.556005020789i</v>
      </c>
      <c r="FJ185" s="1" t="str">
        <f t="shared" si="586"/>
        <v>-0.000748861411209812+0.0203775096072701i</v>
      </c>
      <c r="FK185" s="1" t="str">
        <f t="shared" si="587"/>
        <v>0.0125130517804774+0.589081475878404i</v>
      </c>
      <c r="FL185" s="1" t="str">
        <f t="shared" si="588"/>
        <v>-8.55001376656181-597.356111965849i</v>
      </c>
      <c r="FM185" s="1" t="str">
        <f t="shared" si="589"/>
        <v>-1013.89750162833-7.02269268481316i</v>
      </c>
      <c r="FN185" s="1" t="str">
        <f t="shared" si="590"/>
        <v>-698.057612915592-0.792609640687461i</v>
      </c>
      <c r="FO185" s="1" t="str">
        <f t="shared" si="591"/>
        <v>-267.389621169958+5.54751805816826i</v>
      </c>
      <c r="FP185" s="1" t="str">
        <f t="shared" si="592"/>
        <v>-133.885669467213+0.975599333242817i</v>
      </c>
      <c r="FQ185" s="92" t="str">
        <f t="shared" si="593"/>
        <v>0.0123424080845742-89.9356498067857i</v>
      </c>
      <c r="FR185" s="1" t="str">
        <f t="shared" si="594"/>
        <v>-0.655177350429147-89.912790213161i</v>
      </c>
      <c r="FS185" s="1" t="str">
        <f t="shared" si="595"/>
        <v>0.667519758513725-0.0228595936246272i</v>
      </c>
      <c r="FT185" s="1" t="str">
        <f t="shared" si="596"/>
        <v>-0.0848013790401481-179.408182311334i</v>
      </c>
      <c r="FU185" s="1" t="str">
        <f t="shared" si="597"/>
        <v>0.173808757870301-468.953760778203i</v>
      </c>
      <c r="FV185" s="1" t="str">
        <f t="shared" si="598"/>
        <v>0.766451282969398-681.112357300883i</v>
      </c>
      <c r="FW185" s="1" t="str">
        <f t="shared" si="599"/>
        <v>-0.655177350429147-89.912790213161i</v>
      </c>
      <c r="FX185" s="1" t="str">
        <f t="shared" si="600"/>
        <v>-3.72396153798279-179.494443181948i</v>
      </c>
      <c r="FY185" s="1" t="str">
        <f t="shared" si="601"/>
        <v>0.53249006641742-468.968235539265i</v>
      </c>
      <c r="FZ185" s="1" t="str">
        <f t="shared" si="602"/>
        <v>4.71751617860222-681.088876026088i</v>
      </c>
      <c r="GA185" s="1" t="str">
        <f t="shared" si="603"/>
        <v>0.667519758513725-0.0228595936246272i</v>
      </c>
      <c r="GB185" s="1" t="str">
        <f t="shared" si="604"/>
        <v>4.30667991745634+0.0634012769885572i</v>
      </c>
      <c r="GC185" s="1" t="str">
        <f t="shared" si="605"/>
        <v>3.94799860890923+0.0778760380515713i</v>
      </c>
      <c r="GD185" s="92" t="str">
        <f t="shared" si="606"/>
        <v>0.867801069884125-1419.40995019721i</v>
      </c>
      <c r="GE185" s="1" t="str">
        <f t="shared" si="557"/>
        <v>0.00310105989406262+5.07221691991891i</v>
      </c>
      <c r="GF185" s="1">
        <f t="shared" si="558"/>
        <v>37</v>
      </c>
      <c r="GG185" s="56">
        <f t="shared" si="559"/>
        <v>0.22230046158048183</v>
      </c>
      <c r="GH185" s="1">
        <f t="shared" si="560"/>
        <v>0.77769955749000619</v>
      </c>
      <c r="GJ185" s="1">
        <f t="shared" si="607"/>
        <v>1419.4102154759712</v>
      </c>
      <c r="GK185" s="1">
        <f t="shared" si="608"/>
        <v>5.0722178678842393</v>
      </c>
      <c r="GM185" s="1" t="str">
        <f t="shared" si="561"/>
        <v>0.0191834803010191+17.7447192784427i</v>
      </c>
      <c r="GP185" s="1">
        <f t="shared" si="547"/>
        <v>37</v>
      </c>
      <c r="GQ185" s="1">
        <f t="shared" si="548"/>
        <v>5.0722178678842393</v>
      </c>
      <c r="GR185" s="1">
        <f t="shared" si="562"/>
        <v>17.744729647888487</v>
      </c>
      <c r="GS185" s="1">
        <f t="shared" si="563"/>
        <v>3.9446615913464651</v>
      </c>
    </row>
    <row r="186" spans="2:201" ht="18" customHeight="1" x14ac:dyDescent="0.25">
      <c r="B186" s="6"/>
      <c r="AP186" s="8"/>
      <c r="AR186" s="6"/>
      <c r="AT186" s="24"/>
      <c r="AU186" s="177" t="s">
        <v>166</v>
      </c>
      <c r="AV186" s="177"/>
      <c r="AW186" s="177"/>
      <c r="AX186" s="177"/>
      <c r="AY186" s="177"/>
      <c r="AZ186" s="177"/>
      <c r="BA186" s="177"/>
      <c r="BB186" s="24" t="s">
        <v>167</v>
      </c>
      <c r="CF186" s="8"/>
      <c r="EA186" s="1">
        <f t="shared" si="609"/>
        <v>37.200000000000003</v>
      </c>
      <c r="EB186" s="1" t="str">
        <f t="shared" si="549"/>
        <v>3.27898744672478E-06-0.0121978333018162i</v>
      </c>
      <c r="EC186" s="1" t="str">
        <f t="shared" si="550"/>
        <v>6.42413867113426E-06-0.0238977958566195i</v>
      </c>
      <c r="ED186" s="1" t="str">
        <f t="shared" si="551"/>
        <v>0.0000158763218721521-0.059059917364406i</v>
      </c>
      <c r="EE186" s="1" t="str">
        <f t="shared" si="552"/>
        <v>0.0000221722008302341-0.0824805870884712i</v>
      </c>
      <c r="EF186" s="1" t="str">
        <f t="shared" si="553"/>
        <v>0.675194034246747i</v>
      </c>
      <c r="EG186" s="1" t="str">
        <f t="shared" si="554"/>
        <v>0.674912820571509i</v>
      </c>
      <c r="EH186" s="1" t="str">
        <f t="shared" si="555"/>
        <v>0.67545026406241i</v>
      </c>
      <c r="EI186" s="1" t="str">
        <f t="shared" si="556"/>
        <v>0.675384283340647i</v>
      </c>
      <c r="EJ186" s="1" t="str">
        <f t="shared" si="544"/>
        <v>0.005</v>
      </c>
      <c r="EK186" s="1" t="str">
        <f t="shared" si="545"/>
        <v>0.01</v>
      </c>
      <c r="EL186" s="1" t="str">
        <f t="shared" si="546"/>
        <v>0.0125</v>
      </c>
      <c r="EM186" s="1" t="str">
        <f t="shared" si="564"/>
        <v>0.00500327898744672+0.662996200944931i</v>
      </c>
      <c r="EN186" s="1" t="str">
        <f t="shared" si="565"/>
        <v>-0.005</v>
      </c>
      <c r="EO186" s="1" t="str">
        <f t="shared" si="566"/>
        <v>0.0236072598343984-87.8190065839621i</v>
      </c>
      <c r="EP186" s="1" t="str">
        <f t="shared" si="567"/>
        <v>-0.005</v>
      </c>
      <c r="EQ186" s="1" t="str">
        <f t="shared" si="568"/>
        <v>0.0150064241386711+0.651015024714889i</v>
      </c>
      <c r="ER186" s="1" t="str">
        <f t="shared" si="569"/>
        <v>-0.01</v>
      </c>
      <c r="ES186" s="1" t="str">
        <f t="shared" si="570"/>
        <v>0.0462509580429029-172.053563919599i</v>
      </c>
      <c r="ET186" s="1" t="str">
        <f t="shared" si="571"/>
        <v>-0.01</v>
      </c>
      <c r="EU186" s="1" t="str">
        <f t="shared" si="572"/>
        <v>0.0225158763218722+0.616390346698004i</v>
      </c>
      <c r="EV186" s="1" t="str">
        <f t="shared" si="573"/>
        <v>-0.0125</v>
      </c>
      <c r="EW186" s="1" t="str">
        <f t="shared" si="574"/>
        <v>0.114302497871653-425.205292082551i</v>
      </c>
      <c r="EX186" s="1" t="str">
        <f t="shared" si="575"/>
        <v>-0.0125</v>
      </c>
      <c r="EY186" s="1" t="str">
        <f t="shared" si="576"/>
        <v>0.0125221722008302+0.592903696252176i</v>
      </c>
      <c r="EZ186" s="1" t="str">
        <f t="shared" si="577"/>
        <v>0.15963004268974-593.823758805837i</v>
      </c>
      <c r="FB186" s="1" t="str">
        <f t="shared" si="578"/>
        <v>0.00500327898744672+0.662996200944931i</v>
      </c>
      <c r="FC186" s="1" t="str">
        <f t="shared" si="579"/>
        <v>0.0236072598343984-87.8190065839621i</v>
      </c>
      <c r="FD186" s="1" t="str">
        <f t="shared" si="580"/>
        <v>-0.00005690860145846+0.00754109188448487i</v>
      </c>
      <c r="FE186" s="1" t="str">
        <f t="shared" si="581"/>
        <v>0.0150061395956638+0.651052730174311i</v>
      </c>
      <c r="FF186" s="1" t="str">
        <f t="shared" si="582"/>
        <v>-0.615998896354796-172.058739600961i</v>
      </c>
      <c r="FG186" s="1" t="str">
        <f t="shared" si="583"/>
        <v>-0.000353839238783457+0.015351583329222i</v>
      </c>
      <c r="FH186" s="1" t="str">
        <f t="shared" si="584"/>
        <v>0.0225123379294844+0.616543862531296i</v>
      </c>
      <c r="FI186" s="1" t="str">
        <f t="shared" si="585"/>
        <v>-2.52728954521399-425.256716657609i</v>
      </c>
      <c r="FJ186" s="1" t="str">
        <f t="shared" si="586"/>
        <v>-0.000739305632395014+0.0202473129008509i</v>
      </c>
      <c r="FK186" s="1" t="str">
        <f t="shared" si="587"/>
        <v>0.0125129308804253+0.593156787663437i</v>
      </c>
      <c r="FL186" s="1" t="str">
        <f t="shared" si="588"/>
        <v>-8.4495500487229-594.140429791638i</v>
      </c>
      <c r="FM186" s="1" t="str">
        <f t="shared" si="589"/>
        <v>-1001.51313065392-6.88235322581227i</v>
      </c>
      <c r="FN186" s="1" t="str">
        <f t="shared" si="590"/>
        <v>-689.853713037714-0.785047521906028i</v>
      </c>
      <c r="FO186" s="1" t="str">
        <f t="shared" si="591"/>
        <v>-264.415353343706+5.44761147421951i</v>
      </c>
      <c r="FP186" s="1" t="str">
        <f t="shared" si="592"/>
        <v>-132.423937448825+0.959154218840369i</v>
      </c>
      <c r="FQ186" s="92" t="str">
        <f t="shared" si="593"/>
        <v>0.0123418729907904-89.4342948431876i</v>
      </c>
      <c r="FR186" s="1" t="str">
        <f t="shared" si="594"/>
        <v>-0.647615206483616-89.411852556911i</v>
      </c>
      <c r="FS186" s="1" t="str">
        <f t="shared" si="595"/>
        <v>0.659957079474405-0.0224422862768957i</v>
      </c>
      <c r="FT186" s="1" t="str">
        <f t="shared" si="596"/>
        <v>-0.082236307977516-178.372543051374i</v>
      </c>
      <c r="FU186" s="1" t="str">
        <f t="shared" si="597"/>
        <v>0.171619679235441-465.94798290442i</v>
      </c>
      <c r="FV186" s="1" t="str">
        <f t="shared" si="598"/>
        <v>0.749496327571945-676.428997202067i</v>
      </c>
      <c r="FW186" s="1" t="str">
        <f t="shared" si="599"/>
        <v>-0.647615206483616-89.411852556911i</v>
      </c>
      <c r="FX186" s="1" t="str">
        <f t="shared" si="600"/>
        <v>-3.67666282544321-178.457311927613i</v>
      </c>
      <c r="FY186" s="1" t="str">
        <f t="shared" si="601"/>
        <v>0.530260555972967-465.961872635758i</v>
      </c>
      <c r="FZ186" s="1" t="str">
        <f t="shared" si="602"/>
        <v>4.64823320111241-676.406228002946i</v>
      </c>
      <c r="GA186" s="1" t="str">
        <f t="shared" si="603"/>
        <v>0.659957079474405-0.0224422862768957i</v>
      </c>
      <c r="GB186" s="1" t="str">
        <f t="shared" si="604"/>
        <v>4.25438359694008+0.0623265899612554i</v>
      </c>
      <c r="GC186" s="1" t="str">
        <f t="shared" si="605"/>
        <v>3.89574272020258+0.076216321298828i</v>
      </c>
      <c r="GD186" s="92" t="str">
        <f t="shared" si="606"/>
        <v>0.85122157182066-1410.18381800105i</v>
      </c>
      <c r="GE186" s="1" t="str">
        <f t="shared" si="557"/>
        <v>0.00308174596021414+5.10540196366133i</v>
      </c>
      <c r="GF186" s="1">
        <f t="shared" si="558"/>
        <v>37.200000000000003</v>
      </c>
      <c r="GG186" s="56">
        <f t="shared" si="559"/>
        <v>0.22249594231042072</v>
      </c>
      <c r="GH186" s="1">
        <f t="shared" si="560"/>
        <v>0.77750407693038703</v>
      </c>
      <c r="GJ186" s="1">
        <f t="shared" si="607"/>
        <v>1410.1840749101457</v>
      </c>
      <c r="GK186" s="1">
        <f t="shared" si="608"/>
        <v>5.1054028937700036</v>
      </c>
      <c r="GM186" s="1" t="str">
        <f t="shared" si="561"/>
        <v>0.0191834803010191+17.8406366799478i</v>
      </c>
      <c r="GP186" s="1">
        <f t="shared" si="547"/>
        <v>37.200000000000003</v>
      </c>
      <c r="GQ186" s="1">
        <f t="shared" si="548"/>
        <v>5.1054028937700036</v>
      </c>
      <c r="GR186" s="1">
        <f t="shared" si="562"/>
        <v>17.840646993643904</v>
      </c>
      <c r="GS186" s="1">
        <f t="shared" si="563"/>
        <v>3.9694715642783569</v>
      </c>
    </row>
    <row r="187" spans="2:201" ht="18" customHeight="1" x14ac:dyDescent="0.25">
      <c r="B187" s="6"/>
      <c r="AP187" s="8"/>
      <c r="AR187" s="6"/>
      <c r="AT187" s="24"/>
      <c r="AU187" s="177" t="s">
        <v>168</v>
      </c>
      <c r="AV187" s="177"/>
      <c r="AW187" s="177"/>
      <c r="AX187" s="177"/>
      <c r="AY187" s="177"/>
      <c r="AZ187" s="177"/>
      <c r="BA187" s="177"/>
      <c r="BB187" s="24" t="s">
        <v>292</v>
      </c>
      <c r="CF187" s="8"/>
      <c r="EA187" s="1">
        <f t="shared" si="609"/>
        <v>37.4</v>
      </c>
      <c r="EB187" s="1" t="str">
        <f t="shared" si="549"/>
        <v>3.24401183317594E-06-0.012132604256078i</v>
      </c>
      <c r="EC187" s="1" t="str">
        <f t="shared" si="550"/>
        <v>6.35561502009982E-06-0.0237700001751733i</v>
      </c>
      <c r="ED187" s="1" t="str">
        <f t="shared" si="551"/>
        <v>0.0000157069756616528-0.0587440889745818i</v>
      </c>
      <c r="EE187" s="1" t="str">
        <f t="shared" si="552"/>
        <v>0.0000219356990624278-0.08203951449348i</v>
      </c>
      <c r="EF187" s="1" t="str">
        <f t="shared" si="553"/>
        <v>0.678824109699688i</v>
      </c>
      <c r="EG187" s="1" t="str">
        <f t="shared" si="554"/>
        <v>0.67854138412297i</v>
      </c>
      <c r="EH187" s="1" t="str">
        <f t="shared" si="555"/>
        <v>0.679081717095001i</v>
      </c>
      <c r="EI187" s="1" t="str">
        <f t="shared" si="556"/>
        <v>0.679015381638177i</v>
      </c>
      <c r="EJ187" s="1" t="str">
        <f t="shared" si="544"/>
        <v>0.005</v>
      </c>
      <c r="EK187" s="1" t="str">
        <f t="shared" si="545"/>
        <v>0.01</v>
      </c>
      <c r="EL187" s="1" t="str">
        <f t="shared" si="546"/>
        <v>0.0125</v>
      </c>
      <c r="EM187" s="1" t="str">
        <f t="shared" si="564"/>
        <v>0.00500324401183318+0.66669150544361i</v>
      </c>
      <c r="EN187" s="1" t="str">
        <f t="shared" si="565"/>
        <v>-0.005</v>
      </c>
      <c r="EO187" s="1" t="str">
        <f t="shared" si="566"/>
        <v>0.0233554508810766-87.3493862952264i</v>
      </c>
      <c r="EP187" s="1" t="str">
        <f t="shared" si="567"/>
        <v>-0.005</v>
      </c>
      <c r="EQ187" s="1" t="str">
        <f t="shared" si="568"/>
        <v>0.0150063556150201+0.654771383947797i</v>
      </c>
      <c r="ER187" s="1" t="str">
        <f t="shared" si="569"/>
        <v>-0.01</v>
      </c>
      <c r="ES187" s="1" t="str">
        <f t="shared" si="570"/>
        <v>0.0457576180527216-171.133491517179i</v>
      </c>
      <c r="ET187" s="1" t="str">
        <f t="shared" si="571"/>
        <v>-0.01</v>
      </c>
      <c r="EU187" s="1" t="str">
        <f t="shared" si="572"/>
        <v>0.0225157069756617+0.620337628120419i</v>
      </c>
      <c r="EV187" s="1" t="str">
        <f t="shared" si="573"/>
        <v>-0.0125</v>
      </c>
      <c r="EW187" s="1" t="str">
        <f t="shared" si="574"/>
        <v>0.113083280031335-422.931467317193i</v>
      </c>
      <c r="EX187" s="1" t="str">
        <f t="shared" si="575"/>
        <v>-0.0125</v>
      </c>
      <c r="EY187" s="1" t="str">
        <f t="shared" si="576"/>
        <v>0.0125219356990624+0.596975867144697i</v>
      </c>
      <c r="EZ187" s="1" t="str">
        <f t="shared" si="577"/>
        <v>0.157927334529185-590.648231139151i</v>
      </c>
      <c r="FB187" s="1" t="str">
        <f t="shared" si="578"/>
        <v>0.00500324401183318+0.66669150544361i</v>
      </c>
      <c r="FC187" s="1" t="str">
        <f t="shared" si="579"/>
        <v>0.0233554508810766-87.3493862952264i</v>
      </c>
      <c r="FD187" s="1" t="str">
        <f t="shared" si="580"/>
        <v>-0.0000562791315303043+0.0074992982225646i</v>
      </c>
      <c r="FE187" s="1" t="str">
        <f t="shared" si="581"/>
        <v>0.0150060742193624+0.65480888043891i</v>
      </c>
      <c r="FF187" s="1" t="str">
        <f t="shared" si="582"/>
        <v>-0.609300164908686-171.138582614271i</v>
      </c>
      <c r="FG187" s="1" t="str">
        <f t="shared" si="583"/>
        <v>-0.000349792060384815+0.0152636155265353i</v>
      </c>
      <c r="FH187" s="1" t="str">
        <f t="shared" si="584"/>
        <v>0.0225122090550579+0.620490264275684i</v>
      </c>
      <c r="FI187" s="1" t="str">
        <f t="shared" si="585"/>
        <v>-2.49932337510917-422.98203011116i</v>
      </c>
      <c r="FJ187" s="1" t="str">
        <f t="shared" si="586"/>
        <v>-0.000729939527192274+0.0201188772290226i</v>
      </c>
      <c r="FK187" s="1" t="str">
        <f t="shared" si="587"/>
        <v>0.0125128114549725+0.59722735311006i</v>
      </c>
      <c r="FL187" s="1" t="str">
        <f t="shared" si="588"/>
        <v>-8.35089638875984-590.959220643067i</v>
      </c>
      <c r="FM187" s="1" t="str">
        <f t="shared" si="589"/>
        <v>-989.363276366709-6.74587278682158i</v>
      </c>
      <c r="FN187" s="1" t="str">
        <f t="shared" si="590"/>
        <v>-681.797725853526-0.777463621524595i</v>
      </c>
      <c r="FO187" s="1" t="str">
        <f t="shared" si="591"/>
        <v>-261.491019851147+5.35014700703608i</v>
      </c>
      <c r="FP187" s="1" t="str">
        <f t="shared" si="592"/>
        <v>-130.986150731841+0.943080823677402i</v>
      </c>
      <c r="FQ187" s="92" t="str">
        <f t="shared" si="593"/>
        <v>0.0123383450888589-88.9385924844482i</v>
      </c>
      <c r="FR187" s="1" t="str">
        <f t="shared" si="594"/>
        <v>-0.640186000507661-88.9165571535311i</v>
      </c>
      <c r="FS187" s="1" t="str">
        <f t="shared" si="595"/>
        <v>0.65252434559653-0.0220353309167934i</v>
      </c>
      <c r="FT187" s="1" t="str">
        <f t="shared" si="596"/>
        <v>-0.0797534409883417-177.349167108321i</v>
      </c>
      <c r="FU187" s="1" t="str">
        <f t="shared" si="597"/>
        <v>0.169463652474827-462.983041375798i</v>
      </c>
      <c r="FV187" s="1" t="str">
        <f t="shared" si="598"/>
        <v>0.733057837888604-671.814966014519i</v>
      </c>
      <c r="FW187" s="1" t="str">
        <f t="shared" si="599"/>
        <v>-0.640186000507661-88.9165571535311i</v>
      </c>
      <c r="FX187" s="1" t="str">
        <f t="shared" si="600"/>
        <v>-3.63029615541563-177.432478545524i</v>
      </c>
      <c r="FY187" s="1" t="str">
        <f t="shared" si="601"/>
        <v>0.52796133108382-462.996370384079i</v>
      </c>
      <c r="FZ187" s="1" t="str">
        <f t="shared" si="602"/>
        <v>4.58055138482625-671.792882680938i</v>
      </c>
      <c r="GA187" s="1" t="str">
        <f t="shared" si="603"/>
        <v>0.65252434559653-0.0220353309167934i</v>
      </c>
      <c r="GB187" s="1" t="str">
        <f t="shared" si="604"/>
        <v>4.20306706002379+0.0612761062856068i</v>
      </c>
      <c r="GC187" s="1" t="str">
        <f t="shared" si="605"/>
        <v>3.84456938141479+0.0746051145662123i</v>
      </c>
      <c r="GD187" s="92" t="str">
        <f t="shared" si="606"/>
        <v>0.835106394463948-1401.08576698309i</v>
      </c>
      <c r="GE187" s="1" t="str">
        <f t="shared" si="557"/>
        <v>0.00306279576824598+5.13855430459254i</v>
      </c>
      <c r="GF187" s="1">
        <f t="shared" si="558"/>
        <v>37.4</v>
      </c>
      <c r="GG187" s="56">
        <f t="shared" si="559"/>
        <v>0.22268813404397186</v>
      </c>
      <c r="GH187" s="1">
        <f t="shared" si="560"/>
        <v>0.77731188535856388</v>
      </c>
      <c r="GJ187" s="1">
        <f t="shared" si="607"/>
        <v>1401.0860158624394</v>
      </c>
      <c r="GK187" s="1">
        <f t="shared" si="608"/>
        <v>5.1385552173703886</v>
      </c>
      <c r="GM187" s="1" t="str">
        <f t="shared" si="561"/>
        <v>0.0191834803010191+17.9365540814529i</v>
      </c>
      <c r="GP187" s="1">
        <f t="shared" si="547"/>
        <v>37.4</v>
      </c>
      <c r="GQ187" s="1">
        <f t="shared" si="548"/>
        <v>5.1385552173703886</v>
      </c>
      <c r="GR187" s="1">
        <f t="shared" si="562"/>
        <v>17.936564339995581</v>
      </c>
      <c r="GS187" s="1">
        <f t="shared" si="563"/>
        <v>3.9942600440332501</v>
      </c>
    </row>
    <row r="188" spans="2:201" ht="18" customHeight="1" x14ac:dyDescent="0.25">
      <c r="B188" s="6"/>
      <c r="AP188" s="8"/>
      <c r="AR188" s="6"/>
      <c r="AT188" s="24"/>
      <c r="AU188" s="177" t="s">
        <v>169</v>
      </c>
      <c r="AV188" s="177"/>
      <c r="AW188" s="177"/>
      <c r="AX188" s="177"/>
      <c r="AY188" s="177"/>
      <c r="AZ188" s="177"/>
      <c r="BA188" s="177"/>
      <c r="BB188" s="24" t="s">
        <v>170</v>
      </c>
      <c r="CF188" s="8"/>
      <c r="EA188" s="1">
        <f t="shared" si="609"/>
        <v>37.6</v>
      </c>
      <c r="EB188" s="1" t="str">
        <f t="shared" si="549"/>
        <v>3.20959285537508E-06-0.0120680691362103i</v>
      </c>
      <c r="EC188" s="1" t="str">
        <f t="shared" si="550"/>
        <v>6.28818192073486E-06-0.0236435640219631i</v>
      </c>
      <c r="ED188" s="1" t="str">
        <f t="shared" si="551"/>
        <v>0.0000155403245905662-0.0584316204605287i</v>
      </c>
      <c r="EE188" s="1" t="str">
        <f t="shared" si="552"/>
        <v>0.0000217029612125363-0.0816031341591366i</v>
      </c>
      <c r="EF188" s="1" t="str">
        <f t="shared" si="553"/>
        <v>0.682454185152626i</v>
      </c>
      <c r="EG188" s="1" t="str">
        <f t="shared" si="554"/>
        <v>0.682169947674426i</v>
      </c>
      <c r="EH188" s="1" t="str">
        <f t="shared" si="555"/>
        <v>0.682713170127596i</v>
      </c>
      <c r="EI188" s="1" t="str">
        <f t="shared" si="556"/>
        <v>0.682646479935707i</v>
      </c>
      <c r="EJ188" s="1" t="str">
        <f t="shared" si="544"/>
        <v>0.005</v>
      </c>
      <c r="EK188" s="1" t="str">
        <f t="shared" si="545"/>
        <v>0.01</v>
      </c>
      <c r="EL188" s="1" t="str">
        <f t="shared" si="546"/>
        <v>0.0125</v>
      </c>
      <c r="EM188" s="1" t="str">
        <f t="shared" si="564"/>
        <v>0.00500320959285537+0.670386116016416i</v>
      </c>
      <c r="EN188" s="1" t="str">
        <f t="shared" si="565"/>
        <v>-0.005</v>
      </c>
      <c r="EO188" s="1" t="str">
        <f t="shared" si="566"/>
        <v>0.0231076494590276-86.8847619659437i</v>
      </c>
      <c r="EP188" s="1" t="str">
        <f t="shared" si="567"/>
        <v>-0.005</v>
      </c>
      <c r="EQ188" s="1" t="str">
        <f t="shared" si="568"/>
        <v>0.0150062881819207+0.658526383652463i</v>
      </c>
      <c r="ER188" s="1" t="str">
        <f t="shared" si="569"/>
        <v>-0.01</v>
      </c>
      <c r="ES188" s="1" t="str">
        <f t="shared" si="570"/>
        <v>0.0452721295523806-170.223207116951i</v>
      </c>
      <c r="ET188" s="1" t="str">
        <f t="shared" si="571"/>
        <v>-0.01</v>
      </c>
      <c r="EU188" s="1" t="str">
        <f t="shared" si="572"/>
        <v>0.0225155403245906+0.624281549667067i</v>
      </c>
      <c r="EV188" s="1" t="str">
        <f t="shared" si="573"/>
        <v>-0.0125</v>
      </c>
      <c r="EW188" s="1" t="str">
        <f t="shared" si="574"/>
        <v>0.11188346600315-420.681832171842i</v>
      </c>
      <c r="EX188" s="1" t="str">
        <f t="shared" si="575"/>
        <v>-0.0125</v>
      </c>
      <c r="EY188" s="1" t="str">
        <f t="shared" si="576"/>
        <v>0.0125217029612125+0.60104334577657i</v>
      </c>
      <c r="EZ188" s="1" t="str">
        <f t="shared" si="577"/>
        <v>0.156251724913425-587.506485674479i</v>
      </c>
      <c r="FB188" s="1" t="str">
        <f t="shared" si="578"/>
        <v>0.00500320959285537+0.670386116016416i</v>
      </c>
      <c r="FC188" s="1" t="str">
        <f t="shared" si="579"/>
        <v>0.0231076494590276-86.8847619659437i</v>
      </c>
      <c r="FD188" s="1" t="str">
        <f t="shared" si="580"/>
        <v>-0.0000556601649770847+0.00745797295182381i</v>
      </c>
      <c r="FE188" s="1" t="str">
        <f t="shared" si="581"/>
        <v>0.0150060098810958+0.658563673517222i</v>
      </c>
      <c r="FF188" s="1" t="str">
        <f t="shared" si="582"/>
        <v>-0.602710788939696-170.228215473361i</v>
      </c>
      <c r="FG188" s="1" t="str">
        <f t="shared" si="583"/>
        <v>-0.000345815343203003+0.0151766808487372i</v>
      </c>
      <c r="FH188" s="1" t="str">
        <f t="shared" si="584"/>
        <v>0.0225120821711586+0.624433316475554i</v>
      </c>
      <c r="FI188" s="1" t="str">
        <f t="shared" si="585"/>
        <v>-2.47182425832445-420.731552551311i</v>
      </c>
      <c r="FJ188" s="1" t="str">
        <f t="shared" si="586"/>
        <v>-0.000720757944469995+0.019992165550022i</v>
      </c>
      <c r="FK188" s="1" t="str">
        <f t="shared" si="587"/>
        <v>0.0125126934869066+0.601293247845945i</v>
      </c>
      <c r="FL188" s="1" t="str">
        <f t="shared" si="588"/>
        <v>-8.25400846685564-587.811932239886i</v>
      </c>
      <c r="FM188" s="1" t="str">
        <f t="shared" si="589"/>
        <v>-977.441849639906-6.6131156689495i</v>
      </c>
      <c r="FN188" s="1" t="str">
        <f t="shared" si="590"/>
        <v>-673.886024497251-0.769866318740899i</v>
      </c>
      <c r="FO188" s="1" t="str">
        <f t="shared" si="591"/>
        <v>-258.615496575016+5.25504894374122i</v>
      </c>
      <c r="FP188" s="1" t="str">
        <f t="shared" si="592"/>
        <v>-129.571786266737+0.927368593337157i</v>
      </c>
      <c r="FQ188" s="92" t="str">
        <f t="shared" si="593"/>
        <v>0.0123319738393446-88.4484462171885i</v>
      </c>
      <c r="FR188" s="1" t="str">
        <f t="shared" si="594"/>
        <v>-0.632886577702046-88.4268078154362i</v>
      </c>
      <c r="FS188" s="1" t="str">
        <f t="shared" si="595"/>
        <v>0.645218551541395-0.0216384017520203i</v>
      </c>
      <c r="FT188" s="1" t="str">
        <f t="shared" si="596"/>
        <v>-0.0773497352975296-176.337832211998i</v>
      </c>
      <c r="FU188" s="1" t="str">
        <f t="shared" si="597"/>
        <v>0.167340410102896-460.058072624947i</v>
      </c>
      <c r="FV188" s="1" t="str">
        <f t="shared" si="598"/>
        <v>0.717116072606844-667.268660539205i</v>
      </c>
      <c r="FW188" s="1" t="str">
        <f t="shared" si="599"/>
        <v>-0.632886577702046-88.4268078154362i</v>
      </c>
      <c r="FX188" s="1" t="str">
        <f t="shared" si="600"/>
        <v>-3.5848364629785-176.419719766374i</v>
      </c>
      <c r="FY188" s="1" t="str">
        <f t="shared" si="601"/>
        <v>0.525597875042061-460.070864089201i</v>
      </c>
      <c r="FZ188" s="1" t="str">
        <f t="shared" si="602"/>
        <v>4.51442013281604-667.247237998528i</v>
      </c>
      <c r="GA188" s="1" t="str">
        <f t="shared" si="603"/>
        <v>0.645218551541395-0.0216384017520203i</v>
      </c>
      <c r="GB188" s="1" t="str">
        <f t="shared" si="604"/>
        <v>4.15270527922235+0.0602491526248212i</v>
      </c>
      <c r="GC188" s="1" t="str">
        <f t="shared" si="605"/>
        <v>3.79444781428319+0.0730406168776075i</v>
      </c>
      <c r="GD188" s="92" t="str">
        <f t="shared" si="606"/>
        <v>0.819438721251555-1392.11301159334i</v>
      </c>
      <c r="GE188" s="1" t="str">
        <f t="shared" si="557"/>
        <v>0.00304419993432829+5.1716744993419i</v>
      </c>
      <c r="GF188" s="1">
        <f t="shared" si="558"/>
        <v>37.6</v>
      </c>
      <c r="GG188" s="56">
        <f t="shared" si="559"/>
        <v>0.22287711111869374</v>
      </c>
      <c r="GH188" s="1">
        <f t="shared" si="560"/>
        <v>0.77712290843721665</v>
      </c>
      <c r="GJ188" s="1">
        <f t="shared" si="607"/>
        <v>1392.1132527662025</v>
      </c>
      <c r="GK188" s="1">
        <f t="shared" si="608"/>
        <v>5.1716753952946943</v>
      </c>
      <c r="GM188" s="1" t="str">
        <f t="shared" si="561"/>
        <v>0.0191834803010191+18.032471482958i</v>
      </c>
      <c r="GP188" s="1">
        <f t="shared" si="547"/>
        <v>37.6</v>
      </c>
      <c r="GQ188" s="1">
        <f t="shared" si="548"/>
        <v>5.1716753952946943</v>
      </c>
      <c r="GR188" s="1">
        <f t="shared" si="562"/>
        <v>18.032481686933995</v>
      </c>
      <c r="GS188" s="1">
        <f t="shared" si="563"/>
        <v>4.0190274246845972</v>
      </c>
    </row>
    <row r="189" spans="2:201" ht="18" customHeight="1" x14ac:dyDescent="0.25">
      <c r="B189" s="6"/>
      <c r="AP189" s="8"/>
      <c r="AR189" s="6"/>
      <c r="AT189" s="177" t="s">
        <v>51</v>
      </c>
      <c r="AU189" s="177"/>
      <c r="AV189" s="177"/>
      <c r="AW189" s="177"/>
      <c r="AX189" s="177"/>
      <c r="AY189" s="177"/>
      <c r="AZ189" s="177"/>
      <c r="BA189" s="177"/>
      <c r="BB189" s="24" t="s">
        <v>171</v>
      </c>
      <c r="CF189" s="8"/>
      <c r="EA189" s="1">
        <f t="shared" si="609"/>
        <v>37.799999999999997</v>
      </c>
      <c r="EB189" s="1" t="str">
        <f t="shared" si="549"/>
        <v>3.17571876389413E-06-0.0120042169275198i</v>
      </c>
      <c r="EC189" s="1" t="str">
        <f t="shared" si="550"/>
        <v>6.22181635375177E-06-0.0235184658171817i</v>
      </c>
      <c r="ED189" s="1" t="str">
        <f t="shared" si="551"/>
        <v>0.0000153763117700793-0.0581224584908996i</v>
      </c>
      <c r="EE189" s="1" t="str">
        <f t="shared" si="552"/>
        <v>0.0000214739078320462-0.0811713716051343i</v>
      </c>
      <c r="EF189" s="1" t="str">
        <f t="shared" si="553"/>
        <v>0.686084260605565i</v>
      </c>
      <c r="EG189" s="1" t="str">
        <f t="shared" si="554"/>
        <v>0.68579851122589i</v>
      </c>
      <c r="EH189" s="1" t="str">
        <f t="shared" si="555"/>
        <v>0.686344623160188i</v>
      </c>
      <c r="EI189" s="1" t="str">
        <f t="shared" si="556"/>
        <v>0.686277578233236i</v>
      </c>
      <c r="EJ189" s="1" t="str">
        <f t="shared" si="544"/>
        <v>0.005</v>
      </c>
      <c r="EK189" s="1" t="str">
        <f t="shared" si="545"/>
        <v>0.01</v>
      </c>
      <c r="EL189" s="1" t="str">
        <f t="shared" si="546"/>
        <v>0.0125</v>
      </c>
      <c r="EM189" s="1" t="str">
        <f t="shared" si="564"/>
        <v>0.00500317571876389+0.674080043678045i</v>
      </c>
      <c r="EN189" s="1" t="str">
        <f t="shared" si="565"/>
        <v>-0.005</v>
      </c>
      <c r="EO189" s="1" t="str">
        <f t="shared" si="566"/>
        <v>0.0228637709775641-86.4250542951923i</v>
      </c>
      <c r="EP189" s="1" t="str">
        <f t="shared" si="567"/>
        <v>-0.005</v>
      </c>
      <c r="EQ189" s="1" t="str">
        <f t="shared" si="568"/>
        <v>0.0150062218163538+0.662280045408708i</v>
      </c>
      <c r="ER189" s="1" t="str">
        <f t="shared" si="569"/>
        <v>-0.01</v>
      </c>
      <c r="ES189" s="1" t="str">
        <f t="shared" si="570"/>
        <v>0.0447943268131869-169.322555353847i</v>
      </c>
      <c r="ET189" s="1" t="str">
        <f t="shared" si="571"/>
        <v>-0.01</v>
      </c>
      <c r="EU189" s="1" t="str">
        <f t="shared" si="572"/>
        <v>0.0225153763117701+0.628222164669288i</v>
      </c>
      <c r="EV189" s="1" t="str">
        <f t="shared" si="573"/>
        <v>-0.0125</v>
      </c>
      <c r="EW189" s="1" t="str">
        <f t="shared" si="574"/>
        <v>0.110702646212798-418.456002684376i</v>
      </c>
      <c r="EX189" s="1" t="str">
        <f t="shared" si="575"/>
        <v>-0.0125</v>
      </c>
      <c r="EY189" s="1" t="str">
        <f t="shared" si="576"/>
        <v>0.012521473907832+0.605106206628102i</v>
      </c>
      <c r="EZ189" s="1" t="str">
        <f t="shared" si="577"/>
        <v>0.154602641848292-584.397986186542i</v>
      </c>
      <c r="FB189" s="1" t="str">
        <f t="shared" si="578"/>
        <v>0.00500317571876389+0.674080043678045i</v>
      </c>
      <c r="FC189" s="1" t="str">
        <f t="shared" si="579"/>
        <v>0.0228637709775641-86.4250542951923i</v>
      </c>
      <c r="FD189" s="1" t="str">
        <f t="shared" si="580"/>
        <v>-0.0000550514669805934+0.00741710812347546i</v>
      </c>
      <c r="FE189" s="1" t="str">
        <f t="shared" si="581"/>
        <v>0.0150059465590189+0.662317130949325i</v>
      </c>
      <c r="FF189" s="1" t="str">
        <f t="shared" si="582"/>
        <v>-0.596228386787359-169.327482762931i</v>
      </c>
      <c r="FG189" s="1" t="str">
        <f t="shared" si="583"/>
        <v>-0.000341907431616438+0.0150907607372725i</v>
      </c>
      <c r="FH189" s="1" t="str">
        <f t="shared" si="584"/>
        <v>0.0225119572374539+0.628373072276661i</v>
      </c>
      <c r="FI189" s="1" t="str">
        <f t="shared" si="585"/>
        <v>-2.44478173732361-418.50489946918i</v>
      </c>
      <c r="FJ189" s="1" t="str">
        <f t="shared" si="586"/>
        <v>-0.000711755910933619+0.0198671418813967i</v>
      </c>
      <c r="FK189" s="1" t="str">
        <f t="shared" si="587"/>
        <v>0.0125125769589453+0.605354545901619i</v>
      </c>
      <c r="FL189" s="1" t="str">
        <f t="shared" si="588"/>
        <v>-8.15884334134153-584.698024065097i</v>
      </c>
      <c r="FM189" s="1" t="str">
        <f t="shared" si="589"/>
        <v>-965.742963482842-6.48395198874963i</v>
      </c>
      <c r="FN189" s="1" t="str">
        <f t="shared" si="590"/>
        <v>-666.115095150121-0.762263339273173i</v>
      </c>
      <c r="FO189" s="1" t="str">
        <f t="shared" si="591"/>
        <v>-255.787691188656+5.16224442051818i</v>
      </c>
      <c r="FP189" s="1" t="str">
        <f t="shared" si="592"/>
        <v>-128.180335282718+0.912007334472933i</v>
      </c>
      <c r="FQ189" s="92" t="str">
        <f t="shared" si="593"/>
        <v>0.0123229017909815-87.9637617420471i</v>
      </c>
      <c r="FR189" s="1" t="str">
        <f t="shared" si="594"/>
        <v>-0.625713877738715-87.942510556617i</v>
      </c>
      <c r="FS189" s="1" t="str">
        <f t="shared" si="595"/>
        <v>0.63803677952969-0.0212511854302263i</v>
      </c>
      <c r="FT189" s="1" t="str">
        <f t="shared" si="596"/>
        <v>-0.0750222780905809-175.33832154406i</v>
      </c>
      <c r="FU189" s="1" t="str">
        <f t="shared" si="597"/>
        <v>0.165249658886622-457.172237931602i</v>
      </c>
      <c r="FV189" s="1" t="str">
        <f t="shared" si="598"/>
        <v>0.701652193584216-662.788527914664i</v>
      </c>
      <c r="FW189" s="1" t="str">
        <f t="shared" si="599"/>
        <v>-0.625713877738715-87.942510556617i</v>
      </c>
      <c r="FX189" s="1" t="str">
        <f t="shared" si="600"/>
        <v>-3.54025953817552-175.418817807088i</v>
      </c>
      <c r="FY189" s="1" t="str">
        <f t="shared" si="601"/>
        <v>0.523175344342272-457.184513962123i</v>
      </c>
      <c r="FZ189" s="1" t="str">
        <f t="shared" si="602"/>
        <v>4.44979086821967-662.767742174793i</v>
      </c>
      <c r="GA189" s="1" t="str">
        <f t="shared" si="603"/>
        <v>0.63803677952969-0.0212511854302263i</v>
      </c>
      <c r="GB189" s="1" t="str">
        <f t="shared" si="604"/>
        <v>4.10327403961465+0.0592450775979135i</v>
      </c>
      <c r="GC189" s="1" t="str">
        <f t="shared" si="605"/>
        <v>3.74534835415901+0.0715211081184557i</v>
      </c>
      <c r="GD189" s="92" t="str">
        <f t="shared" si="606"/>
        <v>0.804202476171239-1383.26284913237i</v>
      </c>
      <c r="GE189" s="1" t="str">
        <f t="shared" si="557"/>
        <v>0.00302594938400564+5.20476309172509i</v>
      </c>
      <c r="GF189" s="1">
        <f t="shared" si="558"/>
        <v>37.799999999999997</v>
      </c>
      <c r="GG189" s="56">
        <f t="shared" si="559"/>
        <v>0.22306294575613422</v>
      </c>
      <c r="GH189" s="1">
        <f t="shared" si="560"/>
        <v>0.77693707394503708</v>
      </c>
      <c r="GJ189" s="1">
        <f t="shared" si="607"/>
        <v>1383.2630829062939</v>
      </c>
      <c r="GK189" s="1">
        <f t="shared" si="608"/>
        <v>5.2047639713394682</v>
      </c>
      <c r="GM189" s="1" t="str">
        <f t="shared" si="561"/>
        <v>0.0191834803010191+18.1283888844631i</v>
      </c>
      <c r="GP189" s="1">
        <f t="shared" si="547"/>
        <v>37.799999999999997</v>
      </c>
      <c r="GQ189" s="1">
        <f t="shared" si="548"/>
        <v>5.2047639713394682</v>
      </c>
      <c r="GR189" s="1">
        <f t="shared" si="562"/>
        <v>18.128399034449838</v>
      </c>
      <c r="GS189" s="1">
        <f t="shared" si="563"/>
        <v>4.0437740904670516</v>
      </c>
    </row>
    <row r="190" spans="2:201" ht="18" customHeight="1" x14ac:dyDescent="0.25">
      <c r="B190" s="6"/>
      <c r="AP190" s="8"/>
      <c r="AR190" s="6"/>
      <c r="AT190" s="24"/>
      <c r="AU190" s="177" t="s">
        <v>172</v>
      </c>
      <c r="AV190" s="177"/>
      <c r="AW190" s="177"/>
      <c r="AX190" s="177"/>
      <c r="AY190" s="177"/>
      <c r="AZ190" s="177"/>
      <c r="BA190" s="177"/>
      <c r="BB190" s="24" t="s">
        <v>173</v>
      </c>
      <c r="CF190" s="8"/>
      <c r="EA190" s="1">
        <f t="shared" si="609"/>
        <v>38</v>
      </c>
      <c r="EB190" s="1" t="str">
        <f t="shared" si="549"/>
        <v>3.14237811768459E-06-0.0119410368472015i</v>
      </c>
      <c r="EC190" s="1" t="str">
        <f t="shared" si="550"/>
        <v>6.15649590403512E-06-0.0233946844353335i</v>
      </c>
      <c r="ED190" s="1" t="str">
        <f t="shared" si="551"/>
        <v>0.0000152148818045034-0.0578165508571132i</v>
      </c>
      <c r="EE190" s="1" t="str">
        <f t="shared" si="552"/>
        <v>0.0000212484615576767-0.0807441539191716i</v>
      </c>
      <c r="EF190" s="1" t="str">
        <f t="shared" si="553"/>
        <v>0.689714336058506i</v>
      </c>
      <c r="EG190" s="1" t="str">
        <f t="shared" si="554"/>
        <v>0.689427074777346i</v>
      </c>
      <c r="EH190" s="1" t="str">
        <f t="shared" si="555"/>
        <v>0.689976076192784i</v>
      </c>
      <c r="EI190" s="1" t="str">
        <f t="shared" si="556"/>
        <v>0.689908676530766i</v>
      </c>
      <c r="EJ190" s="1" t="str">
        <f t="shared" si="544"/>
        <v>0.005</v>
      </c>
      <c r="EK190" s="1" t="str">
        <f t="shared" si="545"/>
        <v>0.01</v>
      </c>
      <c r="EL190" s="1" t="str">
        <f t="shared" si="546"/>
        <v>0.0125</v>
      </c>
      <c r="EM190" s="1" t="str">
        <f t="shared" si="564"/>
        <v>0.00500314237811769+0.677773299211304i</v>
      </c>
      <c r="EN190" s="1" t="str">
        <f t="shared" si="565"/>
        <v>-0.005</v>
      </c>
      <c r="EO190" s="1" t="str">
        <f t="shared" si="566"/>
        <v>0.0226237330661956-85.9701856515438i</v>
      </c>
      <c r="EP190" s="1" t="str">
        <f t="shared" si="567"/>
        <v>-0.005</v>
      </c>
      <c r="EQ190" s="1" t="str">
        <f t="shared" si="568"/>
        <v>0.015006156495904+0.666032390342012i</v>
      </c>
      <c r="ER190" s="1" t="str">
        <f t="shared" si="569"/>
        <v>-0.01</v>
      </c>
      <c r="ES190" s="1" t="str">
        <f t="shared" si="570"/>
        <v>0.04432404845622-168.431384133636i</v>
      </c>
      <c r="ET190" s="1" t="str">
        <f t="shared" si="571"/>
        <v>-0.01</v>
      </c>
      <c r="EU190" s="1" t="str">
        <f t="shared" si="572"/>
        <v>0.0225152148818045+0.632159525335671i</v>
      </c>
      <c r="EV190" s="1" t="str">
        <f t="shared" si="573"/>
        <v>-0.0125</v>
      </c>
      <c r="EW190" s="1" t="str">
        <f t="shared" si="574"/>
        <v>0.109540421835814-416.253602976096i</v>
      </c>
      <c r="EX190" s="1" t="str">
        <f t="shared" si="575"/>
        <v>-0.0125</v>
      </c>
      <c r="EY190" s="1" t="str">
        <f t="shared" si="576"/>
        <v>0.0125212484615577+0.609164522611594i</v>
      </c>
      <c r="EZ190" s="1" t="str">
        <f t="shared" si="577"/>
        <v>0.15297952835237-581.322207739007i</v>
      </c>
      <c r="FB190" s="1" t="str">
        <f t="shared" si="578"/>
        <v>0.00500314237811769+0.677773299211304i</v>
      </c>
      <c r="FC190" s="1" t="str">
        <f t="shared" si="579"/>
        <v>0.0226237330661956-85.9701856515438i</v>
      </c>
      <c r="FD190" s="1" t="str">
        <f t="shared" si="580"/>
        <v>-0.0000544528093106799+0.00737669596996533i</v>
      </c>
      <c r="FE190" s="1" t="str">
        <f t="shared" si="581"/>
        <v>0.0150058842318574+0.666069273821862i</v>
      </c>
      <c r="FF190" s="1" t="str">
        <f t="shared" si="582"/>
        <v>-0.589850641650872-168.436232340162i</v>
      </c>
      <c r="FG190" s="1" t="str">
        <f t="shared" si="583"/>
        <v>-0.000338066719096373+0.0150058370844828i</v>
      </c>
      <c r="FH190" s="1" t="str">
        <f t="shared" si="584"/>
        <v>0.0225118342146135+0.632309583706516i</v>
      </c>
      <c r="FI190" s="1" t="str">
        <f t="shared" si="585"/>
        <v>-2.41818564865593-416.301694457907i</v>
      </c>
      <c r="FJ190" s="1" t="str">
        <f t="shared" si="586"/>
        <v>-0.000702928623684549+0.0197437712618213i</v>
      </c>
      <c r="FK190" s="1" t="str">
        <f t="shared" si="587"/>
        <v>0.0125124618537616+0.609411319752367i</v>
      </c>
      <c r="FL190" s="1" t="str">
        <f t="shared" si="588"/>
        <v>-8.06535939661869-581.616967052283i</v>
      </c>
      <c r="FM190" s="1" t="str">
        <f t="shared" si="589"/>
        <v>-954.260924847291-6.35825738459013i</v>
      </c>
      <c r="FN190" s="1" t="str">
        <f t="shared" si="590"/>
        <v>-658.481532753592-0.754661801406354i</v>
      </c>
      <c r="FO190" s="1" t="str">
        <f t="shared" si="591"/>
        <v>-253.006542072583+5.07166329646142i</v>
      </c>
      <c r="FP190" s="1" t="str">
        <f t="shared" si="592"/>
        <v>-126.811302820208+0.896987200351595i</v>
      </c>
      <c r="FQ190" s="92" t="str">
        <f t="shared" si="593"/>
        <v>0.0123112649183864-87.4844469098344i</v>
      </c>
      <c r="FR190" s="1" t="str">
        <f t="shared" si="594"/>
        <v>-0.618664931343478-87.4635735293539i</v>
      </c>
      <c r="FS190" s="1" t="str">
        <f t="shared" si="595"/>
        <v>0.630976196261875-0.0208733804805491i</v>
      </c>
      <c r="FT190" s="1" t="str">
        <f t="shared" si="596"/>
        <v>-0.0727682801867942-174.350423569174i</v>
      </c>
      <c r="FU190" s="1" t="str">
        <f t="shared" si="597"/>
        <v>0.163191082948039-454.324722520924i</v>
      </c>
      <c r="FV190" s="1" t="str">
        <f t="shared" si="598"/>
        <v>0.686648217849035-658.37306363074i</v>
      </c>
      <c r="FW190" s="1" t="str">
        <f t="shared" si="599"/>
        <v>-0.618664931343478-87.4635735293539i</v>
      </c>
      <c r="FX190" s="1" t="str">
        <f t="shared" si="600"/>
        <v>-3.49654199073503-174.429560200632i</v>
      </c>
      <c r="FY190" s="1" t="str">
        <f t="shared" si="601"/>
        <v>0.520698588586934-454.336504214734i</v>
      </c>
      <c r="FZ190" s="1" t="str">
        <f t="shared" si="602"/>
        <v>4.38661693724455-658.352891726419i</v>
      </c>
      <c r="GA190" s="1" t="str">
        <f t="shared" si="603"/>
        <v>0.630976196261875-0.0208733804805491i</v>
      </c>
      <c r="GB190" s="1" t="str">
        <f t="shared" si="604"/>
        <v>4.05474990681009+0.0582632509786777i</v>
      </c>
      <c r="GC190" s="1" t="str">
        <f t="shared" si="605"/>
        <v>3.69724240117124+0.0700449447897973i</v>
      </c>
      <c r="GD190" s="92" t="str">
        <f t="shared" si="606"/>
        <v>0.789382285528666-1374.53265663067i</v>
      </c>
      <c r="GE190" s="1" t="str">
        <f t="shared" si="557"/>
        <v>0.00300803533974071+5.23782061311862i</v>
      </c>
      <c r="GF190" s="1">
        <f t="shared" si="558"/>
        <v>38</v>
      </c>
      <c r="GG190" s="56">
        <f t="shared" si="559"/>
        <v>0.22324570813464556</v>
      </c>
      <c r="GH190" s="1">
        <f t="shared" si="560"/>
        <v>0.77675431170390474</v>
      </c>
      <c r="GJ190" s="1">
        <f t="shared" si="607"/>
        <v>1374.5328832983807</v>
      </c>
      <c r="GK190" s="1">
        <f t="shared" si="608"/>
        <v>5.2378214768629636</v>
      </c>
      <c r="GM190" s="1" t="str">
        <f t="shared" si="561"/>
        <v>0.0191834803010191+18.2243062859682i</v>
      </c>
      <c r="GP190" s="1">
        <f t="shared" si="547"/>
        <v>38</v>
      </c>
      <c r="GQ190" s="1">
        <f t="shared" si="548"/>
        <v>5.2378214768629636</v>
      </c>
      <c r="GR190" s="1">
        <f t="shared" si="562"/>
        <v>18.224316382533981</v>
      </c>
      <c r="GS190" s="1">
        <f t="shared" si="563"/>
        <v>4.0685004160886171</v>
      </c>
    </row>
    <row r="191" spans="2:201" ht="18" customHeight="1" x14ac:dyDescent="0.25">
      <c r="B191" s="6"/>
      <c r="AP191" s="8"/>
      <c r="AR191" s="6"/>
      <c r="AT191" s="24"/>
      <c r="AU191" s="177" t="s">
        <v>53</v>
      </c>
      <c r="AV191" s="177"/>
      <c r="AW191" s="177"/>
      <c r="AX191" s="177"/>
      <c r="AY191" s="177"/>
      <c r="AZ191" s="177"/>
      <c r="BA191" s="177"/>
      <c r="BB191" s="24" t="s">
        <v>175</v>
      </c>
      <c r="CF191" s="8"/>
      <c r="EA191" s="1">
        <f t="shared" si="609"/>
        <v>38.200000000000003</v>
      </c>
      <c r="EB191" s="1" t="str">
        <f t="shared" si="549"/>
        <v>3.10955977441572E-06-0.0118785183382681i</v>
      </c>
      <c r="EC191" s="1" t="str">
        <f t="shared" si="550"/>
        <v>6.09219874171243E-06-0.0232721991933415i</v>
      </c>
      <c r="ED191" s="1" t="str">
        <f t="shared" si="551"/>
        <v>0.0000150559807444925-0.0575138464439613i</v>
      </c>
      <c r="EE191" s="1" t="str">
        <f t="shared" si="552"/>
        <v>0.0000210265470460491-0.0803214097159077i</v>
      </c>
      <c r="EF191" s="1" t="str">
        <f t="shared" si="553"/>
        <v>0.693344411511442i</v>
      </c>
      <c r="EG191" s="1" t="str">
        <f t="shared" si="554"/>
        <v>0.693055638328808i</v>
      </c>
      <c r="EH191" s="1" t="str">
        <f t="shared" si="555"/>
        <v>0.693607529225377i</v>
      </c>
      <c r="EI191" s="1" t="str">
        <f t="shared" si="556"/>
        <v>0.6935397748283i</v>
      </c>
      <c r="EJ191" s="1" t="str">
        <f t="shared" si="544"/>
        <v>0.005</v>
      </c>
      <c r="EK191" s="1" t="str">
        <f t="shared" si="545"/>
        <v>0.01</v>
      </c>
      <c r="EL191" s="1" t="str">
        <f t="shared" si="546"/>
        <v>0.0125</v>
      </c>
      <c r="EM191" s="1" t="str">
        <f t="shared" si="564"/>
        <v>0.00500310955977442+0.681465893173174i</v>
      </c>
      <c r="EN191" s="1" t="str">
        <f t="shared" si="565"/>
        <v>-0.005</v>
      </c>
      <c r="EO191" s="1" t="str">
        <f t="shared" si="566"/>
        <v>0.0223874555050672-85.5200800293572i</v>
      </c>
      <c r="EP191" s="1" t="str">
        <f t="shared" si="567"/>
        <v>-0.005</v>
      </c>
      <c r="EQ191" s="1" t="str">
        <f t="shared" si="568"/>
        <v>0.0150060921987417+0.669783439135467i</v>
      </c>
      <c r="ER191" s="1" t="str">
        <f t="shared" si="569"/>
        <v>-0.01</v>
      </c>
      <c r="ES191" s="1" t="str">
        <f t="shared" si="570"/>
        <v>0.0438611373160501-167.549544547312i</v>
      </c>
      <c r="ET191" s="1" t="str">
        <f t="shared" si="571"/>
        <v>-0.01</v>
      </c>
      <c r="EU191" s="1" t="str">
        <f t="shared" si="572"/>
        <v>0.0225150559807445+0.636093682781416i</v>
      </c>
      <c r="EV191" s="1" t="str">
        <f t="shared" si="573"/>
        <v>-0.0125</v>
      </c>
      <c r="EW191" s="1" t="str">
        <f t="shared" si="574"/>
        <v>0.10839640446076-414.074265040102i</v>
      </c>
      <c r="EX191" s="1" t="str">
        <f t="shared" si="575"/>
        <v>-0.0125</v>
      </c>
      <c r="EY191" s="1" t="str">
        <f t="shared" si="576"/>
        <v>0.0125210265470461+0.613218365112392i</v>
      </c>
      <c r="EZ191" s="1" t="str">
        <f t="shared" si="577"/>
        <v>0.151381841986645-578.278636388984i</v>
      </c>
      <c r="FB191" s="1" t="str">
        <f t="shared" si="578"/>
        <v>0.00500310955977442+0.681465893173174i</v>
      </c>
      <c r="FC191" s="1" t="str">
        <f t="shared" si="579"/>
        <v>0.0223874555050672-85.5200800293572i</v>
      </c>
      <c r="FD191" s="1" t="str">
        <f t="shared" si="580"/>
        <v>-0.0000538639701027881+0.00733672889977741i</v>
      </c>
      <c r="FE191" s="1" t="str">
        <f t="shared" si="581"/>
        <v>0.0150058228788912+0.669820122779966i</v>
      </c>
      <c r="FF191" s="1" t="str">
        <f t="shared" si="582"/>
        <v>-0.583575299469378-167.554315249038i</v>
      </c>
      <c r="FG191" s="1" t="str">
        <f t="shared" si="583"/>
        <v>-0.000334291646447747+0.0149218922197816i</v>
      </c>
      <c r="FH191" s="1" t="str">
        <f t="shared" si="584"/>
        <v>0.02251171306428+0.636242901703614i</v>
      </c>
      <c r="FI191" s="1" t="str">
        <f t="shared" si="585"/>
        <v>-2.39202611299238-414.121569000295i</v>
      </c>
      <c r="FJ191" s="1" t="str">
        <f t="shared" si="586"/>
        <v>-0.00069427144314422+0.0196220197145695i</v>
      </c>
      <c r="FK191" s="1" t="str">
        <f t="shared" si="587"/>
        <v>0.0125123481540068+0.613463640358824i</v>
      </c>
      <c r="FL191" s="1" t="str">
        <f t="shared" si="588"/>
        <v>-7.97351629339795-578.568243282928i</v>
      </c>
      <c r="FM191" s="1" t="str">
        <f t="shared" si="589"/>
        <v>-942.990226826318-6.23591274006263i</v>
      </c>
      <c r="FN191" s="1" t="str">
        <f t="shared" si="590"/>
        <v>-650.982036914273-0.747068258711474i</v>
      </c>
      <c r="FO191" s="1" t="str">
        <f t="shared" si="591"/>
        <v>-250.271017274279+4.98323803384875i</v>
      </c>
      <c r="FP191" s="1" t="str">
        <f t="shared" si="592"/>
        <v>-125.46420728118+0.882298677060183i</v>
      </c>
      <c r="FQ191" s="92" t="str">
        <f t="shared" si="593"/>
        <v>0.0122971929418687-87.0104116599034i</v>
      </c>
      <c r="FR191" s="1" t="str">
        <f t="shared" si="594"/>
        <v>-0.611736857023616-86.9899069631193i</v>
      </c>
      <c r="FS191" s="1" t="str">
        <f t="shared" si="595"/>
        <v>0.624034049965495-0.0205046967839428i</v>
      </c>
      <c r="FT191" s="1" t="str">
        <f t="shared" si="596"/>
        <v>-0.070585070058988-173.373931872515i</v>
      </c>
      <c r="FU191" s="1" t="str">
        <f t="shared" si="597"/>
        <v>0.161164346588241-451.514734701121i</v>
      </c>
      <c r="FV191" s="1" t="str">
        <f t="shared" si="598"/>
        <v>0.672086972502192-654.020809636285i</v>
      </c>
      <c r="FW191" s="1" t="str">
        <f t="shared" si="599"/>
        <v>-0.611736857023616-86.9899069631193i</v>
      </c>
      <c r="FX191" s="1" t="str">
        <f t="shared" si="600"/>
        <v>-3.45366121649344-173.451739632226i</v>
      </c>
      <c r="FY191" s="1" t="str">
        <f t="shared" si="601"/>
        <v>0.51817216908757-451.526042194212i</v>
      </c>
      <c r="FZ191" s="1" t="str">
        <f t="shared" si="602"/>
        <v>4.32485351759196-654.001229578412i</v>
      </c>
      <c r="GA191" s="1" t="str">
        <f t="shared" si="603"/>
        <v>0.624034049965495-0.0205046967839428i</v>
      </c>
      <c r="GB191" s="1" t="str">
        <f t="shared" si="604"/>
        <v>4.00711019639994+0.0573030629256022i</v>
      </c>
      <c r="GC191" s="1" t="str">
        <f t="shared" si="605"/>
        <v>3.65010237390056+0.0686105560168895i</v>
      </c>
      <c r="GD191" s="92" t="str">
        <f t="shared" si="606"/>
        <v>0.774963441973314-1365.91988786982i</v>
      </c>
      <c r="GE191" s="1" t="str">
        <f t="shared" si="557"/>
        <v>0.00299044930905125+5.27084758282098i</v>
      </c>
      <c r="GF191" s="1">
        <f t="shared" si="558"/>
        <v>38.200000000000003</v>
      </c>
      <c r="GG191" s="56">
        <f t="shared" si="559"/>
        <v>0.22342546645926289</v>
      </c>
      <c r="GH191" s="1">
        <f t="shared" si="560"/>
        <v>0.77657455350900972</v>
      </c>
      <c r="GJ191" s="1">
        <f t="shared" si="607"/>
        <v>1365.9201077100513</v>
      </c>
      <c r="GK191" s="1">
        <f t="shared" si="608"/>
        <v>5.2708484311462458</v>
      </c>
      <c r="GM191" s="1" t="str">
        <f t="shared" si="561"/>
        <v>0.0191834803010191+18.3202236874733i</v>
      </c>
      <c r="GP191" s="1">
        <f t="shared" si="547"/>
        <v>38.200000000000003</v>
      </c>
      <c r="GQ191" s="1">
        <f t="shared" si="548"/>
        <v>5.2708484311462458</v>
      </c>
      <c r="GR191" s="1">
        <f t="shared" si="562"/>
        <v>18.320233731177513</v>
      </c>
      <c r="GS191" s="1">
        <f t="shared" si="563"/>
        <v>4.0932067670310586</v>
      </c>
    </row>
    <row r="192" spans="2:201" ht="18" customHeight="1" x14ac:dyDescent="0.25">
      <c r="B192" s="6"/>
      <c r="AP192" s="8"/>
      <c r="AR192" s="6"/>
      <c r="AT192" s="24"/>
      <c r="AU192" s="177" t="s">
        <v>176</v>
      </c>
      <c r="AV192" s="177"/>
      <c r="AW192" s="177"/>
      <c r="AX192" s="177"/>
      <c r="AY192" s="177"/>
      <c r="AZ192" s="177"/>
      <c r="BA192" s="177"/>
      <c r="BB192" s="24" t="s">
        <v>177</v>
      </c>
      <c r="CF192" s="8"/>
      <c r="EA192" s="1">
        <f t="shared" si="609"/>
        <v>38.4</v>
      </c>
      <c r="EB192" s="1" t="str">
        <f t="shared" si="549"/>
        <v>3.07725288116393E-06-0.0118166510636695i</v>
      </c>
      <c r="EC192" s="1" t="str">
        <f t="shared" si="550"/>
        <v>6.02890360391302E-06-0.023150989839026i</v>
      </c>
      <c r="ED192" s="1" t="str">
        <f t="shared" si="551"/>
        <v>0.0000148995560419621-0.0572142952011345i</v>
      </c>
      <c r="EE192" s="1" t="str">
        <f t="shared" si="552"/>
        <v>0.0000208080909107275-0.0799030690971938i</v>
      </c>
      <c r="EF192" s="1" t="str">
        <f t="shared" si="553"/>
        <v>0.696974486964386i</v>
      </c>
      <c r="EG192" s="1" t="str">
        <f t="shared" si="554"/>
        <v>0.696684201880267i</v>
      </c>
      <c r="EH192" s="1" t="str">
        <f t="shared" si="555"/>
        <v>0.69723898225797i</v>
      </c>
      <c r="EI192" s="1" t="str">
        <f t="shared" si="556"/>
        <v>0.697170873125827i</v>
      </c>
      <c r="EJ192" s="1" t="str">
        <f t="shared" si="544"/>
        <v>0.005</v>
      </c>
      <c r="EK192" s="1" t="str">
        <f t="shared" si="545"/>
        <v>0.01</v>
      </c>
      <c r="EL192" s="1" t="str">
        <f t="shared" si="546"/>
        <v>0.0125</v>
      </c>
      <c r="EM192" s="1" t="str">
        <f t="shared" si="564"/>
        <v>0.00500307725288116+0.685157835900717i</v>
      </c>
      <c r="EN192" s="1" t="str">
        <f t="shared" si="565"/>
        <v>-0.005</v>
      </c>
      <c r="EO192" s="1" t="str">
        <f t="shared" si="566"/>
        <v>0.0221548601579277-85.0746630064424i</v>
      </c>
      <c r="EP192" s="1" t="str">
        <f t="shared" si="567"/>
        <v>-0.005</v>
      </c>
      <c r="EQ192" s="1" t="str">
        <f t="shared" si="568"/>
        <v>0.0150060289036039+0.673533212041241i</v>
      </c>
      <c r="ER192" s="1" t="str">
        <f t="shared" si="569"/>
        <v>-0.01</v>
      </c>
      <c r="ES192" s="1" t="str">
        <f t="shared" si="570"/>
        <v>0.0434054403094095-166.676890788132i</v>
      </c>
      <c r="ET192" s="1" t="str">
        <f t="shared" si="571"/>
        <v>-0.01</v>
      </c>
      <c r="EU192" s="1" t="str">
        <f t="shared" si="572"/>
        <v>0.022514899556042+0.640024687056835i</v>
      </c>
      <c r="EV192" s="1" t="str">
        <f t="shared" si="573"/>
        <v>-0.0125</v>
      </c>
      <c r="EW192" s="1" t="str">
        <f t="shared" si="574"/>
        <v>0.10727021576466-411.917628536295i</v>
      </c>
      <c r="EX192" s="1" t="str">
        <f t="shared" si="575"/>
        <v>-0.0125</v>
      </c>
      <c r="EY192" s="1" t="str">
        <f t="shared" si="576"/>
        <v>0.0125208080909107+0.617267804028633i</v>
      </c>
      <c r="EZ192" s="1" t="str">
        <f t="shared" si="577"/>
        <v>0.149809054401225-575.266768900706i</v>
      </c>
      <c r="FB192" s="1" t="str">
        <f t="shared" si="578"/>
        <v>0.00500307725288116+0.685157835900717i</v>
      </c>
      <c r="FC192" s="1" t="str">
        <f t="shared" si="579"/>
        <v>0.0221548601579277-85.0746630064424i</v>
      </c>
      <c r="FD192" s="1" t="str">
        <f t="shared" si="580"/>
        <v>-0.0000532847336442702+0.00729719949241837i</v>
      </c>
      <c r="FE192" s="1" t="str">
        <f t="shared" si="581"/>
        <v>0.0150057624799357+0.673569698038703i</v>
      </c>
      <c r="FF192" s="1" t="str">
        <f t="shared" si="582"/>
        <v>-0.577400166883044-166.681585637324i</v>
      </c>
      <c r="FG192" s="1" t="str">
        <f t="shared" si="583"/>
        <v>-0.00033058070012397+0.0148389088963429i</v>
      </c>
      <c r="FH192" s="1" t="str">
        <f t="shared" si="584"/>
        <v>0.0225115937490408+0.640173076145798i</v>
      </c>
      <c r="FI192" s="1" t="str">
        <f t="shared" si="585"/>
        <v>-2.36629352555699-411.9641622631i</v>
      </c>
      <c r="FJ192" s="1" t="str">
        <f t="shared" si="586"/>
        <v>-0.000685779886322585+0.0195018542125544i</v>
      </c>
      <c r="FK192" s="1" t="str">
        <f t="shared" si="587"/>
        <v>0.0125122358423317+0.61751157720629i</v>
      </c>
      <c r="FL192" s="1" t="str">
        <f t="shared" si="588"/>
        <v>-7.88327492113836-575.551345693287i</v>
      </c>
      <c r="FM192" s="1" t="str">
        <f t="shared" si="589"/>
        <v>-931.925541223902-6.11680392331475i</v>
      </c>
      <c r="FN192" s="1" t="str">
        <f t="shared" si="590"/>
        <v>-643.613407990644-0.739488739694216i</v>
      </c>
      <c r="FO192" s="1" t="str">
        <f t="shared" si="591"/>
        <v>-247.580113509225+4.89690358446766i</v>
      </c>
      <c r="FP192" s="1" t="str">
        <f t="shared" si="592"/>
        <v>-124.138579996544+0.867932570340896i</v>
      </c>
      <c r="FQ192" s="92" t="str">
        <f t="shared" si="593"/>
        <v>0.0122808096303735-86.541567960649i</v>
      </c>
      <c r="FR192" s="1" t="str">
        <f t="shared" si="594"/>
        <v>-0.604926857933027-86.5214231055786i</v>
      </c>
      <c r="FS192" s="1" t="str">
        <f t="shared" si="595"/>
        <v>0.617207667563405-0.0201448550706338i</v>
      </c>
      <c r="FT192" s="1" t="str">
        <f t="shared" si="596"/>
        <v>-0.0684700881786983-172.408645003289i</v>
      </c>
      <c r="FU192" s="1" t="str">
        <f t="shared" si="597"/>
        <v>0.159169096857155-448.741505038427i</v>
      </c>
      <c r="FV192" s="1" t="str">
        <f t="shared" si="598"/>
        <v>0.657952052323646-649.730352535548i</v>
      </c>
      <c r="FW192" s="1" t="str">
        <f t="shared" si="599"/>
        <v>-0.604926857933027-86.5214231055786i</v>
      </c>
      <c r="FX192" s="1" t="str">
        <f t="shared" si="600"/>
        <v>-3.41159536542947-172.4851537816i</v>
      </c>
      <c r="FY192" s="1" t="str">
        <f t="shared" si="601"/>
        <v>0.515600376255624-448.75235755498i</v>
      </c>
      <c r="FZ192" s="1" t="str">
        <f t="shared" si="602"/>
        <v>4.26445753195683-649.711343263327i</v>
      </c>
      <c r="GA192" s="1" t="str">
        <f t="shared" si="603"/>
        <v>0.617207667563405-0.0201448550706338i</v>
      </c>
      <c r="GB192" s="1" t="str">
        <f t="shared" si="604"/>
        <v>3.96033294481419+0.0563639232416188i</v>
      </c>
      <c r="GC192" s="1" t="str">
        <f t="shared" si="605"/>
        <v>3.60390166541573+0.0672164397952566i</v>
      </c>
      <c r="GD192" s="92" t="str">
        <f t="shared" si="606"/>
        <v>0.760931870632476-1357.42207053791i</v>
      </c>
      <c r="GE192" s="1" t="str">
        <f t="shared" si="557"/>
        <v>0.00297318307320736+5.30384450840105i</v>
      </c>
      <c r="GF192" s="1">
        <f t="shared" si="558"/>
        <v>38.4</v>
      </c>
      <c r="GG192" s="56">
        <f t="shared" si="559"/>
        <v>0.2236022870287733</v>
      </c>
      <c r="GH192" s="1">
        <f t="shared" si="560"/>
        <v>0.77639773306179793</v>
      </c>
      <c r="GJ192" s="1">
        <f t="shared" si="607"/>
        <v>1357.4222838161816</v>
      </c>
      <c r="GK192" s="1">
        <f t="shared" si="608"/>
        <v>5.3038453417415523</v>
      </c>
      <c r="GM192" s="1" t="str">
        <f t="shared" si="561"/>
        <v>0.0191834803010191+18.4161410889784i</v>
      </c>
      <c r="GP192" s="1">
        <f t="shared" si="547"/>
        <v>38.4</v>
      </c>
      <c r="GQ192" s="1">
        <f t="shared" si="548"/>
        <v>5.3038453417415523</v>
      </c>
      <c r="GR192" s="1">
        <f t="shared" si="562"/>
        <v>18.41615108037168</v>
      </c>
      <c r="GS192" s="1">
        <f t="shared" si="563"/>
        <v>4.1178934998385115</v>
      </c>
    </row>
    <row r="193" spans="2:201" ht="18" customHeight="1" x14ac:dyDescent="0.25">
      <c r="B193" s="6"/>
      <c r="AP193" s="8"/>
      <c r="AR193" s="6"/>
      <c r="AT193" s="24"/>
      <c r="BA193" s="32" t="s">
        <v>178</v>
      </c>
      <c r="BB193" s="24" t="s">
        <v>285</v>
      </c>
      <c r="BC193" s="23"/>
      <c r="BD193" s="23"/>
      <c r="BE193" s="23"/>
      <c r="BF193" s="23"/>
      <c r="BH193" s="23"/>
      <c r="BI193" s="23"/>
      <c r="BJ193" s="23"/>
      <c r="BK193" s="23"/>
      <c r="BL193" s="23"/>
      <c r="BM193" s="23"/>
      <c r="BN193" s="23"/>
      <c r="BO193" s="23"/>
      <c r="BP193" s="23"/>
      <c r="BQ193" s="23"/>
      <c r="CF193" s="8"/>
      <c r="EA193" s="1">
        <f t="shared" si="609"/>
        <v>38.6</v>
      </c>
      <c r="EB193" s="1" t="str">
        <f t="shared" si="549"/>
        <v>3.04544686543913E-06-0.0117554249005951i</v>
      </c>
      <c r="EC193" s="1" t="str">
        <f t="shared" si="550"/>
        <v>5.96658977718686E-06-0.0230310365399413i</v>
      </c>
      <c r="ED193" s="1" t="str">
        <f t="shared" si="551"/>
        <v>0.0000147455565066415-0.0569178481156362i</v>
      </c>
      <c r="EE193" s="1" t="str">
        <f t="shared" si="552"/>
        <v>0.0000205930216615409-0.0794890636135477i</v>
      </c>
      <c r="EF193" s="1" t="str">
        <f t="shared" si="553"/>
        <v>0.700604562417322i</v>
      </c>
      <c r="EG193" s="1" t="str">
        <f t="shared" si="554"/>
        <v>0.700312765431726i</v>
      </c>
      <c r="EH193" s="1" t="str">
        <f t="shared" si="555"/>
        <v>0.700870435290565i</v>
      </c>
      <c r="EI193" s="1" t="str">
        <f t="shared" si="556"/>
        <v>0.700801971423356i</v>
      </c>
      <c r="EJ193" s="1" t="str">
        <f t="shared" si="544"/>
        <v>0.005</v>
      </c>
      <c r="EK193" s="1" t="str">
        <f t="shared" si="545"/>
        <v>0.01</v>
      </c>
      <c r="EL193" s="1" t="str">
        <f t="shared" si="546"/>
        <v>0.0125</v>
      </c>
      <c r="EM193" s="1" t="str">
        <f t="shared" si="564"/>
        <v>0.00500304544686544+0.688849137516727i</v>
      </c>
      <c r="EN193" s="1" t="str">
        <f t="shared" si="565"/>
        <v>-0.005</v>
      </c>
      <c r="EO193" s="1" t="str">
        <f t="shared" si="566"/>
        <v>0.0219258709075229-84.6338617030387i</v>
      </c>
      <c r="EP193" s="1" t="str">
        <f t="shared" si="567"/>
        <v>-0.005</v>
      </c>
      <c r="EQ193" s="1" t="str">
        <f t="shared" si="568"/>
        <v>0.0150059665897772+0.677281728891785i</v>
      </c>
      <c r="ER193" s="1" t="str">
        <f t="shared" si="569"/>
        <v>-0.01</v>
      </c>
      <c r="ES193" s="1" t="str">
        <f t="shared" si="570"/>
        <v>0.0429568083086162-165.813280071259i</v>
      </c>
      <c r="ET193" s="1" t="str">
        <f t="shared" si="571"/>
        <v>-0.01</v>
      </c>
      <c r="EU193" s="1" t="str">
        <f t="shared" si="572"/>
        <v>0.0225147455565066+0.643952587174929i</v>
      </c>
      <c r="EV193" s="1" t="str">
        <f t="shared" si="573"/>
        <v>-0.0125</v>
      </c>
      <c r="EW193" s="1" t="str">
        <f t="shared" si="574"/>
        <v>0.1061614872002-409.783340592772i</v>
      </c>
      <c r="EX193" s="1" t="str">
        <f t="shared" si="575"/>
        <v>-0.0125</v>
      </c>
      <c r="EY193" s="1" t="str">
        <f t="shared" si="576"/>
        <v>0.0125205930216615+0.621312907809808i</v>
      </c>
      <c r="EZ193" s="1" t="str">
        <f t="shared" si="577"/>
        <v>0.148260650898489-572.286112468166i</v>
      </c>
      <c r="FB193" s="1" t="str">
        <f t="shared" si="578"/>
        <v>0.00500304544686544+0.688849137516727i</v>
      </c>
      <c r="FC193" s="1" t="str">
        <f t="shared" si="579"/>
        <v>0.0219258709075229-84.6338617030387i</v>
      </c>
      <c r="FD193" s="1" t="str">
        <f t="shared" si="580"/>
        <v>-0.0000527148901690969+0.00725810049357484i</v>
      </c>
      <c r="FE193" s="1" t="str">
        <f t="shared" si="581"/>
        <v>0.0150057030153264+0.677318019394253i</v>
      </c>
      <c r="FF193" s="1" t="str">
        <f t="shared" si="582"/>
        <v>-0.571323109271477-165.817900676158i</v>
      </c>
      <c r="FG193" s="1" t="str">
        <f t="shared" si="583"/>
        <v>-0.000326932410612012+0.0147568702782767i</v>
      </c>
      <c r="FH193" s="1" t="str">
        <f t="shared" si="584"/>
        <v>0.0225114762324005+0.644100155877712i</v>
      </c>
      <c r="FI193" s="1" t="str">
        <f t="shared" si="585"/>
        <v>-2.34097854693539-409.829120897752i</v>
      </c>
      <c r="FJ193" s="1" t="str">
        <f t="shared" si="586"/>
        <v>-0.000677449620412012+0.0193832426448625i</v>
      </c>
      <c r="FK193" s="1" t="str">
        <f t="shared" si="587"/>
        <v>0.0125121249014064+0.621555198342869i</v>
      </c>
      <c r="FL193" s="1" t="str">
        <f t="shared" si="588"/>
        <v>-7.79459735257434-572.565777790568i</v>
      </c>
      <c r="FM193" s="1" t="str">
        <f t="shared" si="589"/>
        <v>-921.061711475107-6.00082154127178i</v>
      </c>
      <c r="FN193" s="1" t="str">
        <f t="shared" si="590"/>
        <v>-636.372543352404-0.731928784605373i</v>
      </c>
      <c r="FO193" s="1" t="str">
        <f t="shared" si="591"/>
        <v>-244.932855201331+4.81259728164861i</v>
      </c>
      <c r="FP193" s="1" t="str">
        <f t="shared" si="592"/>
        <v>-122.833964809874+0.853879993022982i</v>
      </c>
      <c r="FQ193" s="92" t="str">
        <f t="shared" si="593"/>
        <v>0.0122622330885202-86.0778297520497i</v>
      </c>
      <c r="FR193" s="1" t="str">
        <f t="shared" si="594"/>
        <v>-0.598232218868772-86.0580361656065i</v>
      </c>
      <c r="FS193" s="1" t="str">
        <f t="shared" si="595"/>
        <v>0.610494451957285-0.0197935864431282i</v>
      </c>
      <c r="FT193" s="1" t="str">
        <f t="shared" si="596"/>
        <v>-0.0664208816671136-171.454366324027i</v>
      </c>
      <c r="FU193" s="1" t="str">
        <f t="shared" si="597"/>
        <v>0.157204965891109-446.004285567568i</v>
      </c>
      <c r="FV193" s="1" t="str">
        <f t="shared" si="598"/>
        <v>0.644227779902211-645.500321868566i</v>
      </c>
      <c r="FW193" s="1" t="str">
        <f t="shared" si="599"/>
        <v>-0.598232218868772-86.0580361656065i</v>
      </c>
      <c r="FX193" s="1" t="str">
        <f t="shared" si="600"/>
        <v>-3.37032331122055-171.529605171133i</v>
      </c>
      <c r="FY193" s="1" t="str">
        <f t="shared" si="601"/>
        <v>0.512987245868062-446.014701466363i</v>
      </c>
      <c r="FZ193" s="1" t="str">
        <f t="shared" si="602"/>
        <v>4.205387566283-645.481863204325i</v>
      </c>
      <c r="GA193" s="1" t="str">
        <f t="shared" si="603"/>
        <v>0.610494451957285-0.0197935864431282i</v>
      </c>
      <c r="GB193" s="1" t="str">
        <f t="shared" si="604"/>
        <v>3.91439688151073+0.0554452606625398i</v>
      </c>
      <c r="GC193" s="1" t="str">
        <f t="shared" si="605"/>
        <v>3.55861460153379+0.0658611594583301i</v>
      </c>
      <c r="GD193" s="92" t="str">
        <f t="shared" si="606"/>
        <v>0.747274097214727-1349.03680351221i</v>
      </c>
      <c r="GE193" s="1" t="str">
        <f t="shared" si="557"/>
        <v>0.00295622867645873+5.33681188603418i</v>
      </c>
      <c r="GF193" s="1">
        <f t="shared" si="558"/>
        <v>38.6</v>
      </c>
      <c r="GG193" s="56">
        <f t="shared" si="559"/>
        <v>0.22377623430009549</v>
      </c>
      <c r="GH193" s="1">
        <f t="shared" si="560"/>
        <v>0.77622378590556196</v>
      </c>
      <c r="GJ193" s="1">
        <f t="shared" si="607"/>
        <v>1349.0370104815572</v>
      </c>
      <c r="GK193" s="1">
        <f t="shared" si="608"/>
        <v>5.3368127048083371</v>
      </c>
      <c r="GM193" s="1" t="str">
        <f t="shared" si="561"/>
        <v>0.0191834803010191+18.5120584904835i</v>
      </c>
      <c r="GP193" s="1">
        <f t="shared" si="547"/>
        <v>38.6</v>
      </c>
      <c r="GQ193" s="1">
        <f t="shared" si="548"/>
        <v>5.3368127048083371</v>
      </c>
      <c r="GR193" s="1">
        <f t="shared" si="562"/>
        <v>18.512068430107931</v>
      </c>
      <c r="GS193" s="1">
        <f t="shared" si="563"/>
        <v>4.1425609623952244</v>
      </c>
    </row>
    <row r="194" spans="2:201" ht="18" customHeight="1" thickBot="1" x14ac:dyDescent="0.3">
      <c r="B194" s="6"/>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1"/>
      <c r="AO194" s="10"/>
      <c r="AP194" s="8"/>
      <c r="AR194" s="6"/>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1"/>
      <c r="CE194" s="10"/>
      <c r="CF194" s="8"/>
      <c r="EA194" s="1">
        <f t="shared" si="609"/>
        <v>38.799999999999997</v>
      </c>
      <c r="EB194" s="1" t="str">
        <f t="shared" si="549"/>
        <v>3.01413142653392E-06-0.0116948299349516i</v>
      </c>
      <c r="EC194" s="1" t="str">
        <f t="shared" si="550"/>
        <v>5.90523708055627E-06-0.0229123198725583i</v>
      </c>
      <c r="ED194" s="1" t="str">
        <f t="shared" si="551"/>
        <v>0.0000145939322641872-0.0566244571850463i</v>
      </c>
      <c r="EE194" s="1" t="str">
        <f t="shared" si="552"/>
        <v>0.0000203812696460864-0.0790793262268155i</v>
      </c>
      <c r="EF194" s="1" t="str">
        <f t="shared" si="553"/>
        <v>0.704234637870261i</v>
      </c>
      <c r="EG194" s="1" t="str">
        <f t="shared" si="554"/>
        <v>0.703941328983188i</v>
      </c>
      <c r="EH194" s="1" t="str">
        <f t="shared" si="555"/>
        <v>0.704501888323156i</v>
      </c>
      <c r="EI194" s="1" t="str">
        <f t="shared" si="556"/>
        <v>0.704433069720887i</v>
      </c>
      <c r="EJ194" s="1" t="str">
        <f t="shared" si="544"/>
        <v>0.005</v>
      </c>
      <c r="EK194" s="1" t="str">
        <f t="shared" si="545"/>
        <v>0.01</v>
      </c>
      <c r="EL194" s="1" t="str">
        <f t="shared" si="546"/>
        <v>0.0125</v>
      </c>
      <c r="EM194" s="1" t="str">
        <f t="shared" si="564"/>
        <v>0.00500301413142653+0.692539807935309i</v>
      </c>
      <c r="EN194" s="1" t="str">
        <f t="shared" si="565"/>
        <v>-0.005</v>
      </c>
      <c r="EO194" s="1" t="str">
        <f t="shared" si="566"/>
        <v>0.0217004135933139-84.1976047420579i</v>
      </c>
      <c r="EP194" s="1" t="str">
        <f t="shared" si="567"/>
        <v>-0.005</v>
      </c>
      <c r="EQ194" s="1" t="str">
        <f t="shared" si="568"/>
        <v>0.0150059052370806+0.68102900911063i</v>
      </c>
      <c r="ER194" s="1" t="str">
        <f t="shared" si="569"/>
        <v>-0.01</v>
      </c>
      <c r="ES194" s="1" t="str">
        <f t="shared" si="570"/>
        <v>0.0425150960195539-164.958572555869i</v>
      </c>
      <c r="ET194" s="1" t="str">
        <f t="shared" si="571"/>
        <v>-0.01</v>
      </c>
      <c r="EU194" s="1" t="str">
        <f t="shared" si="572"/>
        <v>0.0225145939322642+0.64787743113811i</v>
      </c>
      <c r="EV194" s="1" t="str">
        <f t="shared" si="573"/>
        <v>-0.0125</v>
      </c>
      <c r="EW194" s="1" t="str">
        <f t="shared" si="574"/>
        <v>0.105069859694158-407.671055613331i</v>
      </c>
      <c r="EX194" s="1" t="str">
        <f t="shared" si="575"/>
        <v>-0.0125</v>
      </c>
      <c r="EY194" s="1" t="str">
        <f t="shared" si="576"/>
        <v>0.0125203812696461+0.625353743494072i</v>
      </c>
      <c r="EZ194" s="1" t="str">
        <f t="shared" si="577"/>
        <v>0.146736130011931-569.336184446296i</v>
      </c>
      <c r="FB194" s="1" t="str">
        <f t="shared" si="578"/>
        <v>0.00500301413142653+0.692539807935309i</v>
      </c>
      <c r="FC194" s="1" t="str">
        <f t="shared" si="579"/>
        <v>0.0217004135933139-84.1976047420579i</v>
      </c>
      <c r="FD194" s="1" t="str">
        <f t="shared" si="580"/>
        <v>-0.0000521542356605599+0.00721942481043488i</v>
      </c>
      <c r="FE194" s="1" t="str">
        <f t="shared" si="581"/>
        <v>0.0150056444659023+0.681065106234682i</v>
      </c>
      <c r="FF194" s="1" t="str">
        <f t="shared" si="582"/>
        <v>-0.565342048865964-164.963120482093i</v>
      </c>
      <c r="FG194" s="1" t="str">
        <f t="shared" si="583"/>
        <v>-0.00032334535088447+0.0146757599282744i</v>
      </c>
      <c r="FH194" s="1" t="str">
        <f t="shared" si="584"/>
        <v>0.0225113604787554+0.648024188737393i</v>
      </c>
      <c r="FI194" s="1" t="str">
        <f t="shared" si="585"/>
        <v>-2.3160720942432-407.71609884722i</v>
      </c>
      <c r="FJ194" s="1" t="str">
        <f t="shared" si="586"/>
        <v>-0.000669276456688558+0.0192661537847054i</v>
      </c>
      <c r="FK194" s="1" t="str">
        <f t="shared" si="587"/>
        <v>0.0125120153139375+0.625594570416381i</v>
      </c>
      <c r="FL194" s="1" t="str">
        <f t="shared" si="588"/>
        <v>-7.70744680022429-569.611053377966i</v>
      </c>
      <c r="FM194" s="1" t="str">
        <f t="shared" si="589"/>
        <v>-910.393745897688-5.88786070778861i</v>
      </c>
      <c r="FN194" s="1" t="str">
        <f t="shared" si="590"/>
        <v>-629.256433803532-0.724393479628767i</v>
      </c>
      <c r="FO194" s="1" t="str">
        <f t="shared" si="591"/>
        <v>-242.328293560922+4.73025873768253i</v>
      </c>
      <c r="FP194" s="1" t="str">
        <f t="shared" si="592"/>
        <v>-121.549917676743+0.840132353020167i</v>
      </c>
      <c r="FQ194" s="92" t="str">
        <f t="shared" si="593"/>
        <v>0.0122415760286544-85.6191128901641i</v>
      </c>
      <c r="FR194" s="1" t="str">
        <f t="shared" si="594"/>
        <v>-0.591650303392248-85.5996622582411i</v>
      </c>
      <c r="FS194" s="1" t="str">
        <f t="shared" si="595"/>
        <v>0.603891879420895-0.0194506319233118i</v>
      </c>
      <c r="FT194" s="1" t="str">
        <f t="shared" si="596"/>
        <v>-0.0644350992333882-170.510903865407i</v>
      </c>
      <c r="FU194" s="1" t="str">
        <f t="shared" si="597"/>
        <v>0.155271573038256-443.302349035905i</v>
      </c>
      <c r="FV194" s="1" t="str">
        <f t="shared" si="598"/>
        <v>0.630899168120447-641.329388470914i</v>
      </c>
      <c r="FW194" s="1" t="str">
        <f t="shared" si="599"/>
        <v>-0.591650303392248-85.5996622582411i</v>
      </c>
      <c r="FX194" s="1" t="str">
        <f t="shared" si="600"/>
        <v>-3.32982462223858-170.584901019504i</v>
      </c>
      <c r="FY194" s="1" t="str">
        <f t="shared" si="601"/>
        <v>0.510336574287448-443.312345854083i</v>
      </c>
      <c r="FZ194" s="1" t="str">
        <f t="shared" si="602"/>
        <v>4.14760379247653-641.311461077406i</v>
      </c>
      <c r="GA194" s="1" t="str">
        <f t="shared" si="603"/>
        <v>0.603891879420895-0.0194506319233118i</v>
      </c>
      <c r="GB194" s="1" t="str">
        <f t="shared" si="604"/>
        <v>3.8692814024261+0.054546522173113i</v>
      </c>
      <c r="GC194" s="1" t="str">
        <f t="shared" si="605"/>
        <v>3.51421640117695+0.064543340351998i</v>
      </c>
      <c r="GD194" s="92" t="str">
        <f t="shared" si="606"/>
        <v>0.733977217953969-1340.76175426239i</v>
      </c>
      <c r="GE194" s="1" t="str">
        <f t="shared" si="557"/>
        <v>0.00293957841576314+5.36975020082656i</v>
      </c>
      <c r="GF194" s="1">
        <f t="shared" si="558"/>
        <v>38.799999999999997</v>
      </c>
      <c r="GG194" s="56">
        <f t="shared" si="559"/>
        <v>0.22394737095012274</v>
      </c>
      <c r="GH194" s="1">
        <f t="shared" si="560"/>
        <v>0.7760526493636335</v>
      </c>
      <c r="GJ194" s="1">
        <f t="shared" si="607"/>
        <v>1340.7619551640469</v>
      </c>
      <c r="GK194" s="1">
        <f t="shared" si="608"/>
        <v>5.3697510054376023</v>
      </c>
      <c r="GM194" s="1" t="str">
        <f t="shared" si="561"/>
        <v>0.0191834803010191+18.6079758919886i</v>
      </c>
      <c r="GP194" s="1">
        <f t="shared" si="547"/>
        <v>38.799999999999997</v>
      </c>
      <c r="GQ194" s="1">
        <f t="shared" si="548"/>
        <v>5.3697510054376023</v>
      </c>
      <c r="GR194" s="1">
        <f t="shared" si="562"/>
        <v>18.607985780377881</v>
      </c>
      <c r="GS194" s="1">
        <f t="shared" si="563"/>
        <v>4.1672094941929023</v>
      </c>
    </row>
    <row r="195" spans="2:201" ht="18" customHeight="1" x14ac:dyDescent="0.25">
      <c r="B195" s="6"/>
      <c r="D195" s="43" t="s">
        <v>84</v>
      </c>
      <c r="AO195" s="29" t="s">
        <v>189</v>
      </c>
      <c r="AP195" s="8"/>
      <c r="AR195" s="6"/>
      <c r="AT195" s="43" t="s">
        <v>84</v>
      </c>
      <c r="CE195" s="29" t="s">
        <v>190</v>
      </c>
      <c r="CF195" s="8"/>
      <c r="EA195" s="1">
        <f t="shared" si="609"/>
        <v>39</v>
      </c>
      <c r="EB195" s="1" t="str">
        <f t="shared" si="549"/>
        <v>2.98329652718259E-06-0.0116348564560121i</v>
      </c>
      <c r="EC195" s="1" t="str">
        <f t="shared" si="550"/>
        <v>5.84482584917405E-06-0.0227948208117788i</v>
      </c>
      <c r="ED195" s="1" t="str">
        <f t="shared" si="551"/>
        <v>0.0000144446347157974-0.0563340753916098i</v>
      </c>
      <c r="EE195" s="1" t="str">
        <f t="shared" si="552"/>
        <v>0.0000201727669933298-0.0786737912739865i</v>
      </c>
      <c r="EF195" s="1" t="str">
        <f t="shared" si="553"/>
        <v>0.707864713323205i</v>
      </c>
      <c r="EG195" s="1" t="str">
        <f t="shared" si="554"/>
        <v>0.707569892534648i</v>
      </c>
      <c r="EH195" s="1" t="str">
        <f t="shared" si="555"/>
        <v>0.708133341355752i</v>
      </c>
      <c r="EI195" s="1" t="str">
        <f t="shared" si="556"/>
        <v>0.708064168018418i</v>
      </c>
      <c r="EJ195" s="1" t="str">
        <f t="shared" si="544"/>
        <v>0.005</v>
      </c>
      <c r="EK195" s="1" t="str">
        <f t="shared" si="545"/>
        <v>0.01</v>
      </c>
      <c r="EL195" s="1" t="str">
        <f t="shared" si="546"/>
        <v>0.0125</v>
      </c>
      <c r="EM195" s="1" t="str">
        <f t="shared" si="564"/>
        <v>0.00500298329652718+0.696229856867193i</v>
      </c>
      <c r="EN195" s="1" t="str">
        <f t="shared" si="565"/>
        <v>-0.005</v>
      </c>
      <c r="EO195" s="1" t="str">
        <f t="shared" si="566"/>
        <v>0.0214784159514256-83.7658222105597i</v>
      </c>
      <c r="EP195" s="1" t="str">
        <f t="shared" si="567"/>
        <v>-0.005</v>
      </c>
      <c r="EQ195" s="1" t="str">
        <f t="shared" si="568"/>
        <v>0.0150058448258492+0.684775071722869i</v>
      </c>
      <c r="ER195" s="1" t="str">
        <f t="shared" si="569"/>
        <v>-0.01</v>
      </c>
      <c r="ES195" s="1" t="str">
        <f t="shared" si="570"/>
        <v>0.0420801618640174-164.112631269668i</v>
      </c>
      <c r="ET195" s="1" t="str">
        <f t="shared" si="571"/>
        <v>-0.01</v>
      </c>
      <c r="EU195" s="1" t="str">
        <f t="shared" si="572"/>
        <v>0.0225144446347158+0.651799265964142i</v>
      </c>
      <c r="EV195" s="1" t="str">
        <f t="shared" si="573"/>
        <v>-0.0125</v>
      </c>
      <c r="EW195" s="1" t="str">
        <f t="shared" si="574"/>
        <v>0.103994983356648-405.580435090926i</v>
      </c>
      <c r="EX195" s="1" t="str">
        <f t="shared" si="575"/>
        <v>-0.0125</v>
      </c>
      <c r="EY195" s="1" t="str">
        <f t="shared" si="576"/>
        <v>0.0125201727669933+0.629390376744432i</v>
      </c>
      <c r="EZ195" s="1" t="str">
        <f t="shared" si="577"/>
        <v>0.145235003100115-566.416512090451i</v>
      </c>
      <c r="FB195" s="1" t="str">
        <f t="shared" si="578"/>
        <v>0.00500298329652718+0.696229856867193i</v>
      </c>
      <c r="FC195" s="1" t="str">
        <f t="shared" si="579"/>
        <v>0.0214784159514256-83.7658222105597i</v>
      </c>
      <c r="FD195" s="1" t="str">
        <f t="shared" si="580"/>
        <v>-0.0000516025716616416+0.00718116550716903i</v>
      </c>
      <c r="FE195" s="1" t="str">
        <f t="shared" si="581"/>
        <v>0.0150055868129909+0.684810977550405i</v>
      </c>
      <c r="FF195" s="1" t="str">
        <f t="shared" si="582"/>
        <v>-0.559454962932609-164.117108041571i</v>
      </c>
      <c r="FG195" s="1" t="str">
        <f t="shared" si="583"/>
        <v>-0.000319818134915429+0.0145955617957022i</v>
      </c>
      <c r="FH195" s="1" t="str">
        <f t="shared" si="584"/>
        <v>0.0225112464533666+0.651945221582099i</v>
      </c>
      <c r="FI195" s="1" t="str">
        <f t="shared" si="585"/>
        <v>-2.29156533263885-405.624757158844i</v>
      </c>
      <c r="FJ195" s="1" t="str">
        <f t="shared" si="586"/>
        <v>-0.000661256344703524+0.0191505572587179i</v>
      </c>
      <c r="FK195" s="1" t="str">
        <f t="shared" si="587"/>
        <v>0.0125119070626845+0.629629758710166i</v>
      </c>
      <c r="FL195" s="1" t="str">
        <f t="shared" si="588"/>
        <v>-7.62178757478183-566.686696288326i</v>
      </c>
      <c r="FM195" s="1" t="str">
        <f t="shared" si="589"/>
        <v>-899.916811257276-5.7778208248432i</v>
      </c>
      <c r="FN195" s="1" t="str">
        <f t="shared" si="590"/>
        <v>-622.262160160847-0.716887488639181i</v>
      </c>
      <c r="FO195" s="1" t="str">
        <f t="shared" si="591"/>
        <v>-239.765505698681+4.64982974631782i</v>
      </c>
      <c r="FP195" s="1" t="str">
        <f t="shared" si="592"/>
        <v>-120.286006279027+0.826681341865859i</v>
      </c>
      <c r="FQ195" s="92" t="str">
        <f t="shared" si="593"/>
        <v>0.0122189460287537-85.1653350935187i</v>
      </c>
      <c r="FR195" s="1" t="str">
        <f t="shared" si="594"/>
        <v>-0.585178551069519-85.1462193514967i</v>
      </c>
      <c r="FS195" s="1" t="str">
        <f t="shared" si="595"/>
        <v>0.59739749709827-0.0191157420222598i</v>
      </c>
      <c r="FT195" s="1" t="str">
        <f t="shared" si="596"/>
        <v>-0.0625104863831282-169.57807018636i</v>
      </c>
      <c r="FU195" s="1" t="str">
        <f t="shared" si="597"/>
        <v>0.153368526789936-440.634988179595i</v>
      </c>
      <c r="FV195" s="1" t="str">
        <f t="shared" si="598"/>
        <v>0.617951884839195-637.216262908624i</v>
      </c>
      <c r="FW195" s="1" t="str">
        <f t="shared" si="599"/>
        <v>-0.585178551069519-85.1462193514967i</v>
      </c>
      <c r="FX195" s="1" t="str">
        <f t="shared" si="600"/>
        <v>-3.29007953390651-169.650853100731i</v>
      </c>
      <c r="FY195" s="1" t="str">
        <f t="shared" si="601"/>
        <v>0.507651932706197-440.644582673949i</v>
      </c>
      <c r="FZ195" s="1" t="str">
        <f t="shared" si="602"/>
        <v>4.09106789530209-637.198848248671i</v>
      </c>
      <c r="GA195" s="1" t="str">
        <f t="shared" si="603"/>
        <v>0.59739749709827-0.0191157420222598i</v>
      </c>
      <c r="GB195" s="1" t="str">
        <f t="shared" si="604"/>
        <v>3.82496654462166+0.05366717234957i</v>
      </c>
      <c r="GC195" s="1" t="str">
        <f t="shared" si="605"/>
        <v>3.47068313870536+0.0632616667025502i</v>
      </c>
      <c r="GD195" s="92" t="str">
        <f t="shared" si="606"/>
        <v>0.721028871274757-1332.5946563681i</v>
      </c>
      <c r="GE195" s="1" t="str">
        <f t="shared" si="557"/>
        <v>0.0029232248309891+5.40265992712822i</v>
      </c>
      <c r="GF195" s="1">
        <f t="shared" si="558"/>
        <v>39</v>
      </c>
      <c r="GG195" s="56">
        <f t="shared" si="559"/>
        <v>0.22411575793510577</v>
      </c>
      <c r="GH195" s="1">
        <f t="shared" si="560"/>
        <v>0.77588426247997744</v>
      </c>
      <c r="GJ195" s="1">
        <f t="shared" si="607"/>
        <v>1332.5948514321401</v>
      </c>
      <c r="GK195" s="1">
        <f t="shared" si="608"/>
        <v>5.4026607179648547</v>
      </c>
      <c r="GM195" s="1" t="str">
        <f t="shared" si="561"/>
        <v>0.0191834803010191+18.7038932934937i</v>
      </c>
      <c r="GP195" s="1">
        <f t="shared" si="547"/>
        <v>39</v>
      </c>
      <c r="GQ195" s="1">
        <f t="shared" si="548"/>
        <v>5.4026607179648547</v>
      </c>
      <c r="GR195" s="1">
        <f t="shared" si="562"/>
        <v>18.70390313117332</v>
      </c>
      <c r="GS195" s="1">
        <f t="shared" si="563"/>
        <v>4.1918394265877037</v>
      </c>
    </row>
    <row r="196" spans="2:201" ht="18" customHeight="1" x14ac:dyDescent="0.25">
      <c r="B196" s="45"/>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7"/>
      <c r="AR196" s="45"/>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7"/>
      <c r="EA196" s="1">
        <f t="shared" si="609"/>
        <v>39.200000000000003</v>
      </c>
      <c r="EB196" s="1" t="str">
        <f t="shared" si="549"/>
        <v>2.95293238551719E-06-0.0115754949512274i</v>
      </c>
      <c r="EC196" s="1" t="str">
        <f t="shared" si="550"/>
        <v>0.0000057853369185643-0.0226785207207721i</v>
      </c>
      <c r="ED196" s="1" t="str">
        <f t="shared" si="551"/>
        <v>0.0000142976164992644-0.0560466566771164i</v>
      </c>
      <c r="EE196" s="1" t="str">
        <f t="shared" si="552"/>
        <v>0.0000199674475592115-0.078272394432109i</v>
      </c>
      <c r="EF196" s="1" t="str">
        <f t="shared" si="553"/>
        <v>0.711494788776142i</v>
      </c>
      <c r="EG196" s="1" t="str">
        <f t="shared" si="554"/>
        <v>0.711198456086104i</v>
      </c>
      <c r="EH196" s="1" t="str">
        <f t="shared" si="555"/>
        <v>0.711764794388344i</v>
      </c>
      <c r="EI196" s="1" t="str">
        <f t="shared" si="556"/>
        <v>0.711695266315952i</v>
      </c>
      <c r="EJ196" s="1" t="str">
        <f t="shared" si="544"/>
        <v>0.005</v>
      </c>
      <c r="EK196" s="1" t="str">
        <f t="shared" si="545"/>
        <v>0.01</v>
      </c>
      <c r="EL196" s="1" t="str">
        <f t="shared" si="546"/>
        <v>0.0125</v>
      </c>
      <c r="EM196" s="1" t="str">
        <f t="shared" si="564"/>
        <v>0.00500295293238552+0.699919293824915i</v>
      </c>
      <c r="EN196" s="1" t="str">
        <f t="shared" si="565"/>
        <v>-0.005</v>
      </c>
      <c r="EO196" s="1" t="str">
        <f t="shared" si="566"/>
        <v>0.0212598075567336-83.3384456223958i</v>
      </c>
      <c r="EP196" s="1" t="str">
        <f t="shared" si="567"/>
        <v>-0.005</v>
      </c>
      <c r="EQ196" s="1" t="str">
        <f t="shared" si="568"/>
        <v>0.0150057853369186+0.688519935365332i</v>
      </c>
      <c r="ER196" s="1" t="str">
        <f t="shared" si="569"/>
        <v>-0.01</v>
      </c>
      <c r="ES196" s="1" t="str">
        <f t="shared" si="570"/>
        <v>0.0416518678662537-163.275322035715i</v>
      </c>
      <c r="ET196" s="1" t="str">
        <f t="shared" si="571"/>
        <v>-0.01</v>
      </c>
      <c r="EU196" s="1" t="str">
        <f t="shared" si="572"/>
        <v>0.0225142976164993+0.655718137711228i</v>
      </c>
      <c r="EV196" s="1" t="str">
        <f t="shared" si="573"/>
        <v>-0.0125</v>
      </c>
      <c r="EW196" s="1" t="str">
        <f t="shared" si="574"/>
        <v>0.102936517200716-403.511147426805i</v>
      </c>
      <c r="EX196" s="1" t="str">
        <f t="shared" si="575"/>
        <v>-0.0125</v>
      </c>
      <c r="EY196" s="1" t="str">
        <f t="shared" si="576"/>
        <v>0.0125199674475592+0.633422871883843i</v>
      </c>
      <c r="EZ196" s="1" t="str">
        <f t="shared" si="577"/>
        <v>0.143756793955056-563.526632303819i</v>
      </c>
      <c r="FB196" s="1" t="str">
        <f t="shared" si="578"/>
        <v>0.00500295293238552+0.699919293824915i</v>
      </c>
      <c r="FC196" s="1" t="str">
        <f t="shared" si="579"/>
        <v>0.0212598075567336-83.3384456223958i</v>
      </c>
      <c r="FD196" s="1" t="str">
        <f t="shared" si="580"/>
        <v>-0.0000510597050926905+0.00714331580056338i</v>
      </c>
      <c r="FE196" s="1" t="str">
        <f t="shared" si="581"/>
        <v>0.0150055300383931+0.688555651944335i</v>
      </c>
      <c r="FF196" s="1" t="str">
        <f t="shared" si="582"/>
        <v>-0.553659882023094-163.279729137691i</v>
      </c>
      <c r="FG196" s="1" t="str">
        <f t="shared" si="583"/>
        <v>-0.000316349416257069+0.0145162602051225i</v>
      </c>
      <c r="FH196" s="1" t="str">
        <f t="shared" si="584"/>
        <v>0.0225111341223367+0.655863300313279i</v>
      </c>
      <c r="FI196" s="1" t="str">
        <f t="shared" si="585"/>
        <v>-2.26744966716441-403.554763802892i</v>
      </c>
      <c r="FJ196" s="1" t="str">
        <f t="shared" si="586"/>
        <v>-0.000653385366749855+0.0190364235175406i</v>
      </c>
      <c r="FK196" s="1" t="str">
        <f t="shared" si="587"/>
        <v>0.0125118001304748+0.633660827177812i</v>
      </c>
      <c r="FL196" s="1" t="str">
        <f t="shared" si="588"/>
        <v>-7.53758504529632-563.792240126005i</v>
      </c>
      <c r="FM196" s="1" t="str">
        <f t="shared" si="589"/>
        <v>-889.626226629181-5.67060537593902i</v>
      </c>
      <c r="FN196" s="1" t="str">
        <f t="shared" si="590"/>
        <v>-615.386889980317-0.709415082720942i</v>
      </c>
      <c r="FO196" s="1" t="str">
        <f t="shared" si="591"/>
        <v>-237.243593773864+4.57125419005444i</v>
      </c>
      <c r="FP196" s="1" t="str">
        <f t="shared" si="592"/>
        <v>-119.041809653519+0.813518923758194i</v>
      </c>
      <c r="FQ196" s="92" t="str">
        <f t="shared" si="593"/>
        <v>0.0121944457769991-84.7164158912915i</v>
      </c>
      <c r="FR196" s="1" t="str">
        <f t="shared" si="594"/>
        <v>-0.578814474824731-84.6976272149602i</v>
      </c>
      <c r="FS196" s="1" t="str">
        <f t="shared" si="595"/>
        <v>0.591008920601725-0.0187886763314813i</v>
      </c>
      <c r="FT196" s="1" t="str">
        <f t="shared" si="596"/>
        <v>-0.0606448808810594-168.655682239231i</v>
      </c>
      <c r="FU196" s="1" t="str">
        <f t="shared" si="597"/>
        <v>0.151495426535158-438.001515030185i</v>
      </c>
      <c r="FV196" s="1" t="str">
        <f t="shared" si="598"/>
        <v>0.60537221963691-633.159693984172i</v>
      </c>
      <c r="FW196" s="1" t="str">
        <f t="shared" si="599"/>
        <v>-0.578814474824731-84.6976272149602i</v>
      </c>
      <c r="FX196" s="1" t="str">
        <f t="shared" si="600"/>
        <v>-3.25106892234385-168.727277608291i</v>
      </c>
      <c r="FY196" s="1" t="str">
        <f t="shared" si="601"/>
        <v>0.504936680488861-438.010723216123i</v>
      </c>
      <c r="FZ196" s="1" t="str">
        <f t="shared" si="602"/>
        <v>4.03574300320159-633.14277428251i</v>
      </c>
      <c r="GA196" s="1" t="str">
        <f t="shared" si="603"/>
        <v>0.591008920601725-0.0187886763314813i</v>
      </c>
      <c r="GB196" s="1" t="str">
        <f t="shared" si="604"/>
        <v>3.78143296206453+0.0528066927277538i</v>
      </c>
      <c r="GC196" s="1" t="str">
        <f t="shared" si="605"/>
        <v>3.4279917081108+0.062014878665226i</v>
      </c>
      <c r="GD196" s="92" t="str">
        <f t="shared" si="606"/>
        <v>0.708417211068008-1324.53330714488i</v>
      </c>
      <c r="GE196" s="1" t="str">
        <f t="shared" si="557"/>
        <v>0.00290716069556782+5.43554152883561i</v>
      </c>
      <c r="GF196" s="1">
        <f t="shared" si="558"/>
        <v>39.200000000000003</v>
      </c>
      <c r="GG196" s="56">
        <f t="shared" si="559"/>
        <v>0.22428145454772974</v>
      </c>
      <c r="GH196" s="1">
        <f t="shared" si="560"/>
        <v>0.77571856596211031</v>
      </c>
      <c r="GJ196" s="1">
        <f t="shared" si="607"/>
        <v>1324.5334965908175</v>
      </c>
      <c r="GK196" s="1">
        <f t="shared" si="608"/>
        <v>5.4355423062726551</v>
      </c>
      <c r="GM196" s="1" t="str">
        <f t="shared" si="561"/>
        <v>0.0191834803010191+18.7998106949988i</v>
      </c>
      <c r="GP196" s="1">
        <f t="shared" si="547"/>
        <v>39.200000000000003</v>
      </c>
      <c r="GQ196" s="1">
        <f t="shared" si="548"/>
        <v>5.4355423062726551</v>
      </c>
      <c r="GR196" s="1">
        <f t="shared" si="562"/>
        <v>18.799820482486201</v>
      </c>
      <c r="GS196" s="1">
        <f t="shared" si="563"/>
        <v>4.2164510830481987</v>
      </c>
    </row>
    <row r="197" spans="2:201" ht="18" customHeight="1" x14ac:dyDescent="0.25">
      <c r="EA197" s="1">
        <f t="shared" si="609"/>
        <v>39.4</v>
      </c>
      <c r="EB197" s="1" t="str">
        <f t="shared" si="549"/>
        <v>2.92302946730876E-06-0.0115167361011965i</v>
      </c>
      <c r="EC197" s="1" t="str">
        <f t="shared" si="550"/>
        <v>5.72675160942124E-06-0.0225634013411197i</v>
      </c>
      <c r="ED197" s="1" t="str">
        <f t="shared" si="551"/>
        <v>0.0000141528314514082-0.0557621559185484i</v>
      </c>
      <c r="EE197" s="1" t="str">
        <f t="shared" si="552"/>
        <v>0.0000197652468741831-0.0778750726842814i</v>
      </c>
      <c r="EF197" s="1" t="str">
        <f t="shared" si="553"/>
        <v>0.71512486422908i</v>
      </c>
      <c r="EG197" s="1" t="str">
        <f t="shared" si="554"/>
        <v>0.714827019637567i</v>
      </c>
      <c r="EH197" s="1" t="str">
        <f t="shared" si="555"/>
        <v>0.715396247420939i</v>
      </c>
      <c r="EI197" s="1" t="str">
        <f t="shared" si="556"/>
        <v>0.715326364613479i</v>
      </c>
      <c r="EJ197" s="1" t="str">
        <f t="shared" ref="EJ197:EJ250" si="610">IMDIV(COMPLEX(1,0),COMPLEX($AL$29,0))</f>
        <v>0.005</v>
      </c>
      <c r="EK197" s="1" t="str">
        <f t="shared" ref="EK197:EK250" si="611">IMDIV(COMPLEX(1,0),COMPLEX($AL$30,0))</f>
        <v>0.01</v>
      </c>
      <c r="EL197" s="1" t="str">
        <f t="shared" ref="EL197:EL250" si="612">IMDIV(COMPLEX(1,0),COMPLEX($AL$31,0))</f>
        <v>0.0125</v>
      </c>
      <c r="EM197" s="1" t="str">
        <f t="shared" si="564"/>
        <v>0.00500292302946731+0.703608128127883i</v>
      </c>
      <c r="EN197" s="1" t="str">
        <f t="shared" si="565"/>
        <v>-0.005</v>
      </c>
      <c r="EO197" s="1" t="str">
        <f t="shared" si="566"/>
        <v>0.021044519767005-82.9154078819997i</v>
      </c>
      <c r="EP197" s="1" t="str">
        <f t="shared" si="567"/>
        <v>-0.005</v>
      </c>
      <c r="EQ197" s="1" t="str">
        <f t="shared" si="568"/>
        <v>0.0150057267516094+0.692263618296447i</v>
      </c>
      <c r="ER197" s="1" t="str">
        <f t="shared" si="569"/>
        <v>-0.01</v>
      </c>
      <c r="ES197" s="1" t="str">
        <f t="shared" si="570"/>
        <v>0.04123007954352-162.446513401469i</v>
      </c>
      <c r="ET197" s="1" t="str">
        <f t="shared" si="571"/>
        <v>-0.01</v>
      </c>
      <c r="EU197" s="1" t="str">
        <f t="shared" si="572"/>
        <v>0.0225141528314514+0.659634091502391i</v>
      </c>
      <c r="EV197" s="1" t="str">
        <f t="shared" si="573"/>
        <v>-0.0125</v>
      </c>
      <c r="EW197" s="1" t="str">
        <f t="shared" si="574"/>
        <v>0.101894128871876-401.462867755193i</v>
      </c>
      <c r="EX197" s="1" t="str">
        <f t="shared" si="575"/>
        <v>-0.0125</v>
      </c>
      <c r="EY197" s="1" t="str">
        <f t="shared" si="576"/>
        <v>0.0125197652468742+0.637451291929198i</v>
      </c>
      <c r="EZ197" s="1" t="str">
        <f t="shared" si="577"/>
        <v>0.142301038424511-560.666091392571i</v>
      </c>
      <c r="FB197" s="1" t="str">
        <f t="shared" si="578"/>
        <v>0.00500292302946731+0.703608128127883i</v>
      </c>
      <c r="FC197" s="1" t="str">
        <f t="shared" si="579"/>
        <v>0.021044519767005-82.9154078819997i</v>
      </c>
      <c r="FD197" s="1" t="str">
        <f t="shared" si="580"/>
        <v>-0.0000505254480760805+0.00710586905579852i</v>
      </c>
      <c r="FE197" s="1" t="str">
        <f t="shared" si="581"/>
        <v>0.015005474124369+0.692299147641726i</v>
      </c>
      <c r="FF197" s="1" t="str">
        <f t="shared" si="582"/>
        <v>-0.547954888290304-162.450852279206i</v>
      </c>
      <c r="FG197" s="1" t="str">
        <f t="shared" si="583"/>
        <v>-0.000312937886674198+0.0144378398452278i</v>
      </c>
      <c r="FH197" s="1" t="str">
        <f t="shared" si="584"/>
        <v>0.0225110234525847+0.659778469900843i</v>
      </c>
      <c r="FI197" s="1" t="str">
        <f t="shared" si="585"/>
        <v>-2.24371673490079-401.505793496674i</v>
      </c>
      <c r="FJ197" s="1" t="str">
        <f t="shared" si="586"/>
        <v>-0.000645659732588089+0.0189237238076195i</v>
      </c>
      <c r="FK197" s="1" t="str">
        <f t="shared" si="587"/>
        <v>0.0125116945002168+0.637687838476793i</v>
      </c>
      <c r="FL197" s="1" t="str">
        <f t="shared" si="588"/>
        <v>-7.45480560105363-560.927228016762i</v>
      </c>
      <c r="FM197" s="1" t="str">
        <f t="shared" si="589"/>
        <v>-879.517457541296-5.56612173095353i</v>
      </c>
      <c r="FN197" s="1" t="str">
        <f t="shared" si="590"/>
        <v>-608.627874423736-0.701980167603981i</v>
      </c>
      <c r="FO197" s="1" t="str">
        <f t="shared" si="591"/>
        <v>-234.761684175295+4.49447795196801i</v>
      </c>
      <c r="FP197" s="1" t="str">
        <f t="shared" si="592"/>
        <v>-117.816917834248+0.800637325089662i</v>
      </c>
      <c r="FQ197" s="92" t="str">
        <f t="shared" si="593"/>
        <v>0.0121681733037565-84.2722765732395i</v>
      </c>
      <c r="FR197" s="1" t="str">
        <f t="shared" si="594"/>
        <v>-0.572555658401478-84.2538073701053i</v>
      </c>
      <c r="FS197" s="1" t="str">
        <f t="shared" si="595"/>
        <v>0.584723831705235-0.0184692031343918i</v>
      </c>
      <c r="FT197" s="1" t="str">
        <f t="shared" si="596"/>
        <v>-0.0588362084528666-167.743561239792i</v>
      </c>
      <c r="FU197" s="1" t="str">
        <f t="shared" si="597"/>
        <v>0.149651864152886-435.401260250177i</v>
      </c>
      <c r="FV197" s="1" t="str">
        <f t="shared" si="598"/>
        <v>0.593147052470532-629.158467309924i</v>
      </c>
      <c r="FW197" s="1" t="str">
        <f t="shared" si="599"/>
        <v>-0.572555658401478-84.2538073701053i</v>
      </c>
      <c r="FX197" s="1" t="str">
        <f t="shared" si="600"/>
        <v>-3.21277427923205-167.813995024122i</v>
      </c>
      <c r="FY197" s="1" t="str">
        <f t="shared" si="601"/>
        <v>0.50219397766781-435.410097438523i</v>
      </c>
      <c r="FZ197" s="1" t="str">
        <f t="shared" si="602"/>
        <v>3.98159362279907-629.142025517105i</v>
      </c>
      <c r="GA197" s="1" t="str">
        <f t="shared" si="603"/>
        <v>0.584723831705235-0.0184692031343918i</v>
      </c>
      <c r="GB197" s="1" t="str">
        <f t="shared" si="604"/>
        <v>3.73866190248441+0.0519645811957199i</v>
      </c>
      <c r="GC197" s="1" t="str">
        <f t="shared" si="605"/>
        <v>3.3861197889695+0.0608017695418694i</v>
      </c>
      <c r="GD197" s="92" t="str">
        <f t="shared" si="606"/>
        <v>0.696130881474308-1316.57556537313i</v>
      </c>
      <c r="GE197" s="1" t="str">
        <f t="shared" si="557"/>
        <v>0.00289137900756998+5.46839545968331i</v>
      </c>
      <c r="GF197" s="1">
        <f t="shared" si="558"/>
        <v>39.4</v>
      </c>
      <c r="GG197" s="56">
        <f t="shared" si="559"/>
        <v>0.22444451847195093</v>
      </c>
      <c r="GH197" s="1">
        <f t="shared" si="560"/>
        <v>0.77555550212628332</v>
      </c>
      <c r="GJ197" s="1">
        <f t="shared" si="607"/>
        <v>1316.5757494104855</v>
      </c>
      <c r="GK197" s="1">
        <f t="shared" si="608"/>
        <v>5.4683962240823059</v>
      </c>
      <c r="GM197" s="1" t="str">
        <f t="shared" si="561"/>
        <v>0.0191834803010191+18.8957280965039i</v>
      </c>
      <c r="GP197" s="1">
        <f t="shared" ref="GP197:GP250" si="613">EA197</f>
        <v>39.4</v>
      </c>
      <c r="GQ197" s="1">
        <f t="shared" ref="GQ197:GQ250" si="614">GK197</f>
        <v>5.4683962240823059</v>
      </c>
      <c r="GR197" s="1">
        <f t="shared" si="562"/>
        <v>18.895737834308648</v>
      </c>
      <c r="GS197" s="1">
        <f t="shared" si="563"/>
        <v>4.2410447793936354</v>
      </c>
    </row>
    <row r="198" spans="2:201" ht="18" customHeight="1" x14ac:dyDescent="0.25">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5"/>
      <c r="AR198" s="3"/>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5"/>
      <c r="EA198" s="1">
        <f t="shared" si="609"/>
        <v>39.6</v>
      </c>
      <c r="EB198" s="1" t="str">
        <f t="shared" ref="EB198:EB250" si="615">IMDIV(COMPLEX(1,0),COMPLEX($W$39/100,$W$39*EA198))</f>
        <v>2.89357847848212E-06-0.0114585707747892i</v>
      </c>
      <c r="EC198" s="1" t="str">
        <f t="shared" ref="EC198:EC250" si="616">IMDIV(COMPLEX(1,0),COMPLEX($W$40/100,$W$40*EA198))</f>
        <v>5.66905171294457E-06-0.0224494447832605i</v>
      </c>
      <c r="ED198" s="1" t="str">
        <f t="shared" ref="ED198:ED250" si="617">IMDIV(COMPLEX(1,0),COMPLEX($W$41/100,$W$41*EA198))</f>
        <v>0.0000140102345718343-0.055480528904464i</v>
      </c>
      <c r="EE198" s="1" t="str">
        <f t="shared" ref="EE198:EE250" si="618">IMDIV(COMPLEX(1,0),COMPLEX($W$42/100,$W$42*EA198))</f>
        <v>0.0000195661020925933-0.0774817642866696i</v>
      </c>
      <c r="EF198" s="1" t="str">
        <f t="shared" ref="EF198:EF250" si="619">IMDIV(COMPLEX(1,0),COMPLEX(0,-$L$39/EA198))</f>
        <v>0.71875493968202i</v>
      </c>
      <c r="EG198" s="1" t="str">
        <f t="shared" ref="EG198:EG250" si="620">IMDIV(COMPLEX(1,0),COMPLEX(0,-$L$40/EA198))</f>
        <v>0.718455583189024i</v>
      </c>
      <c r="EH198" s="1" t="str">
        <f t="shared" ref="EH198:EH250" si="621">IMDIV(COMPLEX(1,0),COMPLEX(0,-$L$41/EA198))</f>
        <v>0.719027700453529i</v>
      </c>
      <c r="EI198" s="1" t="str">
        <f t="shared" ref="EI198:EI250" si="622">IMDIV(COMPLEX(1,0),COMPLEX(0,-$L$42/EA198))</f>
        <v>0.71895746291101i</v>
      </c>
      <c r="EJ198" s="1" t="str">
        <f t="shared" si="610"/>
        <v>0.005</v>
      </c>
      <c r="EK198" s="1" t="str">
        <f t="shared" si="611"/>
        <v>0.01</v>
      </c>
      <c r="EL198" s="1" t="str">
        <f t="shared" si="612"/>
        <v>0.0125</v>
      </c>
      <c r="EM198" s="1" t="str">
        <f t="shared" si="564"/>
        <v>0.00500289357847848+0.707296368907231i</v>
      </c>
      <c r="EN198" s="1" t="str">
        <f t="shared" si="565"/>
        <v>-0.005</v>
      </c>
      <c r="EO198" s="1" t="str">
        <f t="shared" si="566"/>
        <v>0.0208324856690078-82.496643249271i</v>
      </c>
      <c r="EP198" s="1" t="str">
        <f t="shared" si="567"/>
        <v>-0.005</v>
      </c>
      <c r="EQ198" s="1" t="str">
        <f t="shared" si="568"/>
        <v>0.0150056690517129+0.696006138405764i</v>
      </c>
      <c r="ER198" s="1" t="str">
        <f t="shared" si="569"/>
        <v>-0.01</v>
      </c>
      <c r="ES198" s="1" t="str">
        <f t="shared" si="570"/>
        <v>0.0408146658005052-161.62607657i</v>
      </c>
      <c r="ET198" s="1" t="str">
        <f t="shared" si="571"/>
        <v>-0.01</v>
      </c>
      <c r="EU198" s="1" t="str">
        <f t="shared" si="572"/>
        <v>0.0225140102345718+0.663547171549065i</v>
      </c>
      <c r="EV198" s="1" t="str">
        <f t="shared" si="573"/>
        <v>-0.0125</v>
      </c>
      <c r="EW198" s="1" t="str">
        <f t="shared" si="574"/>
        <v>0.100867494387185-399.435277773256i</v>
      </c>
      <c r="EX198" s="1" t="str">
        <f t="shared" si="575"/>
        <v>-0.0125</v>
      </c>
      <c r="EY198" s="1" t="str">
        <f t="shared" si="576"/>
        <v>0.0125195661020926+0.64147569862434i</v>
      </c>
      <c r="EZ198" s="1" t="str">
        <f t="shared" si="577"/>
        <v>0.140867284047576-557.834444828402i</v>
      </c>
      <c r="FB198" s="1" t="str">
        <f t="shared" si="578"/>
        <v>0.00500289357847848+0.707296368907231i</v>
      </c>
      <c r="FC198" s="1" t="str">
        <f t="shared" si="579"/>
        <v>0.0208324856690078-82.496643249271i</v>
      </c>
      <c r="FD198" s="1" t="str">
        <f t="shared" si="580"/>
        <v>-0.0000499996177675613+0.00706881878236973i</v>
      </c>
      <c r="FE198" s="1" t="str">
        <f t="shared" si="581"/>
        <v>0.0150054190536241+0.696041482499676i</v>
      </c>
      <c r="FF198" s="1" t="str">
        <f t="shared" si="582"/>
        <v>-0.542338113866076-161.630348631696i</v>
      </c>
      <c r="FG198" s="1" t="str">
        <f t="shared" si="583"/>
        <v>-0.00030958227483404+0.0143602857581684i</v>
      </c>
      <c r="FH198" s="1" t="str">
        <f t="shared" si="584"/>
        <v>0.0225109144118235+0.663690774406647i</v>
      </c>
      <c r="FI198" s="1" t="str">
        <f t="shared" si="585"/>
        <v>-2.22035839742338-399.477527533975i</v>
      </c>
      <c r="FJ198" s="1" t="str">
        <f t="shared" si="586"/>
        <v>-0.000638075774418258+0.018812430144168i</v>
      </c>
      <c r="FK198" s="1" t="str">
        <f t="shared" si="587"/>
        <v>0.0125115901549124+0.641710854001142i</v>
      </c>
      <c r="FL198" s="1" t="str">
        <f t="shared" si="588"/>
        <v>-7.37341661507354-558.091212365289i</v>
      </c>
      <c r="FM198" s="1" t="str">
        <f t="shared" si="589"/>
        <v>-869.586110382998-5.46428096171286i</v>
      </c>
      <c r="FN198" s="1" t="str">
        <f t="shared" si="590"/>
        <v>-601.982445258828-0.694586309178295i</v>
      </c>
      <c r="FO198" s="1" t="str">
        <f t="shared" si="591"/>
        <v>-232.318926733753+4.41944883181244i</v>
      </c>
      <c r="FP198" s="1" t="str">
        <f t="shared" si="592"/>
        <v>-116.610931507943+0.788029024437679i</v>
      </c>
      <c r="FQ198" s="92" t="str">
        <f t="shared" si="593"/>
        <v>0.0121402222016677-83.8328401412927i</v>
      </c>
      <c r="FR198" s="1" t="str">
        <f t="shared" si="594"/>
        <v>-0.566399753927385-83.8146830422557i</v>
      </c>
      <c r="FS198" s="1" t="str">
        <f t="shared" si="595"/>
        <v>0.57853997612905-0.0181570990368738i</v>
      </c>
      <c r="FT198" s="1" t="str">
        <f t="shared" si="596"/>
        <v>-0.0570824787121639-166.8415325419i</v>
      </c>
      <c r="FU198" s="1" t="str">
        <f t="shared" si="597"/>
        <v>0.147837425456399-432.833572496101i</v>
      </c>
      <c r="FV198" s="1" t="str">
        <f t="shared" si="598"/>
        <v>0.581263824133203-625.21140394538i</v>
      </c>
      <c r="FW198" s="1" t="str">
        <f t="shared" si="599"/>
        <v>-0.566399753927385-83.8146830422557i</v>
      </c>
      <c r="FX198" s="1" t="str">
        <f t="shared" si="600"/>
        <v>-3.17517768783386-166.910829992347i</v>
      </c>
      <c r="FY198" s="1" t="str">
        <f t="shared" si="601"/>
        <v>0.499426796654973-432.842053327848i</v>
      </c>
      <c r="FZ198" s="1" t="str">
        <f t="shared" si="602"/>
        <v>3.92858557686601-625.195423703614i</v>
      </c>
      <c r="GA198" s="1" t="str">
        <f t="shared" si="603"/>
        <v>0.57853997612905-0.0181570990368738i</v>
      </c>
      <c r="GB198" s="1" t="str">
        <f t="shared" si="604"/>
        <v>3.69663518525075+0.0511403514099073i</v>
      </c>
      <c r="GC198" s="1" t="str">
        <f t="shared" si="605"/>
        <v>3.34504581405213+0.0596211831566821i</v>
      </c>
      <c r="GD198" s="92" t="str">
        <f t="shared" si="606"/>
        <v>0.684158993079106-1308.71934912467i</v>
      </c>
      <c r="GE198" s="1" t="str">
        <f t="shared" ref="GE198:GE250" si="623">IMDIV($EO$1,GD198)</f>
        <v>0.0028758729811857+5.50122216352624i</v>
      </c>
      <c r="GF198" s="1">
        <f t="shared" ref="GF198:GF250" si="624">GP198</f>
        <v>39.6</v>
      </c>
      <c r="GG198" s="56">
        <f t="shared" ref="GG198:GG250" si="625">IMABS(IMDIV(GE198,IMSUM(GE198,GM198)))</f>
        <v>0.2246050058357201</v>
      </c>
      <c r="GH198" s="1">
        <f t="shared" ref="GH198:GH250" si="626">IMABS(IMDIV(GM198,IMSUM(GE198,GM198)))</f>
        <v>0.77539501484474571</v>
      </c>
      <c r="GJ198" s="1">
        <f t="shared" si="607"/>
        <v>1308.7195279534983</v>
      </c>
      <c r="GK198" s="1">
        <f t="shared" si="608"/>
        <v>5.5012229152360037</v>
      </c>
      <c r="GM198" s="1" t="str">
        <f t="shared" ref="GM198:GM250" si="627">COMPLEX($GM$2,$GM$3*GP198)</f>
        <v>0.0191834803010191+18.991645498009i</v>
      </c>
      <c r="GP198" s="1">
        <f t="shared" si="613"/>
        <v>39.6</v>
      </c>
      <c r="GQ198" s="1">
        <f t="shared" si="614"/>
        <v>5.5012229152360037</v>
      </c>
      <c r="GR198" s="1">
        <f t="shared" ref="GR198:GR250" si="628">IMABS(GM198)</f>
        <v>18.991655186632943</v>
      </c>
      <c r="GS198" s="1">
        <f t="shared" ref="GS198:GS250" si="629">IMABS(IMDIV(COMPLEX(1,0),IMSUM(IMDIV(COMPLEX(1,0),GM198),IMDIV(COMPLEX(1,0),GE198))))</f>
        <v>4.2656208240236761</v>
      </c>
    </row>
    <row r="199" spans="2:201" ht="18" customHeight="1" x14ac:dyDescent="0.25">
      <c r="B199" s="6"/>
      <c r="AN199" s="7"/>
      <c r="AP199" s="8"/>
      <c r="AR199" s="6"/>
      <c r="CD199" s="7"/>
      <c r="CF199" s="8"/>
      <c r="EA199" s="1">
        <f t="shared" si="609"/>
        <v>39.799999999999997</v>
      </c>
      <c r="EB199" s="1" t="str">
        <f t="shared" si="615"/>
        <v>2.86457035789332E-06-0.0114009900244154i</v>
      </c>
      <c r="EC199" s="1" t="str">
        <f t="shared" si="616"/>
        <v>5.61221947668895E-06-0.0223366335172221i</v>
      </c>
      <c r="ED199" s="1" t="str">
        <f t="shared" si="617"/>
        <v>0.0000138697819879631-0.0552017323120932i</v>
      </c>
      <c r="EE199" s="1" t="str">
        <f t="shared" si="618"/>
        <v>0.00001936995194385-0.0770924087365232i</v>
      </c>
      <c r="EF199" s="1" t="str">
        <f t="shared" si="619"/>
        <v>0.722385015134961i</v>
      </c>
      <c r="EG199" s="1" t="str">
        <f t="shared" si="620"/>
        <v>0.722084146740487i</v>
      </c>
      <c r="EH199" s="1" t="str">
        <f t="shared" si="621"/>
        <v>0.722659153486127i</v>
      </c>
      <c r="EI199" s="1" t="str">
        <f t="shared" si="622"/>
        <v>0.72258856120854i</v>
      </c>
      <c r="EJ199" s="1" t="str">
        <f t="shared" si="610"/>
        <v>0.005</v>
      </c>
      <c r="EK199" s="1" t="str">
        <f t="shared" si="611"/>
        <v>0.01</v>
      </c>
      <c r="EL199" s="1" t="str">
        <f t="shared" si="612"/>
        <v>0.0125</v>
      </c>
      <c r="EM199" s="1" t="str">
        <f t="shared" si="564"/>
        <v>0.00500286457035789+0.710984025110546i</v>
      </c>
      <c r="EN199" s="1" t="str">
        <f t="shared" si="565"/>
        <v>-0.005</v>
      </c>
      <c r="EO199" s="1" t="str">
        <f t="shared" si="566"/>
        <v>0.0206236400265119-82.0820873055171i</v>
      </c>
      <c r="EP199" s="1" t="str">
        <f t="shared" si="567"/>
        <v>-0.005</v>
      </c>
      <c r="EQ199" s="1" t="str">
        <f t="shared" si="568"/>
        <v>0.0150056122194767+0.699747513223265i</v>
      </c>
      <c r="ER199" s="1" t="str">
        <f t="shared" si="569"/>
        <v>-0.01</v>
      </c>
      <c r="ES199" s="1" t="str">
        <f t="shared" si="570"/>
        <v>0.0404054988274518-160.813885333259i</v>
      </c>
      <c r="ET199" s="1" t="str">
        <f t="shared" si="571"/>
        <v>-0.01</v>
      </c>
      <c r="EU199" s="1" t="str">
        <f t="shared" si="572"/>
        <v>0.022513869781988+0.667457421174034i</v>
      </c>
      <c r="EV199" s="1" t="str">
        <f t="shared" si="573"/>
        <v>-0.0125</v>
      </c>
      <c r="EW199" s="1" t="str">
        <f t="shared" si="574"/>
        <v>0.0998562978834684-397.428065576205i</v>
      </c>
      <c r="EX199" s="1" t="str">
        <f t="shared" si="575"/>
        <v>-0.0125</v>
      </c>
      <c r="EY199" s="1" t="str">
        <f t="shared" si="576"/>
        <v>0.0125193699519439+0.645496152472017i</v>
      </c>
      <c r="EZ199" s="1" t="str">
        <f t="shared" si="577"/>
        <v>0.13945508970308-555.031257018259i</v>
      </c>
      <c r="FB199" s="1" t="str">
        <f t="shared" si="578"/>
        <v>0.00500286457035789+0.710984025110546i</v>
      </c>
      <c r="FC199" s="1" t="str">
        <f t="shared" si="579"/>
        <v>0.0206236400265119-82.0820873055171i</v>
      </c>
      <c r="FD199" s="1" t="str">
        <f t="shared" si="580"/>
        <v>-0.0000494820361939976+0.00703215863014205i</v>
      </c>
      <c r="FE199" s="1" t="str">
        <f t="shared" si="581"/>
        <v>0.0150053648092957+0.699782674016416i</v>
      </c>
      <c r="FF199" s="1" t="str">
        <f t="shared" si="582"/>
        <v>-0.536807739298411-160.818091950782i</v>
      </c>
      <c r="FG199" s="1" t="str">
        <f t="shared" si="583"/>
        <v>-0.000306281345048616+0.0142835833292563i</v>
      </c>
      <c r="FH199" s="1" t="str">
        <f t="shared" si="584"/>
        <v>0.0225108069685375+0.667600257007327i</v>
      </c>
      <c r="FI199" s="1" t="str">
        <f t="shared" si="585"/>
        <v>-2.19736673354395-397.46965361964i</v>
      </c>
      <c r="FJ199" s="1" t="str">
        <f t="shared" si="586"/>
        <v>-0.000630629942084319+0.0187025152852332i</v>
      </c>
      <c r="FK199" s="1" t="str">
        <f t="shared" si="587"/>
        <v>0.0125114870776678+0.645729933913082i</v>
      </c>
      <c r="FL199" s="1" t="str">
        <f t="shared" si="588"/>
        <v>-7.29338640914521-555.283754620173i</v>
      </c>
      <c r="FM199" s="1" t="str">
        <f t="shared" si="589"/>
        <v>-859.82792706636-5.36499766763137i</v>
      </c>
      <c r="FN199" s="1" t="str">
        <f t="shared" si="590"/>
        <v>-595.448011986219-0.68723675722407i</v>
      </c>
      <c r="FO199" s="1" t="str">
        <f t="shared" si="591"/>
        <v>-229.914493964248+4.34611646616889i</v>
      </c>
      <c r="FP199" s="1" t="str">
        <f t="shared" si="592"/>
        <v>-115.423461682069+0.775686742992144i</v>
      </c>
      <c r="FQ199" s="92" t="str">
        <f t="shared" si="593"/>
        <v>0.012110681834527-83.3980312627471i</v>
      </c>
      <c r="FR199" s="1" t="str">
        <f t="shared" si="594"/>
        <v>-0.560344479576369-83.380179114131i</v>
      </c>
      <c r="FS199" s="1" t="str">
        <f t="shared" si="595"/>
        <v>0.572455161410895-0.0178521486158837i</v>
      </c>
      <c r="FT199" s="1" t="str">
        <f t="shared" si="596"/>
        <v>-0.0553817812995279-165.949425516595i</v>
      </c>
      <c r="FU199" s="1" t="str">
        <f t="shared" si="597"/>
        <v>0.146051691502197-430.297817807812i</v>
      </c>
      <c r="FV199" s="1" t="str">
        <f t="shared" si="598"/>
        <v>0.569710508393866-621.317359094989i</v>
      </c>
      <c r="FW199" s="1" t="str">
        <f t="shared" si="599"/>
        <v>-0.560344479576369-83.380179114131i</v>
      </c>
      <c r="FX199" s="1" t="str">
        <f t="shared" si="600"/>
        <v>-3.13826180010834-166.017611197445i</v>
      </c>
      <c r="FY199" s="1" t="str">
        <f t="shared" si="601"/>
        <v>0.496637933220097-430.305956286958i</v>
      </c>
      <c r="FZ199" s="1" t="str">
        <f t="shared" si="602"/>
        <v>3.87668594554092-621.301824705802i</v>
      </c>
      <c r="GA199" s="1" t="str">
        <f t="shared" si="603"/>
        <v>0.572455161410895-0.0178521486158837i</v>
      </c>
      <c r="GB199" s="1" t="str">
        <f t="shared" si="604"/>
        <v>3.65533518021971+0.0503335322339296i</v>
      </c>
      <c r="GC199" s="1" t="str">
        <f t="shared" si="605"/>
        <v>3.30474893850176+0.0584720113800913i</v>
      </c>
      <c r="GD199" s="92" t="str">
        <f t="shared" si="606"/>
        <v>0.672491100431062-1300.96263368214i</v>
      </c>
      <c r="GE199" s="1" t="str">
        <f t="shared" si="623"/>
        <v>0.00286063603858657+5.53402207461202i</v>
      </c>
      <c r="GF199" s="1">
        <f t="shared" si="624"/>
        <v>39.799999999999997</v>
      </c>
      <c r="GG199" s="56">
        <f t="shared" si="625"/>
        <v>0.22476297126167222</v>
      </c>
      <c r="GH199" s="1">
        <f t="shared" si="626"/>
        <v>0.77523704949505789</v>
      </c>
      <c r="GJ199" s="1">
        <f t="shared" si="607"/>
        <v>1300.962807493531</v>
      </c>
      <c r="GK199" s="1">
        <f t="shared" si="608"/>
        <v>5.5340228139692087</v>
      </c>
      <c r="GM199" s="1" t="str">
        <f t="shared" si="627"/>
        <v>0.0191834803010191+19.0875628995141i</v>
      </c>
      <c r="GP199" s="1">
        <f t="shared" si="613"/>
        <v>39.799999999999997</v>
      </c>
      <c r="GQ199" s="1">
        <f t="shared" si="614"/>
        <v>5.5340228139692087</v>
      </c>
      <c r="GR199" s="1">
        <f t="shared" si="628"/>
        <v>19.087572539451518</v>
      </c>
      <c r="GS199" s="1">
        <f t="shared" si="629"/>
        <v>4.2901795181398175</v>
      </c>
    </row>
    <row r="200" spans="2:201" ht="18" customHeight="1" x14ac:dyDescent="0.25">
      <c r="B200" s="6"/>
      <c r="AN200" s="9"/>
      <c r="AP200" s="8"/>
      <c r="AR200" s="6"/>
      <c r="CD200" s="9"/>
      <c r="CF200" s="8"/>
      <c r="EA200" s="1">
        <f t="shared" si="609"/>
        <v>40</v>
      </c>
      <c r="EB200" s="1" t="str">
        <f t="shared" si="615"/>
        <v>2.83599627035921E-06-0.0113439850814369i</v>
      </c>
      <c r="EC200" s="1" t="str">
        <f t="shared" si="616"/>
        <v>5.55623759090786E-06-0.0222249503636314i</v>
      </c>
      <c r="ED200" s="1" t="str">
        <f t="shared" si="617"/>
        <v>0.0000137314309212801-0.0549257236851204i</v>
      </c>
      <c r="EE200" s="1" t="str">
        <f t="shared" si="618"/>
        <v>0.0000191767366852861-0.0767069467411446i</v>
      </c>
      <c r="EF200" s="1" t="str">
        <f t="shared" si="619"/>
        <v>0.726015090587899i</v>
      </c>
      <c r="EG200" s="1" t="str">
        <f t="shared" si="620"/>
        <v>0.725712710291944i</v>
      </c>
      <c r="EH200" s="1" t="str">
        <f t="shared" si="621"/>
        <v>0.726290606518716i</v>
      </c>
      <c r="EI200" s="1" t="str">
        <f t="shared" si="622"/>
        <v>0.726219659506071i</v>
      </c>
      <c r="EJ200" s="1" t="str">
        <f t="shared" si="610"/>
        <v>0.005</v>
      </c>
      <c r="EK200" s="1" t="str">
        <f t="shared" si="611"/>
        <v>0.01</v>
      </c>
      <c r="EL200" s="1" t="str">
        <f t="shared" si="612"/>
        <v>0.0125</v>
      </c>
      <c r="EM200" s="1" t="str">
        <f t="shared" si="564"/>
        <v>0.00500283599627036+0.714671105506462i</v>
      </c>
      <c r="EN200" s="1" t="str">
        <f t="shared" si="565"/>
        <v>-0.005</v>
      </c>
      <c r="EO200" s="1" t="str">
        <f t="shared" si="566"/>
        <v>0.0204179192301049-81.6716769204202i</v>
      </c>
      <c r="EP200" s="1" t="str">
        <f t="shared" si="567"/>
        <v>-0.005</v>
      </c>
      <c r="EQ200" s="1" t="str">
        <f t="shared" si="568"/>
        <v>0.0150055562375909+0.703487759928313i</v>
      </c>
      <c r="ER200" s="1" t="str">
        <f t="shared" si="569"/>
        <v>-0.01</v>
      </c>
      <c r="ES200" s="1" t="str">
        <f t="shared" si="570"/>
        <v>0.0400024540018384-160.009816007353i</v>
      </c>
      <c r="ET200" s="1" t="str">
        <f t="shared" si="571"/>
        <v>-0.01</v>
      </c>
      <c r="EU200" s="1" t="str">
        <f t="shared" si="572"/>
        <v>0.0225137314309213+0.671364882833596i</v>
      </c>
      <c r="EV200" s="1" t="str">
        <f t="shared" si="573"/>
        <v>-0.0125</v>
      </c>
      <c r="EW200" s="1" t="str">
        <f t="shared" si="574"/>
        <v>0.0988602313743349-395.44092549734i</v>
      </c>
      <c r="EX200" s="1" t="str">
        <f t="shared" si="575"/>
        <v>-0.0125</v>
      </c>
      <c r="EY200" s="1" t="str">
        <f t="shared" si="576"/>
        <v>0.0125191767366853+0.649512712764926i</v>
      </c>
      <c r="EZ200" s="1" t="str">
        <f t="shared" si="577"/>
        <v>0.138064025270233-552.256101080935i</v>
      </c>
      <c r="FB200" s="1" t="str">
        <f t="shared" si="578"/>
        <v>0.00500283599627036+0.714671105506462i</v>
      </c>
      <c r="FC200" s="1" t="str">
        <f t="shared" si="579"/>
        <v>0.0204179192301049-81.6716769204202i</v>
      </c>
      <c r="FD200" s="1" t="str">
        <f t="shared" si="580"/>
        <v>-0.0000489725300972206+0.00699588238553517i</v>
      </c>
      <c r="FE200" s="1" t="str">
        <f t="shared" si="581"/>
        <v>0.0150053113749404+0.703522739340241i</v>
      </c>
      <c r="FF200" s="1" t="str">
        <f t="shared" si="582"/>
        <v>-0.531361992045685-160.013958517371i</v>
      </c>
      <c r="FG200" s="1" t="str">
        <f t="shared" si="583"/>
        <v>-0.000303033896067431+0.0142077182770325i</v>
      </c>
      <c r="FH200" s="1" t="str">
        <f t="shared" si="584"/>
        <v>0.0225107010919606+0.671506960016366i</v>
      </c>
      <c r="FI200" s="1" t="str">
        <f t="shared" si="585"/>
        <v>-2.17473403232791-395.481865709129i</v>
      </c>
      <c r="FJ200" s="1" t="str">
        <f t="shared" si="586"/>
        <v>-0.000623318798499098+0.0185939527068158i</v>
      </c>
      <c r="FK200" s="1" t="str">
        <f t="shared" si="587"/>
        <v>0.0125113852517041+0.649745137173761i</v>
      </c>
      <c r="FL200" s="1" t="str">
        <f t="shared" si="588"/>
        <v>-7.21468422032614-552.50442504596i</v>
      </c>
      <c r="FM200" s="1" t="str">
        <f t="shared" si="589"/>
        <v>-850.238779926289-5.2681898107921i</v>
      </c>
      <c r="FN200" s="1" t="str">
        <f t="shared" si="590"/>
        <v>-589.022059087168-0.679934467491975i</v>
      </c>
      <c r="FO200" s="1" t="str">
        <f t="shared" si="591"/>
        <v>-227.547580337021+4.274432252419i</v>
      </c>
      <c r="FP200" s="1" t="str">
        <f t="shared" si="592"/>
        <v>-114.254129364928+0.763603435399673i</v>
      </c>
      <c r="FQ200" s="92" t="str">
        <f t="shared" si="593"/>
        <v>0.0120796375355491-82.9677762250049i</v>
      </c>
      <c r="FR200" s="1" t="str">
        <f t="shared" si="594"/>
        <v>-0.554387617324924-82.9502220809197i</v>
      </c>
      <c r="FS200" s="1" t="str">
        <f t="shared" si="595"/>
        <v>0.566467254860465-0.0175541440850966i</v>
      </c>
      <c r="FT200" s="1" t="str">
        <f t="shared" si="596"/>
        <v>-0.0537322822212904-165.067073435469i</v>
      </c>
      <c r="FU200" s="1" t="str">
        <f t="shared" si="597"/>
        <v>0.144294239775254-427.793379022729i</v>
      </c>
      <c r="FV200" s="1" t="str">
        <f t="shared" si="598"/>
        <v>0.558475585711169-617.475220863308i</v>
      </c>
      <c r="FW200" s="1" t="str">
        <f t="shared" si="599"/>
        <v>-0.554387617324924-82.9502220809197i</v>
      </c>
      <c r="FX200" s="1" t="str">
        <f t="shared" si="600"/>
        <v>-3.10200981486229-165.134171246753i</v>
      </c>
      <c r="FY200" s="1" t="str">
        <f t="shared" si="601"/>
        <v>0.493830016787727-427.801188547322i</v>
      </c>
      <c r="FZ200" s="1" t="str">
        <f t="shared" si="602"/>
        <v>3.82586301060679-617.460117256927i</v>
      </c>
      <c r="GA200" s="1" t="str">
        <f t="shared" si="603"/>
        <v>0.566467254860465-0.0175541440850966i</v>
      </c>
      <c r="GB200" s="1" t="str">
        <f t="shared" si="604"/>
        <v>3.61474478750147+0.0495436671991098i</v>
      </c>
      <c r="GC200" s="1" t="str">
        <f t="shared" si="605"/>
        <v>3.26520901048901+0.0573531917912515i</v>
      </c>
      <c r="GD200" s="92" t="str">
        <f t="shared" si="606"/>
        <v>0.661117180800682-1293.30344954651i</v>
      </c>
      <c r="GE200" s="1" t="str">
        <f t="shared" si="623"/>
        <v>0.00284566180214972+5.56679561784453i</v>
      </c>
      <c r="GF200" s="1">
        <f t="shared" si="624"/>
        <v>40</v>
      </c>
      <c r="GG200" s="56">
        <f t="shared" si="625"/>
        <v>0.22491846791588241</v>
      </c>
      <c r="GH200" s="1">
        <f t="shared" si="626"/>
        <v>0.7750815529113354</v>
      </c>
      <c r="GJ200" s="1">
        <f t="shared" si="607"/>
        <v>1293.3036185230553</v>
      </c>
      <c r="GK200" s="1">
        <f t="shared" si="608"/>
        <v>5.5667963451741391</v>
      </c>
      <c r="GM200" s="1" t="str">
        <f t="shared" si="627"/>
        <v>0.0191834803010191+19.1834803010192i</v>
      </c>
      <c r="GP200" s="1">
        <f t="shared" si="613"/>
        <v>40</v>
      </c>
      <c r="GQ200" s="1">
        <f t="shared" si="614"/>
        <v>5.5667963451741391</v>
      </c>
      <c r="GR200" s="1">
        <f t="shared" si="628"/>
        <v>19.183489892756953</v>
      </c>
      <c r="GS200" s="1">
        <f t="shared" si="629"/>
        <v>4.3147211559587202</v>
      </c>
    </row>
    <row r="201" spans="2:201" ht="18" customHeight="1" thickBot="1" x14ac:dyDescent="0.3">
      <c r="B201" s="6"/>
      <c r="C201" s="10" t="str">
        <f>"Harmonic Filter Design - H - Type | "&amp; H12 &amp; " | " &amp; AE13</f>
        <v xml:space="preserve">Harmonic Filter Design - H - Type | Enter Customer PO #  | </v>
      </c>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1"/>
      <c r="AO201" s="10"/>
      <c r="AP201" s="8"/>
      <c r="AR201" s="6"/>
      <c r="AS201" s="10" t="str">
        <f>"Harmonic Filter Design - H - Type | "&amp; H12 &amp; " | " &amp; AE13</f>
        <v xml:space="preserve">Harmonic Filter Design - H - Type | Enter Customer PO #  | </v>
      </c>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1"/>
      <c r="CE201" s="10"/>
      <c r="CF201" s="8"/>
      <c r="EA201" s="1">
        <f t="shared" si="609"/>
        <v>40.200000000000003</v>
      </c>
      <c r="EB201" s="1" t="str">
        <f t="shared" si="615"/>
        <v>2.80784759992921E-06-0.0112875473517155i</v>
      </c>
      <c r="EC201" s="1" t="str">
        <f t="shared" si="616"/>
        <v>5.50108917537152E-06-0.0221143784849935i</v>
      </c>
      <c r="ED201" s="1" t="str">
        <f t="shared" si="617"/>
        <v>0.0000135951396547593-0.0546524614121325i</v>
      </c>
      <c r="EE201" s="1" t="str">
        <f t="shared" si="618"/>
        <v>0.0000189863980566643-0.0763253201877904i</v>
      </c>
      <c r="EF201" s="1" t="str">
        <f t="shared" si="619"/>
        <v>0.729645166040841i</v>
      </c>
      <c r="EG201" s="1" t="str">
        <f t="shared" si="620"/>
        <v>0.729341273843406i</v>
      </c>
      <c r="EH201" s="1" t="str">
        <f t="shared" si="621"/>
        <v>0.729922059551312i</v>
      </c>
      <c r="EI201" s="1" t="str">
        <f t="shared" si="622"/>
        <v>0.729850757803602i</v>
      </c>
      <c r="EJ201" s="1" t="str">
        <f t="shared" si="610"/>
        <v>0.005</v>
      </c>
      <c r="EK201" s="1" t="str">
        <f t="shared" si="611"/>
        <v>0.01</v>
      </c>
      <c r="EL201" s="1" t="str">
        <f t="shared" si="612"/>
        <v>0.0125</v>
      </c>
      <c r="EM201" s="1" t="str">
        <f t="shared" si="564"/>
        <v>0.00500280784759993+0.718357618689125i</v>
      </c>
      <c r="EN201" s="1" t="str">
        <f t="shared" si="565"/>
        <v>-0.005</v>
      </c>
      <c r="EO201" s="1" t="str">
        <f t="shared" si="566"/>
        <v>0.0202152612487523-81.2653502199848i</v>
      </c>
      <c r="EP201" s="1" t="str">
        <f t="shared" si="567"/>
        <v>-0.005</v>
      </c>
      <c r="EQ201" s="1" t="str">
        <f t="shared" si="568"/>
        <v>0.0150055010891754+0.707226895358412i</v>
      </c>
      <c r="ER201" s="1" t="str">
        <f t="shared" si="569"/>
        <v>-0.01</v>
      </c>
      <c r="ES201" s="1" t="str">
        <f t="shared" si="570"/>
        <v>0.0396054097934739-159.213747369765i</v>
      </c>
      <c r="ET201" s="1" t="str">
        <f t="shared" si="571"/>
        <v>-0.01</v>
      </c>
      <c r="EU201" s="1" t="str">
        <f t="shared" si="572"/>
        <v>0.0225135951396548+0.675269598139179i</v>
      </c>
      <c r="EV201" s="1" t="str">
        <f t="shared" si="573"/>
        <v>-0.0125</v>
      </c>
      <c r="EW201" s="1" t="str">
        <f t="shared" si="574"/>
        <v>0.0978789945156426-393.473557952884i</v>
      </c>
      <c r="EX201" s="1" t="str">
        <f t="shared" si="575"/>
        <v>-0.0125</v>
      </c>
      <c r="EY201" s="1" t="str">
        <f t="shared" si="576"/>
        <v>0.0125189863980567+0.653525437615812i</v>
      </c>
      <c r="EZ201" s="1" t="str">
        <f t="shared" si="577"/>
        <v>0.136693671301088-549.508558630372i</v>
      </c>
      <c r="FB201" s="1" t="str">
        <f t="shared" si="578"/>
        <v>0.00500280784759993+0.718357618689125i</v>
      </c>
      <c r="FC201" s="1" t="str">
        <f t="shared" si="579"/>
        <v>0.0202152612487523-81.2653502199848i</v>
      </c>
      <c r="FD201" s="1" t="str">
        <f t="shared" si="580"/>
        <v>-0.0000484709307837294+0.00695998396783313i</v>
      </c>
      <c r="FE201" s="1" t="str">
        <f t="shared" si="581"/>
        <v>0.0150052587345215+0.707261695278251i</v>
      </c>
      <c r="FF201" s="1" t="str">
        <f t="shared" si="582"/>
        <v>-0.525999145025436-159.217827074825i</v>
      </c>
      <c r="FG201" s="1" t="str">
        <f t="shared" si="583"/>
        <v>-0.00029983875991803+0.0141326766436805i</v>
      </c>
      <c r="FH201" s="1" t="str">
        <f t="shared" si="584"/>
        <v>0.0225105967520556+0.675410924905616i</v>
      </c>
      <c r="FI201" s="1" t="str">
        <f t="shared" si="585"/>
        <v>-2.15245278637366-393.513863852879i</v>
      </c>
      <c r="FJ201" s="1" t="str">
        <f t="shared" si="586"/>
        <v>-0.000616139015277768+0.0184867165789904i</v>
      </c>
      <c r="FK201" s="1" t="str">
        <f t="shared" si="587"/>
        <v>0.0125112846603657+0.653756521573049i</v>
      </c>
      <c r="FL201" s="1" t="str">
        <f t="shared" si="588"/>
        <v>-7.13728016883353-549.752802502138i</v>
      </c>
      <c r="FM201" s="1" t="str">
        <f t="shared" si="589"/>
        <v>-840.814666847472-5.17377855989435i</v>
      </c>
      <c r="FN201" s="1" t="str">
        <f t="shared" si="590"/>
        <v>-582.702143386087-0.672682122248868i</v>
      </c>
      <c r="FO201" s="1" t="str">
        <f t="shared" si="591"/>
        <v>-225.217401575921+4.20434927633557i</v>
      </c>
      <c r="FP201" s="1" t="str">
        <f t="shared" si="592"/>
        <v>-113.102565257307+0.751772281003162i</v>
      </c>
      <c r="FQ201" s="92" t="str">
        <f t="shared" si="593"/>
        <v>0.0120471707956255-82.5420028917891i</v>
      </c>
      <c r="FR201" s="1" t="str">
        <f t="shared" si="594"/>
        <v>-0.548527010797454-82.5247400068128i</v>
      </c>
      <c r="FS201" s="1" t="str">
        <f t="shared" si="595"/>
        <v>0.56057418159307-0.017262884976662i</v>
      </c>
      <c r="FT201" s="1" t="str">
        <f t="shared" si="596"/>
        <v>-0.0521322203766048-164.194313358122i</v>
      </c>
      <c r="FU201" s="1" t="str">
        <f t="shared" si="597"/>
        <v>0.142564645260942-425.319655213852i</v>
      </c>
      <c r="FV201" s="1" t="str">
        <f t="shared" si="598"/>
        <v>0.547548018422397-613.683909064677i</v>
      </c>
      <c r="FW201" s="1" t="str">
        <f t="shared" si="599"/>
        <v>-0.548527010797454-82.5247400068128i</v>
      </c>
      <c r="FX201" s="1" t="str">
        <f t="shared" si="600"/>
        <v>-3.06640545688519-164.260346557084i</v>
      </c>
      <c r="FY201" s="1" t="str">
        <f t="shared" si="601"/>
        <v>0.491005520095241-425.327148605337i</v>
      </c>
      <c r="FZ201" s="1" t="str">
        <f t="shared" si="602"/>
        <v>3.77608620264692-613.669221771011i</v>
      </c>
      <c r="GA201" s="1" t="str">
        <f t="shared" si="603"/>
        <v>0.56057418159307-0.017262884976662i</v>
      </c>
      <c r="GB201" s="1" t="str">
        <f t="shared" si="604"/>
        <v>3.57484741810166+0.0487703139858444i</v>
      </c>
      <c r="GC201" s="1" t="str">
        <f t="shared" si="605"/>
        <v>3.22640654326731+0.0562637054705685i</v>
      </c>
      <c r="GD201" s="92" t="str">
        <f t="shared" si="606"/>
        <v>0.65002761410236-1285.73988052844i</v>
      </c>
      <c r="GE201" s="1" t="str">
        <f t="shared" si="623"/>
        <v>0.00283094408702504+5.59954320903835i</v>
      </c>
      <c r="GF201" s="1">
        <f t="shared" si="624"/>
        <v>40.200000000000003</v>
      </c>
      <c r="GG201" s="56">
        <f t="shared" si="625"/>
        <v>0.22507154755476319</v>
      </c>
      <c r="GH201" s="1">
        <f t="shared" si="626"/>
        <v>0.77492847333734927</v>
      </c>
      <c r="GJ201" s="1">
        <f t="shared" si="607"/>
        <v>1285.7400448446747</v>
      </c>
      <c r="GK201" s="1">
        <f t="shared" si="608"/>
        <v>5.5995439246542151</v>
      </c>
      <c r="GM201" s="1" t="str">
        <f t="shared" si="627"/>
        <v>0.0191834803010191+19.2793977025243i</v>
      </c>
      <c r="GP201" s="1">
        <f t="shared" si="613"/>
        <v>40.200000000000003</v>
      </c>
      <c r="GQ201" s="1">
        <f t="shared" si="614"/>
        <v>5.5995439246542151</v>
      </c>
      <c r="GR201" s="1">
        <f t="shared" si="628"/>
        <v>19.279407246541989</v>
      </c>
      <c r="GS201" s="1">
        <f t="shared" si="629"/>
        <v>4.3392460249177276</v>
      </c>
    </row>
    <row r="202" spans="2:201" ht="18" customHeight="1" x14ac:dyDescent="0.25">
      <c r="B202" s="6"/>
      <c r="AN202" s="9"/>
      <c r="AP202" s="8"/>
      <c r="AR202" s="6"/>
      <c r="CD202" s="9"/>
      <c r="CF202" s="8"/>
      <c r="EA202" s="1">
        <f t="shared" si="609"/>
        <v>40.4</v>
      </c>
      <c r="EB202" s="1" t="str">
        <f t="shared" si="615"/>
        <v>0.0000027801159433896-0.011231668411294i</v>
      </c>
      <c r="EC202" s="1" t="str">
        <f t="shared" si="616"/>
        <v>5.44675776664087E-06-0.0220049013772291i</v>
      </c>
      <c r="ED202" s="1" t="str">
        <f t="shared" si="617"/>
        <v>0.0000134608675014119-0.0543819047057041i</v>
      </c>
      <c r="EE202" s="1" t="str">
        <f t="shared" si="618"/>
        <v>0.0000187988792362534-0.075947472114464i</v>
      </c>
      <c r="EF202" s="1" t="str">
        <f t="shared" si="619"/>
        <v>0.733275241493779i</v>
      </c>
      <c r="EG202" s="1" t="str">
        <f t="shared" si="620"/>
        <v>0.732969837394865i</v>
      </c>
      <c r="EH202" s="1" t="str">
        <f t="shared" si="621"/>
        <v>0.733553512583906i</v>
      </c>
      <c r="EI202" s="1" t="str">
        <f t="shared" si="622"/>
        <v>0.73348185610113i</v>
      </c>
      <c r="EJ202" s="1" t="str">
        <f t="shared" si="610"/>
        <v>0.005</v>
      </c>
      <c r="EK202" s="1" t="str">
        <f t="shared" si="611"/>
        <v>0.01</v>
      </c>
      <c r="EL202" s="1" t="str">
        <f t="shared" si="612"/>
        <v>0.0125</v>
      </c>
      <c r="EM202" s="1" t="str">
        <f t="shared" si="564"/>
        <v>0.00500278011594339+0.722043573082485i</v>
      </c>
      <c r="EN202" s="1" t="str">
        <f t="shared" si="565"/>
        <v>-0.005</v>
      </c>
      <c r="EO202" s="1" t="str">
        <f t="shared" si="566"/>
        <v>0.0200156055830306-80.8630465554438i</v>
      </c>
      <c r="EP202" s="1" t="str">
        <f t="shared" si="567"/>
        <v>-0.005</v>
      </c>
      <c r="EQ202" s="1" t="str">
        <f t="shared" si="568"/>
        <v>0.0150054467577666+0.710964936017636i</v>
      </c>
      <c r="ER202" s="1" t="str">
        <f t="shared" si="569"/>
        <v>-0.01</v>
      </c>
      <c r="ES202" s="1" t="str">
        <f t="shared" si="570"/>
        <v>0.0392142476728765-158.425560598421i</v>
      </c>
      <c r="ET202" s="1" t="str">
        <f t="shared" si="571"/>
        <v>-0.01</v>
      </c>
      <c r="EU202" s="1" t="str">
        <f t="shared" si="572"/>
        <v>0.0225134608675014+0.679171607878202i</v>
      </c>
      <c r="EV202" s="1" t="str">
        <f t="shared" si="573"/>
        <v>-0.0125</v>
      </c>
      <c r="EW202" s="1" t="str">
        <f t="shared" si="574"/>
        <v>0.0969122943790616-391.525669291409i</v>
      </c>
      <c r="EX202" s="1" t="str">
        <f t="shared" si="575"/>
        <v>-0.0125</v>
      </c>
      <c r="EY202" s="1" t="str">
        <f t="shared" si="576"/>
        <v>0.0125187988792363+0.657534383986666i</v>
      </c>
      <c r="EZ202" s="1" t="str">
        <f t="shared" si="577"/>
        <v>0.135343618704302-546.788219565381i</v>
      </c>
      <c r="FB202" s="1" t="str">
        <f t="shared" si="578"/>
        <v>0.00500278011594339+0.722043573082485i</v>
      </c>
      <c r="FC202" s="1" t="str">
        <f t="shared" si="579"/>
        <v>0.0200156055830306-80.8630465554438i</v>
      </c>
      <c r="FD202" s="1" t="str">
        <f t="shared" si="580"/>
        <v>-0.0000479770739799987+0.00692445742561455i</v>
      </c>
      <c r="FE202" s="1" t="str">
        <f t="shared" si="581"/>
        <v>0.0150052068723967+0.710999558304764i</v>
      </c>
      <c r="FF202" s="1" t="str">
        <f t="shared" si="582"/>
        <v>-0.520717515215592-158.429578767997i</v>
      </c>
      <c r="FG202" s="1" t="str">
        <f t="shared" si="583"/>
        <v>-0.000296694800792353+0.0140584447857725i</v>
      </c>
      <c r="FH202" s="1" t="str">
        <f t="shared" si="584"/>
        <v>0.0225104939194935+0.67931219232606i</v>
      </c>
      <c r="FI202" s="1" t="str">
        <f t="shared" si="585"/>
        <v>-2.13051568534347-391.565354045284i</v>
      </c>
      <c r="FJ202" s="1" t="str">
        <f t="shared" si="586"/>
        <v>-0.000609087368569388+0.0183807817429841i</v>
      </c>
      <c r="FK202" s="1" t="str">
        <f t="shared" si="587"/>
        <v>0.0125111852871292+0.657764143758453i</v>
      </c>
      <c r="FL202" s="1" t="str">
        <f t="shared" si="588"/>
        <v>-7.0611452272625-547.028474228748i</v>
      </c>
      <c r="FM202" s="1" t="str">
        <f t="shared" si="589"/>
        <v>-831.551706606379-5.08168814252951i</v>
      </c>
      <c r="FN202" s="1" t="str">
        <f t="shared" si="590"/>
        <v>-576.485891522493-0.665482149407224i</v>
      </c>
      <c r="FO202" s="1" t="str">
        <f t="shared" si="591"/>
        <v>-222.923193983051+4.13582224309762i</v>
      </c>
      <c r="FP202" s="1" t="str">
        <f t="shared" si="592"/>
        <v>-111.968409455221+0.740186675458129i</v>
      </c>
      <c r="FQ202" s="92" t="str">
        <f t="shared" si="593"/>
        <v>0.0120133594421093-82.1206406607897i</v>
      </c>
      <c r="FR202" s="1" t="str">
        <f t="shared" si="594"/>
        <v>-0.542760563197037-82.1036624829515i</v>
      </c>
      <c r="FS202" s="1" t="str">
        <f t="shared" si="595"/>
        <v>0.55477392263915-0.0169781778381974i</v>
      </c>
      <c r="FT202" s="1" t="str">
        <f t="shared" si="596"/>
        <v>-0.0505799042620456-163.330986023537i</v>
      </c>
      <c r="FU202" s="1" t="str">
        <f t="shared" si="597"/>
        <v>0.14086248141369-422.876061150401i</v>
      </c>
      <c r="FV202" s="1" t="str">
        <f t="shared" si="598"/>
        <v>0.536917227314658-609.942374084562i</v>
      </c>
      <c r="FW202" s="1" t="str">
        <f t="shared" si="599"/>
        <v>-0.542760563197037-82.1036624829515i</v>
      </c>
      <c r="FX202" s="1" t="str">
        <f t="shared" si="600"/>
        <v>-3.03143295701733-163.395977245301i</v>
      </c>
      <c r="FY202" s="1" t="str">
        <f t="shared" si="601"/>
        <v>0.488166768259557-422.883250681389i</v>
      </c>
      <c r="FZ202" s="1" t="str">
        <f t="shared" si="602"/>
        <v>3.72732605090965-609.928089205709i</v>
      </c>
      <c r="GA202" s="1" t="str">
        <f t="shared" si="603"/>
        <v>0.55477392263915-0.0169781778381974i</v>
      </c>
      <c r="GB202" s="1" t="str">
        <f t="shared" si="604"/>
        <v>3.53562697539442+0.0480130439250484i</v>
      </c>
      <c r="GC202" s="1" t="str">
        <f t="shared" si="605"/>
        <v>3.18832268854858+0.0552025749140286i</v>
      </c>
      <c r="GD202" s="92" t="str">
        <f t="shared" si="606"/>
        <v>0.639213163908412-1278.27006191929i</v>
      </c>
      <c r="GE202" s="1" t="str">
        <f t="shared" si="623"/>
        <v>0.00281647689402954+5.63226525516492i</v>
      </c>
      <c r="GF202" s="1">
        <f t="shared" si="624"/>
        <v>40.4</v>
      </c>
      <c r="GG202" s="56">
        <f t="shared" si="625"/>
        <v>0.22522226057019118</v>
      </c>
      <c r="GH202" s="1">
        <f t="shared" si="626"/>
        <v>0.77477776038141322</v>
      </c>
      <c r="GJ202" s="1">
        <f t="shared" si="607"/>
        <v>1278.2702217421067</v>
      </c>
      <c r="GK202" s="1">
        <f t="shared" si="608"/>
        <v>5.6322659593701765</v>
      </c>
      <c r="GM202" s="1" t="str">
        <f t="shared" si="627"/>
        <v>0.0191834803010191+19.3753151040294i</v>
      </c>
      <c r="GP202" s="1">
        <f t="shared" si="613"/>
        <v>40.4</v>
      </c>
      <c r="GQ202" s="1">
        <f t="shared" si="614"/>
        <v>5.6322659593701765</v>
      </c>
      <c r="GR202" s="1">
        <f t="shared" si="628"/>
        <v>19.375324600799502</v>
      </c>
      <c r="GS202" s="1">
        <f t="shared" si="629"/>
        <v>4.363754405873312</v>
      </c>
    </row>
    <row r="203" spans="2:201" ht="18" customHeight="1" x14ac:dyDescent="0.25">
      <c r="B203" s="6"/>
      <c r="D203" s="24"/>
      <c r="K203" s="32" t="s">
        <v>179</v>
      </c>
      <c r="L203" s="24" t="s">
        <v>286</v>
      </c>
      <c r="M203" s="23"/>
      <c r="N203" s="23"/>
      <c r="O203" s="23"/>
      <c r="P203" s="23"/>
      <c r="Q203" s="23"/>
      <c r="R203" s="23"/>
      <c r="S203" s="23"/>
      <c r="T203" s="23"/>
      <c r="U203" s="23"/>
      <c r="V203" s="23"/>
      <c r="W203" s="23"/>
      <c r="X203" s="23"/>
      <c r="Y203" s="23"/>
      <c r="Z203" s="23"/>
      <c r="AA203" s="23"/>
      <c r="AP203" s="8"/>
      <c r="AR203" s="6"/>
      <c r="CF203" s="8"/>
      <c r="EA203" s="1">
        <f t="shared" si="609"/>
        <v>40.6</v>
      </c>
      <c r="EB203" s="1" t="str">
        <f t="shared" si="615"/>
        <v>2.75279310399128E-06-0.0111763400022046i</v>
      </c>
      <c r="EC203" s="1" t="str">
        <f t="shared" si="616"/>
        <v>5.39322730577882E-06-0.0218965028614621i</v>
      </c>
      <c r="ED203" s="1" t="str">
        <f t="shared" si="617"/>
        <v>0.000013328574773917-0.054114013582103i</v>
      </c>
      <c r="EE203" s="1" t="str">
        <f t="shared" si="618"/>
        <v>0.0000186141247984172-0.0755733466815738i</v>
      </c>
      <c r="EF203" s="1" t="str">
        <f t="shared" si="619"/>
        <v>0.73690531694672i</v>
      </c>
      <c r="EG203" s="1" t="str">
        <f t="shared" si="620"/>
        <v>0.736598400946326i</v>
      </c>
      <c r="EH203" s="1" t="str">
        <f t="shared" si="621"/>
        <v>0.737184965616501i</v>
      </c>
      <c r="EI203" s="1" t="str">
        <f t="shared" si="622"/>
        <v>0.737112954398661i</v>
      </c>
      <c r="EJ203" s="1" t="str">
        <f t="shared" si="610"/>
        <v>0.005</v>
      </c>
      <c r="EK203" s="1" t="str">
        <f t="shared" si="611"/>
        <v>0.01</v>
      </c>
      <c r="EL203" s="1" t="str">
        <f t="shared" si="612"/>
        <v>0.0125</v>
      </c>
      <c r="EM203" s="1" t="str">
        <f t="shared" si="564"/>
        <v>0.00500275279310399+0.725728976944515i</v>
      </c>
      <c r="EN203" s="1" t="str">
        <f t="shared" si="565"/>
        <v>-0.005</v>
      </c>
      <c r="EO203" s="1" t="str">
        <f t="shared" si="566"/>
        <v>0.0198188932199705-80.4647064730803i</v>
      </c>
      <c r="EP203" s="1" t="str">
        <f t="shared" si="567"/>
        <v>-0.005</v>
      </c>
      <c r="EQ203" s="1" t="str">
        <f t="shared" si="568"/>
        <v>0.0150053932273058+0.714701898084864i</v>
      </c>
      <c r="ER203" s="1" t="str">
        <f t="shared" si="569"/>
        <v>-0.01</v>
      </c>
      <c r="ES203" s="1" t="str">
        <f t="shared" si="570"/>
        <v>0.0388288520227993-157.645139212566i</v>
      </c>
      <c r="ET203" s="1" t="str">
        <f t="shared" si="571"/>
        <v>-0.01</v>
      </c>
      <c r="EU203" s="1" t="str">
        <f t="shared" si="572"/>
        <v>0.0225133285747739+0.683070952034398i</v>
      </c>
      <c r="EV203" s="1" t="str">
        <f t="shared" si="573"/>
        <v>-0.0125</v>
      </c>
      <c r="EW203" s="1" t="str">
        <f t="shared" si="574"/>
        <v>0.0959598452334289-389.596971647721i</v>
      </c>
      <c r="EX203" s="1" t="str">
        <f t="shared" si="575"/>
        <v>-0.0125</v>
      </c>
      <c r="EY203" s="1" t="str">
        <f t="shared" si="576"/>
        <v>0.0125186141247984+0.661539607717087i</v>
      </c>
      <c r="EZ203" s="1" t="str">
        <f t="shared" si="577"/>
        <v>0.1340134684398-544.094681865589i</v>
      </c>
      <c r="FB203" s="1" t="str">
        <f t="shared" si="578"/>
        <v>0.00500275279310399+0.725728976944515i</v>
      </c>
      <c r="FC203" s="1" t="str">
        <f t="shared" si="579"/>
        <v>0.0198188932199705-80.4647064730803i</v>
      </c>
      <c r="FD203" s="1" t="str">
        <f t="shared" si="580"/>
        <v>-0.0000474907996931385+0.00688929693329779i</v>
      </c>
      <c r="FE203" s="1" t="str">
        <f t="shared" si="581"/>
        <v>0.0150051557733073+0.71473634456953i</v>
      </c>
      <c r="FF203" s="1" t="str">
        <f t="shared" si="582"/>
        <v>-0.515515462305812-157.649097084064i</v>
      </c>
      <c r="FG203" s="1" t="str">
        <f t="shared" si="583"/>
        <v>-0.000293600913976759+0.0139850093653356i</v>
      </c>
      <c r="FH203" s="1" t="str">
        <f t="shared" si="584"/>
        <v>0.0225103925656341+0.683210802128051i</v>
      </c>
      <c r="FI203" s="1" t="str">
        <f t="shared" si="585"/>
        <v>-2.10891560973481-389.636048078144i</v>
      </c>
      <c r="FJ203" s="1" t="str">
        <f t="shared" si="586"/>
        <v>-0.000602160735075848+0.0182761236891649i</v>
      </c>
      <c r="FK203" s="1" t="str">
        <f t="shared" si="587"/>
        <v>0.01251108711561+0.661768059263202i</v>
      </c>
      <c r="FL203" s="1" t="str">
        <f t="shared" si="588"/>
        <v>-6.98625119106708-544.33103563842i</v>
      </c>
      <c r="FM203" s="1" t="str">
        <f t="shared" si="589"/>
        <v>-822.446134417412-4.99184570528206i</v>
      </c>
      <c r="FN203" s="1" t="str">
        <f t="shared" si="590"/>
        <v>-570.370997526995-0.658336740331823i</v>
      </c>
      <c r="FO203" s="1" t="str">
        <f t="shared" si="591"/>
        <v>-220.664213788482+4.06880741154517i</v>
      </c>
      <c r="FP203" s="1" t="str">
        <f t="shared" si="592"/>
        <v>-110.851311163276+0.728840222706941i</v>
      </c>
      <c r="FQ203" s="92" t="str">
        <f t="shared" si="593"/>
        <v>0.0119782778086539-81.7036204226776i</v>
      </c>
      <c r="FR203" s="1" t="str">
        <f t="shared" si="594"/>
        <v>-0.537086235317376-81.6869205867334i</v>
      </c>
      <c r="FS203" s="1" t="str">
        <f t="shared" si="595"/>
        <v>0.54906451312603-0.0166998359441912i</v>
      </c>
      <c r="FT203" s="1" t="str">
        <f t="shared" si="596"/>
        <v>-0.0490737088436255-162.476935745211i</v>
      </c>
      <c r="FU203" s="1" t="str">
        <f t="shared" si="597"/>
        <v>0.139187321030755-420.462026780044i</v>
      </c>
      <c r="FV203" s="1" t="str">
        <f t="shared" si="598"/>
        <v>0.526573069492028-606.249595789998i</v>
      </c>
      <c r="FW203" s="1" t="str">
        <f t="shared" si="599"/>
        <v>-0.537086235317376-81.6869205867334i</v>
      </c>
      <c r="FX203" s="1" t="str">
        <f t="shared" si="600"/>
        <v>-2.99707703310273-162.540907022674i</v>
      </c>
      <c r="FY203" s="1" t="str">
        <f t="shared" si="601"/>
        <v>0.485315947285594-420.468924200587i</v>
      </c>
      <c r="FZ203" s="1" t="str">
        <f t="shared" si="602"/>
        <v>3.67955413572273-606.235699974177i</v>
      </c>
      <c r="GA203" s="1" t="str">
        <f t="shared" si="603"/>
        <v>0.54906451312603-0.0166998359441912i</v>
      </c>
      <c r="GB203" s="1" t="str">
        <f t="shared" si="604"/>
        <v>3.49706783738513+0.0472714415187699i</v>
      </c>
      <c r="GC203" s="1" t="str">
        <f t="shared" si="605"/>
        <v>3.15093921113021+0.054168862061878i</v>
      </c>
      <c r="GD203" s="92" t="str">
        <f t="shared" si="606"/>
        <v>0.628664959487811-1270.89217873793i</v>
      </c>
      <c r="GE203" s="1" t="str">
        <f t="shared" si="623"/>
        <v>0.00280225440284972+5.66496215459054i</v>
      </c>
      <c r="GF203" s="1">
        <f t="shared" si="624"/>
        <v>40.6</v>
      </c>
      <c r="GG203" s="56">
        <f t="shared" si="625"/>
        <v>0.22537065603293444</v>
      </c>
      <c r="GH203" s="1">
        <f t="shared" si="626"/>
        <v>0.77462936497292834</v>
      </c>
      <c r="GJ203" s="1">
        <f t="shared" si="607"/>
        <v>1270.8923342269688</v>
      </c>
      <c r="GK203" s="1">
        <f t="shared" si="608"/>
        <v>5.6649628476780709</v>
      </c>
      <c r="GM203" s="1" t="str">
        <f t="shared" si="627"/>
        <v>0.0191834803010191+19.4712325055345i</v>
      </c>
      <c r="GP203" s="1">
        <f t="shared" si="613"/>
        <v>40.6</v>
      </c>
      <c r="GQ203" s="1">
        <f t="shared" si="614"/>
        <v>5.6649628476780709</v>
      </c>
      <c r="GR203" s="1">
        <f t="shared" si="628"/>
        <v>19.471241955522505</v>
      </c>
      <c r="GS203" s="1">
        <f t="shared" si="629"/>
        <v>4.3882465732920917</v>
      </c>
    </row>
    <row r="204" spans="2:201" ht="18" customHeight="1" x14ac:dyDescent="0.25">
      <c r="B204" s="6"/>
      <c r="D204" s="24"/>
      <c r="E204" s="177" t="s">
        <v>180</v>
      </c>
      <c r="F204" s="177"/>
      <c r="G204" s="177"/>
      <c r="H204" s="177"/>
      <c r="I204" s="177"/>
      <c r="J204" s="177"/>
      <c r="K204" s="177"/>
      <c r="L204" s="24" t="s">
        <v>181</v>
      </c>
      <c r="AP204" s="8"/>
      <c r="AR204" s="6"/>
      <c r="CF204" s="8"/>
      <c r="EA204" s="1">
        <f t="shared" si="609"/>
        <v>40.799999999999997</v>
      </c>
      <c r="EB204" s="1" t="str">
        <f t="shared" si="615"/>
        <v>2.72587108539219E-06-0.0111215540284002i</v>
      </c>
      <c r="EC204" s="1" t="str">
        <f t="shared" si="616"/>
        <v>5.34048212648267E-06-0.0217891670760493i</v>
      </c>
      <c r="ED204" s="1" t="str">
        <f t="shared" si="617"/>
        <v>0.0000131982227552918-0.0538487488415906i</v>
      </c>
      <c r="EE204" s="1" t="str">
        <f t="shared" si="618"/>
        <v>0.000018432080672652-0.0752028891444202i</v>
      </c>
      <c r="EF204" s="1" t="str">
        <f t="shared" si="619"/>
        <v>0.740535392399658i</v>
      </c>
      <c r="EG204" s="1" t="str">
        <f t="shared" si="620"/>
        <v>0.740226964497783i</v>
      </c>
      <c r="EH204" s="1" t="str">
        <f t="shared" si="621"/>
        <v>0.74081641864909i</v>
      </c>
      <c r="EI204" s="1" t="str">
        <f t="shared" si="622"/>
        <v>0.740744052696191i</v>
      </c>
      <c r="EJ204" s="1" t="str">
        <f t="shared" si="610"/>
        <v>0.005</v>
      </c>
      <c r="EK204" s="1" t="str">
        <f t="shared" si="611"/>
        <v>0.01</v>
      </c>
      <c r="EL204" s="1" t="str">
        <f t="shared" si="612"/>
        <v>0.0125</v>
      </c>
      <c r="EM204" s="1" t="str">
        <f t="shared" si="564"/>
        <v>0.00500272587108539+0.729413838371258i</v>
      </c>
      <c r="EN204" s="1" t="str">
        <f t="shared" si="565"/>
        <v>-0.005</v>
      </c>
      <c r="EO204" s="1" t="str">
        <f t="shared" si="566"/>
        <v>0.0196250665894447-80.0702716849347i</v>
      </c>
      <c r="EP204" s="1" t="str">
        <f t="shared" si="567"/>
        <v>-0.005</v>
      </c>
      <c r="EQ204" s="1" t="str">
        <f t="shared" si="568"/>
        <v>0.0150053404821265+0.718437797421734i</v>
      </c>
      <c r="ER204" s="1" t="str">
        <f t="shared" si="569"/>
        <v>-0.01</v>
      </c>
      <c r="ES204" s="1" t="str">
        <f t="shared" si="570"/>
        <v>0.0384491100527896-156.872369015382i</v>
      </c>
      <c r="ET204" s="1" t="str">
        <f t="shared" si="571"/>
        <v>-0.01</v>
      </c>
      <c r="EU204" s="1" t="str">
        <f t="shared" si="572"/>
        <v>0.0225131982227553+0.686967669807499i</v>
      </c>
      <c r="EV204" s="1" t="str">
        <f t="shared" si="573"/>
        <v>-0.0125</v>
      </c>
      <c r="EW204" s="1" t="str">
        <f t="shared" si="574"/>
        <v>0.0950213683335868-387.687182801035i</v>
      </c>
      <c r="EX204" s="1" t="str">
        <f t="shared" si="575"/>
        <v>-0.0125</v>
      </c>
      <c r="EY204" s="1" t="str">
        <f t="shared" si="576"/>
        <v>0.0125184320806727+0.665541163551771i</v>
      </c>
      <c r="EZ204" s="1" t="str">
        <f t="shared" si="577"/>
        <v>0.132702831223864-541.427551393366i</v>
      </c>
      <c r="FB204" s="1" t="str">
        <f t="shared" si="578"/>
        <v>0.00500272587108539+0.729413838371258i</v>
      </c>
      <c r="FC204" s="1" t="str">
        <f t="shared" si="579"/>
        <v>0.0196250665894447-80.0702716849347i</v>
      </c>
      <c r="FD204" s="1" t="str">
        <f t="shared" si="580"/>
        <v>-0.0000470119520766955+0.00685449678779786i</v>
      </c>
      <c r="FE204" s="1" t="str">
        <f t="shared" si="581"/>
        <v>0.0150051054223661+0.718472069905673i</v>
      </c>
      <c r="FF204" s="1" t="str">
        <f t="shared" si="582"/>
        <v>-0.510391387397007-156.876267795113i</v>
      </c>
      <c r="FG204" s="1" t="str">
        <f t="shared" si="583"/>
        <v>-0.000290556024823761+0.0139123573412238i</v>
      </c>
      <c r="FH204" s="1" t="str">
        <f t="shared" si="584"/>
        <v>0.0225102926625071+0.687106793380911i</v>
      </c>
      <c r="FI204" s="1" t="str">
        <f t="shared" si="585"/>
        <v>-2.08764562488217-387.725663398429i</v>
      </c>
      <c r="FJ204" s="1" t="str">
        <f t="shared" si="586"/>
        <v>-0.000595356088248813+0.0181727185358986i</v>
      </c>
      <c r="FK204" s="1" t="str">
        <f t="shared" si="587"/>
        <v>0.0125109901295696+0.66576832253347i</v>
      </c>
      <c r="FL204" s="1" t="str">
        <f t="shared" si="588"/>
        <v>-6.91257065024467-541.660090114564i</v>
      </c>
      <c r="FM204" s="1" t="str">
        <f t="shared" si="589"/>
        <v>-813.494297672874-4.9041811811911i</v>
      </c>
      <c r="FN204" s="1" t="str">
        <f t="shared" si="590"/>
        <v>-564.355220496497-0.651247866426929i</v>
      </c>
      <c r="FO204" s="1" t="str">
        <f t="shared" si="591"/>
        <v>-218.439736524066+4.0032625315026i</v>
      </c>
      <c r="FP204" s="1" t="str">
        <f t="shared" si="592"/>
        <v>-109.750928418222+0.717726727294349i</v>
      </c>
      <c r="FQ204" s="92" t="str">
        <f t="shared" si="593"/>
        <v>0.0119419968965839-81.2908745214356i</v>
      </c>
      <c r="FR204" s="1" t="str">
        <f t="shared" si="594"/>
        <v>-0.531502043632643-81.2744468424148i</v>
      </c>
      <c r="FS204" s="1" t="str">
        <f t="shared" si="595"/>
        <v>0.54344404052922-0.0164276790210412i</v>
      </c>
      <c r="FT204" s="1" t="str">
        <f t="shared" si="596"/>
        <v>-0.0476120725867882-161.632010309905i</v>
      </c>
      <c r="FU204" s="1" t="str">
        <f t="shared" si="597"/>
        <v>0.137538737039657-418.076996731676i</v>
      </c>
      <c r="FV204" s="1" t="str">
        <f t="shared" si="598"/>
        <v>0.516505817458579-602.604582486615i</v>
      </c>
      <c r="FW204" s="1" t="str">
        <f t="shared" si="599"/>
        <v>-0.531502043632643-81.2744468424148i</v>
      </c>
      <c r="FX204" s="1" t="str">
        <f t="shared" si="600"/>
        <v>-2.96332287178188-161.694983092905i</v>
      </c>
      <c r="FY204" s="1" t="str">
        <f t="shared" si="601"/>
        <v>0.482455112059258-418.083613294132i</v>
      </c>
      <c r="FZ204" s="1" t="str">
        <f t="shared" si="602"/>
        <v>3.63274304331189-602.591062903446i</v>
      </c>
      <c r="GA204" s="1" t="str">
        <f t="shared" si="603"/>
        <v>0.54344404052922-0.0164276790210412i</v>
      </c>
      <c r="GB204" s="1" t="str">
        <f t="shared" si="604"/>
        <v>3.45915483972431+0.0465451039792953i</v>
      </c>
      <c r="GC204" s="1" t="str">
        <f t="shared" si="605"/>
        <v>3.11423846470471+0.0531616664345521i</v>
      </c>
      <c r="GD204" s="92" t="str">
        <f t="shared" si="606"/>
        <v>0.618374478808032-1263.60446404963i</v>
      </c>
      <c r="GE204" s="1" t="str">
        <f t="shared" si="623"/>
        <v>0.00278827096553959+5.69763429730671i</v>
      </c>
      <c r="GF204" s="1">
        <f t="shared" si="624"/>
        <v>40.799999999999997</v>
      </c>
      <c r="GG204" s="56">
        <f t="shared" si="625"/>
        <v>0.22551678173446724</v>
      </c>
      <c r="GH204" s="1">
        <f t="shared" si="626"/>
        <v>0.77448323932059304</v>
      </c>
      <c r="GJ204" s="1">
        <f t="shared" si="607"/>
        <v>1263.6046153576476</v>
      </c>
      <c r="GK204" s="1">
        <f t="shared" si="608"/>
        <v>5.6976349795595631</v>
      </c>
      <c r="GM204" s="1" t="str">
        <f t="shared" si="627"/>
        <v>0.0191834803010191+19.5671499070396i</v>
      </c>
      <c r="GP204" s="1">
        <f t="shared" si="613"/>
        <v>40.799999999999997</v>
      </c>
      <c r="GQ204" s="1">
        <f t="shared" si="614"/>
        <v>5.6976349795595631</v>
      </c>
      <c r="GR204" s="1">
        <f t="shared" si="628"/>
        <v>19.567159310704152</v>
      </c>
      <c r="GS204" s="1">
        <f t="shared" si="629"/>
        <v>4.4127227954355908</v>
      </c>
    </row>
    <row r="205" spans="2:201" ht="18" customHeight="1" x14ac:dyDescent="0.25">
      <c r="B205" s="6"/>
      <c r="D205" s="24"/>
      <c r="E205" s="177" t="s">
        <v>182</v>
      </c>
      <c r="F205" s="177"/>
      <c r="G205" s="177"/>
      <c r="H205" s="177"/>
      <c r="I205" s="177"/>
      <c r="J205" s="177"/>
      <c r="K205" s="177"/>
      <c r="L205" s="24" t="s">
        <v>183</v>
      </c>
      <c r="AP205" s="8"/>
      <c r="AR205" s="6"/>
      <c r="CF205" s="8"/>
      <c r="EA205" s="1">
        <f t="shared" si="609"/>
        <v>41</v>
      </c>
      <c r="EB205" s="1" t="str">
        <f t="shared" si="615"/>
        <v>2.69934208580616E-06-0.0110673025518053i</v>
      </c>
      <c r="EC205" s="1" t="str">
        <f t="shared" si="616"/>
        <v>5.28850694362024E-06-0.021682878468843i</v>
      </c>
      <c r="ED205" s="1" t="str">
        <f t="shared" si="617"/>
        <v>0.0000130697736705615-0.0535860720493021i</v>
      </c>
      <c r="EE205" s="1" t="str">
        <f t="shared" si="618"/>
        <v>0.0000182526941040227-0.074836045826493i</v>
      </c>
      <c r="EF205" s="1" t="str">
        <f t="shared" si="619"/>
        <v>0.744165467852599i</v>
      </c>
      <c r="EG205" s="1" t="str">
        <f t="shared" si="620"/>
        <v>0.743855528049246i</v>
      </c>
      <c r="EH205" s="1" t="str">
        <f t="shared" si="621"/>
        <v>0.744447871681687i</v>
      </c>
      <c r="EI205" s="1" t="str">
        <f t="shared" si="622"/>
        <v>0.744375150993722i</v>
      </c>
      <c r="EJ205" s="1" t="str">
        <f t="shared" si="610"/>
        <v>0.005</v>
      </c>
      <c r="EK205" s="1" t="str">
        <f t="shared" si="611"/>
        <v>0.01</v>
      </c>
      <c r="EL205" s="1" t="str">
        <f t="shared" si="612"/>
        <v>0.0125</v>
      </c>
      <c r="EM205" s="1" t="str">
        <f t="shared" si="564"/>
        <v>0.00500269934208581+0.733098165300794i</v>
      </c>
      <c r="EN205" s="1" t="str">
        <f t="shared" si="565"/>
        <v>-0.005</v>
      </c>
      <c r="EO205" s="1" t="str">
        <f t="shared" si="566"/>
        <v>0.0194340695220422-79.6796850403732i</v>
      </c>
      <c r="EP205" s="1" t="str">
        <f t="shared" si="567"/>
        <v>-0.005</v>
      </c>
      <c r="EQ205" s="1" t="str">
        <f t="shared" si="568"/>
        <v>0.0150052885069436+0.722172649580403i</v>
      </c>
      <c r="ER205" s="1" t="str">
        <f t="shared" si="569"/>
        <v>-0.01</v>
      </c>
      <c r="ES205" s="1" t="str">
        <f t="shared" si="570"/>
        <v>0.0380749117166541-156.107138038282i</v>
      </c>
      <c r="ET205" s="1" t="str">
        <f t="shared" si="571"/>
        <v>-0.01</v>
      </c>
      <c r="EU205" s="1" t="str">
        <f t="shared" si="572"/>
        <v>0.0225130697736706+0.690861799632385i</v>
      </c>
      <c r="EV205" s="1" t="str">
        <f t="shared" si="573"/>
        <v>-0.0125</v>
      </c>
      <c r="EW205" s="1" t="str">
        <f t="shared" si="574"/>
        <v>0.0940965917164187-385.796026037316i</v>
      </c>
      <c r="EX205" s="1" t="str">
        <f t="shared" si="575"/>
        <v>-0.0125</v>
      </c>
      <c r="EY205" s="1" t="str">
        <f t="shared" si="576"/>
        <v>0.012518252694104+0.669539105167229i</v>
      </c>
      <c r="EZ205" s="1" t="str">
        <f t="shared" si="577"/>
        <v>0.131411327244286-538.786441701571i</v>
      </c>
      <c r="FB205" s="1" t="str">
        <f t="shared" si="578"/>
        <v>0.00500269934208581+0.733098165300794i</v>
      </c>
      <c r="FC205" s="1" t="str">
        <f t="shared" si="579"/>
        <v>0.0194340695220422-79.6796850403732i</v>
      </c>
      <c r="FD205" s="1" t="str">
        <f t="shared" si="580"/>
        <v>-0.0000465403793013666+0.00682005140528985i</v>
      </c>
      <c r="FE205" s="1" t="str">
        <f t="shared" si="581"/>
        <v>0.0150050558050471+0.722206749837429i</v>
      </c>
      <c r="FF205" s="1" t="str">
        <f t="shared" si="582"/>
        <v>-0.505343731747029-156.1109789024i</v>
      </c>
      <c r="FG205" s="1" t="str">
        <f t="shared" si="583"/>
        <v>-0.000287559087763615+0.013840475960784i</v>
      </c>
      <c r="FH205" s="1" t="str">
        <f t="shared" si="584"/>
        <v>0.022510194182793+0.691000204391993i</v>
      </c>
      <c r="FI205" s="1" t="str">
        <f t="shared" si="585"/>
        <v>-2.06669897517921-385.833922970228i</v>
      </c>
      <c r="FJ205" s="1" t="str">
        <f t="shared" si="586"/>
        <v>-0.000588670494655362+0.0180705430092349i</v>
      </c>
      <c r="FK205" s="1" t="str">
        <f t="shared" si="587"/>
        <v>0.0125108943129208+0.669764986954844i</v>
      </c>
      <c r="FL205" s="1" t="str">
        <f t="shared" si="588"/>
        <v>-6.84007696216774-539.015248815562i</v>
      </c>
      <c r="FM205" s="1" t="str">
        <f t="shared" si="589"/>
        <v>-804.692651867027-4.81862716413122i</v>
      </c>
      <c r="FN205" s="1" t="str">
        <f t="shared" si="590"/>
        <v>-558.436382363904-0.64421729458476i</v>
      </c>
      <c r="FO205" s="1" t="str">
        <f t="shared" si="591"/>
        <v>-216.249056420229+3.93914678400908i</v>
      </c>
      <c r="FP205" s="1" t="str">
        <f t="shared" si="592"/>
        <v>-108.666927822286+0.706840187007507i</v>
      </c>
      <c r="FQ205" s="92" t="str">
        <f t="shared" si="593"/>
        <v>0.0119045845282614-80.8823367159611i</v>
      </c>
      <c r="FR205" s="1" t="str">
        <f t="shared" si="594"/>
        <v>-0.52600605846146-80.8661751829761i</v>
      </c>
      <c r="FS205" s="1" t="str">
        <f t="shared" si="595"/>
        <v>0.537910642989715-0.0161615329850078i</v>
      </c>
      <c r="FT205" s="1" t="str">
        <f t="shared" si="596"/>
        <v>-0.0461934946355189-160.796060879849i</v>
      </c>
      <c r="FU205" s="1" t="str">
        <f t="shared" si="597"/>
        <v>0.135916303206348-415.720429837846i</v>
      </c>
      <c r="FV205" s="1" t="str">
        <f t="shared" si="598"/>
        <v>0.506706139342277-599.006369920006i</v>
      </c>
      <c r="FW205" s="1" t="str">
        <f t="shared" si="599"/>
        <v>-0.52600605846146-80.8661751829761i</v>
      </c>
      <c r="FX205" s="1" t="str">
        <f t="shared" si="600"/>
        <v>-2.93015611108256-160.858056053621i</v>
      </c>
      <c r="FY205" s="1" t="str">
        <f t="shared" si="601"/>
        <v>0.479586193854159-415.726776320429i</v>
      </c>
      <c r="FZ205" s="1" t="str">
        <f t="shared" si="602"/>
        <v>3.58686632288263-598.993214237057i</v>
      </c>
      <c r="GA205" s="1" t="str">
        <f t="shared" si="603"/>
        <v>0.537910642989715-0.0161615329850078i</v>
      </c>
      <c r="GB205" s="1" t="str">
        <f t="shared" si="604"/>
        <v>3.42187325943675+0.0458336407859384i</v>
      </c>
      <c r="GC205" s="1" t="str">
        <f t="shared" si="605"/>
        <v>3.07820336878904+0.0521801233693308i</v>
      </c>
      <c r="GD205" s="92" t="str">
        <f t="shared" si="606"/>
        <v>0.608333532441368-1256.40519735366i</v>
      </c>
      <c r="GE205" s="1" t="str">
        <f t="shared" si="623"/>
        <v>0.00277452110029641+5.73028206515278i</v>
      </c>
      <c r="GF205" s="1">
        <f t="shared" si="624"/>
        <v>41</v>
      </c>
      <c r="GG205" s="56">
        <f t="shared" si="625"/>
        <v>0.22566068422722316</v>
      </c>
      <c r="GH205" s="1">
        <f t="shared" si="626"/>
        <v>0.77433933687214218</v>
      </c>
      <c r="GJ205" s="1">
        <f t="shared" si="607"/>
        <v>1256.4053446268749</v>
      </c>
      <c r="GK205" s="1">
        <f t="shared" si="608"/>
        <v>5.7302827368445746</v>
      </c>
      <c r="GM205" s="1" t="str">
        <f t="shared" si="627"/>
        <v>0.0191834803010191+19.6630673085447i</v>
      </c>
      <c r="GP205" s="1">
        <f t="shared" si="613"/>
        <v>41</v>
      </c>
      <c r="GQ205" s="1">
        <f t="shared" si="614"/>
        <v>5.7302827368445746</v>
      </c>
      <c r="GR205" s="1">
        <f t="shared" si="628"/>
        <v>19.663076666337744</v>
      </c>
      <c r="GS205" s="1">
        <f t="shared" si="629"/>
        <v>4.4371833345381013</v>
      </c>
    </row>
    <row r="206" spans="2:201" ht="18" customHeight="1" x14ac:dyDescent="0.25">
      <c r="B206" s="6"/>
      <c r="D206" s="24"/>
      <c r="E206" s="177" t="s">
        <v>56</v>
      </c>
      <c r="F206" s="177"/>
      <c r="G206" s="177"/>
      <c r="H206" s="177"/>
      <c r="I206" s="177"/>
      <c r="J206" s="177"/>
      <c r="K206" s="177"/>
      <c r="L206" s="24" t="s">
        <v>184</v>
      </c>
      <c r="AP206" s="8"/>
      <c r="AR206" s="6"/>
      <c r="CF206" s="8"/>
      <c r="EA206" s="1">
        <f t="shared" si="609"/>
        <v>41.2</v>
      </c>
      <c r="EB206" s="1" t="str">
        <f t="shared" si="615"/>
        <v>2.67319849234996E-06-0.0110135777884819i</v>
      </c>
      <c r="EC206" s="1" t="str">
        <f t="shared" si="616"/>
        <v>5.23728684215504E-06-0.0215776217896788i</v>
      </c>
      <c r="ED206" s="1" t="str">
        <f t="shared" si="617"/>
        <v>0.0000129431906593883-0.0533259455166799i</v>
      </c>
      <c r="EE206" s="1" t="str">
        <f t="shared" si="618"/>
        <v>0.0000180759136149377-0.0744727640935438i</v>
      </c>
      <c r="EF206" s="1" t="str">
        <f t="shared" si="619"/>
        <v>0.747795543305538i</v>
      </c>
      <c r="EG206" s="1" t="str">
        <f t="shared" si="620"/>
        <v>0.747484091600701i</v>
      </c>
      <c r="EH206" s="1" t="str">
        <f t="shared" si="621"/>
        <v>0.748079324714283i</v>
      </c>
      <c r="EI206" s="1" t="str">
        <f t="shared" si="622"/>
        <v>0.748006249291252i</v>
      </c>
      <c r="EJ206" s="1" t="str">
        <f t="shared" si="610"/>
        <v>0.005</v>
      </c>
      <c r="EK206" s="1" t="str">
        <f t="shared" si="611"/>
        <v>0.01</v>
      </c>
      <c r="EL206" s="1" t="str">
        <f t="shared" si="612"/>
        <v>0.0125</v>
      </c>
      <c r="EM206" s="1" t="str">
        <f t="shared" si="564"/>
        <v>0.00500267319849235+0.736781965517056i</v>
      </c>
      <c r="EN206" s="1" t="str">
        <f t="shared" si="565"/>
        <v>-0.005</v>
      </c>
      <c r="EO206" s="1" t="str">
        <f t="shared" si="566"/>
        <v>0.0192458472083697-79.2928904984837i</v>
      </c>
      <c r="EP206" s="1" t="str">
        <f t="shared" si="567"/>
        <v>-0.005</v>
      </c>
      <c r="EQ206" s="1" t="str">
        <f t="shared" si="568"/>
        <v>0.0150052372868422+0.725906469811022i</v>
      </c>
      <c r="ER206" s="1" t="str">
        <f t="shared" si="569"/>
        <v>-0.01</v>
      </c>
      <c r="ES206" s="1" t="str">
        <f t="shared" si="570"/>
        <v>0.0377061496327245-155.349336486825i</v>
      </c>
      <c r="ET206" s="1" t="str">
        <f t="shared" si="571"/>
        <v>-0.01</v>
      </c>
      <c r="EU206" s="1" t="str">
        <f t="shared" si="572"/>
        <v>0.0225129431906594+0.694753379197603i</v>
      </c>
      <c r="EV206" s="1" t="str">
        <f t="shared" si="573"/>
        <v>-0.0125</v>
      </c>
      <c r="EW206" s="1" t="str">
        <f t="shared" si="574"/>
        <v>0.09318525000379-383.923230015615i</v>
      </c>
      <c r="EX206" s="1" t="str">
        <f t="shared" si="575"/>
        <v>-0.0125</v>
      </c>
      <c r="EY206" s="1" t="str">
        <f t="shared" si="576"/>
        <v>0.0125180759136149+0.673533485197708i</v>
      </c>
      <c r="EZ206" s="1" t="str">
        <f t="shared" si="577"/>
        <v>0.130138585885166-536.170973846887i</v>
      </c>
      <c r="FB206" s="1" t="str">
        <f t="shared" si="578"/>
        <v>0.00500267319849235+0.736781965517056i</v>
      </c>
      <c r="FC206" s="1" t="str">
        <f t="shared" si="579"/>
        <v>0.0192458472083697-79.2928904984837i</v>
      </c>
      <c r="FD206" s="1" t="str">
        <f t="shared" si="580"/>
        <v>-0.0000460759334304282+0.0067859553180757i</v>
      </c>
      <c r="FE206" s="1" t="str">
        <f t="shared" si="581"/>
        <v>0.015005006907175+0.725940399587612i</v>
      </c>
      <c r="FF206" s="1" t="str">
        <f t="shared" si="582"/>
        <v>-0.500370975560681-155.353120582228i</v>
      </c>
      <c r="FG206" s="1" t="str">
        <f t="shared" si="583"/>
        <v>-0.00028460908535403+0.0137693527518054i</v>
      </c>
      <c r="FH206" s="1" t="str">
        <f t="shared" si="584"/>
        <v>0.0225100970998059+0.694891072725121i</v>
      </c>
      <c r="FI206" s="1" t="str">
        <f t="shared" si="585"/>
        <v>-2.04606907851236-383.960555140702i</v>
      </c>
      <c r="FJ206" s="1" t="str">
        <f t="shared" si="586"/>
        <v>-0.000582101110504001+0.0179695744233861i</v>
      </c>
      <c r="FK206" s="1" t="str">
        <f t="shared" si="587"/>
        <v>0.0125107996497336+0.673758104878i</v>
      </c>
      <c r="FL206" s="1" t="str">
        <f t="shared" si="588"/>
        <v>-6.76874422550969-536.396130484712i</v>
      </c>
      <c r="FM206" s="1" t="str">
        <f t="shared" si="589"/>
        <v>-796.037756695087-4.73511878970808i</v>
      </c>
      <c r="FN206" s="1" t="str">
        <f t="shared" si="590"/>
        <v>-552.61236575793-0.637246601581573i</v>
      </c>
      <c r="FO206" s="1" t="str">
        <f t="shared" si="591"/>
        <v>-214.091485824836+3.87642072430401i</v>
      </c>
      <c r="FP206" s="1" t="str">
        <f t="shared" si="592"/>
        <v>-107.598984285901+0.696174785825239i</v>
      </c>
      <c r="FQ206" s="92" t="str">
        <f t="shared" si="593"/>
        <v>0.0118661054928752-80.4779421428915i</v>
      </c>
      <c r="FR206" s="1" t="str">
        <f t="shared" si="594"/>
        <v>-0.520596402201801-80.4620409131994i</v>
      </c>
      <c r="FS206" s="1" t="str">
        <f t="shared" si="595"/>
        <v>0.532462507694675-0.0159012296923938i</v>
      </c>
      <c r="FT206" s="1" t="str">
        <f t="shared" si="596"/>
        <v>-0.0448165321322524-159.968941898271i</v>
      </c>
      <c r="FU206" s="1" t="str">
        <f t="shared" si="597"/>
        <v>0.134319594771159-413.391798675862i</v>
      </c>
      <c r="FV206" s="1" t="str">
        <f t="shared" si="598"/>
        <v>0.497165080190251-595.454020319195i</v>
      </c>
      <c r="FW206" s="1" t="str">
        <f t="shared" si="599"/>
        <v>-0.520596402201801-80.4620409131994i</v>
      </c>
      <c r="FX206" s="1" t="str">
        <f t="shared" si="600"/>
        <v>-2.89756282376851-160.029979801222i</v>
      </c>
      <c r="FY206" s="1" t="str">
        <f t="shared" si="601"/>
        <v>0.476711007387615-413.397885404955i</v>
      </c>
      <c r="FZ206" s="1" t="str">
        <f t="shared" si="602"/>
        <v>3.54189844583807-595.441216679714i</v>
      </c>
      <c r="GA206" s="1" t="str">
        <f t="shared" si="603"/>
        <v>0.532462507694675-0.0159012296923938i</v>
      </c>
      <c r="GB206" s="1" t="str">
        <f t="shared" si="604"/>
        <v>3.38520879933094+0.0451366732588558i</v>
      </c>
      <c r="GC206" s="1" t="str">
        <f t="shared" si="605"/>
        <v>3.04281738671446+0.0512234023515814i</v>
      </c>
      <c r="GD206" s="92" t="str">
        <f t="shared" si="606"/>
        <v>0.598534248322033-1249.29270303622i</v>
      </c>
      <c r="GE206" s="1" t="str">
        <f t="shared" si="623"/>
        <v>0.002760999485503+5.76290583203154i</v>
      </c>
      <c r="GF206" s="1">
        <f t="shared" si="624"/>
        <v>41.2</v>
      </c>
      <c r="GG206" s="56">
        <f t="shared" si="625"/>
        <v>0.22580240886336542</v>
      </c>
      <c r="GH206" s="1">
        <f t="shared" si="626"/>
        <v>0.7741976122755817</v>
      </c>
      <c r="GJ206" s="1">
        <f t="shared" si="607"/>
        <v>1249.2928464146391</v>
      </c>
      <c r="GK206" s="1">
        <f t="shared" si="608"/>
        <v>5.7629064934268444</v>
      </c>
      <c r="GM206" s="1" t="str">
        <f t="shared" si="627"/>
        <v>0.0191834803010191+19.7589847100497i</v>
      </c>
      <c r="GP206" s="1">
        <f t="shared" si="613"/>
        <v>41.2</v>
      </c>
      <c r="GQ206" s="1">
        <f t="shared" si="614"/>
        <v>5.7629064934268444</v>
      </c>
      <c r="GR206" s="1">
        <f t="shared" si="628"/>
        <v>19.75899402241658</v>
      </c>
      <c r="GS206" s="1">
        <f t="shared" si="629"/>
        <v>4.461628446978505</v>
      </c>
    </row>
    <row r="207" spans="2:201" ht="18" customHeight="1" x14ac:dyDescent="0.25">
      <c r="B207" s="6"/>
      <c r="E207" s="177" t="s">
        <v>52</v>
      </c>
      <c r="F207" s="177"/>
      <c r="G207" s="177"/>
      <c r="H207" s="177"/>
      <c r="I207" s="177"/>
      <c r="J207" s="177"/>
      <c r="K207" s="177"/>
      <c r="L207" s="24" t="s">
        <v>185</v>
      </c>
      <c r="AP207" s="8"/>
      <c r="AR207" s="6"/>
      <c r="CF207" s="8"/>
      <c r="EA207" s="1">
        <f t="shared" si="609"/>
        <v>41.4</v>
      </c>
      <c r="EB207" s="1" t="str">
        <f t="shared" si="615"/>
        <v>2.64743287558116E-06-0.010960372104906i</v>
      </c>
      <c r="EC207" s="1" t="str">
        <f t="shared" si="616"/>
        <v>5.18680726644472E-06-0.0214733820830811i</v>
      </c>
      <c r="ED207" s="1" t="str">
        <f t="shared" si="617"/>
        <v>0.0000128184377496251-0.0530683322834481i</v>
      </c>
      <c r="EE207" s="1" t="str">
        <f t="shared" si="618"/>
        <v>0.0000179016889682154-0.0741129923284119i</v>
      </c>
      <c r="EF207" s="1" t="str">
        <f t="shared" si="619"/>
        <v>0.751425618758477i</v>
      </c>
      <c r="EG207" s="1" t="str">
        <f t="shared" si="620"/>
        <v>0.751112655152163i</v>
      </c>
      <c r="EH207" s="1" t="str">
        <f t="shared" si="621"/>
        <v>0.751710777746873i</v>
      </c>
      <c r="EI207" s="1" t="str">
        <f t="shared" si="622"/>
        <v>0.751637347588781i</v>
      </c>
      <c r="EJ207" s="1" t="str">
        <f t="shared" si="610"/>
        <v>0.005</v>
      </c>
      <c r="EK207" s="1" t="str">
        <f t="shared" si="611"/>
        <v>0.01</v>
      </c>
      <c r="EL207" s="1" t="str">
        <f t="shared" si="612"/>
        <v>0.0125</v>
      </c>
      <c r="EM207" s="1" t="str">
        <f t="shared" si="564"/>
        <v>0.00500264743287558+0.740465246653571i</v>
      </c>
      <c r="EN207" s="1" t="str">
        <f t="shared" si="565"/>
        <v>-0.005</v>
      </c>
      <c r="EO207" s="1" t="str">
        <f t="shared" si="566"/>
        <v>0.0190603461597268-78.9098331012687i</v>
      </c>
      <c r="EP207" s="1" t="str">
        <f t="shared" si="567"/>
        <v>-0.005</v>
      </c>
      <c r="EQ207" s="1" t="str">
        <f t="shared" si="568"/>
        <v>0.0150051868072664+0.729639273069082i</v>
      </c>
      <c r="ER207" s="1" t="str">
        <f t="shared" si="569"/>
        <v>-0.01</v>
      </c>
      <c r="ES207" s="1" t="str">
        <f t="shared" si="570"/>
        <v>0.0373427190068116-154.5988566882i</v>
      </c>
      <c r="ET207" s="1" t="str">
        <f t="shared" si="571"/>
        <v>-0.01</v>
      </c>
      <c r="EU207" s="1" t="str">
        <f t="shared" si="572"/>
        <v>0.0225128184377496+0.698642445463425i</v>
      </c>
      <c r="EV207" s="1" t="str">
        <f t="shared" si="573"/>
        <v>-0.0125</v>
      </c>
      <c r="EW207" s="1" t="str">
        <f t="shared" si="574"/>
        <v>0.0922870842121463-382.068528638287i</v>
      </c>
      <c r="EX207" s="1" t="str">
        <f t="shared" si="575"/>
        <v>-0.0125</v>
      </c>
      <c r="EY207" s="1" t="str">
        <f t="shared" si="576"/>
        <v>0.0125179016889682+0.677524355260369i</v>
      </c>
      <c r="EZ207" s="1" t="str">
        <f t="shared" si="577"/>
        <v>0.128884245461009-533.580776208578i</v>
      </c>
      <c r="FB207" s="1" t="str">
        <f t="shared" si="578"/>
        <v>0.00500264743287558+0.740465246653571i</v>
      </c>
      <c r="FC207" s="1" t="str">
        <f t="shared" si="579"/>
        <v>0.0190603461597268-78.9098331012687i</v>
      </c>
      <c r="FD207" s="1" t="str">
        <f t="shared" si="580"/>
        <v>-0.0000456184702996758+0.00675220317154982i</v>
      </c>
      <c r="FE207" s="1" t="str">
        <f t="shared" si="581"/>
        <v>0.0150049587149149+0.72967303408494i</v>
      </c>
      <c r="FF207" s="1" t="str">
        <f t="shared" si="582"/>
        <v>-0.495471636822206-154.602585133407i</v>
      </c>
      <c r="FG207" s="1" t="str">
        <f t="shared" si="583"/>
        <v>-0.000281705027366208+0.0136989755147386i</v>
      </c>
      <c r="FH207" s="1" t="str">
        <f t="shared" si="584"/>
        <v>0.0225100013874759+0.698779435218572i</v>
      </c>
      <c r="FI207" s="1" t="str">
        <f t="shared" si="585"/>
        <v>-2.02574952089669-382.105293509942i</v>
      </c>
      <c r="FJ207" s="1" t="str">
        <f t="shared" si="586"/>
        <v>-0.000575645178322632+0.0178697906619582i</v>
      </c>
      <c r="FK207" s="1" t="str">
        <f t="shared" si="587"/>
        <v>0.0125107061242392+0.677747727643644i</v>
      </c>
      <c r="FL207" s="1" t="str">
        <f t="shared" si="588"/>
        <v>-6.69854725521251-533.802361265753i</v>
      </c>
      <c r="FM207" s="1" t="str">
        <f t="shared" si="589"/>
        <v>-787.526272318485-4.6535936222865i</v>
      </c>
      <c r="FN207" s="1" t="str">
        <f t="shared" si="590"/>
        <v>-546.881111948755-0.630337187492176i</v>
      </c>
      <c r="FO207" s="1" t="str">
        <f t="shared" si="591"/>
        <v>-211.966354643189+3.81504622742253i</v>
      </c>
      <c r="FP207" s="1" t="str">
        <f t="shared" si="592"/>
        <v>-106.546780779421+0.685724887161986i</v>
      </c>
      <c r="FQ207" s="92" t="str">
        <f t="shared" si="593"/>
        <v>0.0118266216850595-80.0776272806017i</v>
      </c>
      <c r="FR207" s="1" t="str">
        <f t="shared" si="594"/>
        <v>-0.515271247633782-80.0619806739002i</v>
      </c>
      <c r="FS207" s="1" t="str">
        <f t="shared" si="595"/>
        <v>0.52709786931884-0.0156466067013027i</v>
      </c>
      <c r="FT207" s="1" t="str">
        <f t="shared" si="596"/>
        <v>-0.0434797976707444-159.15051099812i</v>
      </c>
      <c r="FU207" s="1" t="str">
        <f t="shared" si="597"/>
        <v>0.132748189018556-411.090589126787i</v>
      </c>
      <c r="FV207" s="1" t="str">
        <f t="shared" si="598"/>
        <v>0.487874044270419-591.946621480155i</v>
      </c>
      <c r="FW207" s="1" t="str">
        <f t="shared" si="599"/>
        <v>-0.515271247633782-80.0619806739002i</v>
      </c>
      <c r="FX207" s="1" t="str">
        <f t="shared" si="600"/>
        <v>-2.86552950140758-159.210611438971i</v>
      </c>
      <c r="FY207" s="1" t="str">
        <f t="shared" si="601"/>
        <v>0.47383125745252-411.096425998073i</v>
      </c>
      <c r="FZ207" s="1" t="str">
        <f t="shared" si="602"/>
        <v>3.49781476701149-591.934158481946i</v>
      </c>
      <c r="GA207" s="1" t="str">
        <f t="shared" si="603"/>
        <v>0.52709786931884-0.0156466067013027i</v>
      </c>
      <c r="GB207" s="1" t="str">
        <f t="shared" si="604"/>
        <v>3.34914757305566+0.0444538341491471i</v>
      </c>
      <c r="GC207" s="1" t="str">
        <f t="shared" si="605"/>
        <v>3.00806450462163+0.050290705434929i</v>
      </c>
      <c r="GD207" s="92" t="str">
        <f t="shared" si="606"/>
        <v>0.58896905730329-1242.26534888566i</v>
      </c>
      <c r="GE207" s="1" t="str">
        <f t="shared" si="623"/>
        <v>0.00274770095402239+5.79550596411786i</v>
      </c>
      <c r="GF207" s="1">
        <f t="shared" si="624"/>
        <v>41.4</v>
      </c>
      <c r="GG207" s="56">
        <f t="shared" si="625"/>
        <v>0.2259419998321294</v>
      </c>
      <c r="GH207" s="1">
        <f t="shared" si="626"/>
        <v>0.77405802134182611</v>
      </c>
      <c r="GJ207" s="1">
        <f t="shared" si="607"/>
        <v>1242.265488503388</v>
      </c>
      <c r="GK207" s="1">
        <f t="shared" si="608"/>
        <v>5.7955066154725614</v>
      </c>
      <c r="GM207" s="1" t="str">
        <f t="shared" si="627"/>
        <v>0.0191834803010191+19.8549021115548i</v>
      </c>
      <c r="GP207" s="1">
        <f t="shared" si="613"/>
        <v>41.4</v>
      </c>
      <c r="GQ207" s="1">
        <f t="shared" si="614"/>
        <v>5.7955066154725614</v>
      </c>
      <c r="GR207" s="1">
        <f t="shared" si="628"/>
        <v>19.854911378934421</v>
      </c>
      <c r="GS207" s="1">
        <f t="shared" si="629"/>
        <v>4.4860583834461734</v>
      </c>
    </row>
    <row r="208" spans="2:201" ht="18" customHeight="1" x14ac:dyDescent="0.25">
      <c r="B208" s="6"/>
      <c r="E208" s="177" t="s">
        <v>186</v>
      </c>
      <c r="F208" s="177"/>
      <c r="G208" s="177"/>
      <c r="H208" s="177"/>
      <c r="I208" s="177"/>
      <c r="J208" s="177"/>
      <c r="K208" s="177"/>
      <c r="L208" s="1" t="s">
        <v>187</v>
      </c>
      <c r="AP208" s="8"/>
      <c r="AR208" s="6"/>
      <c r="CF208" s="8"/>
      <c r="EA208" s="1">
        <f t="shared" si="609"/>
        <v>41.6</v>
      </c>
      <c r="EB208" s="1" t="str">
        <f t="shared" si="615"/>
        <v>2.62203798421931E-06-0.0109076780143523i</v>
      </c>
      <c r="EC208" s="1" t="str">
        <f t="shared" si="616"/>
        <v>5.13705400989907E-06-0.0213701446811801i</v>
      </c>
      <c r="ED208" s="1" t="str">
        <f t="shared" si="617"/>
        <v>0.0000126954798317558-0.052813196100104i</v>
      </c>
      <c r="EE208" s="1" t="str">
        <f t="shared" si="618"/>
        <v>0.0000177299711313878-0.073756679906573i</v>
      </c>
      <c r="EF208" s="1" t="str">
        <f t="shared" si="619"/>
        <v>0.755055694211417i</v>
      </c>
      <c r="EG208" s="1" t="str">
        <f t="shared" si="620"/>
        <v>0.754741218703622i</v>
      </c>
      <c r="EH208" s="1" t="str">
        <f t="shared" si="621"/>
        <v>0.755342230779466i</v>
      </c>
      <c r="EI208" s="1" t="str">
        <f t="shared" si="622"/>
        <v>0.755268445886313i</v>
      </c>
      <c r="EJ208" s="1" t="str">
        <f t="shared" si="610"/>
        <v>0.005</v>
      </c>
      <c r="EK208" s="1" t="str">
        <f t="shared" si="611"/>
        <v>0.01</v>
      </c>
      <c r="EL208" s="1" t="str">
        <f t="shared" si="612"/>
        <v>0.0125</v>
      </c>
      <c r="EM208" s="1" t="str">
        <f t="shared" si="564"/>
        <v>0.00500262203798422+0.744148016197065i</v>
      </c>
      <c r="EN208" s="1" t="str">
        <f t="shared" si="565"/>
        <v>-0.005</v>
      </c>
      <c r="EO208" s="1" t="str">
        <f t="shared" si="566"/>
        <v>0.0188775141701001-78.5304589476162i</v>
      </c>
      <c r="EP208" s="1" t="str">
        <f t="shared" si="567"/>
        <v>-0.005</v>
      </c>
      <c r="EQ208" s="1" t="str">
        <f t="shared" si="568"/>
        <v>0.0150051370540099+0.733371074022442i</v>
      </c>
      <c r="ER208" s="1" t="str">
        <f t="shared" si="569"/>
        <v>-0.01</v>
      </c>
      <c r="ES208" s="1" t="str">
        <f t="shared" si="570"/>
        <v>0.0369845175577472-153.855593040228i</v>
      </c>
      <c r="ET208" s="1" t="str">
        <f t="shared" si="571"/>
        <v>-0.01</v>
      </c>
      <c r="EU208" s="1" t="str">
        <f t="shared" si="572"/>
        <v>0.0225126954798318+0.702529034679362i</v>
      </c>
      <c r="EV208" s="1" t="str">
        <f t="shared" si="573"/>
        <v>-0.0125</v>
      </c>
      <c r="EW208" s="1" t="str">
        <f t="shared" si="574"/>
        <v>0.0914018415684953-380.231660924939i</v>
      </c>
      <c r="EX208" s="1" t="str">
        <f t="shared" si="575"/>
        <v>-0.0125</v>
      </c>
      <c r="EY208" s="1" t="str">
        <f t="shared" si="576"/>
        <v>0.0125177299711314+0.68151176597974i</v>
      </c>
      <c r="EZ208" s="1" t="str">
        <f t="shared" si="577"/>
        <v>0.127647952959725-531.015484312455i</v>
      </c>
      <c r="FB208" s="1" t="str">
        <f t="shared" si="578"/>
        <v>0.00500262203798422+0.744148016197065i</v>
      </c>
      <c r="FC208" s="1" t="str">
        <f t="shared" si="579"/>
        <v>0.0188775141701001-78.5304589476162i</v>
      </c>
      <c r="FD208" s="1" t="str">
        <f t="shared" si="580"/>
        <v>-0.0000451678494016952+0.00671878972126042i</v>
      </c>
      <c r="FE208" s="1" t="str">
        <f t="shared" si="581"/>
        <v>0.0150049112147629+0.733404667971048i</v>
      </c>
      <c r="FF208" s="1" t="str">
        <f t="shared" si="582"/>
        <v>-0.490644270168643-153.859266926219i</v>
      </c>
      <c r="FG208" s="1" t="str">
        <f t="shared" si="583"/>
        <v>-0.000278845949905782+0.0136293323151765i</v>
      </c>
      <c r="FH208" s="1" t="str">
        <f t="shared" si="584"/>
        <v>0.0225099070203327+0.702665328002514i</v>
      </c>
      <c r="FI208" s="1" t="str">
        <f t="shared" si="585"/>
        <v>-2.00573405130596-380.26787680457i</v>
      </c>
      <c r="FJ208" s="1" t="str">
        <f t="shared" si="586"/>
        <v>-0.000569300023781076+0.0177711701599048i</v>
      </c>
      <c r="FK208" s="1" t="str">
        <f t="shared" si="587"/>
        <v>0.0125106137208341+0.681733905606739i</v>
      </c>
      <c r="FL208" s="1" t="str">
        <f t="shared" si="588"/>
        <v>-6.62946155845002-531.233574523741i</v>
      </c>
      <c r="FM208" s="1" t="str">
        <f t="shared" si="589"/>
        <v>-779.154955788183-4.57399154779355i</v>
      </c>
      <c r="FN208" s="1" t="str">
        <f t="shared" si="590"/>
        <v>-541.240618875592-0.62349028819185i</v>
      </c>
      <c r="FO208" s="1" t="str">
        <f t="shared" si="591"/>
        <v>-209.873009798277+3.75498643626722i</v>
      </c>
      <c r="FP208" s="1" t="str">
        <f t="shared" si="592"/>
        <v>-105.510008093507+0.675485027392327i</v>
      </c>
      <c r="FQ208" s="92" t="str">
        <f t="shared" si="593"/>
        <v>0.0117861922367251-79.6813299143393i</v>
      </c>
      <c r="FR208" s="1" t="str">
        <f t="shared" si="594"/>
        <v>-0.510028816287131-79.6659324072952i</v>
      </c>
      <c r="FS208" s="1" t="str">
        <f t="shared" si="595"/>
        <v>0.52181500852385-0.0153975070443744i</v>
      </c>
      <c r="FT208" s="1" t="str">
        <f t="shared" si="596"/>
        <v>-0.0421819568745983-158.34062891386i</v>
      </c>
      <c r="FU208" s="1" t="str">
        <f t="shared" si="597"/>
        <v>0.131201665786344-408.81629995145i</v>
      </c>
      <c r="FV208" s="1" t="str">
        <f t="shared" si="598"/>
        <v>0.478824778318707-588.483285887406i</v>
      </c>
      <c r="FW208" s="1" t="str">
        <f t="shared" si="599"/>
        <v>-0.510028816287131-79.6659324072952i</v>
      </c>
      <c r="FX208" s="1" t="str">
        <f t="shared" si="600"/>
        <v>-2.83404303912389-158.399811188149i</v>
      </c>
      <c r="FY208" s="1" t="str">
        <f t="shared" si="601"/>
        <v>0.470948545152164-408.821896449948i</v>
      </c>
      <c r="FZ208" s="1" t="str">
        <f t="shared" si="602"/>
        <v>3.45459148779917-588.47115256276i</v>
      </c>
      <c r="GA208" s="1" t="str">
        <f t="shared" si="603"/>
        <v>0.52181500852385-0.0153975070443744i</v>
      </c>
      <c r="GB208" s="1" t="str">
        <f t="shared" si="604"/>
        <v>3.31367609077315+0.0437847672445907i</v>
      </c>
      <c r="GC208" s="1" t="str">
        <f t="shared" si="605"/>
        <v>2.97392921140739+0.0493812657450213i</v>
      </c>
      <c r="GD208" s="92" t="str">
        <f t="shared" si="606"/>
        <v>0.579630679467178-1235.32154466706i</v>
      </c>
      <c r="GE208" s="1" t="str">
        <f t="shared" si="623"/>
        <v>0.0027346204877315+5.82808282006051i</v>
      </c>
      <c r="GF208" s="1">
        <f t="shared" si="624"/>
        <v>41.6</v>
      </c>
      <c r="GG208" s="56">
        <f t="shared" si="625"/>
        <v>0.22607950019581122</v>
      </c>
      <c r="GH208" s="1">
        <f t="shared" si="626"/>
        <v>0.77392052100874509</v>
      </c>
      <c r="GJ208" s="1">
        <f t="shared" si="607"/>
        <v>1235.3216806525884</v>
      </c>
      <c r="GK208" s="1">
        <f t="shared" si="608"/>
        <v>5.8280834616221551</v>
      </c>
      <c r="GM208" s="1" t="str">
        <f t="shared" si="627"/>
        <v>0.0191834803010191+19.9508195130599i</v>
      </c>
      <c r="GP208" s="1">
        <f t="shared" si="613"/>
        <v>41.6</v>
      </c>
      <c r="GQ208" s="1">
        <f t="shared" si="614"/>
        <v>5.8280834616221551</v>
      </c>
      <c r="GR208" s="1">
        <f t="shared" si="628"/>
        <v>19.950828735884837</v>
      </c>
      <c r="GS208" s="1">
        <f t="shared" si="629"/>
        <v>4.5104733891010707</v>
      </c>
    </row>
    <row r="209" spans="2:201" ht="18" customHeight="1" x14ac:dyDescent="0.25">
      <c r="B209" s="6"/>
      <c r="K209" s="35"/>
      <c r="AP209" s="8"/>
      <c r="AR209" s="6"/>
      <c r="CF209" s="8"/>
      <c r="EA209" s="1">
        <f t="shared" si="609"/>
        <v>41.8</v>
      </c>
      <c r="EB209" s="1" t="str">
        <f t="shared" si="615"/>
        <v>2.59700674004355E-06-0.0108554881733821i</v>
      </c>
      <c r="EC209" s="1" t="str">
        <f t="shared" si="616"/>
        <v>5.08801320498328E-06-0.0212678951968301i</v>
      </c>
      <c r="ED209" s="1" t="str">
        <f t="shared" si="617"/>
        <v>0.0000125742826341904-0.0525605014109162i</v>
      </c>
      <c r="EE209" s="1" t="str">
        <f t="shared" si="618"/>
        <v>0.0000175607122421993-0.0734037771723931i</v>
      </c>
      <c r="EF209" s="1" t="str">
        <f t="shared" si="619"/>
        <v>0.758685769664357i</v>
      </c>
      <c r="EG209" s="1" t="str">
        <f t="shared" si="620"/>
        <v>0.758369782255083i</v>
      </c>
      <c r="EH209" s="1" t="str">
        <f t="shared" si="621"/>
        <v>0.758973683812059i</v>
      </c>
      <c r="EI209" s="1" t="str">
        <f t="shared" si="622"/>
        <v>0.758899544183844i</v>
      </c>
      <c r="EJ209" s="1" t="str">
        <f t="shared" si="610"/>
        <v>0.005</v>
      </c>
      <c r="EK209" s="1" t="str">
        <f t="shared" si="611"/>
        <v>0.01</v>
      </c>
      <c r="EL209" s="1" t="str">
        <f t="shared" si="612"/>
        <v>0.0125</v>
      </c>
      <c r="EM209" s="1" t="str">
        <f t="shared" si="564"/>
        <v>0.00500259700674004+0.747830281490975i</v>
      </c>
      <c r="EN209" s="1" t="str">
        <f t="shared" si="565"/>
        <v>-0.005</v>
      </c>
      <c r="EO209" s="1" t="str">
        <f t="shared" si="566"/>
        <v>0.0186973002794292-78.1547151680143i</v>
      </c>
      <c r="EP209" s="1" t="str">
        <f t="shared" si="567"/>
        <v>-0.005</v>
      </c>
      <c r="EQ209" s="1" t="str">
        <f t="shared" si="568"/>
        <v>0.015005088013205+0.737101887058253i</v>
      </c>
      <c r="ER209" s="1" t="str">
        <f t="shared" si="569"/>
        <v>-0.01</v>
      </c>
      <c r="ES209" s="1" t="str">
        <f t="shared" si="570"/>
        <v>0.0366314454454122-153.119441961823i</v>
      </c>
      <c r="ET209" s="1" t="str">
        <f t="shared" si="571"/>
        <v>-0.01</v>
      </c>
      <c r="EU209" s="1" t="str">
        <f t="shared" si="572"/>
        <v>0.0225125742826342+0.706413182401143i</v>
      </c>
      <c r="EV209" s="1" t="str">
        <f t="shared" si="573"/>
        <v>-0.0125</v>
      </c>
      <c r="EW209" s="1" t="str">
        <f t="shared" si="574"/>
        <v>0.0905292753325418-378.412370890027i</v>
      </c>
      <c r="EX209" s="1" t="str">
        <f t="shared" si="575"/>
        <v>-0.0125</v>
      </c>
      <c r="EY209" s="1" t="str">
        <f t="shared" si="576"/>
        <v>0.0125175607122422+0.685495767011451i</v>
      </c>
      <c r="EZ209" s="1" t="str">
        <f t="shared" si="577"/>
        <v>0.126429363794236-528.474740659905i</v>
      </c>
      <c r="FB209" s="1" t="str">
        <f t="shared" si="578"/>
        <v>0.00500259700674004+0.747830281490975i</v>
      </c>
      <c r="FC209" s="1" t="str">
        <f t="shared" si="579"/>
        <v>0.0186973002794292-78.1547151680143i</v>
      </c>
      <c r="FD209" s="1" t="str">
        <f t="shared" si="580"/>
        <v>-0.0000447239337742808+0.0066857098300627i</v>
      </c>
      <c r="FE209" s="1" t="str">
        <f t="shared" si="581"/>
        <v>0.0150048643935361+0.737135315607403i</v>
      </c>
      <c r="FF209" s="1" t="str">
        <f t="shared" si="582"/>
        <v>-0.485887465802312-153.123062352853i</v>
      </c>
      <c r="FG209" s="1" t="str">
        <f t="shared" si="583"/>
        <v>-0.000276030914566943+0.0135604114765847i</v>
      </c>
      <c r="FH209" s="1" t="str">
        <f t="shared" si="584"/>
        <v>0.0225098139734885+0.706548786515909i</v>
      </c>
      <c r="FI209" s="1" t="str">
        <f t="shared" si="585"/>
        <v>-1.98601657668844-378.448048755002i</v>
      </c>
      <c r="FJ209" s="1" t="str">
        <f t="shared" si="586"/>
        <v>-0.000563063052650904+0.01767369188617i</v>
      </c>
      <c r="FK209" s="1" t="str">
        <f t="shared" si="587"/>
        <v>0.0125105224240841+0.685716688160028i</v>
      </c>
      <c r="FL209" s="1" t="str">
        <f t="shared" si="588"/>
        <v>-6.56146331154106-528.689410671138i</v>
      </c>
      <c r="FM209" s="1" t="str">
        <f t="shared" si="589"/>
        <v>-770.9206576184-4.49625467196457i</v>
      </c>
      <c r="FN209" s="1" t="str">
        <f t="shared" si="590"/>
        <v>-535.6889392525-0.616706987014178i</v>
      </c>
      <c r="FO209" s="1" t="str">
        <f t="shared" si="591"/>
        <v>-207.810814710428+3.69620571202996i</v>
      </c>
      <c r="FP209" s="1" t="str">
        <f t="shared" si="592"/>
        <v>-104.488364607797+0.665449909643154i</v>
      </c>
      <c r="FQ209" s="92" t="str">
        <f t="shared" si="593"/>
        <v>0.0117448736424623-79.2889891024482i</v>
      </c>
      <c r="FR209" s="1" t="str">
        <f t="shared" si="594"/>
        <v>-0.504867376870693-79.2738353234364i</v>
      </c>
      <c r="FS209" s="1" t="str">
        <f t="shared" si="595"/>
        <v>0.516612250513155-0.0151537790119341i</v>
      </c>
      <c r="FT209" s="1" t="str">
        <f t="shared" si="596"/>
        <v>-0.0409217260945808-157.539159396196i</v>
      </c>
      <c r="FU209" s="1" t="str">
        <f t="shared" si="597"/>
        <v>0.129679607919793-406.568442382772i</v>
      </c>
      <c r="FV209" s="1" t="str">
        <f t="shared" si="598"/>
        <v>0.470009355675458-585.063149871886i</v>
      </c>
      <c r="FW209" s="1" t="str">
        <f t="shared" si="599"/>
        <v>-0.504867376870693-79.2738353234364i</v>
      </c>
      <c r="FX209" s="1" t="str">
        <f t="shared" si="600"/>
        <v>-2.80309072100215-157.597442302199i</v>
      </c>
      <c r="FY209" s="1" t="str">
        <f t="shared" si="601"/>
        <v>0.468064373766786-406.573807601844i</v>
      </c>
      <c r="FZ209" s="1" t="str">
        <f t="shared" si="602"/>
        <v>3.41220562108839-585.051335668513i</v>
      </c>
      <c r="GA209" s="1" t="str">
        <f t="shared" si="603"/>
        <v>0.516612250513155-0.0151537790119341i</v>
      </c>
      <c r="GB209" s="1" t="str">
        <f t="shared" si="604"/>
        <v>3.27878124542072+0.0431291269904414i</v>
      </c>
      <c r="GC209" s="1" t="str">
        <f t="shared" si="605"/>
        <v>2.94039647957375+0.0484943460618799i</v>
      </c>
      <c r="GD209" s="92" t="str">
        <f t="shared" si="606"/>
        <v>0.570512111143132-1228.4597407533i</v>
      </c>
      <c r="GE209" s="1" t="str">
        <f t="shared" si="623"/>
        <v>0.00272175321228462+5.86063675117806i</v>
      </c>
      <c r="GF209" s="1">
        <f t="shared" si="624"/>
        <v>41.8</v>
      </c>
      <c r="GG209" s="56">
        <f t="shared" si="625"/>
        <v>0.22621495192444244</v>
      </c>
      <c r="GH209" s="1">
        <f t="shared" si="626"/>
        <v>0.77378506930644653</v>
      </c>
      <c r="GJ209" s="1">
        <f t="shared" si="607"/>
        <v>1228.4598732297827</v>
      </c>
      <c r="GK209" s="1">
        <f t="shared" si="608"/>
        <v>5.86063738318619</v>
      </c>
      <c r="GM209" s="1" t="str">
        <f t="shared" si="627"/>
        <v>0.0191834803010191+20.046736914565i</v>
      </c>
      <c r="GP209" s="1">
        <f t="shared" si="613"/>
        <v>41.8</v>
      </c>
      <c r="GQ209" s="1">
        <f t="shared" si="614"/>
        <v>5.86063738318619</v>
      </c>
      <c r="GR209" s="1">
        <f t="shared" si="628"/>
        <v>20.046746093261604</v>
      </c>
      <c r="GS209" s="1">
        <f t="shared" si="629"/>
        <v>4.5348737037286684</v>
      </c>
    </row>
    <row r="210" spans="2:201" ht="18" customHeight="1" x14ac:dyDescent="0.25">
      <c r="B210" s="6"/>
      <c r="C210" s="215" t="s">
        <v>265</v>
      </c>
      <c r="D210" s="216"/>
      <c r="E210" s="216"/>
      <c r="F210" s="216"/>
      <c r="G210" s="216"/>
      <c r="H210" s="216"/>
      <c r="I210" s="216"/>
      <c r="J210" s="216"/>
      <c r="K210" s="216"/>
      <c r="L210" s="216"/>
      <c r="M210" s="216"/>
      <c r="N210" s="216"/>
      <c r="O210" s="216"/>
      <c r="P210" s="216"/>
      <c r="Q210" s="216"/>
      <c r="R210" s="216"/>
      <c r="S210" s="216"/>
      <c r="T210" s="216"/>
      <c r="U210" s="216"/>
      <c r="V210" s="216"/>
      <c r="W210" s="216"/>
      <c r="X210" s="216"/>
      <c r="Y210" s="216"/>
      <c r="Z210" s="216"/>
      <c r="AA210" s="216"/>
      <c r="AB210" s="216"/>
      <c r="AC210" s="216"/>
      <c r="AD210" s="216"/>
      <c r="AE210" s="216"/>
      <c r="AF210" s="216"/>
      <c r="AG210" s="216"/>
      <c r="AH210" s="216"/>
      <c r="AI210" s="216"/>
      <c r="AJ210" s="216"/>
      <c r="AK210" s="216"/>
      <c r="AL210" s="216"/>
      <c r="AM210" s="216"/>
      <c r="AN210" s="216"/>
      <c r="AO210" s="216"/>
      <c r="AP210" s="8"/>
      <c r="AR210" s="6"/>
      <c r="CF210" s="8"/>
      <c r="EA210" s="1">
        <f t="shared" si="609"/>
        <v>42</v>
      </c>
      <c r="EB210" s="1" t="str">
        <f t="shared" si="615"/>
        <v>2.57233223295983E-06-0.0108037953784313i</v>
      </c>
      <c r="EC210" s="1" t="str">
        <f t="shared" si="616"/>
        <v>5.03967131355397E-06-0.0211666195169267i</v>
      </c>
      <c r="ED210" s="1" t="str">
        <f t="shared" si="617"/>
        <v>0.000012454812699382-0.0523102133374046i</v>
      </c>
      <c r="EE210" s="1" t="str">
        <f t="shared" si="618"/>
        <v>0.0000173938655752521-0.0730542354160591i</v>
      </c>
      <c r="EF210" s="1" t="str">
        <f t="shared" si="619"/>
        <v>0.762315845117295i</v>
      </c>
      <c r="EG210" s="1" t="str">
        <f t="shared" si="620"/>
        <v>0.761998345806545i</v>
      </c>
      <c r="EH210" s="1" t="str">
        <f t="shared" si="621"/>
        <v>0.762605136844654i</v>
      </c>
      <c r="EI210" s="1" t="str">
        <f t="shared" si="622"/>
        <v>0.762530642481374i</v>
      </c>
      <c r="EJ210" s="1" t="str">
        <f t="shared" si="610"/>
        <v>0.005</v>
      </c>
      <c r="EK210" s="1" t="str">
        <f t="shared" si="611"/>
        <v>0.01</v>
      </c>
      <c r="EL210" s="1" t="str">
        <f t="shared" si="612"/>
        <v>0.0125</v>
      </c>
      <c r="EM210" s="1" t="str">
        <f t="shared" si="564"/>
        <v>0.00500257233223296+0.751512049738864i</v>
      </c>
      <c r="EN210" s="1" t="str">
        <f t="shared" si="565"/>
        <v>-0.005</v>
      </c>
      <c r="EO210" s="1" t="str">
        <f t="shared" si="566"/>
        <v>0.018519654738092-77.7825498999866i</v>
      </c>
      <c r="EP210" s="1" t="str">
        <f t="shared" si="567"/>
        <v>-0.005</v>
      </c>
      <c r="EQ210" s="1" t="str">
        <f t="shared" si="568"/>
        <v>0.0150050396713136+0.740831726289618i</v>
      </c>
      <c r="ER210" s="1" t="str">
        <f t="shared" si="569"/>
        <v>-0.01</v>
      </c>
      <c r="ES210" s="1" t="str">
        <f t="shared" si="570"/>
        <v>0.03628340520116-152.390301844872i</v>
      </c>
      <c r="ET210" s="1" t="str">
        <f t="shared" si="571"/>
        <v>-0.01</v>
      </c>
      <c r="EU210" s="1" t="str">
        <f t="shared" si="572"/>
        <v>0.0225124548126994+0.710294923507249i</v>
      </c>
      <c r="EV210" s="1" t="str">
        <f t="shared" si="573"/>
        <v>-0.0125</v>
      </c>
      <c r="EW210" s="1" t="str">
        <f t="shared" si="574"/>
        <v>0.0896691446247413-376.610407423915i</v>
      </c>
      <c r="EX210" s="1" t="str">
        <f t="shared" si="575"/>
        <v>-0.0125</v>
      </c>
      <c r="EY210" s="1" t="str">
        <f t="shared" si="576"/>
        <v>0.0125173938655753+0.689476407065315i</v>
      </c>
      <c r="EZ210" s="1" t="str">
        <f t="shared" si="577"/>
        <v>0.125228141562336-525.958194561813i</v>
      </c>
      <c r="FB210" s="1" t="str">
        <f t="shared" si="578"/>
        <v>0.00500257233223296+0.751512049738864i</v>
      </c>
      <c r="FC210" s="1" t="str">
        <f t="shared" si="579"/>
        <v>0.018519654738092-77.7825498999866i</v>
      </c>
      <c r="FD210" s="1" t="str">
        <f t="shared" si="580"/>
        <v>-0.0000442865898928342+0.00665295846536066i</v>
      </c>
      <c r="FE210" s="1" t="str">
        <f t="shared" si="581"/>
        <v>0.0150048182383641+0.740864991081945i</v>
      </c>
      <c r="FF210" s="1" t="str">
        <f t="shared" si="582"/>
        <v>-0.481199848440939-152.393869779254i</v>
      </c>
      <c r="FG210" s="1" t="str">
        <f t="shared" si="583"/>
        <v>-0.000273259007618487+0.013492201573273i</v>
      </c>
      <c r="FH210" s="1" t="str">
        <f t="shared" si="584"/>
        <v>0.0225097222226232+0.710429845522982i</v>
      </c>
      <c r="FI210" s="1" t="str">
        <f t="shared" si="585"/>
        <v>-1.96659115716112-376.645557976186i</v>
      </c>
      <c r="FJ210" s="1" t="str">
        <f t="shared" si="586"/>
        <v>-0.000556931747895729+0.0175773353269882i</v>
      </c>
      <c r="FK210" s="1" t="str">
        <f t="shared" si="587"/>
        <v>0.0125104322187266+0.689696123756902i</v>
      </c>
      <c r="FL210" s="1" t="str">
        <f t="shared" si="588"/>
        <v>-6.49452933776801-526.169516998919i</v>
      </c>
      <c r="FM210" s="1" t="str">
        <f t="shared" si="589"/>
        <v>-762.820318503403-4.4203272237192i</v>
      </c>
      <c r="FN210" s="1" t="str">
        <f t="shared" si="590"/>
        <v>-530.224178748667-0.609988225618936i</v>
      </c>
      <c r="FO210" s="1" t="str">
        <f t="shared" si="591"/>
        <v>-205.779148795583+3.63866958684033i</v>
      </c>
      <c r="FP210" s="1" t="str">
        <f t="shared" si="592"/>
        <v>-103.481556067561+0.655614397841048i</v>
      </c>
      <c r="FQ210" s="92" t="str">
        <f t="shared" si="593"/>
        <v>0.0117027198788533-78.9005451436402i</v>
      </c>
      <c r="FR210" s="1" t="str">
        <f t="shared" si="594"/>
        <v>-0.499785243761265-78.8856298676955i</v>
      </c>
      <c r="FS210" s="1" t="str">
        <f t="shared" si="595"/>
        <v>0.51148796364011-0.0149152759449964i</v>
      </c>
      <c r="FT210" s="1" t="str">
        <f t="shared" si="596"/>
        <v>-0.0396978702181894-156.745969129644i</v>
      </c>
      <c r="FU210" s="1" t="str">
        <f t="shared" si="597"/>
        <v>0.128181601675171-404.346539733618i</v>
      </c>
      <c r="FV210" s="1" t="str">
        <f t="shared" si="598"/>
        <v>0.461420161258053-581.685372803337i</v>
      </c>
      <c r="FW210" s="1" t="str">
        <f t="shared" si="599"/>
        <v>-0.499785243761265-78.8856298676955i</v>
      </c>
      <c r="FX210" s="1" t="str">
        <f t="shared" si="600"/>
        <v>-2.77266020610892-156.803370983713i</v>
      </c>
      <c r="FY210" s="1" t="str">
        <f t="shared" si="601"/>
        <v>0.465180154271756-404.351682392971i</v>
      </c>
      <c r="FZ210" s="1" t="str">
        <f t="shared" si="602"/>
        <v>3.37063495788051-581.673867566246i</v>
      </c>
      <c r="GA210" s="1" t="str">
        <f t="shared" si="603"/>
        <v>0.51148796364011-0.0149152759449964i</v>
      </c>
      <c r="GB210" s="1" t="str">
        <f t="shared" si="604"/>
        <v>3.24445029953084+0.0424865781245927i</v>
      </c>
      <c r="GC210" s="1" t="str">
        <f t="shared" si="605"/>
        <v>2.9074517469342+0.0476292374762532i</v>
      </c>
      <c r="GD210" s="92" t="str">
        <f t="shared" si="606"/>
        <v>0.561606612593888-1221.67842681024i</v>
      </c>
      <c r="GE210" s="1" t="str">
        <f t="shared" si="623"/>
        <v>0.0027090943920931+5.89316810164775i</v>
      </c>
      <c r="GF210" s="1">
        <f t="shared" si="624"/>
        <v>42</v>
      </c>
      <c r="GG210" s="56">
        <f t="shared" si="625"/>
        <v>0.22634839592921324</v>
      </c>
      <c r="GH210" s="1">
        <f t="shared" si="626"/>
        <v>0.77365162532389653</v>
      </c>
      <c r="GJ210" s="1">
        <f t="shared" si="607"/>
        <v>1221.678555895752</v>
      </c>
      <c r="GK210" s="1">
        <f t="shared" si="608"/>
        <v>5.893168724334215</v>
      </c>
      <c r="GM210" s="1" t="str">
        <f t="shared" si="627"/>
        <v>0.0191834803010191+20.1426543160701i</v>
      </c>
      <c r="GP210" s="1">
        <f t="shared" si="613"/>
        <v>42</v>
      </c>
      <c r="GQ210" s="1">
        <f t="shared" si="614"/>
        <v>5.893168724334215</v>
      </c>
      <c r="GR210" s="1">
        <f t="shared" si="628"/>
        <v>20.142663451058645</v>
      </c>
      <c r="GS210" s="1">
        <f t="shared" si="629"/>
        <v>4.5592595618891183</v>
      </c>
    </row>
    <row r="211" spans="2:201" ht="18" customHeight="1" x14ac:dyDescent="0.25">
      <c r="B211" s="6"/>
      <c r="C211" s="217" t="s">
        <v>266</v>
      </c>
      <c r="D211" s="217"/>
      <c r="E211" s="217"/>
      <c r="F211" s="217"/>
      <c r="G211" s="217"/>
      <c r="H211" s="217"/>
      <c r="I211" s="217"/>
      <c r="J211" s="217"/>
      <c r="K211" s="217"/>
      <c r="L211" s="217"/>
      <c r="M211" s="217"/>
      <c r="N211" s="217"/>
      <c r="O211" s="217"/>
      <c r="P211" s="217"/>
      <c r="Q211" s="217"/>
      <c r="R211" s="217"/>
      <c r="S211" s="217"/>
      <c r="T211" s="217"/>
      <c r="U211" s="217"/>
      <c r="V211" s="217"/>
      <c r="W211" s="217"/>
      <c r="X211" s="217"/>
      <c r="Y211" s="217"/>
      <c r="Z211" s="217"/>
      <c r="AA211" s="217"/>
      <c r="AB211" s="217"/>
      <c r="AC211" s="217"/>
      <c r="AD211" s="217"/>
      <c r="AE211" s="217"/>
      <c r="AF211" s="217"/>
      <c r="AG211" s="217"/>
      <c r="AH211" s="217"/>
      <c r="AI211" s="217"/>
      <c r="AJ211" s="217"/>
      <c r="AK211" s="217"/>
      <c r="AL211" s="217"/>
      <c r="AM211" s="217"/>
      <c r="AN211" s="217"/>
      <c r="AO211" s="217"/>
      <c r="AP211" s="8"/>
      <c r="AR211" s="6"/>
      <c r="CF211" s="8"/>
      <c r="EA211" s="1">
        <f t="shared" si="609"/>
        <v>42.2</v>
      </c>
      <c r="EB211" s="1" t="str">
        <f t="shared" si="615"/>
        <v>2.54800771623144E-06-0.0107525925624967i</v>
      </c>
      <c r="EC211" s="1" t="str">
        <f t="shared" si="616"/>
        <v>4.99201511751465E-06-0.0210663037959119i</v>
      </c>
      <c r="ED211" s="1" t="str">
        <f t="shared" si="617"/>
        <v>0.0000123370373607329-0.0520622976622927i</v>
      </c>
      <c r="EE211" s="1" t="str">
        <f t="shared" si="618"/>
        <v>0.0000172293855097554-0.072708006851168i</v>
      </c>
      <c r="EF211" s="1" t="str">
        <f t="shared" si="619"/>
        <v>0.765945920570236i</v>
      </c>
      <c r="EG211" s="1" t="str">
        <f t="shared" si="620"/>
        <v>0.765626909358001i</v>
      </c>
      <c r="EH211" s="1" t="str">
        <f t="shared" si="621"/>
        <v>0.766236589877249i</v>
      </c>
      <c r="EI211" s="1" t="str">
        <f t="shared" si="622"/>
        <v>0.766161740778902i</v>
      </c>
      <c r="EJ211" s="1" t="str">
        <f t="shared" si="610"/>
        <v>0.005</v>
      </c>
      <c r="EK211" s="1" t="str">
        <f t="shared" si="611"/>
        <v>0.01</v>
      </c>
      <c r="EL211" s="1" t="str">
        <f t="shared" si="612"/>
        <v>0.0125</v>
      </c>
      <c r="EM211" s="1" t="str">
        <f t="shared" si="564"/>
        <v>0.00500254800771623+0.755193328007739i</v>
      </c>
      <c r="EN211" s="1" t="str">
        <f t="shared" si="565"/>
        <v>-0.005</v>
      </c>
      <c r="EO211" s="1" t="str">
        <f t="shared" si="566"/>
        <v>0.0183445289725674-77.4139122642347i</v>
      </c>
      <c r="EP211" s="1" t="str">
        <f t="shared" si="567"/>
        <v>-0.005</v>
      </c>
      <c r="EQ211" s="1" t="str">
        <f t="shared" si="568"/>
        <v>0.0150049920151175+0.744560605562089i</v>
      </c>
      <c r="ER211" s="1" t="str">
        <f t="shared" si="569"/>
        <v>-0.01</v>
      </c>
      <c r="ES211" s="1" t="str">
        <f t="shared" si="570"/>
        <v>0.0359403016605402-151.66807300748i</v>
      </c>
      <c r="ET211" s="1" t="str">
        <f t="shared" si="571"/>
        <v>-0.01</v>
      </c>
      <c r="EU211" s="1" t="str">
        <f t="shared" si="572"/>
        <v>0.0225123370373607+0.714174292214956i</v>
      </c>
      <c r="EV211" s="1" t="str">
        <f t="shared" si="573"/>
        <v>-0.0125</v>
      </c>
      <c r="EW211" s="1" t="str">
        <f t="shared" si="574"/>
        <v>0.0888212142600335-374.82552417734i</v>
      </c>
      <c r="EX211" s="1" t="str">
        <f t="shared" si="575"/>
        <v>-0.0125</v>
      </c>
      <c r="EY211" s="1" t="str">
        <f t="shared" si="576"/>
        <v>0.0125172293855098+0.693453733927734i</v>
      </c>
      <c r="EZ211" s="1" t="str">
        <f t="shared" si="577"/>
        <v>0.124043957814503-523.465501977205i</v>
      </c>
      <c r="FB211" s="1" t="str">
        <f t="shared" si="578"/>
        <v>0.00500254800771623+0.755193328007739i</v>
      </c>
      <c r="FC211" s="1" t="str">
        <f t="shared" si="579"/>
        <v>0.0183445289725674-77.4139122642347i</v>
      </c>
      <c r="FD211" s="1" t="str">
        <f t="shared" si="580"/>
        <v>-0.0000438556875665772+0.0066205306964342i</v>
      </c>
      <c r="FE211" s="1" t="str">
        <f t="shared" si="581"/>
        <v>0.0150047727366797+0.744593708215571i</v>
      </c>
      <c r="FF211" s="1" t="str">
        <f t="shared" si="582"/>
        <v>-0.476580076303959-151.671589498347i</v>
      </c>
      <c r="FG211" s="1" t="str">
        <f t="shared" si="583"/>
        <v>-0.00027052933922028+0.0134246914235977i</v>
      </c>
      <c r="FH211" s="1" t="str">
        <f t="shared" si="584"/>
        <v>0.0225096317439685+0.714308539129192i</v>
      </c>
      <c r="FI211" s="1" t="str">
        <f t="shared" si="585"/>
        <v>-1.94745200137499-374.860157851762i</v>
      </c>
      <c r="FJ211" s="1" t="str">
        <f t="shared" si="586"/>
        <v>-0.000550903666885565+0.0174820804698143i</v>
      </c>
      <c r="FK211" s="1" t="str">
        <f t="shared" si="587"/>
        <v>0.0125103430896737+0.693672259933607i</v>
      </c>
      <c r="FL211" s="1" t="str">
        <f t="shared" si="588"/>
        <v>-6.42863708606145-523.673547512532i</v>
      </c>
      <c r="FM211" s="1" t="str">
        <f t="shared" si="589"/>
        <v>-754.850966170509-4.34615546337669i</v>
      </c>
      <c r="FN211" s="1" t="str">
        <f t="shared" si="590"/>
        <v>-524.844494239994-0.603334814127589i</v>
      </c>
      <c r="FO211" s="1" t="str">
        <f t="shared" si="591"/>
        <v>-203.777406981427+3.58234471853133i</v>
      </c>
      <c r="FP211" s="1" t="str">
        <f t="shared" si="592"/>
        <v>-102.489295368019+0.645973511002797i</v>
      </c>
      <c r="FQ211" s="92" t="str">
        <f t="shared" si="593"/>
        <v>0.0116597825180177-78.5159395452898i</v>
      </c>
      <c r="FR211" s="1" t="str">
        <f t="shared" si="594"/>
        <v>-0.494780775549025-78.5012576892521i</v>
      </c>
      <c r="FS211" s="1" t="str">
        <f t="shared" si="595"/>
        <v>0.50644055806704-0.0146818560376427i</v>
      </c>
      <c r="FT211" s="1" t="str">
        <f t="shared" si="596"/>
        <v>-0.0385092005854621-155.960927652813i</v>
      </c>
      <c r="FU211" s="1" t="str">
        <f t="shared" si="597"/>
        <v>0.126707237077182-402.150127019514i</v>
      </c>
      <c r="FV211" s="1" t="str">
        <f t="shared" si="598"/>
        <v>0.4530498773205-578.349136315553i</v>
      </c>
      <c r="FW211" s="1" t="str">
        <f t="shared" si="599"/>
        <v>-0.494780775549025-78.5012576892521i</v>
      </c>
      <c r="FX211" s="1" t="str">
        <f t="shared" si="600"/>
        <v>-2.7427395151041-156.017466304178i</v>
      </c>
      <c r="FY211" s="1" t="str">
        <f t="shared" si="601"/>
        <v>0.462297210531348-402.155055482302i</v>
      </c>
      <c r="FZ211" s="1" t="str">
        <f t="shared" si="602"/>
        <v>3.32985803551642-578.337930269833i</v>
      </c>
      <c r="GA211" s="1" t="str">
        <f t="shared" si="603"/>
        <v>0.50644055806704-0.0146818560376427i</v>
      </c>
      <c r="GB211" s="1" t="str">
        <f t="shared" si="604"/>
        <v>3.21067087258567+0.0418567953265892i</v>
      </c>
      <c r="GC211" s="1" t="str">
        <f t="shared" si="605"/>
        <v>2.87508089913144+0.0467852581156138i</v>
      </c>
      <c r="GD211" s="92" t="str">
        <f t="shared" si="606"/>
        <v>0.552907696330238-1214.97613053317i</v>
      </c>
      <c r="GE211" s="1" t="str">
        <f t="shared" si="623"/>
        <v>0.00269663942551302+5.92567720868932i</v>
      </c>
      <c r="GF211" s="1">
        <f t="shared" si="624"/>
        <v>42.2</v>
      </c>
      <c r="GG211" s="56">
        <f t="shared" si="625"/>
        <v>0.22647987209469964</v>
      </c>
      <c r="GH211" s="1">
        <f t="shared" si="626"/>
        <v>0.77352014917665268</v>
      </c>
      <c r="GJ211" s="1">
        <f t="shared" si="607"/>
        <v>1214.9762563409522</v>
      </c>
      <c r="GK211" s="1">
        <f t="shared" si="608"/>
        <v>5.9256778222785833</v>
      </c>
      <c r="GM211" s="1" t="str">
        <f t="shared" si="627"/>
        <v>0.0191834803010191+20.2385717175752i</v>
      </c>
      <c r="GP211" s="1">
        <f t="shared" si="613"/>
        <v>42.2</v>
      </c>
      <c r="GQ211" s="1">
        <f t="shared" si="614"/>
        <v>5.9256778222785833</v>
      </c>
      <c r="GR211" s="1">
        <f t="shared" si="628"/>
        <v>20.238580809269983</v>
      </c>
      <c r="GS211" s="1">
        <f t="shared" si="629"/>
        <v>4.5836311930616978</v>
      </c>
    </row>
    <row r="212" spans="2:201" ht="18" customHeight="1" x14ac:dyDescent="0.25">
      <c r="B212" s="6"/>
      <c r="C212" s="217"/>
      <c r="D212" s="217"/>
      <c r="E212" s="217"/>
      <c r="F212" s="217"/>
      <c r="G212" s="217"/>
      <c r="H212" s="217"/>
      <c r="I212" s="217"/>
      <c r="J212" s="217"/>
      <c r="K212" s="217"/>
      <c r="L212" s="217"/>
      <c r="M212" s="217"/>
      <c r="N212" s="217"/>
      <c r="O212" s="217"/>
      <c r="P212" s="217"/>
      <c r="Q212" s="217"/>
      <c r="R212" s="217"/>
      <c r="S212" s="217"/>
      <c r="T212" s="217"/>
      <c r="U212" s="217"/>
      <c r="V212" s="217"/>
      <c r="W212" s="217"/>
      <c r="X212" s="217"/>
      <c r="Y212" s="217"/>
      <c r="Z212" s="217"/>
      <c r="AA212" s="217"/>
      <c r="AB212" s="217"/>
      <c r="AC212" s="217"/>
      <c r="AD212" s="217"/>
      <c r="AE212" s="217"/>
      <c r="AF212" s="217"/>
      <c r="AG212" s="217"/>
      <c r="AH212" s="217"/>
      <c r="AI212" s="217"/>
      <c r="AJ212" s="217"/>
      <c r="AK212" s="217"/>
      <c r="AL212" s="217"/>
      <c r="AM212" s="217"/>
      <c r="AN212" s="217"/>
      <c r="AO212" s="217"/>
      <c r="AP212" s="8"/>
      <c r="AR212" s="6"/>
      <c r="CF212" s="8"/>
      <c r="EA212" s="1">
        <f t="shared" si="609"/>
        <v>42.4</v>
      </c>
      <c r="EB212" s="1" t="str">
        <f t="shared" si="615"/>
        <v>0.0000025240266018666-0.0107018727919144i</v>
      </c>
      <c r="EC212" s="1" t="str">
        <f t="shared" si="616"/>
        <v>4.94503170977948E-06-0.020966934449465i</v>
      </c>
      <c r="ED212" s="1" t="str">
        <f t="shared" si="617"/>
        <v>0.0000122209247202623-0.0518167208139122i</v>
      </c>
      <c r="EE212" s="1" t="str">
        <f t="shared" si="618"/>
        <v>0.0000170672274983361-0.0723650445929452i</v>
      </c>
      <c r="EF212" s="1" t="str">
        <f t="shared" si="619"/>
        <v>0.769575996023177i</v>
      </c>
      <c r="EG212" s="1" t="str">
        <f t="shared" si="620"/>
        <v>0.769255472909464i</v>
      </c>
      <c r="EH212" s="1" t="str">
        <f t="shared" si="621"/>
        <v>0.76986804290984i</v>
      </c>
      <c r="EI212" s="1" t="str">
        <f t="shared" si="622"/>
        <v>0.769792839076437i</v>
      </c>
      <c r="EJ212" s="1" t="str">
        <f t="shared" si="610"/>
        <v>0.005</v>
      </c>
      <c r="EK212" s="1" t="str">
        <f t="shared" si="611"/>
        <v>0.01</v>
      </c>
      <c r="EL212" s="1" t="str">
        <f t="shared" si="612"/>
        <v>0.0125</v>
      </c>
      <c r="EM212" s="1" t="str">
        <f t="shared" si="564"/>
        <v>0.00500252402660187+0.758874123231263i</v>
      </c>
      <c r="EN212" s="1" t="str">
        <f t="shared" si="565"/>
        <v>-0.005</v>
      </c>
      <c r="EO212" s="1" t="str">
        <f t="shared" si="566"/>
        <v>0.0181718755522273-77.048752341444i</v>
      </c>
      <c r="EP212" s="1" t="str">
        <f t="shared" si="567"/>
        <v>-0.005</v>
      </c>
      <c r="EQ212" s="1" t="str">
        <f t="shared" si="568"/>
        <v>0.0150049450317098+0.748288538459999i</v>
      </c>
      <c r="ER212" s="1" t="str">
        <f t="shared" si="569"/>
        <v>-0.01</v>
      </c>
      <c r="ES212" s="1" t="str">
        <f t="shared" si="570"/>
        <v>0.0356020418982415-150.952657648544i</v>
      </c>
      <c r="ET212" s="1" t="str">
        <f t="shared" si="571"/>
        <v>-0.01</v>
      </c>
      <c r="EU212" s="1" t="str">
        <f t="shared" si="572"/>
        <v>0.0225122209247203+0.718051322095928i</v>
      </c>
      <c r="EV212" s="1" t="str">
        <f t="shared" si="573"/>
        <v>-0.0125</v>
      </c>
      <c r="EW212" s="1" t="str">
        <f t="shared" si="574"/>
        <v>0.0879852545870602-373.057479449136i</v>
      </c>
      <c r="EX212" s="1" t="str">
        <f t="shared" si="575"/>
        <v>-0.0125</v>
      </c>
      <c r="EY212" s="1" t="str">
        <f t="shared" si="576"/>
        <v>0.0125170672274983+0.697427794483492i</v>
      </c>
      <c r="EZ212" s="1" t="str">
        <f t="shared" si="577"/>
        <v>0.122876491829347-520.996325356433i</v>
      </c>
      <c r="FB212" s="1" t="str">
        <f t="shared" si="578"/>
        <v>0.00500252402660187+0.758874123231263i</v>
      </c>
      <c r="FC212" s="1" t="str">
        <f t="shared" si="579"/>
        <v>0.0181718755522273-77.048752341444i</v>
      </c>
      <c r="FD212" s="1" t="str">
        <f t="shared" si="580"/>
        <v>-0.0000434310998384304+0.00658842169184875i</v>
      </c>
      <c r="FE212" s="1" t="str">
        <f t="shared" si="581"/>
        <v>0.0150047278762106+0.748321480568458i</v>
      </c>
      <c r="FF212" s="1" t="str">
        <f t="shared" si="582"/>
        <v>-0.472026840133468-150.956123684578i</v>
      </c>
      <c r="FG212" s="1" t="str">
        <f t="shared" si="583"/>
        <v>-0.000267841042668892+0.0133578700833862i</v>
      </c>
      <c r="FH212" s="1" t="str">
        <f t="shared" si="584"/>
        <v>0.0225095425142936+0.718184900796762i</v>
      </c>
      <c r="FI212" s="1" t="str">
        <f t="shared" si="585"/>
        <v>-1.92859346204414-373.091606421495i</v>
      </c>
      <c r="FJ212" s="1" t="str">
        <f t="shared" si="586"/>
        <v>-0.000544976438729217+0.017387907787854i</v>
      </c>
      <c r="FK212" s="1" t="str">
        <f t="shared" si="587"/>
        <v>0.0125102550220142+0.69764514333084i</v>
      </c>
      <c r="FL212" s="1" t="str">
        <f t="shared" si="588"/>
        <v>-6.36376461051076-521.201162772518i</v>
      </c>
      <c r="FM212" s="1" t="str">
        <f t="shared" si="589"/>
        <v>-747.009712362713-4.27368759543468i</v>
      </c>
      <c r="FN212" s="1" t="str">
        <f t="shared" si="590"/>
        <v>-519.54809212864-0.596747440577317i</v>
      </c>
      <c r="FO212" s="1" t="str">
        <f t="shared" si="591"/>
        <v>-201.804999240617+3.5271988474131i</v>
      </c>
      <c r="FP212" s="1" t="str">
        <f t="shared" si="592"/>
        <v>-101.511302346014+0.636522417758176i</v>
      </c>
      <c r="FQ212" s="92" t="str">
        <f t="shared" si="593"/>
        <v>0.011616110835689-78.1351149926922i</v>
      </c>
      <c r="FR212" s="1" t="str">
        <f t="shared" si="594"/>
        <v>-0.489852373637329-78.1206616105436i</v>
      </c>
      <c r="FS212" s="1" t="str">
        <f t="shared" si="595"/>
        <v>0.501468484473015-0.0144533821482746i</v>
      </c>
      <c r="FT212" s="1" t="str">
        <f t="shared" si="596"/>
        <v>-0.0373545730052606-155.183907281306i</v>
      </c>
      <c r="FU212" s="1" t="str">
        <f t="shared" si="597"/>
        <v>0.125256108234332-399.97875059556i</v>
      </c>
      <c r="FV212" s="1" t="str">
        <f t="shared" si="598"/>
        <v>0.444891469953656-575.053643562925i</v>
      </c>
      <c r="FW212" s="1" t="str">
        <f t="shared" si="599"/>
        <v>-0.489852373637329-78.1206616105436i</v>
      </c>
      <c r="FX212" s="1" t="str">
        <f t="shared" si="600"/>
        <v>-2.71331701741248-155.239600126335i</v>
      </c>
      <c r="FY212" s="1" t="str">
        <f t="shared" si="601"/>
        <v>0.459416784188715-399.983472884617i</v>
      </c>
      <c r="FZ212" s="1" t="str">
        <f t="shared" si="602"/>
        <v>3.28985410741541-575.042727297365i</v>
      </c>
      <c r="GA212" s="1" t="str">
        <f t="shared" si="603"/>
        <v>0.501468484473015-0.0144533821482746i</v>
      </c>
      <c r="GB212" s="1" t="str">
        <f t="shared" si="604"/>
        <v>3.17743092888023+0.0412394628799042i</v>
      </c>
      <c r="GC212" s="1" t="str">
        <f t="shared" si="605"/>
        <v>2.84327025292591+0.045961751935717i</v>
      </c>
      <c r="GD212" s="92" t="str">
        <f t="shared" si="606"/>
        <v>0.544409116018416-1208.35141643248i</v>
      </c>
      <c r="GE212" s="1" t="str">
        <f t="shared" si="623"/>
        <v>0.00268438384022926+5.9581644027426i</v>
      </c>
      <c r="GF212" s="1">
        <f t="shared" si="624"/>
        <v>42.4</v>
      </c>
      <c r="GG212" s="56">
        <f t="shared" si="625"/>
        <v>0.22660941930994127</v>
      </c>
      <c r="GH212" s="1">
        <f t="shared" si="626"/>
        <v>0.77339060197581699</v>
      </c>
      <c r="GJ212" s="1">
        <f t="shared" si="607"/>
        <v>1208.3515390711702</v>
      </c>
      <c r="GK212" s="1">
        <f t="shared" si="608"/>
        <v>5.958165007452016</v>
      </c>
      <c r="GM212" s="1" t="str">
        <f t="shared" si="627"/>
        <v>0.0191834803010191+20.3344891190803i</v>
      </c>
      <c r="GP212" s="1">
        <f t="shared" si="613"/>
        <v>42.4</v>
      </c>
      <c r="GQ212" s="1">
        <f t="shared" si="614"/>
        <v>5.958165007452016</v>
      </c>
      <c r="GR212" s="1">
        <f t="shared" si="628"/>
        <v>20.334498167889748</v>
      </c>
      <c r="GS212" s="1">
        <f t="shared" si="629"/>
        <v>4.6079888217845504</v>
      </c>
    </row>
    <row r="213" spans="2:201" ht="18" customHeight="1" x14ac:dyDescent="0.25">
      <c r="B213" s="6"/>
      <c r="C213" s="217"/>
      <c r="D213" s="217"/>
      <c r="E213" s="217"/>
      <c r="F213" s="217"/>
      <c r="G213" s="217"/>
      <c r="H213" s="217"/>
      <c r="I213" s="217"/>
      <c r="J213" s="217"/>
      <c r="K213" s="217"/>
      <c r="L213" s="217"/>
      <c r="M213" s="217"/>
      <c r="N213" s="217"/>
      <c r="O213" s="217"/>
      <c r="P213" s="217"/>
      <c r="Q213" s="217"/>
      <c r="R213" s="217"/>
      <c r="S213" s="217"/>
      <c r="T213" s="217"/>
      <c r="U213" s="217"/>
      <c r="V213" s="217"/>
      <c r="W213" s="217"/>
      <c r="X213" s="217"/>
      <c r="Y213" s="217"/>
      <c r="Z213" s="217"/>
      <c r="AA213" s="217"/>
      <c r="AB213" s="217"/>
      <c r="AC213" s="217"/>
      <c r="AD213" s="217"/>
      <c r="AE213" s="217"/>
      <c r="AF213" s="217"/>
      <c r="AG213" s="217"/>
      <c r="AH213" s="217"/>
      <c r="AI213" s="217"/>
      <c r="AJ213" s="217"/>
      <c r="AK213" s="217"/>
      <c r="AL213" s="217"/>
      <c r="AM213" s="217"/>
      <c r="AN213" s="217"/>
      <c r="AO213" s="217"/>
      <c r="AP213" s="8"/>
      <c r="AR213" s="6"/>
      <c r="CF213" s="8"/>
      <c r="EA213" s="1">
        <f t="shared" si="609"/>
        <v>42.6</v>
      </c>
      <c r="EB213" s="1" t="str">
        <f t="shared" si="615"/>
        <v>2.50038245615735E-06-0.0106516292632303i</v>
      </c>
      <c r="EC213" s="1" t="str">
        <f t="shared" si="616"/>
        <v>4.89870848553277E-06-0.0208684981483696i</v>
      </c>
      <c r="ED213" s="1" t="str">
        <f t="shared" si="617"/>
        <v>0.0000121064436270068-0.0515734498510489i</v>
      </c>
      <c r="EE213" s="1" t="str">
        <f t="shared" si="618"/>
        <v>0.0000169073480368736-0.0720253026370816i</v>
      </c>
      <c r="EF213" s="1" t="str">
        <f t="shared" si="619"/>
        <v>0.773206071476114i</v>
      </c>
      <c r="EG213" s="1" t="str">
        <f t="shared" si="620"/>
        <v>0.772884036460919i</v>
      </c>
      <c r="EH213" s="1" t="str">
        <f t="shared" si="621"/>
        <v>0.773499495942438i</v>
      </c>
      <c r="EI213" s="1" t="str">
        <f t="shared" si="622"/>
        <v>0.773423937373968i</v>
      </c>
      <c r="EJ213" s="1" t="str">
        <f t="shared" si="610"/>
        <v>0.005</v>
      </c>
      <c r="EK213" s="1" t="str">
        <f t="shared" si="611"/>
        <v>0.01</v>
      </c>
      <c r="EL213" s="1" t="str">
        <f t="shared" si="612"/>
        <v>0.0125</v>
      </c>
      <c r="EM213" s="1" t="str">
        <f t="shared" si="564"/>
        <v>0.00500250038245616+0.762554442212884i</v>
      </c>
      <c r="EN213" s="1" t="str">
        <f t="shared" si="565"/>
        <v>-0.005</v>
      </c>
      <c r="EO213" s="1" t="str">
        <f t="shared" si="566"/>
        <v>0.0180016481572191-76.6870211497533i</v>
      </c>
      <c r="EP213" s="1" t="str">
        <f t="shared" si="567"/>
        <v>-0.005</v>
      </c>
      <c r="EQ213" s="1" t="str">
        <f t="shared" si="568"/>
        <v>0.0150048987084855+0.752015538312549i</v>
      </c>
      <c r="ER213" s="1" t="str">
        <f t="shared" si="569"/>
        <v>-0.01</v>
      </c>
      <c r="ES213" s="1" t="str">
        <f t="shared" si="570"/>
        <v>0.035268535165164-150.243959803599i</v>
      </c>
      <c r="ET213" s="1" t="str">
        <f t="shared" si="571"/>
        <v>-0.01</v>
      </c>
      <c r="EU213" s="1" t="str">
        <f t="shared" si="572"/>
        <v>0.022512106443627+0.721926046091389i</v>
      </c>
      <c r="EV213" s="1" t="str">
        <f t="shared" si="573"/>
        <v>-0.0125</v>
      </c>
      <c r="EW213" s="1" t="str">
        <f t="shared" si="574"/>
        <v>0.0871610413326581-371.306036077123i</v>
      </c>
      <c r="EX213" s="1" t="str">
        <f t="shared" si="575"/>
        <v>-0.0125</v>
      </c>
      <c r="EY213" s="1" t="str">
        <f t="shared" si="576"/>
        <v>0.0125169073480369+0.701398634736886i</v>
      </c>
      <c r="EZ213" s="1" t="str">
        <f t="shared" si="577"/>
        <v>0.121725430396435-518.550333488812i</v>
      </c>
      <c r="FB213" s="1" t="str">
        <f t="shared" si="578"/>
        <v>0.00500250038245616+0.762554442212884i</v>
      </c>
      <c r="FC213" s="1" t="str">
        <f t="shared" si="579"/>
        <v>0.0180016481572191-76.6870211497533i</v>
      </c>
      <c r="FD213" s="1" t="str">
        <f t="shared" si="580"/>
        <v>-0.0000430127028884032+0.00655662671694403i</v>
      </c>
      <c r="FE213" s="1" t="str">
        <f t="shared" si="581"/>
        <v>0.0150046836449711+0.752048321446134i</v>
      </c>
      <c r="FF213" s="1" t="str">
        <f t="shared" si="582"/>
        <v>-0.467538862248617-150.247376349742i</v>
      </c>
      <c r="FG213" s="1" t="str">
        <f t="shared" si="583"/>
        <v>-0.000265193273671175+0.0132917268395762i</v>
      </c>
      <c r="FH213" s="1" t="str">
        <f t="shared" si="584"/>
        <v>0.0225094545108903+0.722058963359785i</v>
      </c>
      <c r="FI213" s="1" t="str">
        <f t="shared" si="585"/>
        <v>-1.91001003163256-371.339666271874i</v>
      </c>
      <c r="FJ213" s="1" t="str">
        <f t="shared" si="586"/>
        <v>-0.000539147761718892+0.0172947982251701i</v>
      </c>
      <c r="FK213" s="1" t="str">
        <f t="shared" si="587"/>
        <v>0.0125101680010154+0.701614819714701i</v>
      </c>
      <c r="FL213" s="1" t="str">
        <f t="shared" si="588"/>
        <v>-6.2998905506648-518.752029739699i</v>
      </c>
      <c r="FM213" s="1" t="str">
        <f t="shared" si="589"/>
        <v>-739.293749944911-4.20287368565816i</v>
      </c>
      <c r="FN213" s="1" t="str">
        <f t="shared" si="590"/>
        <v>-514.333226727492-0.590226679736622i</v>
      </c>
      <c r="FO213" s="1" t="str">
        <f t="shared" si="591"/>
        <v>-199.861350140475+3.47320075495441i</v>
      </c>
      <c r="FP213" s="1" t="str">
        <f t="shared" si="592"/>
        <v>-100.547303578765+0.627256431094154i</v>
      </c>
      <c r="FQ213" s="92" t="str">
        <f t="shared" si="593"/>
        <v>0.0115717519141095-77.7580153192728i</v>
      </c>
      <c r="FR213" s="1" t="str">
        <f t="shared" si="594"/>
        <v>-0.484998480894439-77.7437855976531i</v>
      </c>
      <c r="FS213" s="1" t="str">
        <f t="shared" si="595"/>
        <v>0.49657023280855-0.0142297216193013i</v>
      </c>
      <c r="FT213" s="1" t="str">
        <f t="shared" si="596"/>
        <v>-0.0362328858666548-154.414783033134i</v>
      </c>
      <c r="FU213" s="1" t="str">
        <f t="shared" si="597"/>
        <v>0.123827813615679-397.831967806936i</v>
      </c>
      <c r="FV213" s="1" t="str">
        <f t="shared" si="598"/>
        <v>0.436938176283194-571.798118506849i</v>
      </c>
      <c r="FW213" s="1" t="str">
        <f t="shared" si="599"/>
        <v>-0.484998480894439-77.7437855976531i</v>
      </c>
      <c r="FX213" s="1" t="str">
        <f t="shared" si="600"/>
        <v>-2.68438141892828-154.469647029099i</v>
      </c>
      <c r="FY213" s="1" t="str">
        <f t="shared" si="601"/>
        <v>0.456540039268056-397.836491620163i</v>
      </c>
      <c r="FZ213" s="1" t="str">
        <f t="shared" si="602"/>
        <v>3.25060311424717-571.787482958359i</v>
      </c>
      <c r="GA213" s="1" t="str">
        <f t="shared" si="603"/>
        <v>0.49657023280855-0.0142297216193013i</v>
      </c>
      <c r="GB213" s="1" t="str">
        <f t="shared" si="604"/>
        <v>3.14471876587017+0.0406342743469103i</v>
      </c>
      <c r="GC213" s="1" t="str">
        <f t="shared" si="605"/>
        <v>2.81200654021774+0.0451580875740193i</v>
      </c>
      <c r="GD213" s="92" t="str">
        <f t="shared" si="606"/>
        <v>0.536104855946328-1201.80288466619i</v>
      </c>
      <c r="GE213" s="1" t="str">
        <f t="shared" si="623"/>
        <v>0.00267232328882738+5.99063000763963i</v>
      </c>
      <c r="GF213" s="1">
        <f t="shared" si="624"/>
        <v>42.6</v>
      </c>
      <c r="GG213" s="56">
        <f t="shared" si="625"/>
        <v>0.2267370754984096</v>
      </c>
      <c r="GH213" s="1">
        <f t="shared" si="626"/>
        <v>0.77326294579805444</v>
      </c>
      <c r="GJ213" s="1">
        <f t="shared" si="607"/>
        <v>1201.8030042400428</v>
      </c>
      <c r="GK213" s="1">
        <f t="shared" si="608"/>
        <v>5.9906306036797288</v>
      </c>
      <c r="GM213" s="1" t="str">
        <f t="shared" si="627"/>
        <v>0.0191834803010191+20.4304065205854i</v>
      </c>
      <c r="GP213" s="1">
        <f t="shared" si="613"/>
        <v>42.6</v>
      </c>
      <c r="GQ213" s="1">
        <f t="shared" si="614"/>
        <v>5.9906306036797288</v>
      </c>
      <c r="GR213" s="1">
        <f t="shared" si="628"/>
        <v>20.430415526912196</v>
      </c>
      <c r="GS213" s="1">
        <f t="shared" si="629"/>
        <v>4.6323326677893739</v>
      </c>
    </row>
    <row r="214" spans="2:201" ht="18" customHeight="1" x14ac:dyDescent="0.25">
      <c r="B214" s="6"/>
      <c r="C214" s="217"/>
      <c r="D214" s="217"/>
      <c r="E214" s="217"/>
      <c r="F214" s="217"/>
      <c r="G214" s="217"/>
      <c r="H214" s="217"/>
      <c r="I214" s="217"/>
      <c r="J214" s="217"/>
      <c r="K214" s="217"/>
      <c r="L214" s="217"/>
      <c r="M214" s="217"/>
      <c r="N214" s="217"/>
      <c r="O214" s="217"/>
      <c r="P214" s="217"/>
      <c r="Q214" s="217"/>
      <c r="R214" s="217"/>
      <c r="S214" s="217"/>
      <c r="T214" s="217"/>
      <c r="U214" s="217"/>
      <c r="V214" s="217"/>
      <c r="W214" s="217"/>
      <c r="X214" s="217"/>
      <c r="Y214" s="217"/>
      <c r="Z214" s="217"/>
      <c r="AA214" s="217"/>
      <c r="AB214" s="217"/>
      <c r="AC214" s="217"/>
      <c r="AD214" s="217"/>
      <c r="AE214" s="217"/>
      <c r="AF214" s="217"/>
      <c r="AG214" s="217"/>
      <c r="AH214" s="217"/>
      <c r="AI214" s="217"/>
      <c r="AJ214" s="217"/>
      <c r="AK214" s="217"/>
      <c r="AL214" s="217"/>
      <c r="AM214" s="217"/>
      <c r="AN214" s="217"/>
      <c r="AO214" s="217"/>
      <c r="AP214" s="8"/>
      <c r="AR214" s="6"/>
      <c r="CF214" s="8"/>
      <c r="EA214" s="1">
        <f t="shared" si="609"/>
        <v>42.8</v>
      </c>
      <c r="EB214" s="1" t="str">
        <f t="shared" si="615"/>
        <v>2.47706899536393E-06-0.0106018553001577i</v>
      </c>
      <c r="EC214" s="1" t="str">
        <f t="shared" si="616"/>
        <v>4.85303313377424E-06-0.0207709818125538i</v>
      </c>
      <c r="ED214" s="1" t="str">
        <f t="shared" si="617"/>
        <v>0.0000119935636561243-0.0513324524482122i</v>
      </c>
      <c r="EE214" s="1" t="str">
        <f t="shared" si="618"/>
        <v>0.0000167497046353179-0.071688735839161i</v>
      </c>
      <c r="EF214" s="1" t="str">
        <f t="shared" si="619"/>
        <v>0.776836146929054i</v>
      </c>
      <c r="EG214" s="1" t="str">
        <f t="shared" si="620"/>
        <v>0.776512600012382i</v>
      </c>
      <c r="EH214" s="1" t="str">
        <f t="shared" si="621"/>
        <v>0.777130948975031i</v>
      </c>
      <c r="EI214" s="1" t="str">
        <f t="shared" si="622"/>
        <v>0.777055035671497i</v>
      </c>
      <c r="EJ214" s="1" t="str">
        <f t="shared" si="610"/>
        <v>0.005</v>
      </c>
      <c r="EK214" s="1" t="str">
        <f t="shared" si="611"/>
        <v>0.01</v>
      </c>
      <c r="EL214" s="1" t="str">
        <f t="shared" si="612"/>
        <v>0.0125</v>
      </c>
      <c r="EM214" s="1" t="str">
        <f t="shared" si="564"/>
        <v>0.00500247706899536+0.766234291628896i</v>
      </c>
      <c r="EN214" s="1" t="str">
        <f t="shared" si="565"/>
        <v>-0.005</v>
      </c>
      <c r="EO214" s="1" t="str">
        <f t="shared" si="566"/>
        <v>0.0178338015473948-76.3286706228502i</v>
      </c>
      <c r="EP214" s="1" t="str">
        <f t="shared" si="567"/>
        <v>-0.005</v>
      </c>
      <c r="EQ214" s="1" t="str">
        <f t="shared" si="568"/>
        <v>0.0150048530331338+0.755741618199828i</v>
      </c>
      <c r="ER214" s="1" t="str">
        <f t="shared" si="569"/>
        <v>-0.01</v>
      </c>
      <c r="ES214" s="1" t="str">
        <f t="shared" si="570"/>
        <v>0.034939692827549-149.54188530191i</v>
      </c>
      <c r="ET214" s="1" t="str">
        <f t="shared" si="571"/>
        <v>-0.01</v>
      </c>
      <c r="EU214" s="1" t="str">
        <f t="shared" si="572"/>
        <v>0.0225119935636561+0.725798496526819i</v>
      </c>
      <c r="EV214" s="1" t="str">
        <f t="shared" si="573"/>
        <v>-0.0125</v>
      </c>
      <c r="EW214" s="1" t="str">
        <f t="shared" si="574"/>
        <v>0.0863483554514163-369.570961332063i</v>
      </c>
      <c r="EX214" s="1" t="str">
        <f t="shared" si="575"/>
        <v>-0.0125</v>
      </c>
      <c r="EY214" s="1" t="str">
        <f t="shared" si="576"/>
        <v>0.0125167497046353+0.705366299832336i</v>
      </c>
      <c r="EZ214" s="1" t="str">
        <f t="shared" si="577"/>
        <v>0.120590467606192-516.127201354507i</v>
      </c>
      <c r="FB214" s="1" t="str">
        <f t="shared" si="578"/>
        <v>0.00500247706899536+0.766234291628896i</v>
      </c>
      <c r="FC214" s="1" t="str">
        <f t="shared" si="579"/>
        <v>0.0178338015473948-76.3286706228502i</v>
      </c>
      <c r="FD214" s="1" t="str">
        <f t="shared" si="580"/>
        <v>-0.0000426003759403554+0.00652514113139919i</v>
      </c>
      <c r="FE214" s="1" t="str">
        <f t="shared" si="581"/>
        <v>0.0150046400312541+0.755774243905485i</v>
      </c>
      <c r="FF214" s="1" t="str">
        <f t="shared" si="582"/>
        <v>-0.463114895631981-149.545253300046i</v>
      </c>
      <c r="FG214" s="1" t="str">
        <f t="shared" si="583"/>
        <v>-0.000262585209644516+0.0132262512040591i</v>
      </c>
      <c r="FH214" s="1" t="str">
        <f t="shared" si="584"/>
        <v>0.0225093677115597+0.72593075903886i</v>
      </c>
      <c r="FI214" s="1" t="str">
        <f t="shared" si="585"/>
        <v>-1.8916963381916-369.604104429806i</v>
      </c>
      <c r="FJ214" s="1" t="str">
        <f t="shared" si="586"/>
        <v>-0.000533415400881775+0.0172027331823393i</v>
      </c>
      <c r="FK214" s="1" t="str">
        <f t="shared" si="587"/>
        <v>0.0125100820121243+0.705581333997115i</v>
      </c>
      <c r="FL214" s="1" t="str">
        <f t="shared" si="588"/>
        <v>-6.23699411258729-516.32582162472i</v>
      </c>
      <c r="FM214" s="1" t="str">
        <f t="shared" si="589"/>
        <v>-731.700350127724-4.13366558223396i</v>
      </c>
      <c r="FN214" s="1" t="str">
        <f t="shared" si="590"/>
        <v>-509.198198706785-0.5837730013366i</v>
      </c>
      <c r="FO214" s="1" t="str">
        <f t="shared" si="591"/>
        <v>-197.94589840842+3.42032022427792i</v>
      </c>
      <c r="FP214" s="1" t="str">
        <f t="shared" si="592"/>
        <v>-99.5970321894161+0.618171003310518i</v>
      </c>
      <c r="FQ214" s="92" t="str">
        <f t="shared" si="593"/>
        <v>0.01152675074001-77.3845854776998i</v>
      </c>
      <c r="FR214" s="1" t="str">
        <f t="shared" si="594"/>
        <v>-0.48021758035501-77.370574731595i</v>
      </c>
      <c r="FS214" s="1" t="str">
        <f t="shared" si="595"/>
        <v>0.491744331095019-0.014010746104837i</v>
      </c>
      <c r="FT214" s="1" t="str">
        <f t="shared" si="596"/>
        <v>-0.0351430783403668-153.653432556548i</v>
      </c>
      <c r="FU214" s="1" t="str">
        <f t="shared" si="597"/>
        <v>0.122421956292851-395.709346652376i</v>
      </c>
      <c r="FV214" s="1" t="str">
        <f t="shared" si="598"/>
        <v>0.429183492324593-568.581805230557i</v>
      </c>
      <c r="FW214" s="1" t="str">
        <f t="shared" si="599"/>
        <v>-0.48021758035501-77.370574731595i</v>
      </c>
      <c r="FX214" s="1" t="str">
        <f t="shared" si="600"/>
        <v>-2.65592175022898-153.707484234909i</v>
      </c>
      <c r="FY214" s="1" t="str">
        <f t="shared" si="601"/>
        <v>0.453668066514714-395.71367937738i</v>
      </c>
      <c r="FZ214" s="1" t="str">
        <f t="shared" si="602"/>
        <v>3.21208565645685-568.571441669346i</v>
      </c>
      <c r="GA214" s="1" t="str">
        <f t="shared" si="603"/>
        <v>0.491744331095019-0.014010746104837i</v>
      </c>
      <c r="GB214" s="1" t="str">
        <f t="shared" si="604"/>
        <v>3.11252300298365+0.0400409322561452i</v>
      </c>
      <c r="GC214" s="1" t="str">
        <f t="shared" si="605"/>
        <v>2.78127689276174+0.044373657261217i</v>
      </c>
      <c r="GD214" s="92" t="str">
        <f t="shared" si="606"/>
        <v>0.527989121017087-1195.32916991718i</v>
      </c>
      <c r="GE214" s="1" t="str">
        <f t="shared" si="623"/>
        <v>0.00266045354454536+6.0230743407717i</v>
      </c>
      <c r="GF214" s="1">
        <f t="shared" si="624"/>
        <v>42.8</v>
      </c>
      <c r="GG214" s="56">
        <f t="shared" si="625"/>
        <v>0.22686287764692403</v>
      </c>
      <c r="GH214" s="1">
        <f t="shared" si="626"/>
        <v>0.77313714365667285</v>
      </c>
      <c r="GJ214" s="1">
        <f t="shared" si="607"/>
        <v>1195.329286526272</v>
      </c>
      <c r="GK214" s="1">
        <f t="shared" si="608"/>
        <v>6.0230749283464426</v>
      </c>
      <c r="GM214" s="1" t="str">
        <f t="shared" si="627"/>
        <v>0.0191834803010191+20.5263239220905i</v>
      </c>
      <c r="GP214" s="1">
        <f t="shared" si="613"/>
        <v>42.8</v>
      </c>
      <c r="GQ214" s="1">
        <f t="shared" si="614"/>
        <v>6.0230749283464426</v>
      </c>
      <c r="GR214" s="1">
        <f t="shared" si="628"/>
        <v>20.526332886331673</v>
      </c>
      <c r="GS214" s="1">
        <f t="shared" si="629"/>
        <v>4.65666294613189</v>
      </c>
    </row>
    <row r="215" spans="2:201" ht="18" customHeight="1" x14ac:dyDescent="0.25">
      <c r="B215" s="6"/>
      <c r="C215" s="217"/>
      <c r="D215" s="217"/>
      <c r="E215" s="217"/>
      <c r="F215" s="217"/>
      <c r="G215" s="217"/>
      <c r="H215" s="217"/>
      <c r="I215" s="217"/>
      <c r="J215" s="217"/>
      <c r="K215" s="217"/>
      <c r="L215" s="217"/>
      <c r="M215" s="217"/>
      <c r="N215" s="217"/>
      <c r="O215" s="217"/>
      <c r="P215" s="217"/>
      <c r="Q215" s="217"/>
      <c r="R215" s="217"/>
      <c r="S215" s="217"/>
      <c r="T215" s="217"/>
      <c r="U215" s="217"/>
      <c r="V215" s="217"/>
      <c r="W215" s="217"/>
      <c r="X215" s="217"/>
      <c r="Y215" s="217"/>
      <c r="Z215" s="217"/>
      <c r="AA215" s="217"/>
      <c r="AB215" s="217"/>
      <c r="AC215" s="217"/>
      <c r="AD215" s="217"/>
      <c r="AE215" s="217"/>
      <c r="AF215" s="217"/>
      <c r="AG215" s="217"/>
      <c r="AH215" s="217"/>
      <c r="AI215" s="217"/>
      <c r="AJ215" s="217"/>
      <c r="AK215" s="217"/>
      <c r="AL215" s="217"/>
      <c r="AM215" s="217"/>
      <c r="AN215" s="217"/>
      <c r="AO215" s="217"/>
      <c r="AP215" s="8"/>
      <c r="AR215" s="6"/>
      <c r="CF215" s="8"/>
      <c r="EA215" s="1">
        <f t="shared" si="609"/>
        <v>43</v>
      </c>
      <c r="EB215" s="1" t="str">
        <f t="shared" si="615"/>
        <v>0.0000024540800815394-0.0105525443506195i</v>
      </c>
      <c r="EC215" s="1" t="str">
        <f t="shared" si="616"/>
        <v>4.80799362913842E-06-0.0206743726052952i</v>
      </c>
      <c r="ED215" s="1" t="str">
        <f t="shared" si="617"/>
        <v>0.0000118822550886781-0.0510936968813157i</v>
      </c>
      <c r="EE215" s="1" t="str">
        <f t="shared" si="618"/>
        <v>0.0000165942557894569-0.0713552998946648i</v>
      </c>
      <c r="EF215" s="1" t="str">
        <f t="shared" si="619"/>
        <v>0.780466222381994i</v>
      </c>
      <c r="EG215" s="1" t="str">
        <f t="shared" si="620"/>
        <v>0.78014116356384i</v>
      </c>
      <c r="EH215" s="1" t="str">
        <f t="shared" si="621"/>
        <v>0.780762402007624i</v>
      </c>
      <c r="EI215" s="1" t="str">
        <f t="shared" si="622"/>
        <v>0.780686133969024i</v>
      </c>
      <c r="EJ215" s="1" t="str">
        <f t="shared" si="610"/>
        <v>0.005</v>
      </c>
      <c r="EK215" s="1" t="str">
        <f t="shared" si="611"/>
        <v>0.01</v>
      </c>
      <c r="EL215" s="1" t="str">
        <f t="shared" si="612"/>
        <v>0.0125</v>
      </c>
      <c r="EM215" s="1" t="str">
        <f t="shared" si="564"/>
        <v>0.00500245408008154+0.769913678031375i</v>
      </c>
      <c r="EN215" s="1" t="str">
        <f t="shared" si="565"/>
        <v>-0.005</v>
      </c>
      <c r="EO215" s="1" t="str">
        <f t="shared" si="566"/>
        <v>0.0176682915322502-75.9736535886764i</v>
      </c>
      <c r="EP215" s="1" t="str">
        <f t="shared" si="567"/>
        <v>-0.005</v>
      </c>
      <c r="EQ215" s="1" t="str">
        <f t="shared" si="568"/>
        <v>0.0150048079936291+0.759466790958545i</v>
      </c>
      <c r="ER215" s="1" t="str">
        <f t="shared" si="569"/>
        <v>-0.01</v>
      </c>
      <c r="ES215" s="1" t="str">
        <f t="shared" si="570"/>
        <v>0.0346154283080821-148.846341724753i</v>
      </c>
      <c r="ET215" s="1" t="str">
        <f t="shared" si="571"/>
        <v>-0.01</v>
      </c>
      <c r="EU215" s="1" t="str">
        <f t="shared" si="572"/>
        <v>0.0225118822550887+0.729668705126308i</v>
      </c>
      <c r="EV215" s="1" t="str">
        <f t="shared" si="573"/>
        <v>-0.0125</v>
      </c>
      <c r="EW215" s="1" t="str">
        <f t="shared" si="574"/>
        <v>0.0855469829801304-367.85202681456i</v>
      </c>
      <c r="EX215" s="1" t="str">
        <f t="shared" si="575"/>
        <v>-0.0125</v>
      </c>
      <c r="EY215" s="1" t="str">
        <f t="shared" si="576"/>
        <v>0.0125165942557895+0.709330834074359i</v>
      </c>
      <c r="EZ215" s="1" t="str">
        <f t="shared" si="577"/>
        <v>0.119471304646644-513.726609980571i</v>
      </c>
      <c r="FB215" s="1" t="str">
        <f t="shared" si="578"/>
        <v>0.00500245408008154+0.769913678031375i</v>
      </c>
      <c r="FC215" s="1" t="str">
        <f t="shared" si="579"/>
        <v>0.0176682915322502-75.9736535886764i</v>
      </c>
      <c r="FD215" s="1" t="str">
        <f t="shared" si="580"/>
        <v>-0.0000421940011720015+0.00649396038687201i</v>
      </c>
      <c r="FE215" s="1" t="str">
        <f t="shared" si="581"/>
        <v>0.0150045970236232+0.759499260760479i</v>
      </c>
      <c r="FF215" s="1" t="str">
        <f t="shared" si="582"/>
        <v>-0.458753723046805-148.849662094367i</v>
      </c>
      <c r="FG215" s="1" t="str">
        <f t="shared" si="583"/>
        <v>-0.000260016049042765+0.0131614329077232i</v>
      </c>
      <c r="FH215" s="1" t="str">
        <f t="shared" si="584"/>
        <v>0.0225092820945983+0.729800319455385i</v>
      </c>
      <c r="FI215" s="1" t="str">
        <f t="shared" si="585"/>
        <v>-1.8736471413427-367.884692259252i</v>
      </c>
      <c r="FJ215" s="1" t="str">
        <f t="shared" si="586"/>
        <v>-0.000527777185633213+0.0171116945026343i</v>
      </c>
      <c r="FK215" s="1" t="str">
        <f t="shared" si="587"/>
        <v>0.0125099970409691+0.709544730255642i</v>
      </c>
      <c r="FL215" s="1" t="str">
        <f t="shared" si="588"/>
        <v>-6.17505505063303-513.922217741851i</v>
      </c>
      <c r="FM215" s="1" t="str">
        <f t="shared" si="589"/>
        <v>-724.226859803555-4.06601684077105i</v>
      </c>
      <c r="FN215" s="1" t="str">
        <f t="shared" si="590"/>
        <v>-504.141353599937-0.577386777743478i</v>
      </c>
      <c r="FO215" s="1" t="str">
        <f t="shared" si="591"/>
        <v>-196.058096512542+3.36852800237772i</v>
      </c>
      <c r="FP215" s="1" t="str">
        <f t="shared" si="592"/>
        <v>-98.660227659122+0.609261721177261i</v>
      </c>
      <c r="FQ215" s="92" t="str">
        <f t="shared" si="593"/>
        <v>0.0114811502979308-77.0147715118686i</v>
      </c>
      <c r="FR215" s="1" t="str">
        <f t="shared" si="594"/>
        <v>-0.475508193969169-77.0009751804625i</v>
      </c>
      <c r="FS215" s="1" t="str">
        <f t="shared" si="595"/>
        <v>0.4869893442671-0.0137963314060023i</v>
      </c>
      <c r="FT215" s="1" t="str">
        <f t="shared" si="596"/>
        <v>-0.0340841286654723-152.899736060199i</v>
      </c>
      <c r="FU215" s="1" t="str">
        <f t="shared" si="597"/>
        <v>0.121038144149661-393.610465460074i</v>
      </c>
      <c r="FV215" s="1" t="str">
        <f t="shared" si="598"/>
        <v>0.421621161457795-565.403967281102i</v>
      </c>
      <c r="FW215" s="1" t="str">
        <f t="shared" si="599"/>
        <v>-0.475508193969169-77.0009751804625i</v>
      </c>
      <c r="FX215" s="1" t="str">
        <f t="shared" si="600"/>
        <v>-2.62792735527233-152.952991539406i</v>
      </c>
      <c r="FY215" s="1" t="str">
        <f t="shared" si="601"/>
        <v>0.45080188747844-393.614614188062i</v>
      </c>
      <c r="FZ215" s="1" t="str">
        <f t="shared" si="602"/>
        <v>3.1742829680745-565.393867296564i</v>
      </c>
      <c r="GA215" s="1" t="str">
        <f t="shared" si="603"/>
        <v>0.4869893442671-0.0137963314060023i</v>
      </c>
      <c r="GB215" s="1" t="str">
        <f t="shared" si="604"/>
        <v>3.08083257087395+0.039459147801212i</v>
      </c>
      <c r="GC215" s="1" t="str">
        <f t="shared" si="605"/>
        <v>2.75106882754523+0.0436078757878446i</v>
      </c>
      <c r="GD215" s="92" t="str">
        <f t="shared" si="606"/>
        <v>0.520056327239914-1188.92894031324i</v>
      </c>
      <c r="GE215" s="1" t="str">
        <f t="shared" si="623"/>
        <v>0.002648770497195+6.05549771325101i</v>
      </c>
      <c r="GF215" s="1">
        <f t="shared" si="624"/>
        <v>43</v>
      </c>
      <c r="GG215" s="56">
        <f t="shared" si="625"/>
        <v>0.22698686183355099</v>
      </c>
      <c r="GH215" s="1">
        <f t="shared" si="626"/>
        <v>0.77301315947373295</v>
      </c>
      <c r="GJ215" s="1">
        <f t="shared" si="607"/>
        <v>1188.929054053667</v>
      </c>
      <c r="GK215" s="1">
        <f t="shared" si="608"/>
        <v>6.0554982925580418</v>
      </c>
      <c r="GM215" s="1" t="str">
        <f t="shared" si="627"/>
        <v>0.0191834803010191+20.6222413235956i</v>
      </c>
      <c r="GP215" s="1">
        <f t="shared" si="613"/>
        <v>43</v>
      </c>
      <c r="GQ215" s="1">
        <f t="shared" si="614"/>
        <v>6.0554982925580418</v>
      </c>
      <c r="GR215" s="1">
        <f t="shared" si="628"/>
        <v>20.622250246142645</v>
      </c>
      <c r="GS215" s="1">
        <f t="shared" si="629"/>
        <v>4.6809798673180811</v>
      </c>
    </row>
    <row r="216" spans="2:201" ht="18" customHeight="1" x14ac:dyDescent="0.25">
      <c r="B216" s="6"/>
      <c r="AP216" s="8"/>
      <c r="AR216" s="6"/>
      <c r="CF216" s="8"/>
      <c r="EA216" s="1">
        <f t="shared" si="609"/>
        <v>43.2</v>
      </c>
      <c r="EB216" s="1" t="str">
        <f t="shared" si="615"/>
        <v>2.43140971848926E-06-0.0105036899838736i</v>
      </c>
      <c r="EC216" s="1" t="str">
        <f t="shared" si="616"/>
        <v>4.76357822397896E-06-0.0205786579275891i</v>
      </c>
      <c r="ED216" s="1" t="str">
        <f t="shared" si="617"/>
        <v>0.000011772488892073-0.0508571520137554i</v>
      </c>
      <c r="EE216" s="1" t="str">
        <f t="shared" si="618"/>
        <v>0.0000164409609535941-0.0710249513195264i</v>
      </c>
      <c r="EF216" s="1" t="str">
        <f t="shared" si="619"/>
        <v>0.78409629783493i</v>
      </c>
      <c r="EG216" s="1" t="str">
        <f t="shared" si="620"/>
        <v>0.7837697271153i</v>
      </c>
      <c r="EH216" s="1" t="str">
        <f t="shared" si="621"/>
        <v>0.784393855040214i</v>
      </c>
      <c r="EI216" s="1" t="str">
        <f t="shared" si="622"/>
        <v>0.784317232266555i</v>
      </c>
      <c r="EJ216" s="1" t="str">
        <f t="shared" si="610"/>
        <v>0.005</v>
      </c>
      <c r="EK216" s="1" t="str">
        <f t="shared" si="611"/>
        <v>0.01</v>
      </c>
      <c r="EL216" s="1" t="str">
        <f t="shared" si="612"/>
        <v>0.0125</v>
      </c>
      <c r="EM216" s="1" t="str">
        <f t="shared" si="564"/>
        <v>0.00500243140971849+0.773592607851056i</v>
      </c>
      <c r="EN216" s="1" t="str">
        <f t="shared" si="565"/>
        <v>-0.005</v>
      </c>
      <c r="EO216" s="1" t="str">
        <f t="shared" si="566"/>
        <v>0.0175050749418362-75.6219237487323i</v>
      </c>
      <c r="EP216" s="1" t="str">
        <f t="shared" si="567"/>
        <v>-0.005</v>
      </c>
      <c r="EQ216" s="1" t="str">
        <f t="shared" si="568"/>
        <v>0.015004763578224+0.763191069187711i</v>
      </c>
      <c r="ER216" s="1" t="str">
        <f t="shared" si="569"/>
        <v>-0.01</v>
      </c>
      <c r="ES216" s="1" t="str">
        <f t="shared" si="570"/>
        <v>0.0342956570289036-148.157238364863i</v>
      </c>
      <c r="ET216" s="1" t="str">
        <f t="shared" si="571"/>
        <v>-0.01</v>
      </c>
      <c r="EU216" s="1" t="str">
        <f t="shared" si="572"/>
        <v>0.0225117724888921+0.733536703026459i</v>
      </c>
      <c r="EV216" s="1" t="str">
        <f t="shared" si="573"/>
        <v>-0.0125</v>
      </c>
      <c r="EW216" s="1" t="str">
        <f t="shared" si="574"/>
        <v>0.0847567148969517-366.149008354832i</v>
      </c>
      <c r="EX216" s="1" t="str">
        <f t="shared" si="575"/>
        <v>-0.0125</v>
      </c>
      <c r="EY216" s="1" t="str">
        <f t="shared" si="576"/>
        <v>0.0125164409609536+0.713292280947029i</v>
      </c>
      <c r="EZ216" s="1" t="str">
        <f t="shared" si="577"/>
        <v>0.118367649606702-511.348246300953i</v>
      </c>
      <c r="FB216" s="1" t="str">
        <f t="shared" si="578"/>
        <v>0.00500243140971849+0.773592607851056i</v>
      </c>
      <c r="FC216" s="1" t="str">
        <f t="shared" si="579"/>
        <v>0.0175050749418362-75.6219237487323i</v>
      </c>
      <c r="FD216" s="1" t="str">
        <f t="shared" si="580"/>
        <v>-0.0000417934636280213+0.00646308002470916i</v>
      </c>
      <c r="FE216" s="1" t="str">
        <f t="shared" si="581"/>
        <v>0.0150045546109059+0.763223384587834i</v>
      </c>
      <c r="FF216" s="1" t="str">
        <f t="shared" si="582"/>
        <v>-0.454454156183894-148.160512003683i</v>
      </c>
      <c r="FG216" s="1" t="str">
        <f t="shared" si="583"/>
        <v>-0.000257485010706631+0.0130972618946858i</v>
      </c>
      <c r="FH216" s="1" t="str">
        <f t="shared" si="584"/>
        <v>0.022509197638785+0.733667675645406i</v>
      </c>
      <c r="FI216" s="1" t="str">
        <f t="shared" si="585"/>
        <v>-1.8558573283993-366.181205360749i</v>
      </c>
      <c r="FJ216" s="1" t="str">
        <f t="shared" si="586"/>
        <v>-0.000522231007526883+0.0170216644587109i</v>
      </c>
      <c r="FK216" s="1" t="str">
        <f t="shared" si="587"/>
        <v>0.0125099130733595+0.713505051752763i</v>
      </c>
      <c r="FL216" s="1" t="str">
        <f t="shared" si="588"/>
        <v>-6.11405364991437-511.540903366853i</v>
      </c>
      <c r="FM216" s="1" t="str">
        <f t="shared" si="589"/>
        <v>-716.870698989526-3.99988265292897i</v>
      </c>
      <c r="FN216" s="1" t="str">
        <f t="shared" si="590"/>
        <v>-499.161080366147-0.571068291122512i</v>
      </c>
      <c r="FO216" s="1" t="str">
        <f t="shared" si="591"/>
        <v>-194.197410256715+3.31779576397474i</v>
      </c>
      <c r="FP216" s="1" t="str">
        <f t="shared" si="592"/>
        <v>-97.7366356454336+0.600524301284759i</v>
      </c>
      <c r="FQ216" s="92" t="str">
        <f t="shared" si="593"/>
        <v>0.0114349916591195-76.6485205297394i</v>
      </c>
      <c r="FR216" s="1" t="str">
        <f t="shared" si="594"/>
        <v>-0.470868881397288-76.6349341724259i</v>
      </c>
      <c r="FS216" s="1" t="str">
        <f t="shared" si="595"/>
        <v>0.482303873056407-0.0135863573134499i</v>
      </c>
      <c r="FT216" s="1" t="str">
        <f t="shared" si="596"/>
        <v>-0.0330550525168848-152.15357624554i</v>
      </c>
      <c r="FU216" s="1" t="str">
        <f t="shared" si="597"/>
        <v>0.11967599006277-391.534912575468i</v>
      </c>
      <c r="FV216" s="1" t="str">
        <f t="shared" si="598"/>
        <v>0.414245163485663-562.263887037164i</v>
      </c>
      <c r="FW216" s="1" t="str">
        <f t="shared" si="599"/>
        <v>-0.470868881397288-76.6349341724259i</v>
      </c>
      <c r="FX216" s="1" t="str">
        <f t="shared" si="600"/>
        <v>-2.60038788055478-152.206051243403i</v>
      </c>
      <c r="FY216" s="1" t="str">
        <f t="shared" si="601"/>
        <v>0.447942458364814-391.53888411444i</v>
      </c>
      <c r="FZ216" s="1" t="str">
        <f t="shared" si="602"/>
        <v>3.13717689173626-562.254042524456i</v>
      </c>
      <c r="GA216" s="1" t="str">
        <f t="shared" si="603"/>
        <v>0.482303873056407-0.0135863573134499i</v>
      </c>
      <c r="GB216" s="1" t="str">
        <f t="shared" si="604"/>
        <v>3.04963670109432+0.0388886405509725i</v>
      </c>
      <c r="GC216" s="1" t="str">
        <f t="shared" si="605"/>
        <v>2.72137023279224+0.0428601795225808i</v>
      </c>
      <c r="GD216" s="92" t="str">
        <f t="shared" si="606"/>
        <v>0.512301092690668-1182.60089638791i</v>
      </c>
      <c r="GE216" s="1" t="str">
        <f t="shared" si="623"/>
        <v>0.00263727014924618+6.08790043006757i</v>
      </c>
      <c r="GF216" s="1">
        <f t="shared" si="624"/>
        <v>43.2</v>
      </c>
      <c r="GG216" s="56">
        <f t="shared" si="625"/>
        <v>0.22710906325452782</v>
      </c>
      <c r="GH216" s="1">
        <f t="shared" si="626"/>
        <v>0.77289095805311858</v>
      </c>
      <c r="GJ216" s="1">
        <f t="shared" si="607"/>
        <v>1182.6010073519717</v>
      </c>
      <c r="GK216" s="1">
        <f t="shared" si="608"/>
        <v>6.0879010012984569</v>
      </c>
      <c r="GM216" s="1" t="str">
        <f t="shared" si="627"/>
        <v>0.0191834803010191+20.7181587251007i</v>
      </c>
      <c r="GP216" s="1">
        <f t="shared" si="613"/>
        <v>43.2</v>
      </c>
      <c r="GQ216" s="1">
        <f t="shared" si="614"/>
        <v>6.0879010012984569</v>
      </c>
      <c r="GR216" s="1">
        <f t="shared" si="628"/>
        <v>20.718167606339676</v>
      </c>
      <c r="GS216" s="1">
        <f t="shared" si="629"/>
        <v>4.7052836374261151</v>
      </c>
    </row>
    <row r="217" spans="2:201" ht="18" customHeight="1" x14ac:dyDescent="0.3">
      <c r="B217" s="6"/>
      <c r="C217" s="154" t="s">
        <v>470</v>
      </c>
      <c r="D217" s="154"/>
      <c r="E217" s="154"/>
      <c r="F217" s="154"/>
      <c r="G217" s="154"/>
      <c r="H217" s="154"/>
      <c r="I217" s="154"/>
      <c r="J217" s="154"/>
      <c r="K217" s="154"/>
      <c r="L217" s="154"/>
      <c r="M217" s="154"/>
      <c r="N217" s="154"/>
      <c r="O217" s="154"/>
      <c r="P217" s="154"/>
      <c r="Q217" s="154"/>
      <c r="R217" s="154"/>
      <c r="S217" s="154"/>
      <c r="T217" s="154"/>
      <c r="U217" s="154"/>
      <c r="V217" s="154"/>
      <c r="W217" s="154"/>
      <c r="X217" s="154"/>
      <c r="Y217" s="154"/>
      <c r="Z217" s="154"/>
      <c r="AA217" s="154"/>
      <c r="AB217" s="154"/>
      <c r="AC217" s="154"/>
      <c r="AD217" s="154"/>
      <c r="AE217" s="154"/>
      <c r="AF217" s="154"/>
      <c r="AG217" s="154"/>
      <c r="AH217" s="154"/>
      <c r="AI217" s="154"/>
      <c r="AJ217" s="154"/>
      <c r="AK217" s="154"/>
      <c r="AL217" s="154"/>
      <c r="AM217" s="154"/>
      <c r="AN217" s="154"/>
      <c r="AO217" s="154"/>
      <c r="AP217" s="8"/>
      <c r="AR217" s="6"/>
      <c r="CF217" s="8"/>
      <c r="EA217" s="1">
        <f t="shared" si="609"/>
        <v>43.4</v>
      </c>
      <c r="EB217" s="1" t="str">
        <f t="shared" si="615"/>
        <v>2.40905204786105E-06-0.010455285887717i</v>
      </c>
      <c r="EC217" s="1" t="str">
        <f t="shared" si="616"/>
        <v>4.71977544070736E-06-0.02048382541267i</v>
      </c>
      <c r="ED217" s="1" t="str">
        <f t="shared" si="617"/>
        <v>0.0000116642367011231-0.0506227872828745i</v>
      </c>
      <c r="EE217" s="1" t="str">
        <f t="shared" si="618"/>
        <v>0.0000162897805141082-0.0706976474312293i</v>
      </c>
      <c r="EF217" s="1" t="str">
        <f t="shared" si="619"/>
        <v>0.787726373287873i</v>
      </c>
      <c r="EG217" s="1" t="str">
        <f t="shared" si="620"/>
        <v>0.787398290666757i</v>
      </c>
      <c r="EH217" s="1" t="str">
        <f t="shared" si="621"/>
        <v>0.78802530807281i</v>
      </c>
      <c r="EI217" s="1" t="str">
        <f t="shared" si="622"/>
        <v>0.787948330564084i</v>
      </c>
      <c r="EJ217" s="1" t="str">
        <f t="shared" si="610"/>
        <v>0.005</v>
      </c>
      <c r="EK217" s="1" t="str">
        <f t="shared" si="611"/>
        <v>0.01</v>
      </c>
      <c r="EL217" s="1" t="str">
        <f t="shared" si="612"/>
        <v>0.0125</v>
      </c>
      <c r="EM217" s="1" t="str">
        <f t="shared" si="564"/>
        <v>0.00500240905204786+0.777271087400156i</v>
      </c>
      <c r="EN217" s="1" t="str">
        <f t="shared" si="565"/>
        <v>-0.005</v>
      </c>
      <c r="EO217" s="1" t="str">
        <f t="shared" si="566"/>
        <v>0.0173441095986052-75.273435657947i</v>
      </c>
      <c r="EP217" s="1" t="str">
        <f t="shared" si="567"/>
        <v>-0.005</v>
      </c>
      <c r="EQ217" s="1" t="str">
        <f t="shared" si="568"/>
        <v>0.0150047197754407+0.766914465254087i</v>
      </c>
      <c r="ER217" s="1" t="str">
        <f t="shared" si="569"/>
        <v>-0.01</v>
      </c>
      <c r="ES217" s="1" t="str">
        <f t="shared" si="570"/>
        <v>0.033980296356451-147.474486186998i</v>
      </c>
      <c r="ET217" s="1" t="str">
        <f t="shared" si="571"/>
        <v>-0.01</v>
      </c>
      <c r="EU217" s="1" t="str">
        <f t="shared" si="572"/>
        <v>0.0225116642367011+0.737402520789936i</v>
      </c>
      <c r="EV217" s="1" t="str">
        <f t="shared" si="573"/>
        <v>-0.0125</v>
      </c>
      <c r="EW217" s="1" t="str">
        <f t="shared" si="574"/>
        <v>0.0839773469850831-364.461685915263i</v>
      </c>
      <c r="EX217" s="1" t="str">
        <f t="shared" si="575"/>
        <v>-0.0125</v>
      </c>
      <c r="EY217" s="1" t="str">
        <f t="shared" si="576"/>
        <v>0.0125162897805141+0.717250683132855i</v>
      </c>
      <c r="EZ217" s="1" t="str">
        <f t="shared" si="577"/>
        <v>0.117279217285808-508.991803020404i</v>
      </c>
      <c r="FB217" s="1" t="str">
        <f t="shared" si="578"/>
        <v>0.00500240905204786+0.777271087400156i</v>
      </c>
      <c r="FC217" s="1" t="str">
        <f t="shared" si="579"/>
        <v>0.0173441095986052-75.273435657947i</v>
      </c>
      <c r="FD217" s="1" t="str">
        <f t="shared" si="580"/>
        <v>-0.0000413986511361554+0.00643249567372472i</v>
      </c>
      <c r="FE217" s="1" t="str">
        <f t="shared" si="581"/>
        <v>0.015004512782185+0.766946627732456i</v>
      </c>
      <c r="FF217" s="1" t="str">
        <f t="shared" si="582"/>
        <v>-0.450215034836947-147.477713971611i</v>
      </c>
      <c r="FG217" s="1" t="str">
        <f t="shared" si="583"/>
        <v>-0.000254991333237611+0.0130337283167091i</v>
      </c>
      <c r="FH217" s="1" t="str">
        <f t="shared" si="584"/>
        <v>0.0225091143233687+0.737532858073103i</v>
      </c>
      <c r="FI217" s="1" t="str">
        <f t="shared" si="585"/>
        <v>-1.83832191062221-364.493423473723i</v>
      </c>
      <c r="FJ217" s="1" t="str">
        <f t="shared" si="586"/>
        <v>-0.000516774818097231+0.0169326257397771i</v>
      </c>
      <c r="FK217" s="1" t="str">
        <f t="shared" si="587"/>
        <v>0.0125098300952879+0.717462340954602i</v>
      </c>
      <c r="FL217" s="1" t="str">
        <f t="shared" si="588"/>
        <v>-6.05397070942732-509.181569598833i</v>
      </c>
      <c r="FM217" s="1" t="str">
        <f t="shared" si="589"/>
        <v>-709.629358372459-3.93521977848167i</v>
      </c>
      <c r="FN217" s="1" t="str">
        <f t="shared" si="590"/>
        <v>-494.255810007231-0.564817740124026i</v>
      </c>
      <c r="FO217" s="1" t="str">
        <f t="shared" si="591"/>
        <v>-192.363318389656+3.26809607693131i</v>
      </c>
      <c r="FP217" s="1" t="str">
        <f t="shared" si="592"/>
        <v>-96.8260078067127+0.591954585577997i</v>
      </c>
      <c r="FQ217" s="92" t="str">
        <f t="shared" si="593"/>
        <v>0.0113883140662352-76.2857806769819i</v>
      </c>
      <c r="FR217" s="1" t="str">
        <f t="shared" si="594"/>
        <v>-0.466298238848481-76.2723999695251i</v>
      </c>
      <c r="FS217" s="1" t="str">
        <f t="shared" si="595"/>
        <v>0.477686552914717-0.0133807074567666i</v>
      </c>
      <c r="FT217" s="1" t="str">
        <f t="shared" si="596"/>
        <v>-0.0320549014494132-151.414838241373i</v>
      </c>
      <c r="FU217" s="1" t="str">
        <f t="shared" si="597"/>
        <v>0.118335112055805-389.482286060416i</v>
      </c>
      <c r="FV217" s="1" t="str">
        <f t="shared" si="598"/>
        <v>0.40704970424356-559.160865101603i</v>
      </c>
      <c r="FW217" s="1" t="str">
        <f t="shared" si="599"/>
        <v>-0.466298238848481-76.2723999695251i</v>
      </c>
      <c r="FX217" s="1" t="str">
        <f t="shared" si="600"/>
        <v>-2.57329326471045-151.466548087i</v>
      </c>
      <c r="FY217" s="1" t="str">
        <f t="shared" si="601"/>
        <v>0.445090673666224-389.486086947724i</v>
      </c>
      <c r="FZ217" s="1" t="str">
        <f t="shared" si="602"/>
        <v>3.1007498548574-559.151268248841i</v>
      </c>
      <c r="GA217" s="1" t="str">
        <f t="shared" si="603"/>
        <v>0.477686552914717-0.0133807074567666i</v>
      </c>
      <c r="GB217" s="1" t="str">
        <f t="shared" si="604"/>
        <v>3.01892491617575+0.0383291381705534i</v>
      </c>
      <c r="GC217" s="1" t="str">
        <f t="shared" si="605"/>
        <v>2.69216935456535+0.0421300254794705i</v>
      </c>
      <c r="GD217" s="92" t="str">
        <f t="shared" si="606"/>
        <v>0.504718228916187-1176.34377008037i</v>
      </c>
      <c r="GE217" s="1" t="str">
        <f t="shared" si="623"/>
        <v>0.00262594861206753+6.12028279024134i</v>
      </c>
      <c r="GF217" s="1">
        <f t="shared" si="624"/>
        <v>43.4</v>
      </c>
      <c r="GG217" s="56">
        <f t="shared" si="625"/>
        <v>0.22722951625025609</v>
      </c>
      <c r="GH217" s="1">
        <f t="shared" si="626"/>
        <v>0.77277050505455314</v>
      </c>
      <c r="GJ217" s="1">
        <f t="shared" si="607"/>
        <v>1176.3438783567451</v>
      </c>
      <c r="GK217" s="1">
        <f t="shared" si="608"/>
        <v>6.1202833535817955</v>
      </c>
      <c r="GM217" s="1" t="str">
        <f t="shared" si="627"/>
        <v>0.0191834803010191+20.8140761266058i</v>
      </c>
      <c r="GP217" s="1">
        <f t="shared" si="613"/>
        <v>43.4</v>
      </c>
      <c r="GQ217" s="1">
        <f t="shared" si="614"/>
        <v>6.1202833535817955</v>
      </c>
      <c r="GR217" s="1">
        <f t="shared" si="628"/>
        <v>20.814084966917424</v>
      </c>
      <c r="GS217" s="1">
        <f t="shared" si="629"/>
        <v>4.7295744582243779</v>
      </c>
    </row>
    <row r="218" spans="2:201" ht="18" customHeight="1" x14ac:dyDescent="0.25">
      <c r="B218" s="6"/>
      <c r="AP218" s="8"/>
      <c r="AR218" s="6"/>
      <c r="CF218" s="8"/>
      <c r="EA218" s="1">
        <f t="shared" si="609"/>
        <v>43.6</v>
      </c>
      <c r="EB218" s="1" t="str">
        <f t="shared" si="615"/>
        <v>2.38700134535931E-06-0.0104073258657666i</v>
      </c>
      <c r="EC218" s="1" t="str">
        <f t="shared" si="616"/>
        <v>4.67657406437743E-06-0.0203898629206856i</v>
      </c>
      <c r="ED218" s="1" t="str">
        <f t="shared" si="617"/>
        <v>0.0000115574707997245-0.0503905726867986i</v>
      </c>
      <c r="EE218" s="1" t="str">
        <f t="shared" si="618"/>
        <v>0.0000161406757638581-0.0703733463304216i</v>
      </c>
      <c r="EF218" s="1" t="str">
        <f t="shared" si="619"/>
        <v>0.791356448740814i</v>
      </c>
      <c r="EG218" s="1" t="str">
        <f t="shared" si="620"/>
        <v>0.79102685421822i</v>
      </c>
      <c r="EH218" s="1" t="str">
        <f t="shared" si="621"/>
        <v>0.791656761105402i</v>
      </c>
      <c r="EI218" s="1" t="str">
        <f t="shared" si="622"/>
        <v>0.791579428861619i</v>
      </c>
      <c r="EJ218" s="1" t="str">
        <f t="shared" si="610"/>
        <v>0.005</v>
      </c>
      <c r="EK218" s="1" t="str">
        <f t="shared" si="611"/>
        <v>0.01</v>
      </c>
      <c r="EL218" s="1" t="str">
        <f t="shared" si="612"/>
        <v>0.0125</v>
      </c>
      <c r="EM218" s="1" t="str">
        <f t="shared" ref="EM218:EM250" si="630">IMSUM(EB218,EF218,EJ218)</f>
        <v>0.00500238700134536+0.780949122875047i</v>
      </c>
      <c r="EN218" s="1" t="str">
        <f t="shared" ref="EN218:EN250" si="631">IMPRODUCT("-1+0i",EJ218)</f>
        <v>-0.005</v>
      </c>
      <c r="EO218" s="1" t="str">
        <f t="shared" ref="EO218:EO250" si="632">IMPRODUCT($EO$1,EB218)</f>
        <v>0.017185354290161-74.9281447051019i</v>
      </c>
      <c r="EP218" s="1" t="str">
        <f t="shared" ref="EP218:EP250" si="633">IMPRODUCT("-1+0i",EJ218)</f>
        <v>-0.005</v>
      </c>
      <c r="EQ218" s="1" t="str">
        <f t="shared" ref="EQ218:EQ250" si="634">IMSUM(EC218,EG218,EJ218,EK218)</f>
        <v>0.0150046765740644+0.770636991297534i</v>
      </c>
      <c r="ER218" s="1" t="str">
        <f t="shared" ref="ER218:ER250" si="635">IMPRODUCT("-1+0i",EK218)</f>
        <v>-0.01</v>
      </c>
      <c r="ES218" s="1" t="str">
        <f t="shared" ref="ES218:ES250" si="636">IMPRODUCT($EO$1,EC218)</f>
        <v>0.0336692655480705-146.797997789588i</v>
      </c>
      <c r="ET218" s="1" t="str">
        <f t="shared" ref="ET218:ET250" si="637">IMPRODUCT("-1+0i",EK218)</f>
        <v>-0.01</v>
      </c>
      <c r="EU218" s="1" t="str">
        <f t="shared" ref="EU218:EU250" si="638">IMSUM(ED218,EH218,EK218,EL218)</f>
        <v>0.0225115574707997+0.741266188418603i</v>
      </c>
      <c r="EV218" s="1" t="str">
        <f t="shared" ref="EV218:EV250" si="639">IMPRODUCT("-1+0i",EL218)</f>
        <v>-0.0125</v>
      </c>
      <c r="EW218" s="1" t="str">
        <f t="shared" ref="EW218:EW250" si="640">IMPRODUCT($EO$1,ED218)</f>
        <v>0.0832086797008311-362.789843495622i</v>
      </c>
      <c r="EX218" s="1" t="str">
        <f t="shared" ref="EX218:EX250" si="641">IMPRODUCT("-1+0i",EL218)</f>
        <v>-0.0125</v>
      </c>
      <c r="EY218" s="1" t="str">
        <f t="shared" ref="EY218:EY250" si="642">IMSUM(EE218,EI218,EL218)</f>
        <v>0.0125161406757639+0.721206082531197i</v>
      </c>
      <c r="EZ218" s="1" t="str">
        <f t="shared" ref="EZ218:EZ250" si="643">IMPRODUCT($EO$1,EE218)</f>
        <v>0.116205729009659-506.656978482117i</v>
      </c>
      <c r="FB218" s="1" t="str">
        <f t="shared" ref="FB218:FB250" si="644">EM218</f>
        <v>0.00500238700134536+0.780949122875047i</v>
      </c>
      <c r="FC218" s="1" t="str">
        <f t="shared" ref="FC218:FC250" si="645">EO218</f>
        <v>0.017185354290161-74.9281447051019i</v>
      </c>
      <c r="FD218" s="1" t="str">
        <f t="shared" ref="FD218:FD250" si="646">IMDIV(EP218,FB218)</f>
        <v>-0.0000410094542261772+0.00640220304804571i</v>
      </c>
      <c r="FE218" s="1" t="str">
        <f t="shared" ref="FE218:FE250" si="647">IMSUB(EQ218,IMPRODUCT(FD218,EN218))</f>
        <v>0.0150044715267933+0.770669002312774i</v>
      </c>
      <c r="FF218" s="1" t="str">
        <f t="shared" ref="FF218:FF250" si="648">IMSUB(ES218,IMPRODUCT(FD218,FC218))</f>
        <v>-0.446035226105343-146.801180576036i</v>
      </c>
      <c r="FG218" s="1" t="str">
        <f t="shared" ref="FG218:FG250" si="649">IMDIV(ET218,FE218)</f>
        <v>-0.000252534274394461+0.012970822527793i</v>
      </c>
      <c r="FH218" s="1" t="str">
        <f t="shared" ref="FH218:FH250" si="650">IMSUB(EU218,IMPRODUCT(FG218,ER218))</f>
        <v>0.0225090321280558+0.741395896643881i</v>
      </c>
      <c r="FI218" s="1" t="str">
        <f t="shared" ref="FI218:FI250" si="651">IMSUB(EW218,IMPRODUCT(FG218,FF218))</f>
        <v>-1.8210360196036-362.82113038148i</v>
      </c>
      <c r="FJ218" s="1" t="str">
        <f t="shared" ref="FJ218:FJ250" si="652">IMDIV(EX218,FH218)</f>
        <v>-0.000511406626789904+0.0168445614392249i</v>
      </c>
      <c r="FK218" s="1" t="str">
        <f t="shared" ref="FK218:FK250" si="653">IMSUB(EY218,IMPRODUCT(FJ218,EV218))</f>
        <v>0.012509748092929+0.721416639549187i</v>
      </c>
      <c r="FL218" s="1" t="str">
        <f t="shared" ref="FL218:FL250" si="654">IMSUB(EZ218,IMPRODUCT(FJ218,EW218))</f>
        <v>-5.99478752580893-506.84391322593i</v>
      </c>
      <c r="FM218" s="1" t="str">
        <f t="shared" ref="FM218:FM250" si="655">IMDIV(FL218,FK218)</f>
        <v>-702.500396951108-3.87198648062457i</v>
      </c>
      <c r="FN218" s="1" t="str">
        <f t="shared" ref="FN218:FN250" si="656">IMDIV(IMSUB(FI218,IMPRODUCT(EV218,FM218)),FH218)</f>
        <v>-489.424014236322-0.558635246121333i</v>
      </c>
      <c r="FO218" s="1" t="str">
        <f t="shared" ref="FO218:FO250" si="657">IMDIV(IMSUB(FF218,IMPRODUCT(ER218,FN218)),FE218)</f>
        <v>-190.555312227385+3.21940236914655i</v>
      </c>
      <c r="FP218" s="1" t="str">
        <f t="shared" ref="FP218:FP250" si="658">IMDIV(IMSUB(FC218,IMPRODUCT(EN218,FO218)),FB218)</f>
        <v>-95.9281016323763+0.583548537066664i</v>
      </c>
      <c r="FQ218" s="92" t="str">
        <f t="shared" ref="FQ218:FQ250" si="659">IMPRODUCT(IMSUB($EO$1,FP218),EB218)</f>
        <v>0.0113411550140711-75.9265011114056i</v>
      </c>
      <c r="FR218" s="1" t="str">
        <f t="shared" ref="FR218:FR250" si="660">IMPRODUCT(FP218,EF218)</f>
        <v>-0.461794897960973-75.9133218422452i</v>
      </c>
      <c r="FS218" s="1" t="str">
        <f t="shared" ref="FS218:FS250" si="661">IMPRODUCT(IMSUB(FP218,FO218),EJ218)</f>
        <v>0.473136052975044-0.0131792691603994i</v>
      </c>
      <c r="FT218" s="1" t="str">
        <f t="shared" ref="FT218:FT250" si="662">IMPRODUCT(IMSUB($EO$1,FO218),EC218)</f>
        <v>-0.0310827614143661-150.683409540486i</v>
      </c>
      <c r="FU218" s="1" t="str">
        <f t="shared" ref="FU218:FU250" si="663">IMPRODUCT(IMSUB($EO$1,FN218),ED218)</f>
        <v>0.117015133429136-387.452193403252i</v>
      </c>
      <c r="FV218" s="1" t="str">
        <f t="shared" ref="FV218:FV250" si="664">IMPRODUCT(IMSUB($EO$1,FM218),EE218)</f>
        <v>0.400029205728532-556.094219717537i</v>
      </c>
      <c r="FW218" s="1" t="str">
        <f t="shared" ref="FW218:FW250" si="665">IMPRODUCT(FP218,EF218)</f>
        <v>-0.461794897960973-75.9133218422452i</v>
      </c>
      <c r="FX218" s="1" t="str">
        <f t="shared" ref="FX218:FX250" si="666">IMPRODUCT(FO218,EG218)</f>
        <v>-2.54663372852868-150.734369185799i</v>
      </c>
      <c r="FY218" s="1" t="str">
        <f t="shared" ref="FY218:FY250" si="667">IMPRODUCT(FN218,EH218)</f>
        <v>0.442247369583734-387.455829917531i</v>
      </c>
      <c r="FZ218" s="1" t="str">
        <f t="shared" ref="FZ218:FZ250" si="668">IMPRODUCT(FM218,EI218)</f>
        <v>3.06498484689271-556.084862993619i</v>
      </c>
      <c r="GA218" s="1" t="str">
        <f t="shared" ref="GA218:GA250" si="669">IMPRODUCT(IMSUB(FP218,FO218),EJ218)</f>
        <v>0.473136052975044-0.0131792691603994i</v>
      </c>
      <c r="GB218" s="1" t="str">
        <f t="shared" ref="GB218:GB250" si="670">IMPRODUCT(IMSUB(FO218,FN218),EK218)</f>
        <v>2.98868702008937+0.0377803761526788i</v>
      </c>
      <c r="GC218" s="1" t="str">
        <f t="shared" ref="GC218:GC250" si="671">IMPRODUCT(IMSUB(FN218,FM218),EL218)</f>
        <v>2.66345478393483+0.0414168904312905i</v>
      </c>
      <c r="GD218" s="92" t="str">
        <f t="shared" ref="GD218:GD250" si="672">IMSUM(FQ218,FT218,FU218,FV218)</f>
        <v>0.497302732757373-1170.15632377268i</v>
      </c>
      <c r="GE218" s="1" t="str">
        <f t="shared" si="623"/>
        <v>0.00261480210231348+6.15264508696961i</v>
      </c>
      <c r="GF218" s="1">
        <f t="shared" si="624"/>
        <v>43.6</v>
      </c>
      <c r="GG218" s="56">
        <f t="shared" si="625"/>
        <v>0.22734825433038544</v>
      </c>
      <c r="GH218" s="1">
        <f t="shared" si="626"/>
        <v>0.77265176696849502</v>
      </c>
      <c r="GJ218" s="1">
        <f t="shared" ref="GJ218:GJ250" si="673">IMABS(GD218)</f>
        <v>1170.1564294465936</v>
      </c>
      <c r="GK218" s="1">
        <f t="shared" ref="GK218:GK250" si="674">IMABS(GE218)</f>
        <v>6.1526456425997189</v>
      </c>
      <c r="GM218" s="1" t="str">
        <f t="shared" si="627"/>
        <v>0.0191834803010191+20.9099935281109i</v>
      </c>
      <c r="GP218" s="1">
        <f t="shared" si="613"/>
        <v>43.6</v>
      </c>
      <c r="GQ218" s="1">
        <f t="shared" si="614"/>
        <v>6.1526456425997189</v>
      </c>
      <c r="GR218" s="1">
        <f t="shared" si="628"/>
        <v>20.910002327870654</v>
      </c>
      <c r="GS218" s="1">
        <f t="shared" si="629"/>
        <v>4.7538525272856864</v>
      </c>
    </row>
    <row r="219" spans="2:201" ht="18" customHeight="1" x14ac:dyDescent="0.3">
      <c r="B219" s="6"/>
      <c r="C219" s="30" t="s">
        <v>479</v>
      </c>
      <c r="AP219" s="8"/>
      <c r="AR219" s="6"/>
      <c r="CF219" s="8"/>
      <c r="EA219" s="1">
        <f t="shared" si="609"/>
        <v>43.8</v>
      </c>
      <c r="EB219" s="1" t="str">
        <f t="shared" si="615"/>
        <v>2.36525201708115E-06-0.0103598038348155i</v>
      </c>
      <c r="EC219" s="1" t="str">
        <f t="shared" si="616"/>
        <v>4.63396313550594E-06-0.020296758533516i</v>
      </c>
      <c r="ED219" s="1" t="str">
        <f t="shared" si="617"/>
        <v>0.0000114521641031123-0.0501604787716321i</v>
      </c>
      <c r="EE219" s="1" t="str">
        <f t="shared" si="618"/>
        <v>0.0000159936088774059-0.0700520068830378i</v>
      </c>
      <c r="EF219" s="1" t="str">
        <f t="shared" si="619"/>
        <v>0.794986524193752i</v>
      </c>
      <c r="EG219" s="1" t="str">
        <f t="shared" si="620"/>
        <v>0.794655417769681i</v>
      </c>
      <c r="EH219" s="1" t="str">
        <f t="shared" si="621"/>
        <v>0.795288214137998i</v>
      </c>
      <c r="EI219" s="1" t="str">
        <f t="shared" si="622"/>
        <v>0.795210527159146i</v>
      </c>
      <c r="EJ219" s="1" t="str">
        <f t="shared" si="610"/>
        <v>0.005</v>
      </c>
      <c r="EK219" s="1" t="str">
        <f t="shared" si="611"/>
        <v>0.01</v>
      </c>
      <c r="EL219" s="1" t="str">
        <f t="shared" si="612"/>
        <v>0.0125</v>
      </c>
      <c r="EM219" s="1" t="str">
        <f t="shared" si="630"/>
        <v>0.00500236525201708+0.784626720358937i</v>
      </c>
      <c r="EN219" s="1" t="str">
        <f t="shared" si="631"/>
        <v>-0.005</v>
      </c>
      <c r="EO219" s="1" t="str">
        <f t="shared" si="632"/>
        <v>0.0170287687428759-74.5860070937971i</v>
      </c>
      <c r="EP219" s="1" t="str">
        <f t="shared" si="633"/>
        <v>-0.005</v>
      </c>
      <c r="EQ219" s="1" t="str">
        <f t="shared" si="634"/>
        <v>0.0150046339631355+0.774358659236165i</v>
      </c>
      <c r="ER219" s="1" t="str">
        <f t="shared" si="635"/>
        <v>-0.01</v>
      </c>
      <c r="ES219" s="1" t="str">
        <f t="shared" si="636"/>
        <v>0.0333624857003285-146.127687367439i</v>
      </c>
      <c r="ET219" s="1" t="str">
        <f t="shared" si="637"/>
        <v>-0.01</v>
      </c>
      <c r="EU219" s="1" t="str">
        <f t="shared" si="638"/>
        <v>0.0225114521641031+0.745127735366366i</v>
      </c>
      <c r="EV219" s="1" t="str">
        <f t="shared" si="639"/>
        <v>-0.0125</v>
      </c>
      <c r="EW219" s="1" t="str">
        <f t="shared" si="640"/>
        <v>0.0824505180458636-361.133269040884i</v>
      </c>
      <c r="EX219" s="1" t="str">
        <f t="shared" si="641"/>
        <v>-0.0125</v>
      </c>
      <c r="EY219" s="1" t="str">
        <f t="shared" si="642"/>
        <v>0.0125159936088774+0.725158520276108i</v>
      </c>
      <c r="EZ219" s="1" t="str">
        <f t="shared" si="643"/>
        <v>0.115146912451828-504.343476539007i</v>
      </c>
      <c r="FB219" s="1" t="str">
        <f t="shared" si="644"/>
        <v>0.00500236525201708+0.784626720358937i</v>
      </c>
      <c r="FC219" s="1" t="str">
        <f t="shared" si="645"/>
        <v>0.0170287687428759-74.5860070937971i</v>
      </c>
      <c r="FD219" s="1" t="str">
        <f t="shared" si="646"/>
        <v>-0.0000406257660516127+0.00637219794502072i</v>
      </c>
      <c r="FE219" s="1" t="str">
        <f t="shared" si="647"/>
        <v>0.0150044308343052+0.77439052022589i</v>
      </c>
      <c r="FF219" s="1" t="str">
        <f t="shared" si="648"/>
        <v>-0.441913623623292-146.130825991799i</v>
      </c>
      <c r="FG219" s="1" t="str">
        <f t="shared" si="649"/>
        <v>-0.000250113110511248+0.0129085350789375i</v>
      </c>
      <c r="FH219" s="1" t="str">
        <f t="shared" si="650"/>
        <v>0.022508951032998+0.745256820717155i</v>
      </c>
      <c r="FI219" s="1" t="str">
        <f t="shared" si="651"/>
        <v>-1.80399490377437-361.164113818802i</v>
      </c>
      <c r="FJ219" s="1" t="str">
        <f t="shared" si="652"/>
        <v>-0.000506124498975952+0.0167574550427036i</v>
      </c>
      <c r="FK219" s="1" t="str">
        <f t="shared" si="653"/>
        <v>0.0125096670526402+0.725367988464142i</v>
      </c>
      <c r="FL219" s="1" t="str">
        <f t="shared" si="654"/>
        <v>-5.93648587769823-504.527636594713i</v>
      </c>
      <c r="FM219" s="1" t="str">
        <f t="shared" si="655"/>
        <v>-695.48143977131-3.81014246435598i</v>
      </c>
      <c r="FN219" s="1" t="str">
        <f t="shared" si="656"/>
        <v>-484.664204196167-0.552520859032888i</v>
      </c>
      <c r="FO219" s="1" t="str">
        <f t="shared" si="657"/>
        <v>-188.772895288579+3.17168889686239i</v>
      </c>
      <c r="FP219" s="1" t="str">
        <f t="shared" si="658"/>
        <v>-95.042680278734+0.575302235703385i</v>
      </c>
      <c r="FQ219" s="92" t="str">
        <f t="shared" si="659"/>
        <v>0.0112935503264962-75.5706319781547i</v>
      </c>
      <c r="FR219" s="1" t="str">
        <f t="shared" si="660"/>
        <v>-0.457357524722729-75.5576500448488i</v>
      </c>
      <c r="FS219" s="1" t="str">
        <f t="shared" si="661"/>
        <v>0.468651075049225-0.0129819333057951i</v>
      </c>
      <c r="FT219" s="1" t="str">
        <f t="shared" si="662"/>
        <v>-0.0301377513449712-149.959179938273i</v>
      </c>
      <c r="FU219" s="1" t="str">
        <f t="shared" si="663"/>
        <v>0.115715682867626-385.444251239277i</v>
      </c>
      <c r="FV219" s="1" t="str">
        <f t="shared" si="664"/>
        <v>0.393178296719445-553.063286206963i</v>
      </c>
      <c r="FW219" s="1" t="str">
        <f t="shared" si="665"/>
        <v>-0.457357524722729-75.5576500448488i</v>
      </c>
      <c r="FX219" s="1" t="str">
        <f t="shared" si="666"/>
        <v>-2.52039976537164-150.009403969138i</v>
      </c>
      <c r="FY219" s="1" t="str">
        <f t="shared" si="667"/>
        <v>0.439413327254258-385.447729411784i</v>
      </c>
      <c r="FZ219" s="1" t="str">
        <f t="shared" si="668"/>
        <v>3.02986539763197-553.054162349945i</v>
      </c>
      <c r="GA219" s="1" t="str">
        <f t="shared" si="669"/>
        <v>0.468651075049225-0.0129819333057951i</v>
      </c>
      <c r="GB219" s="1" t="str">
        <f t="shared" si="670"/>
        <v>2.95891308907588+0.0372420975589528i</v>
      </c>
      <c r="GC219" s="1" t="str">
        <f t="shared" si="671"/>
        <v>2.63521544468929+0.0407202700665386i</v>
      </c>
      <c r="GD219" s="92" t="str">
        <f t="shared" si="672"/>
        <v>0.490049778568596-1164.03734936267i</v>
      </c>
      <c r="GE219" s="1" t="str">
        <f t="shared" si="623"/>
        <v>0.00260382693845417+6.18498760777023i</v>
      </c>
      <c r="GF219" s="1">
        <f t="shared" si="624"/>
        <v>43.8</v>
      </c>
      <c r="GG219" s="56">
        <f t="shared" si="625"/>
        <v>0.22746531019804986</v>
      </c>
      <c r="GH219" s="1">
        <f t="shared" si="626"/>
        <v>0.77253471109192784</v>
      </c>
      <c r="GJ219" s="1">
        <f t="shared" si="673"/>
        <v>1164.0374525160505</v>
      </c>
      <c r="GK219" s="1">
        <f t="shared" si="674"/>
        <v>6.1849881558646533</v>
      </c>
      <c r="GM219" s="1" t="str">
        <f t="shared" si="627"/>
        <v>0.0191834803010191+21.005910929616i</v>
      </c>
      <c r="GP219" s="1">
        <f t="shared" si="613"/>
        <v>43.8</v>
      </c>
      <c r="GQ219" s="1">
        <f t="shared" si="614"/>
        <v>6.1849881558646533</v>
      </c>
      <c r="GR219" s="1">
        <f t="shared" si="628"/>
        <v>21.005919689194219</v>
      </c>
      <c r="GS219" s="1">
        <f t="shared" si="629"/>
        <v>4.7781180380978956</v>
      </c>
    </row>
    <row r="220" spans="2:201" ht="18" customHeight="1" x14ac:dyDescent="0.25">
      <c r="B220" s="6"/>
      <c r="C220" s="153" t="s">
        <v>471</v>
      </c>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8"/>
      <c r="AR220" s="6"/>
      <c r="CF220" s="8"/>
      <c r="EA220" s="1">
        <f t="shared" si="609"/>
        <v>44</v>
      </c>
      <c r="EB220" s="1" t="str">
        <f t="shared" si="615"/>
        <v>2.34379859596824E-06-0.0103127138222603i</v>
      </c>
      <c r="EC220" s="1" t="str">
        <f t="shared" si="616"/>
        <v>4.59193194312145E-06-0.0202045005497344i</v>
      </c>
      <c r="ED220" s="1" t="str">
        <f t="shared" si="617"/>
        <v>0.000011348290140683-0.049932476619005i</v>
      </c>
      <c r="EE220" s="1" t="str">
        <f t="shared" si="618"/>
        <v>0.0000158485428870234-0.0697335887029028i</v>
      </c>
      <c r="EF220" s="1" t="str">
        <f t="shared" si="619"/>
        <v>0.798616599646692i</v>
      </c>
      <c r="EG220" s="1" t="str">
        <f t="shared" si="620"/>
        <v>0.798283981321138i</v>
      </c>
      <c r="EH220" s="1" t="str">
        <f t="shared" si="621"/>
        <v>0.798919667170589i</v>
      </c>
      <c r="EI220" s="1" t="str">
        <f t="shared" si="622"/>
        <v>0.798841625456676i</v>
      </c>
      <c r="EJ220" s="1" t="str">
        <f t="shared" si="610"/>
        <v>0.005</v>
      </c>
      <c r="EK220" s="1" t="str">
        <f t="shared" si="611"/>
        <v>0.01</v>
      </c>
      <c r="EL220" s="1" t="str">
        <f t="shared" si="612"/>
        <v>0.0125</v>
      </c>
      <c r="EM220" s="1" t="str">
        <f t="shared" si="630"/>
        <v>0.00500234379859597+0.788303885824432i</v>
      </c>
      <c r="EN220" s="1" t="str">
        <f t="shared" si="631"/>
        <v>-0.005</v>
      </c>
      <c r="EO220" s="1" t="str">
        <f t="shared" si="632"/>
        <v>0.0168743135963474-74.2469798239288i</v>
      </c>
      <c r="EP220" s="1" t="str">
        <f t="shared" si="633"/>
        <v>-0.005</v>
      </c>
      <c r="EQ220" s="1" t="str">
        <f t="shared" si="634"/>
        <v>0.0150045919319431+0.778079480771404i</v>
      </c>
      <c r="ER220" s="1" t="str">
        <f t="shared" si="635"/>
        <v>-0.01</v>
      </c>
      <c r="ES220" s="1" t="str">
        <f t="shared" si="636"/>
        <v>0.0330598796989663-145.463470675452i</v>
      </c>
      <c r="ET220" s="1" t="str">
        <f t="shared" si="637"/>
        <v>-0.01</v>
      </c>
      <c r="EU220" s="1" t="str">
        <f t="shared" si="638"/>
        <v>0.0225113482901407+0.748987190551584i</v>
      </c>
      <c r="EV220" s="1" t="str">
        <f t="shared" si="639"/>
        <v>-0.0125</v>
      </c>
      <c r="EW220" s="1" t="str">
        <f t="shared" si="640"/>
        <v>0.0817026714435394-359.491754351572i</v>
      </c>
      <c r="EX220" s="1" t="str">
        <f t="shared" si="641"/>
        <v>-0.0125</v>
      </c>
      <c r="EY220" s="1" t="str">
        <f t="shared" si="642"/>
        <v>0.012515848542887+0.729108036753773i</v>
      </c>
      <c r="EZ220" s="1" t="str">
        <f t="shared" si="643"/>
        <v>0.114102501461016-502.051006428469i</v>
      </c>
      <c r="FB220" s="1" t="str">
        <f t="shared" si="644"/>
        <v>0.00500234379859597+0.788303885824432i</v>
      </c>
      <c r="FC220" s="1" t="str">
        <f t="shared" si="645"/>
        <v>0.0168743135963474-74.2469798239288i</v>
      </c>
      <c r="FD220" s="1" t="str">
        <f t="shared" si="646"/>
        <v>-0.0000402474823141159+0.00634247624319078i</v>
      </c>
      <c r="FE220" s="1" t="str">
        <f t="shared" si="647"/>
        <v>0.0150043906945315+0.77811119315262i</v>
      </c>
      <c r="FF220" s="1" t="str">
        <f t="shared" si="648"/>
        <v>-0.437849146814329-145.466565954392i</v>
      </c>
      <c r="FG220" s="1" t="str">
        <f t="shared" si="649"/>
        <v>-0.000247727135936139+0.0128468567130689i</v>
      </c>
      <c r="FH220" s="1" t="str">
        <f t="shared" si="650"/>
        <v>0.0225088710187813+0.749115659118715i</v>
      </c>
      <c r="FI220" s="1" t="str">
        <f t="shared" si="651"/>
        <v>-1.78719392502983-359.522165382079i</v>
      </c>
      <c r="FJ220" s="1" t="str">
        <f t="shared" si="652"/>
        <v>-0.000500926554046116+0.016671290416619i</v>
      </c>
      <c r="FK220" s="1" t="str">
        <f t="shared" si="653"/>
        <v>0.0125095869609614+0.729316427883981i</v>
      </c>
      <c r="FL220" s="1" t="str">
        <f t="shared" si="654"/>
        <v>-5.87904801067623-502.232447483148i</v>
      </c>
      <c r="FM220" s="1" t="str">
        <f t="shared" si="655"/>
        <v>-688.570175749663-3.74964881776074i</v>
      </c>
      <c r="FN220" s="1" t="str">
        <f t="shared" si="656"/>
        <v>-479.974929225011-0.546474562760387i</v>
      </c>
      <c r="FO220" s="1" t="str">
        <f t="shared" si="657"/>
        <v>-187.015582942281+3.12493071431241i</v>
      </c>
      <c r="FP220" s="1" t="str">
        <f t="shared" si="658"/>
        <v>-94.1695124102089+0.567211874422534i</v>
      </c>
      <c r="FQ220" s="92" t="str">
        <f t="shared" si="659"/>
        <v>0.01124553422981-75.2181243856274i</v>
      </c>
      <c r="FR220" s="1" t="str">
        <f t="shared" si="660"/>
        <v>-0.45298481843055-75.205335791428i</v>
      </c>
      <c r="FS220" s="1" t="str">
        <f t="shared" si="661"/>
        <v>0.464230352660361-0.0127885941994494i</v>
      </c>
      <c r="FT220" s="1" t="str">
        <f t="shared" si="662"/>
        <v>-0.0292190218070666-149.242041473287i</v>
      </c>
      <c r="FU220" s="1" t="str">
        <f t="shared" si="663"/>
        <v>0.114436394528553-383.458085081256i</v>
      </c>
      <c r="FV220" s="1" t="str">
        <f t="shared" si="664"/>
        <v>0.386491803860163-550.067416430812i</v>
      </c>
      <c r="FW220" s="1" t="str">
        <f t="shared" si="665"/>
        <v>-0.45298481843055-75.205335791428i</v>
      </c>
      <c r="FX220" s="1" t="str">
        <f t="shared" si="666"/>
        <v>-2.49458213197402-149.291544120258i</v>
      </c>
      <c r="FY220" s="1" t="str">
        <f t="shared" si="667"/>
        <v>0.436589275797722-383.461410706673i</v>
      </c>
      <c r="FZ220" s="1" t="str">
        <f t="shared" si="668"/>
        <v>2.99537555647169-550.05851843685i</v>
      </c>
      <c r="GA220" s="1" t="str">
        <f t="shared" si="669"/>
        <v>0.464230352660361-0.0127885941994494i</v>
      </c>
      <c r="GB220" s="1" t="str">
        <f t="shared" si="670"/>
        <v>2.9295934628273+0.036714052770728i</v>
      </c>
      <c r="GC220" s="1" t="str">
        <f t="shared" si="671"/>
        <v>2.60744058155815+0.0400396781875044i</v>
      </c>
      <c r="GD220" s="92" t="str">
        <f t="shared" si="672"/>
        <v>0.482954710811459-1157.98566737098i</v>
      </c>
      <c r="GE220" s="1" t="str">
        <f t="shared" si="623"/>
        <v>0.00259301953743972+6.21731063462043i</v>
      </c>
      <c r="GF220" s="1">
        <f t="shared" si="624"/>
        <v>44</v>
      </c>
      <c r="GG220" s="56">
        <f t="shared" si="625"/>
        <v>0.22758071577326858</v>
      </c>
      <c r="GH220" s="1">
        <f t="shared" si="626"/>
        <v>0.77241930550493809</v>
      </c>
      <c r="GJ220" s="1">
        <f t="shared" si="673"/>
        <v>1157.9857680826076</v>
      </c>
      <c r="GK220" s="1">
        <f t="shared" si="674"/>
        <v>6.2173111753486019</v>
      </c>
      <c r="GM220" s="1" t="str">
        <f t="shared" si="627"/>
        <v>0.0191834803010191+21.1018283311211i</v>
      </c>
      <c r="GP220" s="1">
        <f t="shared" si="613"/>
        <v>44</v>
      </c>
      <c r="GQ220" s="1">
        <f t="shared" si="614"/>
        <v>6.2173111753486019</v>
      </c>
      <c r="GR220" s="1">
        <f t="shared" si="628"/>
        <v>21.101837050883073</v>
      </c>
      <c r="GS220" s="1">
        <f t="shared" si="629"/>
        <v>4.8023711801708497</v>
      </c>
    </row>
    <row r="221" spans="2:201" ht="18" customHeight="1" x14ac:dyDescent="0.25">
      <c r="B221" s="6"/>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8"/>
      <c r="AR221" s="6"/>
      <c r="CF221" s="8"/>
      <c r="EA221" s="1">
        <f t="shared" si="609"/>
        <v>44.2</v>
      </c>
      <c r="EB221" s="1" t="str">
        <f t="shared" si="615"/>
        <v>2.32263573837083E-06-0.0102660499635991i</v>
      </c>
      <c r="EC221" s="1" t="str">
        <f t="shared" si="616"/>
        <v>4.55047001803265E-06-0.0201130774797043i</v>
      </c>
      <c r="ED221" s="1" t="str">
        <f t="shared" si="617"/>
        <v>0.0000112458230393567-0.0497065378339568i</v>
      </c>
      <c r="EE221" s="1" t="str">
        <f t="shared" si="618"/>
        <v>0.00001570544165946-0.0694180521348131i</v>
      </c>
      <c r="EF221" s="1" t="str">
        <f t="shared" si="619"/>
        <v>0.802246675099629i</v>
      </c>
      <c r="EG221" s="1" t="str">
        <f t="shared" si="620"/>
        <v>0.801912544872601i</v>
      </c>
      <c r="EH221" s="1" t="str">
        <f t="shared" si="621"/>
        <v>0.802551120203183i</v>
      </c>
      <c r="EI221" s="1" t="str">
        <f t="shared" si="622"/>
        <v>0.802472723754205i</v>
      </c>
      <c r="EJ221" s="1" t="str">
        <f t="shared" si="610"/>
        <v>0.005</v>
      </c>
      <c r="EK221" s="1" t="str">
        <f t="shared" si="611"/>
        <v>0.01</v>
      </c>
      <c r="EL221" s="1" t="str">
        <f t="shared" si="612"/>
        <v>0.0125</v>
      </c>
      <c r="EM221" s="1" t="str">
        <f t="shared" si="630"/>
        <v>0.00500232263573837+0.79198062513603i</v>
      </c>
      <c r="EN221" s="1" t="str">
        <f t="shared" si="631"/>
        <v>-0.005</v>
      </c>
      <c r="EO221" s="1" t="str">
        <f t="shared" si="632"/>
        <v>0.0167219503786597-73.9110206736762i</v>
      </c>
      <c r="EP221" s="1" t="str">
        <f t="shared" si="633"/>
        <v>-0.005</v>
      </c>
      <c r="EQ221" s="1" t="str">
        <f t="shared" si="634"/>
        <v>0.015004550470018+0.781799467392897i</v>
      </c>
      <c r="ER221" s="1" t="str">
        <f t="shared" si="635"/>
        <v>-0.01</v>
      </c>
      <c r="ES221" s="1" t="str">
        <f t="shared" si="636"/>
        <v>0.0327613721704354-144.805264993324i</v>
      </c>
      <c r="ET221" s="1" t="str">
        <f t="shared" si="637"/>
        <v>-0.01</v>
      </c>
      <c r="EU221" s="1" t="str">
        <f t="shared" si="638"/>
        <v>0.0225112458230394+0.752844582369226i</v>
      </c>
      <c r="EV221" s="1" t="str">
        <f t="shared" si="639"/>
        <v>-0.0125</v>
      </c>
      <c r="EW221" s="1" t="str">
        <f t="shared" si="640"/>
        <v>0.0809649536191226-357.865094996523i</v>
      </c>
      <c r="EX221" s="1" t="str">
        <f t="shared" si="641"/>
        <v>-0.0125</v>
      </c>
      <c r="EY221" s="1" t="str">
        <f t="shared" si="642"/>
        <v>0.0125157054416595+0.733054671619392i</v>
      </c>
      <c r="EZ221" s="1" t="str">
        <f t="shared" si="643"/>
        <v>0.113072235893795-499.779282650573i</v>
      </c>
      <c r="FB221" s="1" t="str">
        <f t="shared" si="644"/>
        <v>0.00500232263573837+0.79198062513603i</v>
      </c>
      <c r="FC221" s="1" t="str">
        <f t="shared" si="645"/>
        <v>0.0167219503786597-73.9110206736762i</v>
      </c>
      <c r="FD221" s="1" t="str">
        <f t="shared" si="646"/>
        <v>-0.0000398745011903903+0.00631303390031965i</v>
      </c>
      <c r="FE221" s="1" t="str">
        <f t="shared" si="647"/>
        <v>0.015004351097512+0.781831032562399i</v>
      </c>
      <c r="FF221" s="1" t="str">
        <f t="shared" si="648"/>
        <v>-0.433840740170279-144.808317724645i</v>
      </c>
      <c r="FG221" s="1" t="str">
        <f t="shared" si="649"/>
        <v>-0.000245375662490029+0.0127857783601233i</v>
      </c>
      <c r="FH221" s="1" t="str">
        <f t="shared" si="650"/>
        <v>0.0225087920664145+0.752972440152827i</v>
      </c>
      <c r="FI221" s="1" t="str">
        <f t="shared" si="651"/>
        <v>-1.77062855546954-357.895080441871i</v>
      </c>
      <c r="FJ221" s="1" t="str">
        <f t="shared" si="652"/>
        <v>-0.000495810963581249+0.0165860517970375i</v>
      </c>
      <c r="FK221" s="1" t="str">
        <f t="shared" si="653"/>
        <v>0.0125095078046147+0.733261997266855i</v>
      </c>
      <c r="FL221" s="1" t="str">
        <f t="shared" si="654"/>
        <v>-5.82245662275862-499.95805897707i</v>
      </c>
      <c r="FM221" s="1" t="str">
        <f t="shared" si="655"/>
        <v>-681.76435558195-3.69046795604911i</v>
      </c>
      <c r="FN221" s="1" t="str">
        <f t="shared" si="656"/>
        <v>-475.354775667872-0.540496280260576i</v>
      </c>
      <c r="FO221" s="1" t="str">
        <f t="shared" si="657"/>
        <v>-185.282902067508+3.07910364464849i</v>
      </c>
      <c r="FP221" s="1" t="str">
        <f t="shared" si="658"/>
        <v>-93.3083720457507+0.559273755332646i</v>
      </c>
      <c r="FQ221" s="92" t="str">
        <f t="shared" si="659"/>
        <v>0.0111971394226877-74.8689303821091i</v>
      </c>
      <c r="FR221" s="1" t="str">
        <f t="shared" si="660"/>
        <v>-0.448675510686099-74.8563312326627i</v>
      </c>
      <c r="FS221" s="1" t="str">
        <f t="shared" si="661"/>
        <v>0.459872650108787-0.0125991494465792i</v>
      </c>
      <c r="FT221" s="1" t="str">
        <f t="shared" si="662"/>
        <v>-0.0283257537117073-148.531888369641i</v>
      </c>
      <c r="FU221" s="1" t="str">
        <f t="shared" si="663"/>
        <v>0.113176908111082-381.493329059485i</v>
      </c>
      <c r="FV221" s="1" t="str">
        <f t="shared" si="664"/>
        <v>0.379964743180761-547.105978269589i</v>
      </c>
      <c r="FW221" s="1" t="str">
        <f t="shared" si="665"/>
        <v>-0.448675510686099-74.8563312326627i</v>
      </c>
      <c r="FX221" s="1" t="str">
        <f t="shared" si="666"/>
        <v>-2.46917183960657-148.580683518336i</v>
      </c>
      <c r="FY221" s="1" t="str">
        <f t="shared" si="667"/>
        <v>0.433775895188779-381.496507706183i</v>
      </c>
      <c r="FZ221" s="1" t="str">
        <f t="shared" si="668"/>
        <v>2.96149987261834-547.097299382378i</v>
      </c>
      <c r="GA221" s="1" t="str">
        <f t="shared" si="669"/>
        <v>0.459872650108787-0.0125991494465792i</v>
      </c>
      <c r="GB221" s="1" t="str">
        <f t="shared" si="670"/>
        <v>2.90071873600364+0.0361959992490907i</v>
      </c>
      <c r="GC221" s="1" t="str">
        <f t="shared" si="671"/>
        <v>2.58011974892598+0.0393746459473566i</v>
      </c>
      <c r="GD221" s="92" t="str">
        <f t="shared" si="672"/>
        <v>0.476013037002823-1152.00012608082i</v>
      </c>
      <c r="GE221" s="1" t="str">
        <f t="shared" si="623"/>
        <v>0.0025823764114935+6.24961444409139i</v>
      </c>
      <c r="GF221" s="1">
        <f t="shared" si="624"/>
        <v>44.2</v>
      </c>
      <c r="GG221" s="56">
        <f t="shared" si="625"/>
        <v>0.2276945022155453</v>
      </c>
      <c r="GH221" s="1">
        <f t="shared" si="626"/>
        <v>0.77230551904812594</v>
      </c>
      <c r="GJ221" s="1">
        <f t="shared" si="673"/>
        <v>1152.0002244264699</v>
      </c>
      <c r="GK221" s="1">
        <f t="shared" si="674"/>
        <v>6.249614977617715</v>
      </c>
      <c r="GM221" s="1" t="str">
        <f t="shared" si="627"/>
        <v>0.0191834803010191+21.1977457326262i</v>
      </c>
      <c r="GP221" s="1">
        <f t="shared" si="613"/>
        <v>44.2</v>
      </c>
      <c r="GQ221" s="1">
        <f t="shared" si="614"/>
        <v>6.249614977617715</v>
      </c>
      <c r="GR221" s="1">
        <f t="shared" si="628"/>
        <v>21.197754412932248</v>
      </c>
      <c r="GS221" s="1">
        <f t="shared" si="629"/>
        <v>4.8266121391400123</v>
      </c>
    </row>
    <row r="222" spans="2:201" ht="18" customHeight="1" x14ac:dyDescent="0.25">
      <c r="B222" s="6"/>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8"/>
      <c r="AR222" s="6"/>
      <c r="CF222" s="8"/>
      <c r="EA222" s="1">
        <f t="shared" si="609"/>
        <v>44.4</v>
      </c>
      <c r="EB222" s="1" t="str">
        <f t="shared" si="615"/>
        <v>2.30175822071998E-06-0.0102198064999967i</v>
      </c>
      <c r="EC222" s="1" t="str">
        <f t="shared" si="616"/>
        <v>4.50956712630854E-06-0.0200224780408099i</v>
      </c>
      <c r="ED222" s="1" t="str">
        <f t="shared" si="617"/>
        <v>0.0000111447375074657-0.0494826345331476i</v>
      </c>
      <c r="EE222" s="1" t="str">
        <f t="shared" si="618"/>
        <v>0.0000155642698734398-0.069105358238073i</v>
      </c>
      <c r="EF222" s="1" t="str">
        <f t="shared" si="619"/>
        <v>0.805876750552569i</v>
      </c>
      <c r="EG222" s="1" t="str">
        <f t="shared" si="620"/>
        <v>0.80554110842406i</v>
      </c>
      <c r="EH222" s="1" t="str">
        <f t="shared" si="621"/>
        <v>0.806182573235775i</v>
      </c>
      <c r="EI222" s="1" t="str">
        <f t="shared" si="622"/>
        <v>0.80610382205174i</v>
      </c>
      <c r="EJ222" s="1" t="str">
        <f t="shared" si="610"/>
        <v>0.005</v>
      </c>
      <c r="EK222" s="1" t="str">
        <f t="shared" si="611"/>
        <v>0.01</v>
      </c>
      <c r="EL222" s="1" t="str">
        <f t="shared" si="612"/>
        <v>0.0125</v>
      </c>
      <c r="EM222" s="1" t="str">
        <f t="shared" si="630"/>
        <v>0.00500230175822072+0.795656944052572i</v>
      </c>
      <c r="EN222" s="1" t="str">
        <f t="shared" si="631"/>
        <v>-0.005</v>
      </c>
      <c r="EO222" s="1" t="str">
        <f t="shared" si="632"/>
        <v>0.0165716414824262-73.5780881819721i</v>
      </c>
      <c r="EP222" s="1" t="str">
        <f t="shared" si="633"/>
        <v>-0.005</v>
      </c>
      <c r="EQ222" s="1" t="str">
        <f t="shared" si="634"/>
        <v>0.0150045095671263+0.78551863038325i</v>
      </c>
      <c r="ER222" s="1" t="str">
        <f t="shared" si="635"/>
        <v>-0.01</v>
      </c>
      <c r="ES222" s="1" t="str">
        <f t="shared" si="636"/>
        <v>0.0324668894349575-144.152989091211i</v>
      </c>
      <c r="ET222" s="1" t="str">
        <f t="shared" si="637"/>
        <v>-0.01</v>
      </c>
      <c r="EU222" s="1" t="str">
        <f t="shared" si="638"/>
        <v>0.0225111447375075+0.756699938702627i</v>
      </c>
      <c r="EV222" s="1" t="str">
        <f t="shared" si="639"/>
        <v>-0.0125</v>
      </c>
      <c r="EW222" s="1" t="str">
        <f t="shared" si="640"/>
        <v>0.0802371824837885-356.25309022802i</v>
      </c>
      <c r="EX222" s="1" t="str">
        <f t="shared" si="641"/>
        <v>-0.0125</v>
      </c>
      <c r="EY222" s="1" t="str">
        <f t="shared" si="642"/>
        <v>0.0125155642698734+0.736998463813667i</v>
      </c>
      <c r="EZ222" s="1" t="str">
        <f t="shared" si="643"/>
        <v>0.112055861452596-497.528024849526i</v>
      </c>
      <c r="FB222" s="1" t="str">
        <f t="shared" si="644"/>
        <v>0.00500230175822072+0.795656944052572i</v>
      </c>
      <c r="FC222" s="1" t="str">
        <f t="shared" si="645"/>
        <v>0.0165716414824262-73.5780881819721i</v>
      </c>
      <c r="FD222" s="1" t="str">
        <f t="shared" si="646"/>
        <v>-0.0000395067232615572+0.00628386695148156i</v>
      </c>
      <c r="FE222" s="1" t="str">
        <f t="shared" si="647"/>
        <v>0.01500431203351+0.785550049718007i</v>
      </c>
      <c r="FF222" s="1" t="str">
        <f t="shared" si="648"/>
        <v>-0.429887372553678-144.156000054369i</v>
      </c>
      <c r="FG222" s="1" t="str">
        <f t="shared" si="649"/>
        <v>-0.000243058018944282+0.0127252911322836i</v>
      </c>
      <c r="FH222" s="1" t="str">
        <f t="shared" si="650"/>
        <v>0.0225087141573181+0.75682719161395i</v>
      </c>
      <c r="FI222" s="1" t="str">
        <f t="shared" si="651"/>
        <v>-1.75429437424669-356.282658057842i</v>
      </c>
      <c r="FJ222" s="1" t="str">
        <f t="shared" si="652"/>
        <v>-0.000490775949595591+0.0165017237789809i</v>
      </c>
      <c r="FK222" s="1" t="str">
        <f t="shared" si="653"/>
        <v>0.0125094295705035+0.737204735360904i</v>
      </c>
      <c r="FL222" s="1" t="str">
        <f t="shared" si="654"/>
        <v>-5.76669485041912-497.704189350001i</v>
      </c>
      <c r="FM222" s="1" t="str">
        <f t="shared" si="655"/>
        <v>-675.061789732335-3.63256356819868i</v>
      </c>
      <c r="FN222" s="1" t="str">
        <f t="shared" si="656"/>
        <v>-470.802365731424-0.534585878282275i</v>
      </c>
      <c r="FO222" s="1" t="str">
        <f t="shared" si="657"/>
        <v>-183.574390724314+3.03418425208483i</v>
      </c>
      <c r="FP222" s="1" t="str">
        <f t="shared" si="658"/>
        <v>-92.4590384102331+0.551484286055882i</v>
      </c>
      <c r="FQ222" s="92" t="str">
        <f t="shared" si="659"/>
        <v>0.0111483971428869-74.523002933084i</v>
      </c>
      <c r="FR222" s="1" t="str">
        <f t="shared" si="660"/>
        <v>-0.444428364427518-74.5105894332538i</v>
      </c>
      <c r="FS222" s="1" t="str">
        <f t="shared" si="661"/>
        <v>0.455576761570404-0.0124134998301447i</v>
      </c>
      <c r="FT222" s="1" t="str">
        <f t="shared" si="662"/>
        <v>-0.0274571570865398-147.828616981201i</v>
      </c>
      <c r="FU222" s="1" t="str">
        <f t="shared" si="663"/>
        <v>0.111936868909383-379.54962567103i</v>
      </c>
      <c r="FV222" s="1" t="str">
        <f t="shared" si="664"/>
        <v>0.373592312032179-544.178355123614i</v>
      </c>
      <c r="FW222" s="1" t="str">
        <f t="shared" si="665"/>
        <v>-0.444428364427518-74.5105894332538i</v>
      </c>
      <c r="FX222" s="1" t="str">
        <f t="shared" si="666"/>
        <v>-2.44416014558724-147.876718182335i</v>
      </c>
      <c r="FY222" s="1" t="str">
        <f t="shared" si="667"/>
        <v>0.430973818969111-379.55266269085i</v>
      </c>
      <c r="FZ222" s="1" t="str">
        <f t="shared" si="668"/>
        <v>2.92822337617086-544.169888824323i</v>
      </c>
      <c r="GA222" s="1" t="str">
        <f t="shared" si="669"/>
        <v>0.455576761570404-0.0124134998301447i</v>
      </c>
      <c r="GB222" s="1" t="str">
        <f t="shared" si="670"/>
        <v>2.8722797500711+0.0356877013036711i</v>
      </c>
      <c r="GC222" s="1" t="str">
        <f t="shared" si="671"/>
        <v>2.55324280001139+0.0387247211239551i</v>
      </c>
      <c r="GD222" s="92" t="str">
        <f t="shared" si="672"/>
        <v>0.469220420997909-1146.07960070893i</v>
      </c>
      <c r="GE222" s="1" t="str">
        <f t="shared" si="623"/>
        <v>0.00257189416502879+6.28189930747912i</v>
      </c>
      <c r="GF222" s="1">
        <f t="shared" si="624"/>
        <v>44.4</v>
      </c>
      <c r="GG222" s="56">
        <f t="shared" si="625"/>
        <v>0.2278066999457152</v>
      </c>
      <c r="GH222" s="1">
        <f t="shared" si="626"/>
        <v>0.77219332130076412</v>
      </c>
      <c r="GJ222" s="1">
        <f t="shared" si="673"/>
        <v>1146.0796967615054</v>
      </c>
      <c r="GK222" s="1">
        <f t="shared" si="674"/>
        <v>6.2818998339631493</v>
      </c>
      <c r="GM222" s="1" t="str">
        <f t="shared" si="627"/>
        <v>0.0191834803010191+21.2936631341313i</v>
      </c>
      <c r="GP222" s="1">
        <f t="shared" si="613"/>
        <v>44.4</v>
      </c>
      <c r="GQ222" s="1">
        <f t="shared" si="614"/>
        <v>6.2818998339631493</v>
      </c>
      <c r="GR222" s="1">
        <f t="shared" si="628"/>
        <v>21.29367177533689</v>
      </c>
      <c r="GS222" s="1">
        <f t="shared" si="629"/>
        <v>4.8508410968667084</v>
      </c>
    </row>
    <row r="223" spans="2:201" ht="18" customHeight="1" x14ac:dyDescent="0.25">
      <c r="B223" s="6"/>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8"/>
      <c r="AR223" s="6"/>
      <c r="CF223" s="8"/>
      <c r="EA223" s="1">
        <f t="shared" si="609"/>
        <v>44.6</v>
      </c>
      <c r="EB223" s="1" t="str">
        <f t="shared" si="615"/>
        <v>0.0000022811609363039-0.0101739777759154i</v>
      </c>
      <c r="EC223" s="1" t="str">
        <f t="shared" si="616"/>
        <v>4.46921326296276E-06-0.0199326911528139i</v>
      </c>
      <c r="ED223" s="1" t="str">
        <f t="shared" si="617"/>
        <v>0.000011045008819145-0.0492607393333865i</v>
      </c>
      <c r="EE223" s="1" t="str">
        <f t="shared" si="618"/>
        <v>0.0000154249929978645-0.0687954687704757i</v>
      </c>
      <c r="EF223" s="1" t="str">
        <f t="shared" si="619"/>
        <v>0.809506826005506i</v>
      </c>
      <c r="EG223" s="1" t="str">
        <f t="shared" si="620"/>
        <v>0.809169671975518i</v>
      </c>
      <c r="EH223" s="1" t="str">
        <f t="shared" si="621"/>
        <v>0.809814026268373i</v>
      </c>
      <c r="EI223" s="1" t="str">
        <f t="shared" si="622"/>
        <v>0.809734920349268i</v>
      </c>
      <c r="EJ223" s="1" t="str">
        <f t="shared" si="610"/>
        <v>0.005</v>
      </c>
      <c r="EK223" s="1" t="str">
        <f t="shared" si="611"/>
        <v>0.01</v>
      </c>
      <c r="EL223" s="1" t="str">
        <f t="shared" si="612"/>
        <v>0.0125</v>
      </c>
      <c r="EM223" s="1" t="str">
        <f t="shared" si="630"/>
        <v>0.0050022811609363+0.799332848229591i</v>
      </c>
      <c r="EN223" s="1" t="str">
        <f t="shared" si="631"/>
        <v>-0.005</v>
      </c>
      <c r="EO223" s="1" t="str">
        <f t="shared" si="632"/>
        <v>0.0164233501415797-73.2481416314457i</v>
      </c>
      <c r="EP223" s="1" t="str">
        <f t="shared" si="633"/>
        <v>-0.005</v>
      </c>
      <c r="EQ223" s="1" t="str">
        <f t="shared" si="634"/>
        <v>0.015004469213263+0.789236980822704i</v>
      </c>
      <c r="ER223" s="1" t="str">
        <f t="shared" si="635"/>
        <v>-0.01</v>
      </c>
      <c r="ES223" s="1" t="str">
        <f t="shared" si="636"/>
        <v>0.0321763594610543-143.506563196302i</v>
      </c>
      <c r="ET223" s="1" t="str">
        <f t="shared" si="637"/>
        <v>-0.01</v>
      </c>
      <c r="EU223" s="1" t="str">
        <f t="shared" si="638"/>
        <v>0.0225110450088191+0.760553286934986i</v>
      </c>
      <c r="EV223" s="1" t="str">
        <f t="shared" si="639"/>
        <v>-0.0125</v>
      </c>
      <c r="EW223" s="1" t="str">
        <f t="shared" si="640"/>
        <v>0.0795191800222414-354.655542899195i</v>
      </c>
      <c r="EX223" s="1" t="str">
        <f t="shared" si="641"/>
        <v>-0.0125</v>
      </c>
      <c r="EY223" s="1" t="str">
        <f t="shared" si="642"/>
        <v>0.0125154249929979+0.740939451578792i</v>
      </c>
      <c r="EZ223" s="1" t="str">
        <f t="shared" si="643"/>
        <v>0.111053129528778-495.296957698348i</v>
      </c>
      <c r="FB223" s="1" t="str">
        <f t="shared" si="644"/>
        <v>0.0050022811609363+0.799332848229591i</v>
      </c>
      <c r="FC223" s="1" t="str">
        <f t="shared" si="645"/>
        <v>0.0164233501415797-73.2481416314457i</v>
      </c>
      <c r="FD223" s="1" t="str">
        <f t="shared" si="646"/>
        <v>-0.0000391440514448825+0.00625497150720473i</v>
      </c>
      <c r="FE223" s="1" t="str">
        <f t="shared" si="647"/>
        <v>0.0150042734930058+0.78926825568024i</v>
      </c>
      <c r="FF223" s="1" t="str">
        <f t="shared" si="648"/>
        <v>-0.425988036522873-143.509533152913i</v>
      </c>
      <c r="FG223" s="1" t="str">
        <f t="shared" si="649"/>
        <v>-0.00024077355051671+0.0126653863193607i</v>
      </c>
      <c r="FH223" s="1" t="str">
        <f t="shared" si="650"/>
        <v>0.0225086372733139+0.76067994079818i</v>
      </c>
      <c r="FI223" s="1" t="str">
        <f t="shared" si="651"/>
        <v>-1.73818706452254-354.684700895975i</v>
      </c>
      <c r="FJ223" s="1" t="str">
        <f t="shared" si="652"/>
        <v>-0.000485819782849439+0.016418291306095i</v>
      </c>
      <c r="FK223" s="1" t="str">
        <f t="shared" si="653"/>
        <v>0.0125093522457123+0.741144680220118i</v>
      </c>
      <c r="FL223" s="1" t="str">
        <f t="shared" si="654"/>
        <v>-5.71174625512071-495.470561946248i</v>
      </c>
      <c r="FM223" s="1" t="str">
        <f t="shared" si="655"/>
        <v>-668.460346499864-3.57590056606744i</v>
      </c>
      <c r="FN223" s="1" t="str">
        <f t="shared" si="656"/>
        <v>-466.316356380559-0.52874317178726i</v>
      </c>
      <c r="FO223" s="1" t="str">
        <f t="shared" si="657"/>
        <v>-181.889597835801+2.99014981520223i</v>
      </c>
      <c r="FP223" s="1" t="str">
        <f t="shared" si="658"/>
        <v>-91.6212957906639+0.543839976207701i</v>
      </c>
      <c r="FQ223" s="92" t="str">
        <f t="shared" si="659"/>
        <v>0.0110993372308794-74.180295899207i</v>
      </c>
      <c r="FR223" s="1" t="str">
        <f t="shared" si="660"/>
        <v>-0.440242172994806-74.168064350012i</v>
      </c>
      <c r="FS223" s="1" t="str">
        <f t="shared" si="661"/>
        <v>0.451341510225686-0.0122315491949727i</v>
      </c>
      <c r="FT223" s="1" t="str">
        <f t="shared" si="662"/>
        <v>-0.0266124699029725-147.13212573749i</v>
      </c>
      <c r="FU223" s="1" t="str">
        <f t="shared" si="663"/>
        <v>0.110715927850696-377.626625537779i</v>
      </c>
      <c r="FV223" s="1" t="str">
        <f t="shared" si="664"/>
        <v>0.367369881412107-541.28394543204i</v>
      </c>
      <c r="FW223" s="1" t="str">
        <f t="shared" si="665"/>
        <v>-0.440242172994806-74.168064350012i</v>
      </c>
      <c r="FX223" s="1" t="str">
        <f t="shared" si="666"/>
        <v>-2.41953854512484-147.179546216554i</v>
      </c>
      <c r="FY223" s="1" t="str">
        <f t="shared" si="667"/>
        <v>0.428183636806951-377.629526075338i</v>
      </c>
      <c r="FZ223" s="1" t="str">
        <f t="shared" si="668"/>
        <v>2.89553156004152-541.275685429712i</v>
      </c>
      <c r="GA223" s="1" t="str">
        <f t="shared" si="669"/>
        <v>0.451341510225686-0.0122315491949727i</v>
      </c>
      <c r="GB223" s="1" t="str">
        <f t="shared" si="670"/>
        <v>2.84426758544758+0.0351889298698949i</v>
      </c>
      <c r="GC223" s="1" t="str">
        <f t="shared" si="671"/>
        <v>2.52679987649131+0.0380894674285022i</v>
      </c>
      <c r="GD223" s="92" t="str">
        <f t="shared" si="672"/>
        <v>0.46257267659071-1140.22299260652i</v>
      </c>
      <c r="GE223" s="1" t="str">
        <f t="shared" si="623"/>
        <v>0.00256156949168341+6.31416549093137i</v>
      </c>
      <c r="GF223" s="1">
        <f t="shared" si="624"/>
        <v>44.6</v>
      </c>
      <c r="GG223" s="56">
        <f t="shared" si="625"/>
        <v>0.22791733866704775</v>
      </c>
      <c r="GH223" s="1">
        <f t="shared" si="626"/>
        <v>0.77208268255967638</v>
      </c>
      <c r="GJ223" s="1">
        <f t="shared" si="673"/>
        <v>1140.2230864361804</v>
      </c>
      <c r="GK223" s="1">
        <f t="shared" si="674"/>
        <v>6.3141660105279822</v>
      </c>
      <c r="GM223" s="1" t="str">
        <f t="shared" si="627"/>
        <v>0.0191834803010191+21.3895805356364i</v>
      </c>
      <c r="GP223" s="1">
        <f t="shared" si="613"/>
        <v>44.6</v>
      </c>
      <c r="GQ223" s="1">
        <f t="shared" si="614"/>
        <v>6.3141660105279822</v>
      </c>
      <c r="GR223" s="1">
        <f t="shared" si="628"/>
        <v>21.389589138092205</v>
      </c>
      <c r="GS223" s="1">
        <f t="shared" si="629"/>
        <v>4.8750582315355953</v>
      </c>
    </row>
    <row r="224" spans="2:201" ht="18" customHeight="1" x14ac:dyDescent="0.25">
      <c r="B224" s="6"/>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8"/>
      <c r="AR224" s="6"/>
      <c r="AS224" s="153" t="s">
        <v>472</v>
      </c>
      <c r="AT224" s="179"/>
      <c r="AU224" s="179"/>
      <c r="AV224" s="179"/>
      <c r="AW224" s="179"/>
      <c r="AX224" s="179"/>
      <c r="AY224" s="179"/>
      <c r="AZ224" s="179"/>
      <c r="BA224" s="179"/>
      <c r="BB224" s="179"/>
      <c r="BC224" s="179"/>
      <c r="BD224" s="179"/>
      <c r="BE224" s="179"/>
      <c r="BF224" s="179"/>
      <c r="BG224" s="179"/>
      <c r="BH224" s="179"/>
      <c r="BI224" s="179"/>
      <c r="BJ224" s="179"/>
      <c r="BK224" s="179"/>
      <c r="BL224" s="179"/>
      <c r="BM224" s="179"/>
      <c r="BN224" s="179"/>
      <c r="BO224" s="179"/>
      <c r="BP224" s="179"/>
      <c r="BQ224" s="179"/>
      <c r="BR224" s="179"/>
      <c r="BS224" s="179"/>
      <c r="BT224" s="179"/>
      <c r="BU224" s="179"/>
      <c r="BV224" s="179"/>
      <c r="BW224" s="179"/>
      <c r="BX224" s="179"/>
      <c r="BY224" s="179"/>
      <c r="BZ224" s="179"/>
      <c r="CA224" s="179"/>
      <c r="CB224" s="179"/>
      <c r="CC224" s="179"/>
      <c r="CD224" s="179"/>
      <c r="CE224" s="179"/>
      <c r="CF224" s="8"/>
      <c r="EA224" s="1">
        <f t="shared" si="609"/>
        <v>44.8</v>
      </c>
      <c r="EB224" s="1" t="str">
        <f t="shared" si="615"/>
        <v>2.26083889214489E-06-0.0101285582368091i</v>
      </c>
      <c r="EC224" s="1" t="str">
        <f t="shared" si="616"/>
        <v>4.42939864583489E-06-0.0198437059333403i</v>
      </c>
      <c r="ED224" s="1" t="str">
        <f t="shared" si="617"/>
        <v>0.0000109466127992117-0.0490408253404686i</v>
      </c>
      <c r="EE224" s="1" t="str">
        <f t="shared" si="618"/>
        <v>0.000015287577270694-0.0684883461727093i</v>
      </c>
      <c r="EF224" s="1" t="str">
        <f t="shared" si="619"/>
        <v>0.813136901458448i</v>
      </c>
      <c r="EG224" s="1" t="str">
        <f t="shared" si="620"/>
        <v>0.812798235526977i</v>
      </c>
      <c r="EH224" s="1" t="str">
        <f t="shared" si="621"/>
        <v>0.813445479300964i</v>
      </c>
      <c r="EI224" s="1" t="str">
        <f t="shared" si="622"/>
        <v>0.813366018646799i</v>
      </c>
      <c r="EJ224" s="1" t="str">
        <f t="shared" si="610"/>
        <v>0.005</v>
      </c>
      <c r="EK224" s="1" t="str">
        <f t="shared" si="611"/>
        <v>0.01</v>
      </c>
      <c r="EL224" s="1" t="str">
        <f t="shared" si="612"/>
        <v>0.0125</v>
      </c>
      <c r="EM224" s="1" t="str">
        <f t="shared" si="630"/>
        <v>0.00500226083889214+0.803008343221639i</v>
      </c>
      <c r="EN224" s="1" t="str">
        <f t="shared" si="631"/>
        <v>-0.005</v>
      </c>
      <c r="EO224" s="1" t="str">
        <f t="shared" si="632"/>
        <v>0.0162770404088886-72.921141031821i</v>
      </c>
      <c r="EP224" s="1" t="str">
        <f t="shared" si="633"/>
        <v>-0.005</v>
      </c>
      <c r="EQ224" s="1" t="str">
        <f t="shared" si="634"/>
        <v>0.0150044293986458+0.792954529593637i</v>
      </c>
      <c r="ER224" s="1" t="str">
        <f t="shared" si="635"/>
        <v>-0.01</v>
      </c>
      <c r="ES224" s="1" t="str">
        <f t="shared" si="636"/>
        <v>0.0318897118214961-142.865908960302i</v>
      </c>
      <c r="ET224" s="1" t="str">
        <f t="shared" si="637"/>
        <v>-0.01</v>
      </c>
      <c r="EU224" s="1" t="str">
        <f t="shared" si="638"/>
        <v>0.0225109466127992+0.764404653960495i</v>
      </c>
      <c r="EV224" s="1" t="str">
        <f t="shared" si="639"/>
        <v>-0.0125</v>
      </c>
      <c r="EW224" s="1" t="str">
        <f t="shared" si="640"/>
        <v>0.0788107721838533-353.072259383664i</v>
      </c>
      <c r="EX224" s="1" t="str">
        <f t="shared" si="641"/>
        <v>-0.0125</v>
      </c>
      <c r="EY224" s="1" t="str">
        <f t="shared" si="642"/>
        <v>0.0125152875772707+0.74487767247409i</v>
      </c>
      <c r="EZ224" s="1" t="str">
        <f t="shared" si="643"/>
        <v>0.11006379705058-493.0858107866i</v>
      </c>
      <c r="FB224" s="1" t="str">
        <f t="shared" si="644"/>
        <v>0.00500226083889214+0.803008343221639i</v>
      </c>
      <c r="FC224" s="1" t="str">
        <f t="shared" si="645"/>
        <v>0.0162770404088886-72.921141031821i</v>
      </c>
      <c r="FD224" s="1" t="str">
        <f t="shared" si="646"/>
        <v>-0.0000387863909277648+0.00622634375166832i</v>
      </c>
      <c r="FE224" s="1" t="str">
        <f t="shared" si="647"/>
        <v>0.0150042354666912+0.792985661312395i</v>
      </c>
      <c r="FF224" s="1" t="str">
        <f t="shared" si="648"/>
        <v>-0.422141747678855-142.868838654634i</v>
      </c>
      <c r="FG224" s="1" t="str">
        <f t="shared" si="649"/>
        <v>-0.000238521618385153+0.0126060553843177i</v>
      </c>
      <c r="FH224" s="1" t="str">
        <f t="shared" si="650"/>
        <v>0.0225085613966153+0.764530714514338i</v>
      </c>
      <c r="FI224" s="1" t="str">
        <f t="shared" si="651"/>
        <v>-1.72230241052246-353.101015148025i</v>
      </c>
      <c r="FJ224" s="1" t="str">
        <f t="shared" si="652"/>
        <v>-0.00048094078122819+0.016335739660677i</v>
      </c>
      <c r="FK224" s="1" t="str">
        <f t="shared" si="653"/>
        <v>0.0125092758175053+0.745081869219848i</v>
      </c>
      <c r="FL224" s="1" t="str">
        <f t="shared" si="654"/>
        <v>-5.65759481033363-493.256905067115i</v>
      </c>
      <c r="FM224" s="1" t="str">
        <f t="shared" si="655"/>
        <v>-661.957950158671-3.52044503584296i</v>
      </c>
      <c r="FN224" s="1" t="str">
        <f t="shared" si="656"/>
        <v>-461.895438274943-0.522967928078886i</v>
      </c>
      <c r="FO224" s="1" t="str">
        <f t="shared" si="657"/>
        <v>-180.228082880759+2.94697830135722i</v>
      </c>
      <c r="FP224" s="1" t="str">
        <f t="shared" si="658"/>
        <v>-90.7949333970159+0.536337434011343i</v>
      </c>
      <c r="FQ224" s="92" t="str">
        <f t="shared" si="659"/>
        <v>0.0110499881905577-73.8407640149124i</v>
      </c>
      <c r="FR224" s="1" t="str">
        <f t="shared" si="660"/>
        <v>-0.436115759228158-73.8287108105757i</v>
      </c>
      <c r="FS224" s="1" t="str">
        <f t="shared" si="661"/>
        <v>0.447165747418715-0.0120532043367294i</v>
      </c>
      <c r="FT224" s="1" t="str">
        <f t="shared" si="662"/>
        <v>-0.0257909569563178-146.44231509126i</v>
      </c>
      <c r="FU224" s="1" t="str">
        <f t="shared" si="663"/>
        <v>0.109513741519955-375.723987172937i</v>
      </c>
      <c r="FV224" s="1" t="str">
        <f t="shared" si="664"/>
        <v>0.36129298866039-538.422162209769i</v>
      </c>
      <c r="FW224" s="1" t="str">
        <f t="shared" si="665"/>
        <v>-0.436115759228158-73.8287108105757i</v>
      </c>
      <c r="FX224" s="1" t="str">
        <f t="shared" si="666"/>
        <v>-2.39529876347944-146.489067757891i</v>
      </c>
      <c r="FY224" s="1" t="str">
        <f t="shared" si="667"/>
        <v>0.425405896915162-375.72675617449i</v>
      </c>
      <c r="FZ224" s="1" t="str">
        <f t="shared" si="668"/>
        <v>2.86341036266848-538.414102432154i</v>
      </c>
      <c r="GA224" s="1" t="str">
        <f t="shared" si="669"/>
        <v>0.447165747418715-0.0120532043367294i</v>
      </c>
      <c r="GB224" s="1" t="str">
        <f t="shared" si="670"/>
        <v>2.81667355394184+0.0346994622943611i</v>
      </c>
      <c r="GC224" s="1" t="str">
        <f t="shared" si="671"/>
        <v>2.5007813985466+0.0374684638470509i</v>
      </c>
      <c r="GD224" s="92" t="str">
        <f t="shared" si="672"/>
        <v>0.456065761414585-1134.42922848888i</v>
      </c>
      <c r="GE224" s="1" t="str">
        <f t="shared" si="623"/>
        <v>0.00255139917146617+6.34641325557084i</v>
      </c>
      <c r="GF224" s="1">
        <f t="shared" si="624"/>
        <v>44.8</v>
      </c>
      <c r="GG224" s="56">
        <f t="shared" si="625"/>
        <v>0.22802644738564934</v>
      </c>
      <c r="GH224" s="1">
        <f t="shared" si="626"/>
        <v>0.77197357381885801</v>
      </c>
      <c r="GJ224" s="1">
        <f t="shared" si="673"/>
        <v>1134.4293201631622</v>
      </c>
      <c r="GK224" s="1">
        <f t="shared" si="674"/>
        <v>6.3464137684304038</v>
      </c>
      <c r="GM224" s="1" t="str">
        <f t="shared" si="627"/>
        <v>0.0191834803010191+21.4854979371415i</v>
      </c>
      <c r="GP224" s="1">
        <f t="shared" si="613"/>
        <v>44.8</v>
      </c>
      <c r="GQ224" s="1">
        <f t="shared" si="614"/>
        <v>6.3464137684304038</v>
      </c>
      <c r="GR224" s="1">
        <f t="shared" si="628"/>
        <v>21.485506501193498</v>
      </c>
      <c r="GS224" s="1">
        <f t="shared" si="629"/>
        <v>4.8992637177484175</v>
      </c>
    </row>
    <row r="225" spans="2:201" ht="18" customHeight="1" x14ac:dyDescent="0.25">
      <c r="B225" s="6"/>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8"/>
      <c r="AR225" s="6"/>
      <c r="AS225" s="179"/>
      <c r="AT225" s="179"/>
      <c r="AU225" s="179"/>
      <c r="AV225" s="179"/>
      <c r="AW225" s="179"/>
      <c r="AX225" s="179"/>
      <c r="AY225" s="179"/>
      <c r="AZ225" s="179"/>
      <c r="BA225" s="179"/>
      <c r="BB225" s="179"/>
      <c r="BC225" s="179"/>
      <c r="BD225" s="179"/>
      <c r="BE225" s="179"/>
      <c r="BF225" s="179"/>
      <c r="BG225" s="179"/>
      <c r="BH225" s="179"/>
      <c r="BI225" s="179"/>
      <c r="BJ225" s="179"/>
      <c r="BK225" s="179"/>
      <c r="BL225" s="179"/>
      <c r="BM225" s="179"/>
      <c r="BN225" s="179"/>
      <c r="BO225" s="179"/>
      <c r="BP225" s="179"/>
      <c r="BQ225" s="179"/>
      <c r="BR225" s="179"/>
      <c r="BS225" s="179"/>
      <c r="BT225" s="179"/>
      <c r="BU225" s="179"/>
      <c r="BV225" s="179"/>
      <c r="BW225" s="179"/>
      <c r="BX225" s="179"/>
      <c r="BY225" s="179"/>
      <c r="BZ225" s="179"/>
      <c r="CA225" s="179"/>
      <c r="CB225" s="179"/>
      <c r="CC225" s="179"/>
      <c r="CD225" s="179"/>
      <c r="CE225" s="179"/>
      <c r="CF225" s="8"/>
      <c r="EA225" s="1">
        <f t="shared" si="609"/>
        <v>45</v>
      </c>
      <c r="EB225" s="1" t="str">
        <f t="shared" si="615"/>
        <v>2.24078720597316E-06-0.0100835424268792i</v>
      </c>
      <c r="EC225" s="1" t="str">
        <f t="shared" si="616"/>
        <v>4.39011370966171E-06-0.0197555116934777i</v>
      </c>
      <c r="ED225" s="1" t="str">
        <f t="shared" si="617"/>
        <v>0.0000108495258085129-0.048822866138308i</v>
      </c>
      <c r="EE225" s="1" t="str">
        <f t="shared" si="618"/>
        <v>0.0000151519896784853-0.0681839535531835i</v>
      </c>
      <c r="EF225" s="1" t="str">
        <f t="shared" si="619"/>
        <v>0.816766976911389i</v>
      </c>
      <c r="EG225" s="1" t="str">
        <f t="shared" si="620"/>
        <v>0.816426799078438i</v>
      </c>
      <c r="EH225" s="1" t="str">
        <f t="shared" si="621"/>
        <v>0.817076932333556i</v>
      </c>
      <c r="EI225" s="1" t="str">
        <f t="shared" si="622"/>
        <v>0.81699711694433i</v>
      </c>
      <c r="EJ225" s="1" t="str">
        <f t="shared" si="610"/>
        <v>0.005</v>
      </c>
      <c r="EK225" s="1" t="str">
        <f t="shared" si="611"/>
        <v>0.01</v>
      </c>
      <c r="EL225" s="1" t="str">
        <f t="shared" si="612"/>
        <v>0.0125</v>
      </c>
      <c r="EM225" s="1" t="str">
        <f t="shared" si="630"/>
        <v>0.00500224078720597+0.80668343448451i</v>
      </c>
      <c r="EN225" s="1" t="str">
        <f t="shared" si="631"/>
        <v>-0.005</v>
      </c>
      <c r="EO225" s="1" t="str">
        <f t="shared" si="632"/>
        <v>0.016132677134169-72.5970471037602i</v>
      </c>
      <c r="EP225" s="1" t="str">
        <f t="shared" si="633"/>
        <v>-0.005</v>
      </c>
      <c r="EQ225" s="1" t="str">
        <f t="shared" si="634"/>
        <v>0.0150043901137097+0.79667128738496i</v>
      </c>
      <c r="ER225" s="1" t="str">
        <f t="shared" si="635"/>
        <v>-0.01</v>
      </c>
      <c r="ES225" s="1" t="str">
        <f t="shared" si="636"/>
        <v>0.0316068776506168-142.230949427776i</v>
      </c>
      <c r="ET225" s="1" t="str">
        <f t="shared" si="637"/>
        <v>-0.01</v>
      </c>
      <c r="EU225" s="1" t="str">
        <f t="shared" si="638"/>
        <v>0.0225108495258085+0.768254066195248i</v>
      </c>
      <c r="EV225" s="1" t="str">
        <f t="shared" si="639"/>
        <v>-0.0125</v>
      </c>
      <c r="EW225" s="1" t="str">
        <f t="shared" si="640"/>
        <v>0.0781117887771752-351.503049497288i</v>
      </c>
      <c r="EX225" s="1" t="str">
        <f t="shared" si="641"/>
        <v>-0.0125</v>
      </c>
      <c r="EY225" s="1" t="str">
        <f t="shared" si="642"/>
        <v>0.0125151519896785+0.748813163391146i</v>
      </c>
      <c r="EZ225" s="1" t="str">
        <f t="shared" si="643"/>
        <v>0.10908762633581-490.894318511143i</v>
      </c>
      <c r="FB225" s="1" t="str">
        <f t="shared" si="644"/>
        <v>0.00500224078720597+0.80668343448451i</v>
      </c>
      <c r="FC225" s="1" t="str">
        <f t="shared" si="645"/>
        <v>0.016132677134169-72.5970471037602i</v>
      </c>
      <c r="FD225" s="1" t="str">
        <f t="shared" si="646"/>
        <v>-0.0000384336491039068+0.00619797994095149i</v>
      </c>
      <c r="FE225" s="1" t="str">
        <f t="shared" si="647"/>
        <v>0.0150041979454642+0.796702277284665i</v>
      </c>
      <c r="FF225" s="1" t="str">
        <f t="shared" si="648"/>
        <v>-0.418347544033147-142.23383958722i</v>
      </c>
      <c r="FG225" s="1" t="str">
        <f t="shared" si="649"/>
        <v>-0.000236301599217914+0.01254728995893i</v>
      </c>
      <c r="FH225" s="1" t="str">
        <f t="shared" si="650"/>
        <v>0.0225084865098163+0.768379539094837i</v>
      </c>
      <c r="FI225" s="1" t="str">
        <f t="shared" si="651"/>
        <v>-1.70663629468929-351.531410453107i</v>
      </c>
      <c r="FJ225" s="1" t="str">
        <f t="shared" si="652"/>
        <v>-0.000476137308184554+0.0162540544540456i</v>
      </c>
      <c r="FK225" s="1" t="str">
        <f t="shared" si="653"/>
        <v>0.0125092002733262+0.749016339071822i</v>
      </c>
      <c r="FL225" s="1" t="str">
        <f t="shared" si="654"/>
        <v>-5.60422488901935-491.062951860218i</v>
      </c>
      <c r="FM225" s="1" t="str">
        <f t="shared" si="655"/>
        <v>-655.552579168878-3.46616419171428i</v>
      </c>
      <c r="FN225" s="1" t="str">
        <f t="shared" si="656"/>
        <v>-457.538334743829-0.51725987065354i</v>
      </c>
      <c r="FO225" s="1" t="str">
        <f t="shared" si="657"/>
        <v>-178.589415596432+2.9046483421447i</v>
      </c>
      <c r="FP225" s="1" t="str">
        <f t="shared" si="658"/>
        <v>-89.9797452275255+0.52897336304066i</v>
      </c>
      <c r="FQ225" s="92" t="str">
        <f t="shared" si="659"/>
        <v>0.0110003772471621-73.5043628676385i</v>
      </c>
      <c r="FR225" s="1" t="str">
        <f t="shared" si="660"/>
        <v>-0.432047974597371-73.492484492743i</v>
      </c>
      <c r="FS225" s="1" t="str">
        <f t="shared" si="661"/>
        <v>0.443048351844533-0.0118783748955202i</v>
      </c>
      <c r="FT225" s="1" t="str">
        <f t="shared" si="662"/>
        <v>-0.024991908796253-145.759087467659i</v>
      </c>
      <c r="FU225" s="1" t="str">
        <f t="shared" si="663"/>
        <v>0.108329972171999-373.841376755606i</v>
      </c>
      <c r="FV225" s="1" t="str">
        <f t="shared" si="664"/>
        <v>0.355357330504636-535.592432601579i</v>
      </c>
      <c r="FW225" s="1" t="str">
        <f t="shared" si="665"/>
        <v>-0.432047974597371-73.492484492743i</v>
      </c>
      <c r="FX225" s="1" t="str">
        <f t="shared" si="666"/>
        <v>-2.37143274842569-145.805184924684i</v>
      </c>
      <c r="FY225" s="1" t="str">
        <f t="shared" si="667"/>
        <v>0.422641108332846-373.844018977491i</v>
      </c>
      <c r="FZ225" s="1" t="str">
        <f t="shared" si="668"/>
        <v>2.83184615148624-535.584567186393i</v>
      </c>
      <c r="GA225" s="1" t="str">
        <f t="shared" si="669"/>
        <v>0.443048351844533-0.0118783748955202i</v>
      </c>
      <c r="GB225" s="1" t="str">
        <f t="shared" si="670"/>
        <v>2.78948919147397+0.0342190821279824i</v>
      </c>
      <c r="GC225" s="1" t="str">
        <f t="shared" si="671"/>
        <v>2.47517805531311+0.0368613040132593i</v>
      </c>
      <c r="GD225" s="92" t="str">
        <f t="shared" si="672"/>
        <v>0.449695771127544-1128.69725969248i</v>
      </c>
      <c r="GE225" s="1" t="str">
        <f t="shared" si="623"/>
        <v>0.00254138006801202+6.37864285761474i</v>
      </c>
      <c r="GF225" s="1">
        <f t="shared" si="624"/>
        <v>45</v>
      </c>
      <c r="GG225" s="56">
        <f t="shared" si="625"/>
        <v>0.22813405443017487</v>
      </c>
      <c r="GH225" s="1">
        <f t="shared" si="626"/>
        <v>0.77186596674974173</v>
      </c>
      <c r="GJ225" s="1">
        <f t="shared" si="673"/>
        <v>1128.6973492764125</v>
      </c>
      <c r="GK225" s="1">
        <f t="shared" si="674"/>
        <v>6.3786433638832776</v>
      </c>
      <c r="GM225" s="1" t="str">
        <f t="shared" si="627"/>
        <v>0.0191834803010191+21.5814153386466i</v>
      </c>
      <c r="GP225" s="1">
        <f t="shared" si="613"/>
        <v>45</v>
      </c>
      <c r="GQ225" s="1">
        <f t="shared" si="614"/>
        <v>6.3786433638832776</v>
      </c>
      <c r="GR225" s="1">
        <f t="shared" si="628"/>
        <v>21.581423864636164</v>
      </c>
      <c r="GS225" s="1">
        <f t="shared" si="629"/>
        <v>4.9234577266155659</v>
      </c>
    </row>
    <row r="226" spans="2:201" ht="18" customHeight="1" x14ac:dyDescent="0.25">
      <c r="B226" s="6"/>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8"/>
      <c r="AR226" s="6"/>
      <c r="AS226" s="179"/>
      <c r="AT226" s="179"/>
      <c r="AU226" s="179"/>
      <c r="AV226" s="179"/>
      <c r="AW226" s="179"/>
      <c r="AX226" s="179"/>
      <c r="AY226" s="179"/>
      <c r="AZ226" s="179"/>
      <c r="BA226" s="179"/>
      <c r="BB226" s="179"/>
      <c r="BC226" s="179"/>
      <c r="BD226" s="179"/>
      <c r="BE226" s="179"/>
      <c r="BF226" s="179"/>
      <c r="BG226" s="179"/>
      <c r="BH226" s="179"/>
      <c r="BI226" s="179"/>
      <c r="BJ226" s="179"/>
      <c r="BK226" s="179"/>
      <c r="BL226" s="179"/>
      <c r="BM226" s="179"/>
      <c r="BN226" s="179"/>
      <c r="BO226" s="179"/>
      <c r="BP226" s="179"/>
      <c r="BQ226" s="179"/>
      <c r="BR226" s="179"/>
      <c r="BS226" s="179"/>
      <c r="BT226" s="179"/>
      <c r="BU226" s="179"/>
      <c r="BV226" s="179"/>
      <c r="BW226" s="179"/>
      <c r="BX226" s="179"/>
      <c r="BY226" s="179"/>
      <c r="BZ226" s="179"/>
      <c r="CA226" s="179"/>
      <c r="CB226" s="179"/>
      <c r="CC226" s="179"/>
      <c r="CD226" s="179"/>
      <c r="CE226" s="179"/>
      <c r="CF226" s="8"/>
      <c r="EA226" s="1">
        <f t="shared" si="609"/>
        <v>45.2</v>
      </c>
      <c r="EB226" s="1" t="str">
        <f t="shared" si="615"/>
        <v>2.22100110329424E-06-0.01003892498689i</v>
      </c>
      <c r="EC226" s="1" t="str">
        <f t="shared" si="616"/>
        <v>4.35134910033157E-06-0.0196680979334987i</v>
      </c>
      <c r="ED226" s="1" t="str">
        <f t="shared" si="617"/>
        <v>0.0000107537247297257-0.0486068357783602i</v>
      </c>
      <c r="EE226" s="1" t="str">
        <f t="shared" si="618"/>
        <v>0.000015018197936561-0.0678822546732558i</v>
      </c>
      <c r="EF226" s="1" t="str">
        <f t="shared" si="619"/>
        <v>0.820397052364329i</v>
      </c>
      <c r="EG226" s="1" t="str">
        <f t="shared" si="620"/>
        <v>0.8200553626299i</v>
      </c>
      <c r="EH226" s="1" t="str">
        <f t="shared" si="621"/>
        <v>0.820708385366155i</v>
      </c>
      <c r="EI226" s="1" t="str">
        <f t="shared" si="622"/>
        <v>0.82062821524186i</v>
      </c>
      <c r="EJ226" s="1" t="str">
        <f t="shared" si="610"/>
        <v>0.005</v>
      </c>
      <c r="EK226" s="1" t="str">
        <f t="shared" si="611"/>
        <v>0.01</v>
      </c>
      <c r="EL226" s="1" t="str">
        <f t="shared" si="612"/>
        <v>0.0125</v>
      </c>
      <c r="EM226" s="1" t="str">
        <f t="shared" si="630"/>
        <v>0.00500222100110329+0.810358127377439i</v>
      </c>
      <c r="EN226" s="1" t="str">
        <f t="shared" si="631"/>
        <v>-0.005</v>
      </c>
      <c r="EO226" s="1" t="str">
        <f t="shared" si="632"/>
        <v>0.0159902259431716-72.2758212631359i</v>
      </c>
      <c r="EP226" s="1" t="str">
        <f t="shared" si="633"/>
        <v>-0.005</v>
      </c>
      <c r="EQ226" s="1" t="str">
        <f t="shared" si="634"/>
        <v>0.0150043513491003+0.800387264696401i</v>
      </c>
      <c r="ER226" s="1" t="str">
        <f t="shared" si="635"/>
        <v>-0.01</v>
      </c>
      <c r="ES226" s="1" t="str">
        <f t="shared" si="636"/>
        <v>0.0313277896029484-141.601609005327i</v>
      </c>
      <c r="ET226" s="1" t="str">
        <f t="shared" si="637"/>
        <v>-0.01</v>
      </c>
      <c r="EU226" s="1" t="str">
        <f t="shared" si="638"/>
        <v>0.0225107537247297+0.772101549587795i</v>
      </c>
      <c r="EV226" s="1" t="str">
        <f t="shared" si="639"/>
        <v>-0.0125</v>
      </c>
      <c r="EW226" s="1" t="str">
        <f t="shared" si="640"/>
        <v>0.0774220633677034-349.94772642202i</v>
      </c>
      <c r="EX226" s="1" t="str">
        <f t="shared" si="641"/>
        <v>-0.0125</v>
      </c>
      <c r="EY226" s="1" t="str">
        <f t="shared" si="642"/>
        <v>0.0125150181979366+0.752745960568604i</v>
      </c>
      <c r="EZ226" s="1" t="str">
        <f t="shared" si="643"/>
        <v>0.108124384949065-488.722219969773i</v>
      </c>
      <c r="FB226" s="1" t="str">
        <f t="shared" si="644"/>
        <v>0.00500222100110329+0.810358127377439i</v>
      </c>
      <c r="FC226" s="1" t="str">
        <f t="shared" si="645"/>
        <v>0.0159902259431716-72.2758212631359i</v>
      </c>
      <c r="FD226" s="1" t="str">
        <f t="shared" si="646"/>
        <v>-0.0000380857355115802+0.00616987640133241i</v>
      </c>
      <c r="FE226" s="1" t="str">
        <f t="shared" si="647"/>
        <v>0.0150041609204227+0.800418114078408i</v>
      </c>
      <c r="FF226" s="1" t="str">
        <f t="shared" si="648"/>
        <v>-0.414604485395877-141.604460340857i</v>
      </c>
      <c r="FG226" s="1" t="str">
        <f t="shared" si="649"/>
        <v>-0.000234112884720356+0.0124890818395757i</v>
      </c>
      <c r="FH226" s="1" t="str">
        <f t="shared" si="650"/>
        <v>0.0225084125958825+0.772226440406191i</v>
      </c>
      <c r="FI226" s="1" t="str">
        <f t="shared" si="651"/>
        <v>-1.69118469493031-349.975699821371i</v>
      </c>
      <c r="FJ226" s="1" t="str">
        <f t="shared" si="652"/>
        <v>-0.000471407771241385+0.016173221617243i</v>
      </c>
      <c r="FK226" s="1" t="str">
        <f t="shared" si="653"/>
        <v>0.0125091256007961+0.75294812583882i</v>
      </c>
      <c r="FL226" s="1" t="str">
        <f t="shared" si="654"/>
        <v>-5.55162125156226-488.888440211725i</v>
      </c>
      <c r="FM226" s="1" t="str">
        <f t="shared" si="655"/>
        <v>-649.242264454894-3.41302633164319i</v>
      </c>
      <c r="FN226" s="1" t="str">
        <f t="shared" si="656"/>
        <v>-453.243800797612-0.511618682797678i</v>
      </c>
      <c r="FO226" s="1" t="str">
        <f t="shared" si="657"/>
        <v>-176.973175691088+2.86313920986574i</v>
      </c>
      <c r="FP226" s="1" t="str">
        <f t="shared" si="658"/>
        <v>-89.1755299382824+0.52174455908622i</v>
      </c>
      <c r="FQ226" s="92" t="str">
        <f t="shared" si="659"/>
        <v>0.0109505304025668-73.1710488776477i</v>
      </c>
      <c r="FR226" s="1" t="str">
        <f t="shared" si="660"/>
        <v>-0.428037698361461-73.1593419043939i</v>
      </c>
      <c r="FS226" s="1" t="str">
        <f t="shared" si="661"/>
        <v>0.438988228764028-0.0117069732538976i</v>
      </c>
      <c r="FT226" s="1" t="str">
        <f t="shared" si="662"/>
        <v>-0.0242146407051048-145.08234721494i</v>
      </c>
      <c r="FU226" s="1" t="str">
        <f t="shared" si="663"/>
        <v>0.107164287732823-371.978467913143i</v>
      </c>
      <c r="FV226" s="1" t="str">
        <f t="shared" si="664"/>
        <v>0.34955875643656-532.794197452637i</v>
      </c>
      <c r="FW226" s="1" t="str">
        <f t="shared" si="665"/>
        <v>-0.428037698361461-73.1593419043939i</v>
      </c>
      <c r="FX226" s="1" t="str">
        <f t="shared" si="666"/>
        <v>-2.34793266300633-145.12780176712i</v>
      </c>
      <c r="FY226" s="1" t="str">
        <f t="shared" si="667"/>
        <v>0.419889743082041-371.980987929827i</v>
      </c>
      <c r="FZ226" s="1" t="str">
        <f t="shared" si="668"/>
        <v>2.80082570710982-532.786520739203i</v>
      </c>
      <c r="GA226" s="1" t="str">
        <f t="shared" si="669"/>
        <v>0.438988228764028-0.0117069732538976i</v>
      </c>
      <c r="GB226" s="1" t="str">
        <f t="shared" si="670"/>
        <v>2.76270625106524+0.0337475789266342i</v>
      </c>
      <c r="GC226" s="1" t="str">
        <f t="shared" si="671"/>
        <v>2.44998079571603+0.0362675956105689i</v>
      </c>
      <c r="GD226" s="92" t="str">
        <f t="shared" si="672"/>
        <v>0.443458933866845-1123.02606145837i</v>
      </c>
      <c r="GE226" s="1" t="str">
        <f t="shared" si="623"/>
        <v>0.00253150912593902+6.41085454849098i</v>
      </c>
      <c r="GF226" s="1">
        <f t="shared" si="624"/>
        <v>45.2</v>
      </c>
      <c r="GG226" s="56">
        <f t="shared" si="625"/>
        <v>0.22824018747090088</v>
      </c>
      <c r="GH226" s="1">
        <f t="shared" si="626"/>
        <v>0.77175983368214141</v>
      </c>
      <c r="GJ226" s="1">
        <f t="shared" si="673"/>
        <v>1123.0261490145831</v>
      </c>
      <c r="GK226" s="1">
        <f t="shared" si="674"/>
        <v>6.4108550483103226</v>
      </c>
      <c r="GM226" s="1" t="str">
        <f t="shared" si="627"/>
        <v>0.0191834803010191+21.6773327401517i</v>
      </c>
      <c r="GP226" s="1">
        <f t="shared" si="613"/>
        <v>45.2</v>
      </c>
      <c r="GQ226" s="1">
        <f t="shared" si="614"/>
        <v>6.4108550483103226</v>
      </c>
      <c r="GR226" s="1">
        <f t="shared" si="628"/>
        <v>21.677341228415656</v>
      </c>
      <c r="GS226" s="1">
        <f t="shared" si="629"/>
        <v>4.947640425844301</v>
      </c>
    </row>
    <row r="227" spans="2:201" ht="18" customHeight="1" x14ac:dyDescent="0.25">
      <c r="B227" s="6"/>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8"/>
      <c r="AR227" s="6"/>
      <c r="AS227" s="179"/>
      <c r="AT227" s="179"/>
      <c r="AU227" s="179"/>
      <c r="AV227" s="179"/>
      <c r="AW227" s="179"/>
      <c r="AX227" s="179"/>
      <c r="AY227" s="179"/>
      <c r="AZ227" s="179"/>
      <c r="BA227" s="179"/>
      <c r="BB227" s="179"/>
      <c r="BC227" s="179"/>
      <c r="BD227" s="179"/>
      <c r="BE227" s="179"/>
      <c r="BF227" s="179"/>
      <c r="BG227" s="179"/>
      <c r="BH227" s="179"/>
      <c r="BI227" s="179"/>
      <c r="BJ227" s="179"/>
      <c r="BK227" s="179"/>
      <c r="BL227" s="179"/>
      <c r="BM227" s="179"/>
      <c r="BN227" s="179"/>
      <c r="BO227" s="179"/>
      <c r="BP227" s="179"/>
      <c r="BQ227" s="179"/>
      <c r="BR227" s="179"/>
      <c r="BS227" s="179"/>
      <c r="BT227" s="179"/>
      <c r="BU227" s="179"/>
      <c r="BV227" s="179"/>
      <c r="BW227" s="179"/>
      <c r="BX227" s="179"/>
      <c r="BY227" s="179"/>
      <c r="BZ227" s="179"/>
      <c r="CA227" s="179"/>
      <c r="CB227" s="179"/>
      <c r="CC227" s="179"/>
      <c r="CD227" s="179"/>
      <c r="CE227" s="179"/>
      <c r="CF227" s="8"/>
      <c r="EA227" s="1">
        <f t="shared" si="609"/>
        <v>45.4</v>
      </c>
      <c r="EB227" s="1" t="str">
        <f t="shared" si="615"/>
        <v>2.20147591454656E-06-0.00999470065204138i</v>
      </c>
      <c r="EC227" s="1" t="str">
        <f t="shared" si="616"/>
        <v>4.31309566931571E-06-0.0195814543386933i</v>
      </c>
      <c r="ED227" s="1" t="str">
        <f t="shared" si="617"/>
        <v>0.0000106591869535953-0.0483927087693228i</v>
      </c>
      <c r="EE227" s="1" t="str">
        <f t="shared" si="618"/>
        <v>0.000014886170469791-0.0675832139328511i</v>
      </c>
      <c r="EF227" s="1" t="str">
        <f t="shared" si="619"/>
        <v>0.824027127817265i</v>
      </c>
      <c r="EG227" s="1" t="str">
        <f t="shared" si="620"/>
        <v>0.823683926181358i</v>
      </c>
      <c r="EH227" s="1" t="str">
        <f t="shared" si="621"/>
        <v>0.824339838398743i</v>
      </c>
      <c r="EI227" s="1" t="str">
        <f t="shared" si="622"/>
        <v>0.824259313539387i</v>
      </c>
      <c r="EJ227" s="1" t="str">
        <f t="shared" si="610"/>
        <v>0.005</v>
      </c>
      <c r="EK227" s="1" t="str">
        <f t="shared" si="611"/>
        <v>0.01</v>
      </c>
      <c r="EL227" s="1" t="str">
        <f t="shared" si="612"/>
        <v>0.0125</v>
      </c>
      <c r="EM227" s="1" t="str">
        <f t="shared" si="630"/>
        <v>0.00500220147591455+0.814032427165224i</v>
      </c>
      <c r="EN227" s="1" t="str">
        <f t="shared" si="631"/>
        <v>-0.005</v>
      </c>
      <c r="EO227" s="1" t="str">
        <f t="shared" si="632"/>
        <v>0.0158496532171178-71.957425605715i</v>
      </c>
      <c r="EP227" s="1" t="str">
        <f t="shared" si="633"/>
        <v>-0.005</v>
      </c>
      <c r="EQ227" s="1" t="str">
        <f t="shared" si="634"/>
        <v>0.0150043130956693+0.804102471842665i</v>
      </c>
      <c r="ER227" s="1" t="str">
        <f t="shared" si="635"/>
        <v>-0.01</v>
      </c>
      <c r="ES227" s="1" t="str">
        <f t="shared" si="636"/>
        <v>0.0310523818131288-140.977813431605i</v>
      </c>
      <c r="ET227" s="1" t="str">
        <f t="shared" si="637"/>
        <v>-0.01</v>
      </c>
      <c r="EU227" s="1" t="str">
        <f t="shared" si="638"/>
        <v>0.0225106591869536+0.77594712962942i</v>
      </c>
      <c r="EV227" s="1" t="str">
        <f t="shared" si="639"/>
        <v>-0.0125</v>
      </c>
      <c r="EW227" s="1" t="str">
        <f t="shared" si="640"/>
        <v>0.0767414331787999-348.406106631753i</v>
      </c>
      <c r="EX227" s="1" t="str">
        <f t="shared" si="641"/>
        <v>-0.0125</v>
      </c>
      <c r="EY227" s="1" t="str">
        <f t="shared" si="642"/>
        <v>0.0125148861704698+0.756676099606536i</v>
      </c>
      <c r="EZ227" s="1" t="str">
        <f t="shared" si="643"/>
        <v>0.107173845563368-486.569258857691i</v>
      </c>
      <c r="FB227" s="1" t="str">
        <f t="shared" si="644"/>
        <v>0.00500220147591455+0.814032427165224i</v>
      </c>
      <c r="FC227" s="1" t="str">
        <f t="shared" si="645"/>
        <v>0.0158496532171178-71.957425605715i</v>
      </c>
      <c r="FD227" s="1" t="str">
        <f t="shared" si="646"/>
        <v>-0.0000377425617739111+0.00614202952763573i</v>
      </c>
      <c r="FE227" s="1" t="str">
        <f t="shared" si="647"/>
        <v>0.0150041243828604+0.804133181990303i</v>
      </c>
      <c r="FF227" s="1" t="str">
        <f t="shared" si="648"/>
        <v>-0.410911652783308-140.980626638224i</v>
      </c>
      <c r="FG227" s="1" t="str">
        <f t="shared" si="649"/>
        <v>-0.000231954881197089+0.0124314229831544i</v>
      </c>
      <c r="FH227" s="1" t="str">
        <f t="shared" si="650"/>
        <v>0.0225083396381416+0.776071443859252i</v>
      </c>
      <c r="FI227" s="1" t="str">
        <f t="shared" si="651"/>
        <v>-1.67594368195473-348.433699559691i</v>
      </c>
      <c r="FJ227" s="1" t="str">
        <f t="shared" si="652"/>
        <v>-0.00046675062055225+0.0160932273920536i</v>
      </c>
      <c r="FK227" s="1" t="str">
        <f t="shared" si="653"/>
        <v>0.0125090517877129+0.756877264948937i</v>
      </c>
      <c r="FL227" s="1" t="str">
        <f t="shared" si="654"/>
        <v>-5.49976903412995-486.7331126415i</v>
      </c>
      <c r="FM227" s="1" t="str">
        <f t="shared" si="655"/>
        <v>-643.025087748315-3.36100079513418i</v>
      </c>
      <c r="FN227" s="1" t="str">
        <f t="shared" si="656"/>
        <v>-449.01062217457-0.506044010944251i</v>
      </c>
      <c r="FO227" s="1" t="str">
        <f t="shared" si="657"/>
        <v>-175.378952566023+2.82243079495257i</v>
      </c>
      <c r="FP227" s="1" t="str">
        <f t="shared" si="658"/>
        <v>-88.3820907169562+0.514647907139445i</v>
      </c>
      <c r="FQ227" s="92" t="str">
        <f t="shared" si="659"/>
        <v>0.0109004724880501-72.8407792784175i</v>
      </c>
      <c r="FR227" s="1" t="str">
        <f t="shared" si="660"/>
        <v>-0.424083836757283-72.8292403639784i</v>
      </c>
      <c r="FS227" s="1" t="str">
        <f t="shared" si="661"/>
        <v>0.434984309245334-0.0115389144390657i</v>
      </c>
      <c r="FT227" s="1" t="str">
        <f t="shared" si="662"/>
        <v>-0.0234584917215551-144.412000556658i</v>
      </c>
      <c r="FU227" s="1" t="str">
        <f t="shared" si="663"/>
        <v>0.106016361790794-370.134941510961i</v>
      </c>
      <c r="FV227" s="1" t="str">
        <f t="shared" si="664"/>
        <v>0.343893262401978-530.026910894745i</v>
      </c>
      <c r="FW227" s="1" t="str">
        <f t="shared" si="665"/>
        <v>-0.424083836757283-72.8292403639784i</v>
      </c>
      <c r="FX227" s="1" t="str">
        <f t="shared" si="666"/>
        <v>-2.3247908785617-144.456824219156i</v>
      </c>
      <c r="FY227" s="1" t="str">
        <f t="shared" si="667"/>
        <v>0.417152238204436-370.137343722704i</v>
      </c>
      <c r="FZ227" s="1" t="str">
        <f t="shared" si="668"/>
        <v>2.77033620820263-530.01941741603i</v>
      </c>
      <c r="GA227" s="1" t="str">
        <f t="shared" si="669"/>
        <v>0.434984309245334-0.0115389144390657i</v>
      </c>
      <c r="GB227" s="1" t="str">
        <f t="shared" si="670"/>
        <v>2.73631669608547+0.0332847480589682i</v>
      </c>
      <c r="GC227" s="1" t="str">
        <f t="shared" si="671"/>
        <v>2.42518081967181+0.0356869598023741i</v>
      </c>
      <c r="GD227" s="92" t="str">
        <f t="shared" si="672"/>
        <v>0.437351604959267-1117.41463224078i</v>
      </c>
      <c r="GE227" s="1" t="str">
        <f t="shared" si="623"/>
        <v>0.002521783368305+6.44304857495125i</v>
      </c>
      <c r="GF227" s="1">
        <f t="shared" si="624"/>
        <v>45.4</v>
      </c>
      <c r="GG227" s="56">
        <f t="shared" si="625"/>
        <v>0.2283448735381659</v>
      </c>
      <c r="GH227" s="1">
        <f t="shared" si="626"/>
        <v>0.77165514758580844</v>
      </c>
      <c r="GJ227" s="1">
        <f t="shared" si="673"/>
        <v>1117.4147178296087</v>
      </c>
      <c r="GK227" s="1">
        <f t="shared" si="674"/>
        <v>6.443049068459179</v>
      </c>
      <c r="GM227" s="1" t="str">
        <f t="shared" si="627"/>
        <v>0.0191834803010191+21.7732501416568i</v>
      </c>
      <c r="GP227" s="1">
        <f t="shared" si="613"/>
        <v>45.4</v>
      </c>
      <c r="GQ227" s="1">
        <f t="shared" si="614"/>
        <v>6.443049068459179</v>
      </c>
      <c r="GR227" s="1">
        <f t="shared" si="628"/>
        <v>21.77325859252754</v>
      </c>
      <c r="GS227" s="1">
        <f t="shared" si="629"/>
        <v>4.9718119798244924</v>
      </c>
    </row>
    <row r="228" spans="2:201" ht="18" customHeight="1" x14ac:dyDescent="0.25">
      <c r="B228" s="6"/>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8"/>
      <c r="AR228" s="6"/>
      <c r="AS228" s="179"/>
      <c r="AT228" s="179"/>
      <c r="AU228" s="179"/>
      <c r="AV228" s="179"/>
      <c r="AW228" s="179"/>
      <c r="AX228" s="179"/>
      <c r="AY228" s="179"/>
      <c r="AZ228" s="179"/>
      <c r="BA228" s="179"/>
      <c r="BB228" s="179"/>
      <c r="BC228" s="179"/>
      <c r="BD228" s="179"/>
      <c r="BE228" s="179"/>
      <c r="BF228" s="179"/>
      <c r="BG228" s="179"/>
      <c r="BH228" s="179"/>
      <c r="BI228" s="179"/>
      <c r="BJ228" s="179"/>
      <c r="BK228" s="179"/>
      <c r="BL228" s="179"/>
      <c r="BM228" s="179"/>
      <c r="BN228" s="179"/>
      <c r="BO228" s="179"/>
      <c r="BP228" s="179"/>
      <c r="BQ228" s="179"/>
      <c r="BR228" s="179"/>
      <c r="BS228" s="179"/>
      <c r="BT228" s="179"/>
      <c r="BU228" s="179"/>
      <c r="BV228" s="179"/>
      <c r="BW228" s="179"/>
      <c r="BX228" s="179"/>
      <c r="BY228" s="179"/>
      <c r="BZ228" s="179"/>
      <c r="CA228" s="179"/>
      <c r="CB228" s="179"/>
      <c r="CC228" s="179"/>
      <c r="CD228" s="179"/>
      <c r="CE228" s="179"/>
      <c r="CF228" s="8"/>
      <c r="EA228" s="1">
        <f t="shared" si="609"/>
        <v>45.6</v>
      </c>
      <c r="EB228" s="1" t="str">
        <f t="shared" si="615"/>
        <v>2.18220707234612E-06-0.00995086424989836i</v>
      </c>
      <c r="EC228" s="1" t="str">
        <f t="shared" si="616"/>
        <v>4.27534446826998E-06-0.0194955707753111i</v>
      </c>
      <c r="ED228" s="1" t="str">
        <f t="shared" si="617"/>
        <v>0.0000105658903655943-0.0481804600671101i</v>
      </c>
      <c r="EE228" s="1" t="str">
        <f t="shared" si="618"/>
        <v>0.0000147558763939596-0.0672867963564558i</v>
      </c>
      <c r="EF228" s="1" t="str">
        <f t="shared" si="619"/>
        <v>0.827657203270206i</v>
      </c>
      <c r="EG228" s="1" t="str">
        <f t="shared" si="620"/>
        <v>0.827312489732819i</v>
      </c>
      <c r="EH228" s="1" t="str">
        <f t="shared" si="621"/>
        <v>0.827971291431337i</v>
      </c>
      <c r="EI228" s="1" t="str">
        <f t="shared" si="622"/>
        <v>0.827890411836919i</v>
      </c>
      <c r="EJ228" s="1" t="str">
        <f t="shared" si="610"/>
        <v>0.005</v>
      </c>
      <c r="EK228" s="1" t="str">
        <f t="shared" si="611"/>
        <v>0.01</v>
      </c>
      <c r="EL228" s="1" t="str">
        <f t="shared" si="612"/>
        <v>0.0125</v>
      </c>
      <c r="EM228" s="1" t="str">
        <f t="shared" si="630"/>
        <v>0.00500218220707235+0.817706339020308i</v>
      </c>
      <c r="EN228" s="1" t="str">
        <f t="shared" si="631"/>
        <v>-0.005</v>
      </c>
      <c r="EO228" s="1" t="str">
        <f t="shared" si="632"/>
        <v>0.0157109260728623-71.6418228922526i</v>
      </c>
      <c r="EP228" s="1" t="str">
        <f t="shared" si="633"/>
        <v>-0.005</v>
      </c>
      <c r="EQ228" s="1" t="str">
        <f t="shared" si="634"/>
        <v>0.0150042753444683+0.807816918957508i</v>
      </c>
      <c r="ER228" s="1" t="str">
        <f t="shared" si="635"/>
        <v>-0.01</v>
      </c>
      <c r="ES228" s="1" t="str">
        <f t="shared" si="636"/>
        <v>0.0307805898570366-140.359489748087i</v>
      </c>
      <c r="ET228" s="1" t="str">
        <f t="shared" si="637"/>
        <v>-0.01</v>
      </c>
      <c r="EU228" s="1" t="str">
        <f t="shared" si="638"/>
        <v>0.0225105658903656+0.779790831364227i</v>
      </c>
      <c r="EV228" s="1" t="str">
        <f t="shared" si="639"/>
        <v>-0.0125</v>
      </c>
      <c r="EW228" s="1" t="str">
        <f t="shared" si="640"/>
        <v>0.0760697389956452-346.878009820143i</v>
      </c>
      <c r="EX228" s="1" t="str">
        <f t="shared" si="641"/>
        <v>-0.0125</v>
      </c>
      <c r="EY228" s="1" t="str">
        <f t="shared" si="642"/>
        <v>0.012514755876394+0.760603615480463i</v>
      </c>
      <c r="EZ228" s="1" t="str">
        <f t="shared" si="643"/>
        <v>0.106235785826022-484.435183366662i</v>
      </c>
      <c r="FB228" s="1" t="str">
        <f t="shared" si="644"/>
        <v>0.00500218220707235+0.817706339020308i</v>
      </c>
      <c r="FC228" s="1" t="str">
        <f t="shared" si="645"/>
        <v>0.0157109260728623-71.6418228922526i</v>
      </c>
      <c r="FD228" s="1" t="str">
        <f t="shared" si="646"/>
        <v>-0.0000374040415411053+0.00611443578162693i</v>
      </c>
      <c r="FE228" s="1" t="str">
        <f t="shared" si="647"/>
        <v>0.0150040883242606+0.807847491136416i</v>
      </c>
      <c r="FF228" s="1" t="str">
        <f t="shared" si="648"/>
        <v>-0.4072681478442-140.362265505255i</v>
      </c>
      <c r="FG228" s="1" t="str">
        <f t="shared" si="649"/>
        <v>-0.000229827009129043+0.0123743055031258i</v>
      </c>
      <c r="FH228" s="1" t="str">
        <f t="shared" si="650"/>
        <v>0.0225082676202743+0.779914574419258i</v>
      </c>
      <c r="FI228" s="1" t="str">
        <f t="shared" si="651"/>
        <v>-1.66090941669756-346.905229199336i</v>
      </c>
      <c r="FJ228" s="1" t="str">
        <f t="shared" si="652"/>
        <v>-0.000462164347517134+0.0160140583223253i</v>
      </c>
      <c r="FK228" s="1" t="str">
        <f t="shared" si="653"/>
        <v>0.01250897882205+0.760803791209492i</v>
      </c>
      <c r="FL228" s="1" t="str">
        <f t="shared" si="654"/>
        <v>-5.44865373744459-484.596716200975i</v>
      </c>
      <c r="FM228" s="1" t="str">
        <f t="shared" si="655"/>
        <v>-636.899179992509-3.31005792289656i</v>
      </c>
      <c r="FN228" s="1" t="str">
        <f t="shared" si="656"/>
        <v>-444.837614421355-0.500535467806857i</v>
      </c>
      <c r="FO228" s="1" t="str">
        <f t="shared" si="657"/>
        <v>-173.806345046586+2.7825035843087i</v>
      </c>
      <c r="FP228" s="1" t="str">
        <f t="shared" si="658"/>
        <v>-87.5992351605193+0.507680378489352i</v>
      </c>
      <c r="FQ228" s="92" t="str">
        <f t="shared" si="659"/>
        <v>0.0108502272146772-72.5135120975935i</v>
      </c>
      <c r="FR228" s="1" t="str">
        <f t="shared" si="660"/>
        <v>-0.420185322215657-72.5021379815645i</v>
      </c>
      <c r="FS228" s="1" t="str">
        <f t="shared" si="661"/>
        <v>0.431035549430334-0.0113741160290968i</v>
      </c>
      <c r="FT228" s="1" t="str">
        <f t="shared" si="662"/>
        <v>-0.0227228237075653-143.747955545302i</v>
      </c>
      <c r="FU228" s="1" t="str">
        <f t="shared" si="663"/>
        <v>0.104885873578954-368.310485449516i</v>
      </c>
      <c r="FV228" s="1" t="str">
        <f t="shared" si="664"/>
        <v>0.33835698478742-527.290039947606i</v>
      </c>
      <c r="FW228" s="1" t="str">
        <f t="shared" si="665"/>
        <v>-0.420185322215657-72.5021379815645i</v>
      </c>
      <c r="FX228" s="1" t="str">
        <f t="shared" si="666"/>
        <v>-2.30199996802492-143.792160051852i</v>
      </c>
      <c r="FY228" s="1" t="str">
        <f t="shared" si="667"/>
        <v>0.414428997687232-368.312774089684i</v>
      </c>
      <c r="FZ228" s="1" t="str">
        <f t="shared" si="668"/>
        <v>2.74036521699089-527.282724422594i</v>
      </c>
      <c r="GA228" s="1" t="str">
        <f t="shared" si="669"/>
        <v>0.431035549430334-0.0113741160290968i</v>
      </c>
      <c r="GB228" s="1" t="str">
        <f t="shared" si="670"/>
        <v>2.71031269374769+0.0328303905211556i</v>
      </c>
      <c r="GC228" s="1" t="str">
        <f t="shared" si="671"/>
        <v>2.40076956963943+0.0351190306886213i</v>
      </c>
      <c r="GD228" s="92" t="str">
        <f t="shared" si="672"/>
        <v>0.431370261873486-1111.86199304002i</v>
      </c>
      <c r="GE228" s="1" t="str">
        <f t="shared" si="623"/>
        <v>0.00251219989415741+6.47522517918028i</v>
      </c>
      <c r="GF228" s="1">
        <f t="shared" si="624"/>
        <v>45.6</v>
      </c>
      <c r="GG228" s="56">
        <f t="shared" si="625"/>
        <v>0.22844813904019007</v>
      </c>
      <c r="GH228" s="1">
        <f t="shared" si="626"/>
        <v>0.77155188205260949</v>
      </c>
      <c r="GJ228" s="1">
        <f t="shared" si="673"/>
        <v>1111.862076719603</v>
      </c>
      <c r="GK228" s="1">
        <f t="shared" si="674"/>
        <v>6.4752256665106733</v>
      </c>
      <c r="GM228" s="1" t="str">
        <f t="shared" si="627"/>
        <v>0.0191834803010191+21.8691675431619i</v>
      </c>
      <c r="GP228" s="1">
        <f t="shared" si="613"/>
        <v>45.6</v>
      </c>
      <c r="GQ228" s="1">
        <f t="shared" si="614"/>
        <v>6.4752256665106733</v>
      </c>
      <c r="GR228" s="1">
        <f t="shared" si="628"/>
        <v>21.869175956967432</v>
      </c>
      <c r="GS228" s="1">
        <f t="shared" si="629"/>
        <v>4.9959725497116851</v>
      </c>
    </row>
    <row r="229" spans="2:201" ht="18" customHeight="1" x14ac:dyDescent="0.25">
      <c r="B229" s="6"/>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8"/>
      <c r="AR229" s="6"/>
      <c r="AS229" s="179"/>
      <c r="AT229" s="179"/>
      <c r="AU229" s="179"/>
      <c r="AV229" s="179"/>
      <c r="AW229" s="179"/>
      <c r="AX229" s="179"/>
      <c r="AY229" s="179"/>
      <c r="AZ229" s="179"/>
      <c r="BA229" s="179"/>
      <c r="BB229" s="179"/>
      <c r="BC229" s="179"/>
      <c r="BD229" s="179"/>
      <c r="BE229" s="179"/>
      <c r="BF229" s="179"/>
      <c r="BG229" s="179"/>
      <c r="BH229" s="179"/>
      <c r="BI229" s="179"/>
      <c r="BJ229" s="179"/>
      <c r="BK229" s="179"/>
      <c r="BL229" s="179"/>
      <c r="BM229" s="179"/>
      <c r="BN229" s="179"/>
      <c r="BO229" s="179"/>
      <c r="BP229" s="179"/>
      <c r="BQ229" s="179"/>
      <c r="BR229" s="179"/>
      <c r="BS229" s="179"/>
      <c r="BT229" s="179"/>
      <c r="BU229" s="179"/>
      <c r="BV229" s="179"/>
      <c r="BW229" s="179"/>
      <c r="BX229" s="179"/>
      <c r="BY229" s="179"/>
      <c r="BZ229" s="179"/>
      <c r="CA229" s="179"/>
      <c r="CB229" s="179"/>
      <c r="CC229" s="179"/>
      <c r="CD229" s="179"/>
      <c r="CE229" s="179"/>
      <c r="CF229" s="8"/>
      <c r="EA229" s="1">
        <f t="shared" si="609"/>
        <v>45.8</v>
      </c>
      <c r="EB229" s="1" t="str">
        <f t="shared" si="615"/>
        <v>2.16319010881533E-06-0.00990741069837418i</v>
      </c>
      <c r="EC229" s="1" t="str">
        <f t="shared" si="616"/>
        <v>4.23808674380144E-06-0.0194104372866106i</v>
      </c>
      <c r="ED229" s="1" t="str">
        <f t="shared" si="617"/>
        <v>0.0000104738133329884-0.047970065065087i</v>
      </c>
      <c r="EE229" s="1" t="str">
        <f t="shared" si="618"/>
        <v>0.0000146272854977036-0.0669929675794825i</v>
      </c>
      <c r="EF229" s="1" t="str">
        <f t="shared" si="619"/>
        <v>0.831287278723149i</v>
      </c>
      <c r="EG229" s="1" t="str">
        <f t="shared" si="620"/>
        <v>0.83094105328428i</v>
      </c>
      <c r="EH229" s="1" t="str">
        <f t="shared" si="621"/>
        <v>0.831602744463935i</v>
      </c>
      <c r="EI229" s="1" t="str">
        <f t="shared" si="622"/>
        <v>0.83152151013445i</v>
      </c>
      <c r="EJ229" s="1" t="str">
        <f t="shared" si="610"/>
        <v>0.005</v>
      </c>
      <c r="EK229" s="1" t="str">
        <f t="shared" si="611"/>
        <v>0.01</v>
      </c>
      <c r="EL229" s="1" t="str">
        <f t="shared" si="612"/>
        <v>0.0125</v>
      </c>
      <c r="EM229" s="1" t="str">
        <f t="shared" si="630"/>
        <v>0.00500216319010882+0.821379868024775i</v>
      </c>
      <c r="EN229" s="1" t="str">
        <f t="shared" si="631"/>
        <v>-0.005</v>
      </c>
      <c r="EO229" s="1" t="str">
        <f t="shared" si="632"/>
        <v>0.0155740123436619-71.328976533971i</v>
      </c>
      <c r="EP229" s="1" t="str">
        <f t="shared" si="633"/>
        <v>-0.005</v>
      </c>
      <c r="EQ229" s="1" t="str">
        <f t="shared" si="634"/>
        <v>0.0150042380867438+0.811530615997669i</v>
      </c>
      <c r="ER229" s="1" t="str">
        <f t="shared" si="635"/>
        <v>-0.01</v>
      </c>
      <c r="ES229" s="1" t="str">
        <f t="shared" si="636"/>
        <v>0.0305123507141128-139.746566270637i</v>
      </c>
      <c r="ET229" s="1" t="str">
        <f t="shared" si="637"/>
        <v>-0.01</v>
      </c>
      <c r="EU229" s="1" t="str">
        <f t="shared" si="638"/>
        <v>0.022510473813333+0.783632679398848i</v>
      </c>
      <c r="EV229" s="1" t="str">
        <f t="shared" si="639"/>
        <v>-0.0125</v>
      </c>
      <c r="EW229" s="1" t="str">
        <f t="shared" si="640"/>
        <v>0.075406825072117-345.363258830297i</v>
      </c>
      <c r="EX229" s="1" t="str">
        <f t="shared" si="641"/>
        <v>-0.0125</v>
      </c>
      <c r="EY229" s="1" t="str">
        <f t="shared" si="642"/>
        <v>0.0125146272854977+0.764528542554967i</v>
      </c>
      <c r="EZ229" s="1" t="str">
        <f t="shared" si="643"/>
        <v>0.10530998822857-482.319746086851i</v>
      </c>
      <c r="FB229" s="1" t="str">
        <f t="shared" si="644"/>
        <v>0.00500216319010882+0.821379868024775i</v>
      </c>
      <c r="FC229" s="1" t="str">
        <f t="shared" si="645"/>
        <v>0.0155740123436619-71.328976533971i</v>
      </c>
      <c r="FD229" s="1" t="str">
        <f t="shared" si="646"/>
        <v>-0.000037070090434549+0.00608709169045201i</v>
      </c>
      <c r="FE229" s="1" t="str">
        <f t="shared" si="647"/>
        <v>0.0150040527362916+0.811561051456121i</v>
      </c>
      <c r="FF229" s="1" t="str">
        <f t="shared" si="648"/>
        <v>-0.403673092304222-139.749305242689i</v>
      </c>
      <c r="FG229" s="1" t="str">
        <f t="shared" si="649"/>
        <v>-0.000227728702764947+0.012317721665669i</v>
      </c>
      <c r="FH229" s="1" t="str">
        <f t="shared" si="650"/>
        <v>0.0225081965263054+0.783755856615505i</v>
      </c>
      <c r="FI229" s="1" t="str">
        <f t="shared" si="651"/>
        <v>-1.64607814782759-345.390111425497i</v>
      </c>
      <c r="FJ229" s="1" t="str">
        <f t="shared" si="652"/>
        <v>-0.000457647483451079+0.0159357012455856i</v>
      </c>
      <c r="FK229" s="1" t="str">
        <f t="shared" si="653"/>
        <v>0.0125089066919546+0.764727738820537i</v>
      </c>
      <c r="FL229" s="1" t="str">
        <f t="shared" si="654"/>
        <v>-5.39826121594917-482.479002373767i</v>
      </c>
      <c r="FM229" s="1" t="str">
        <f t="shared" si="655"/>
        <v>-630.862719806393-3.26016901830572i</v>
      </c>
      <c r="FN229" s="1" t="str">
        <f t="shared" si="656"/>
        <v>-440.723622005861-0.495092635302532i</v>
      </c>
      <c r="FO229" s="1" t="str">
        <f t="shared" si="657"/>
        <v>-172.254961121968+2.74333864052042i</v>
      </c>
      <c r="FP229" s="1" t="str">
        <f t="shared" si="658"/>
        <v>-86.8267751568108+0.500839027927716i</v>
      </c>
      <c r="FQ229" s="92" t="str">
        <f t="shared" si="659"/>
        <v>0.010799817221407-72.189206138475i</v>
      </c>
      <c r="FR229" s="1" t="str">
        <f t="shared" si="660"/>
        <v>-0.416341112604378-72.177993640412i</v>
      </c>
      <c r="FS229" s="1" t="str">
        <f t="shared" si="661"/>
        <v>0.427140929825786-0.0112124980629635i</v>
      </c>
      <c r="FT229" s="1" t="str">
        <f t="shared" si="662"/>
        <v>-0.0220070204563593-143.090122017309i</v>
      </c>
      <c r="FU229" s="1" t="str">
        <f t="shared" si="663"/>
        <v>0.103772507949153-366.504794468131i</v>
      </c>
      <c r="FV229" s="1" t="str">
        <f t="shared" si="664"/>
        <v>0.332946194688024-524.583064134522i</v>
      </c>
      <c r="FW229" s="1" t="str">
        <f t="shared" si="665"/>
        <v>-0.416341112604378-72.177993640412i</v>
      </c>
      <c r="FX229" s="1" t="str">
        <f t="shared" si="666"/>
        <v>-2.2795526994695-143.133718828131i</v>
      </c>
      <c r="FY229" s="1" t="str">
        <f t="shared" si="667"/>
        <v>0.411720394281468-366.50697361016i</v>
      </c>
      <c r="FZ229" s="1" t="str">
        <f t="shared" si="668"/>
        <v>2.71090066539512-524.575921460938i</v>
      </c>
      <c r="GA229" s="1" t="str">
        <f t="shared" si="669"/>
        <v>0.427140929825786-0.0112124980629635i</v>
      </c>
      <c r="GB229" s="1" t="str">
        <f t="shared" si="670"/>
        <v>2.68468660883893+0.0323843127582295i</v>
      </c>
      <c r="GC229" s="1" t="str">
        <f t="shared" si="671"/>
        <v>2.37673872250665+0.0345634547875399i</v>
      </c>
      <c r="GD229" s="92" t="str">
        <f t="shared" si="672"/>
        <v>0.425511499402225-1106.36718675844i</v>
      </c>
      <c r="GE229" s="1" t="str">
        <f t="shared" si="623"/>
        <v>0.00250275587617424+6.50738459890274i</v>
      </c>
      <c r="GF229" s="1">
        <f t="shared" si="624"/>
        <v>45.8</v>
      </c>
      <c r="GG229" s="56">
        <f t="shared" si="625"/>
        <v>0.22855000978034071</v>
      </c>
      <c r="GH229" s="1">
        <f t="shared" si="626"/>
        <v>0.77145001127925539</v>
      </c>
      <c r="GJ229" s="1">
        <f t="shared" si="673"/>
        <v>1106.3672685848137</v>
      </c>
      <c r="GK229" s="1">
        <f t="shared" si="674"/>
        <v>6.507385080185708</v>
      </c>
      <c r="GM229" s="1" t="str">
        <f t="shared" si="627"/>
        <v>0.0191834803010191+21.965084944667i</v>
      </c>
      <c r="GP229" s="1">
        <f t="shared" si="613"/>
        <v>45.8</v>
      </c>
      <c r="GQ229" s="1">
        <f t="shared" si="614"/>
        <v>6.507385080185708</v>
      </c>
      <c r="GR229" s="1">
        <f t="shared" si="628"/>
        <v>21.965093321731036</v>
      </c>
      <c r="GS229" s="1">
        <f t="shared" si="629"/>
        <v>5.0201222935076997</v>
      </c>
    </row>
    <row r="230" spans="2:201" ht="18" customHeight="1" x14ac:dyDescent="0.25">
      <c r="B230" s="6"/>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8"/>
      <c r="AR230" s="6"/>
      <c r="AS230" s="179"/>
      <c r="AT230" s="179"/>
      <c r="AU230" s="179"/>
      <c r="AV230" s="179"/>
      <c r="AW230" s="179"/>
      <c r="AX230" s="179"/>
      <c r="AY230" s="179"/>
      <c r="AZ230" s="179"/>
      <c r="BA230" s="179"/>
      <c r="BB230" s="179"/>
      <c r="BC230" s="179"/>
      <c r="BD230" s="179"/>
      <c r="BE230" s="179"/>
      <c r="BF230" s="179"/>
      <c r="BG230" s="179"/>
      <c r="BH230" s="179"/>
      <c r="BI230" s="179"/>
      <c r="BJ230" s="179"/>
      <c r="BK230" s="179"/>
      <c r="BL230" s="179"/>
      <c r="BM230" s="179"/>
      <c r="BN230" s="179"/>
      <c r="BO230" s="179"/>
      <c r="BP230" s="179"/>
      <c r="BQ230" s="179"/>
      <c r="BR230" s="179"/>
      <c r="BS230" s="179"/>
      <c r="BT230" s="179"/>
      <c r="BU230" s="179"/>
      <c r="BV230" s="179"/>
      <c r="BW230" s="179"/>
      <c r="BX230" s="179"/>
      <c r="BY230" s="179"/>
      <c r="BZ230" s="179"/>
      <c r="CA230" s="179"/>
      <c r="CB230" s="179"/>
      <c r="CC230" s="179"/>
      <c r="CD230" s="179"/>
      <c r="CE230" s="179"/>
      <c r="CF230" s="8"/>
      <c r="EA230" s="1">
        <f t="shared" si="609"/>
        <v>46</v>
      </c>
      <c r="EB230" s="1" t="str">
        <f t="shared" si="615"/>
        <v>2.14442065299258E-06-0.00986433500376588i</v>
      </c>
      <c r="EC230" s="1" t="str">
        <f t="shared" si="616"/>
        <v>4.20131393239363E-06-0.0193260440890107i</v>
      </c>
      <c r="ED230" s="1" t="str">
        <f t="shared" si="617"/>
        <v>0.0000103829346922958-0.0477614995845604i</v>
      </c>
      <c r="EE230" s="1" t="str">
        <f t="shared" si="618"/>
        <v>0.0000145003682249974-0.0667016938349882i</v>
      </c>
      <c r="EF230" s="1" t="str">
        <f t="shared" si="619"/>
        <v>0.834917354176082i</v>
      </c>
      <c r="EG230" s="1" t="str">
        <f t="shared" si="620"/>
        <v>0.834569616835737i</v>
      </c>
      <c r="EH230" s="1" t="str">
        <f t="shared" si="621"/>
        <v>0.835234197496526i</v>
      </c>
      <c r="EI230" s="1" t="str">
        <f t="shared" si="622"/>
        <v>0.835152608431985i</v>
      </c>
      <c r="EJ230" s="1" t="str">
        <f t="shared" si="610"/>
        <v>0.005</v>
      </c>
      <c r="EK230" s="1" t="str">
        <f t="shared" si="611"/>
        <v>0.01</v>
      </c>
      <c r="EL230" s="1" t="str">
        <f t="shared" si="612"/>
        <v>0.0125</v>
      </c>
      <c r="EM230" s="1" t="str">
        <f t="shared" si="630"/>
        <v>0.00500214442065299+0.825053019172316i</v>
      </c>
      <c r="EN230" s="1" t="str">
        <f t="shared" si="631"/>
        <v>-0.005</v>
      </c>
      <c r="EO230" s="1" t="str">
        <f t="shared" si="632"/>
        <v>0.0154388805605254-71.018850578417i</v>
      </c>
      <c r="EP230" s="1" t="str">
        <f t="shared" si="633"/>
        <v>-0.005</v>
      </c>
      <c r="EQ230" s="1" t="str">
        <f t="shared" si="634"/>
        <v>0.0150042013139324+0.815243572746726i</v>
      </c>
      <c r="ER230" s="1" t="str">
        <f t="shared" si="635"/>
        <v>-0.01</v>
      </c>
      <c r="ES230" s="1" t="str">
        <f t="shared" si="636"/>
        <v>0.0302476027308253-139.138972561796i</v>
      </c>
      <c r="ET230" s="1" t="str">
        <f t="shared" si="637"/>
        <v>-0.01</v>
      </c>
      <c r="EU230" s="1" t="str">
        <f t="shared" si="638"/>
        <v>0.0225103829346923+0.787472697911966i</v>
      </c>
      <c r="EV230" s="1" t="str">
        <f t="shared" si="639"/>
        <v>-0.0125</v>
      </c>
      <c r="EW230" s="1" t="str">
        <f t="shared" si="640"/>
        <v>0.0747525390405038-343.861679586315i</v>
      </c>
      <c r="EX230" s="1" t="str">
        <f t="shared" si="641"/>
        <v>-0.0125</v>
      </c>
      <c r="EY230" s="1" t="str">
        <f t="shared" si="642"/>
        <v>0.012514500368225+0.768450914596997i</v>
      </c>
      <c r="EZ230" s="1" t="str">
        <f t="shared" si="643"/>
        <v>0.104396239980695-480.222703911199i</v>
      </c>
      <c r="FB230" s="1" t="str">
        <f t="shared" si="644"/>
        <v>0.00500214442065299+0.825053019172316i</v>
      </c>
      <c r="FC230" s="1" t="str">
        <f t="shared" si="645"/>
        <v>0.0154388805605254-71.018850578417i</v>
      </c>
      <c r="FD230" s="1" t="str">
        <f t="shared" si="646"/>
        <v>-0.0000367406259927062+0.00605999384512093i</v>
      </c>
      <c r="FE230" s="1" t="str">
        <f t="shared" si="647"/>
        <v>0.0150040176108024+0.815273872715952i</v>
      </c>
      <c r="FF230" s="1" t="str">
        <f t="shared" si="648"/>
        <v>-0.400125627427809-139.141675398345i</v>
      </c>
      <c r="FG230" s="1" t="str">
        <f t="shared" si="649"/>
        <v>-0.000225659409726577+0.0122616638859532i</v>
      </c>
      <c r="FH230" s="1" t="str">
        <f t="shared" si="650"/>
        <v>0.022508126340595+0.787595314550825i</v>
      </c>
      <c r="FI230" s="1" t="str">
        <f t="shared" si="651"/>
        <v>-1.63144620933531-343.888172008698i</v>
      </c>
      <c r="FJ230" s="1" t="str">
        <f t="shared" si="652"/>
        <v>-0.000453198598303223+0.015858143284937i</v>
      </c>
      <c r="FK230" s="1" t="str">
        <f t="shared" si="653"/>
        <v>0.0125088353857462+0.768649141388059i</v>
      </c>
      <c r="FL230" s="1" t="str">
        <f t="shared" si="654"/>
        <v>-5.34857766735227-480.379726978873i</v>
      </c>
      <c r="FM230" s="1" t="str">
        <f t="shared" si="655"/>
        <v>-624.913932004716-3.21130631057056i</v>
      </c>
      <c r="FN230" s="1" t="str">
        <f t="shared" si="656"/>
        <v>-436.667517461191-0.489715067281949i</v>
      </c>
      <c r="FO230" s="1" t="str">
        <f t="shared" si="657"/>
        <v>-170.724417693374+2.70491758190156i</v>
      </c>
      <c r="FP230" s="1" t="str">
        <f t="shared" si="658"/>
        <v>-86.0645267698072+0.494120991057751i</v>
      </c>
      <c r="FQ230" s="92" t="str">
        <f t="shared" si="659"/>
        <v>0.0107492641210342-71.8678209620182i</v>
      </c>
      <c r="FR230" s="1" t="str">
        <f t="shared" si="660"/>
        <v>-0.412550190496801-71.856766979064i</v>
      </c>
      <c r="FS230" s="1" t="str">
        <f t="shared" si="661"/>
        <v>0.423299454617834-0.0110539829542191i</v>
      </c>
      <c r="FT230" s="1" t="str">
        <f t="shared" si="662"/>
        <v>-0.0213104868394895-142.438411549417i</v>
      </c>
      <c r="FU230" s="1" t="str">
        <f t="shared" si="663"/>
        <v>0.10267595533909-364.71756995545i</v>
      </c>
      <c r="FV230" s="1" t="str">
        <f t="shared" si="664"/>
        <v>0.327657292441738-521.905475111873i</v>
      </c>
      <c r="FW230" s="1" t="str">
        <f t="shared" si="665"/>
        <v>-0.412550190496801-71.856766979064i</v>
      </c>
      <c r="FX230" s="1" t="str">
        <f t="shared" si="666"/>
        <v>-2.25744202989983-142.481411858863i</v>
      </c>
      <c r="FY230" s="1" t="str">
        <f t="shared" si="667"/>
        <v>0.409026771223196-364.719643519498i</v>
      </c>
      <c r="FZ230" s="1" t="str">
        <f t="shared" si="668"/>
        <v>2.6819308417471-521.898500359227i</v>
      </c>
      <c r="GA230" s="1" t="str">
        <f t="shared" si="669"/>
        <v>0.423299454617834-0.0110539829542191i</v>
      </c>
      <c r="GB230" s="1" t="str">
        <f t="shared" si="670"/>
        <v>2.65943099767817+0.0319463264918351i</v>
      </c>
      <c r="GC230" s="1" t="str">
        <f t="shared" si="671"/>
        <v>2.35308018179406+0.0340198905411076i</v>
      </c>
      <c r="GD230" s="92" t="str">
        <f t="shared" si="672"/>
        <v>0.419772025062373-1100.92927757876i</v>
      </c>
      <c r="GE230" s="1" t="str">
        <f t="shared" si="623"/>
        <v>0.00249344855839083+6.53952706748652i</v>
      </c>
      <c r="GF230" s="1">
        <f t="shared" si="624"/>
        <v>46</v>
      </c>
      <c r="GG230" s="56">
        <f t="shared" si="625"/>
        <v>0.22865051097381395</v>
      </c>
      <c r="GH230" s="1">
        <f t="shared" si="626"/>
        <v>0.77134951005062813</v>
      </c>
      <c r="GJ230" s="1">
        <f t="shared" si="673"/>
        <v>1100.9293576059474</v>
      </c>
      <c r="GK230" s="1">
        <f t="shared" si="674"/>
        <v>6.5395275428485329</v>
      </c>
      <c r="GM230" s="1" t="str">
        <f t="shared" si="627"/>
        <v>0.0191834803010191+22.061002346172i</v>
      </c>
      <c r="GP230" s="1">
        <f t="shared" si="613"/>
        <v>46</v>
      </c>
      <c r="GQ230" s="1">
        <f t="shared" si="614"/>
        <v>6.5395275428485329</v>
      </c>
      <c r="GR230" s="1">
        <f t="shared" si="628"/>
        <v>22.061010686814029</v>
      </c>
      <c r="GS230" s="1">
        <f t="shared" si="629"/>
        <v>5.0442613661387945</v>
      </c>
    </row>
    <row r="231" spans="2:201" ht="18" customHeight="1" x14ac:dyDescent="0.25">
      <c r="B231" s="6"/>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8"/>
      <c r="AR231" s="6"/>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79"/>
      <c r="CB231" s="179"/>
      <c r="CC231" s="179"/>
      <c r="CD231" s="179"/>
      <c r="CE231" s="179"/>
      <c r="CF231" s="8"/>
      <c r="EA231" s="1">
        <f t="shared" si="609"/>
        <v>46.2</v>
      </c>
      <c r="EB231" s="1" t="str">
        <f t="shared" si="615"/>
        <v>2.12589442832076E-06-0.00982163225884189i</v>
      </c>
      <c r="EC231" s="1" t="str">
        <f t="shared" si="616"/>
        <v>4.16501765548554E-06-0.0192423815683432i</v>
      </c>
      <c r="ED231" s="1" t="str">
        <f t="shared" si="617"/>
        <v>0.0000102932337371244-0.0475547398655149i</v>
      </c>
      <c r="EE231" s="1" t="str">
        <f t="shared" si="618"/>
        <v>0.0000143750956581688-0.06641294194074i</v>
      </c>
      <c r="EF231" s="1" t="str">
        <f t="shared" si="619"/>
        <v>0.838547429629022i</v>
      </c>
      <c r="EG231" s="1" t="str">
        <f t="shared" si="620"/>
        <v>0.838198180387197i</v>
      </c>
      <c r="EH231" s="1" t="str">
        <f t="shared" si="621"/>
        <v>0.838865650529119i</v>
      </c>
      <c r="EI231" s="1" t="str">
        <f t="shared" si="622"/>
        <v>0.838783706729508i</v>
      </c>
      <c r="EJ231" s="1" t="str">
        <f t="shared" si="610"/>
        <v>0.005</v>
      </c>
      <c r="EK231" s="1" t="str">
        <f t="shared" si="611"/>
        <v>0.01</v>
      </c>
      <c r="EL231" s="1" t="str">
        <f t="shared" si="612"/>
        <v>0.0125</v>
      </c>
      <c r="EM231" s="1" t="str">
        <f t="shared" si="630"/>
        <v>0.00500212589442832+0.82872579737018i</v>
      </c>
      <c r="EN231" s="1" t="str">
        <f t="shared" si="631"/>
        <v>-0.005</v>
      </c>
      <c r="EO231" s="1" t="str">
        <f t="shared" si="632"/>
        <v>0.0153054999341327-70.7114096956928i</v>
      </c>
      <c r="EP231" s="1" t="str">
        <f t="shared" si="633"/>
        <v>-0.005</v>
      </c>
      <c r="EQ231" s="1" t="str">
        <f t="shared" si="634"/>
        <v>0.0150041650176555+0.818955798818854i</v>
      </c>
      <c r="ER231" s="1" t="str">
        <f t="shared" si="635"/>
        <v>-0.01</v>
      </c>
      <c r="ES231" s="1" t="str">
        <f t="shared" si="636"/>
        <v>0.0299862855852393-138.536639403806i</v>
      </c>
      <c r="ET231" s="1" t="str">
        <f t="shared" si="637"/>
        <v>-0.01</v>
      </c>
      <c r="EU231" s="1" t="str">
        <f t="shared" si="638"/>
        <v>0.0225102932337371+0.791310910663604i</v>
      </c>
      <c r="EV231" s="1" t="str">
        <f t="shared" si="639"/>
        <v>-0.0125</v>
      </c>
      <c r="EW231" s="1" t="str">
        <f t="shared" si="640"/>
        <v>0.0741067318239376-342.373101026593i</v>
      </c>
      <c r="EX231" s="1" t="str">
        <f t="shared" si="641"/>
        <v>-0.0125</v>
      </c>
      <c r="EY231" s="1" t="str">
        <f t="shared" si="642"/>
        <v>0.0125143750956582+0.772370764788768i</v>
      </c>
      <c r="EZ231" s="1" t="str">
        <f t="shared" si="643"/>
        <v>0.103494332887944-478.143817942301i</v>
      </c>
      <c r="FB231" s="1" t="str">
        <f t="shared" si="644"/>
        <v>0.00500212589442832+0.82872579737018i</v>
      </c>
      <c r="FC231" s="1" t="str">
        <f t="shared" si="645"/>
        <v>0.0153054999341327-70.7114096956928i</v>
      </c>
      <c r="FD231" s="1" t="str">
        <f t="shared" si="646"/>
        <v>-0.0000364155676187499+0.0060331388990331i</v>
      </c>
      <c r="FE231" s="1" t="str">
        <f t="shared" si="647"/>
        <v>0.0150039829398174+0.818985964513349i</v>
      </c>
      <c r="FF231" s="1" t="str">
        <f t="shared" si="648"/>
        <v>-0.396624913496844-138.539306740134i</v>
      </c>
      <c r="FG231" s="1" t="str">
        <f t="shared" si="649"/>
        <v>-0.000223618590627258+0.0122061247245199i</v>
      </c>
      <c r="FH231" s="1" t="str">
        <f t="shared" si="650"/>
        <v>0.0225080570478308+0.791432971910849i</v>
      </c>
      <c r="FI231" s="1" t="str">
        <f t="shared" si="651"/>
        <v>-1.61701001819882-342.39923973795i</v>
      </c>
      <c r="FJ231" s="1" t="str">
        <f t="shared" si="652"/>
        <v>-0.000448816299424115+0.0157813718412221i</v>
      </c>
      <c r="FK231" s="1" t="str">
        <f t="shared" si="653"/>
        <v>0.0125087648919154+0.772568031936783i</v>
      </c>
      <c r="FL231" s="1" t="str">
        <f t="shared" si="654"/>
        <v>-5.29958962253589-478.298650076417i</v>
      </c>
      <c r="FM231" s="1" t="str">
        <f t="shared" si="655"/>
        <v>-619.051086172592-3.1634429195252i</v>
      </c>
      <c r="FN231" s="1" t="str">
        <f t="shared" si="656"/>
        <v>-432.668200559368-0.484402292073724i</v>
      </c>
      <c r="FO231" s="1" t="str">
        <f t="shared" si="657"/>
        <v>-169.214340330289+2.66722256333222i</v>
      </c>
      <c r="FP231" s="1" t="str">
        <f t="shared" si="658"/>
        <v>-85.3123101284696+0.487523481702022i</v>
      </c>
      <c r="FQ231" s="92" t="str">
        <f t="shared" si="659"/>
        <v>0.0106985885440745-71.5493168693503i</v>
      </c>
      <c r="FR231" s="1" t="str">
        <f t="shared" si="660"/>
        <v>-0.408811562465022-71.5384183739422i</v>
      </c>
      <c r="FS231" s="1" t="str">
        <f t="shared" si="661"/>
        <v>0.419510151009097-0.010898495408151i</v>
      </c>
      <c r="FT231" s="1" t="str">
        <f t="shared" si="662"/>
        <v>-0.0206326479910567-141.792737416305i</v>
      </c>
      <c r="FU231" s="1" t="str">
        <f t="shared" si="663"/>
        <v>0.101595911732741-362.948519766208i</v>
      </c>
      <c r="FV231" s="1" t="str">
        <f t="shared" si="664"/>
        <v>0.32248680241624-519.256776311839i</v>
      </c>
      <c r="FW231" s="1" t="str">
        <f t="shared" si="665"/>
        <v>-0.408811562465022-71.5384183739422i</v>
      </c>
      <c r="FX231" s="1" t="str">
        <f t="shared" si="666"/>
        <v>-2.23566109927274-141.835152160268i</v>
      </c>
      <c r="FY231" s="1" t="str">
        <f t="shared" si="667"/>
        <v>0.406348443858221-362.950491525498i</v>
      </c>
      <c r="FZ231" s="1" t="str">
        <f t="shared" si="668"/>
        <v>2.65344437806656-519.249964714775i</v>
      </c>
      <c r="GA231" s="1" t="str">
        <f t="shared" si="669"/>
        <v>0.419510151009097-0.010898495408151i</v>
      </c>
      <c r="GB231" s="1" t="str">
        <f t="shared" si="670"/>
        <v>2.63453860229079+0.0315162485540594i</v>
      </c>
      <c r="GC231" s="1" t="str">
        <f t="shared" si="671"/>
        <v>2.3297860701653+0.0334880078431435i</v>
      </c>
      <c r="GD231" s="92" t="str">
        <f t="shared" si="672"/>
        <v>0.414148654701999-1095.5473503637i</v>
      </c>
      <c r="GE231" s="1" t="str">
        <f t="shared" si="623"/>
        <v>0.00248427525400992+6.57165281404338i</v>
      </c>
      <c r="GF231" s="1">
        <f t="shared" si="624"/>
        <v>46.2</v>
      </c>
      <c r="GG231" s="56">
        <f t="shared" si="625"/>
        <v>0.22874966726378598</v>
      </c>
      <c r="GH231" s="1">
        <f t="shared" si="626"/>
        <v>0.77125035372363049</v>
      </c>
      <c r="GJ231" s="1">
        <f t="shared" si="673"/>
        <v>1095.5474286437952</v>
      </c>
      <c r="GK231" s="1">
        <f t="shared" si="674"/>
        <v>6.5716532836073913</v>
      </c>
      <c r="GM231" s="1" t="str">
        <f t="shared" si="627"/>
        <v>0.0191834803010191+22.1569197476771i</v>
      </c>
      <c r="GP231" s="1">
        <f t="shared" si="613"/>
        <v>46.2</v>
      </c>
      <c r="GQ231" s="1">
        <f t="shared" si="614"/>
        <v>6.5716532836073913</v>
      </c>
      <c r="GR231" s="1">
        <f t="shared" si="628"/>
        <v>22.156928052212471</v>
      </c>
      <c r="GS231" s="1">
        <f t="shared" si="629"/>
        <v>5.0683899195312421</v>
      </c>
    </row>
    <row r="232" spans="2:201" ht="18" customHeight="1" x14ac:dyDescent="0.25">
      <c r="B232" s="6"/>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8"/>
      <c r="AR232" s="6"/>
      <c r="AS232" s="179"/>
      <c r="AT232" s="179"/>
      <c r="AU232" s="179"/>
      <c r="AV232" s="179"/>
      <c r="AW232" s="179"/>
      <c r="AX232" s="179"/>
      <c r="AY232" s="179"/>
      <c r="AZ232" s="179"/>
      <c r="BA232" s="179"/>
      <c r="BB232" s="179"/>
      <c r="BC232" s="179"/>
      <c r="BD232" s="179"/>
      <c r="BE232" s="179"/>
      <c r="BF232" s="179"/>
      <c r="BG232" s="179"/>
      <c r="BH232" s="179"/>
      <c r="BI232" s="179"/>
      <c r="BJ232" s="179"/>
      <c r="BK232" s="179"/>
      <c r="BL232" s="179"/>
      <c r="BM232" s="179"/>
      <c r="BN232" s="179"/>
      <c r="BO232" s="179"/>
      <c r="BP232" s="179"/>
      <c r="BQ232" s="179"/>
      <c r="BR232" s="179"/>
      <c r="BS232" s="179"/>
      <c r="BT232" s="179"/>
      <c r="BU232" s="179"/>
      <c r="BV232" s="179"/>
      <c r="BW232" s="179"/>
      <c r="BX232" s="179"/>
      <c r="BY232" s="179"/>
      <c r="BZ232" s="179"/>
      <c r="CA232" s="179"/>
      <c r="CB232" s="179"/>
      <c r="CC232" s="179"/>
      <c r="CD232" s="179"/>
      <c r="CE232" s="179"/>
      <c r="CF232" s="8"/>
      <c r="EA232" s="1">
        <f t="shared" si="609"/>
        <v>46.4</v>
      </c>
      <c r="EB232" s="1" t="str">
        <f t="shared" si="615"/>
        <v>2.10760725021071E-06-0.0097792976409777i</v>
      </c>
      <c r="EC232" s="1" t="str">
        <f t="shared" si="616"/>
        <v>4.12918971469853E-06-0.0191594402762012i</v>
      </c>
      <c r="ED232" s="1" t="str">
        <f t="shared" si="617"/>
        <v>0.0000102046902063773-0.0473497625575909i</v>
      </c>
      <c r="EE232" s="1" t="str">
        <f t="shared" si="618"/>
        <v>0.0000142514395014248-0.0661266792866111i</v>
      </c>
      <c r="EF232" s="1" t="str">
        <f t="shared" si="619"/>
        <v>0.842177505081963i</v>
      </c>
      <c r="EG232" s="1" t="str">
        <f t="shared" si="620"/>
        <v>0.841826743938658i</v>
      </c>
      <c r="EH232" s="1" t="str">
        <f t="shared" si="621"/>
        <v>0.842497103561713i</v>
      </c>
      <c r="EI232" s="1" t="str">
        <f t="shared" si="622"/>
        <v>0.842414805027045i</v>
      </c>
      <c r="EJ232" s="1" t="str">
        <f t="shared" si="610"/>
        <v>0.005</v>
      </c>
      <c r="EK232" s="1" t="str">
        <f t="shared" si="611"/>
        <v>0.01</v>
      </c>
      <c r="EL232" s="1" t="str">
        <f t="shared" si="612"/>
        <v>0.0125</v>
      </c>
      <c r="EM232" s="1" t="str">
        <f t="shared" si="630"/>
        <v>0.00500210760725021+0.832398207440985i</v>
      </c>
      <c r="EN232" s="1" t="str">
        <f t="shared" si="631"/>
        <v>-0.005</v>
      </c>
      <c r="EO232" s="1" t="str">
        <f t="shared" si="632"/>
        <v>0.0151738403372918-70.4066191650342i</v>
      </c>
      <c r="EP232" s="1" t="str">
        <f t="shared" si="633"/>
        <v>-0.005</v>
      </c>
      <c r="EQ232" s="1" t="str">
        <f t="shared" si="634"/>
        <v>0.0150041291897147+0.822667303662457i</v>
      </c>
      <c r="ER232" s="1" t="str">
        <f t="shared" si="635"/>
        <v>-0.01</v>
      </c>
      <c r="ES232" s="1" t="str">
        <f t="shared" si="636"/>
        <v>0.0297283402526534-137.939498772312i</v>
      </c>
      <c r="ET232" s="1" t="str">
        <f t="shared" si="637"/>
        <v>-0.01</v>
      </c>
      <c r="EU232" s="1" t="str">
        <f t="shared" si="638"/>
        <v>0.0225102046902064+0.795147341004122i</v>
      </c>
      <c r="EV232" s="1" t="str">
        <f t="shared" si="639"/>
        <v>-0.0125</v>
      </c>
      <c r="EW232" s="1" t="str">
        <f t="shared" si="640"/>
        <v>0.073469257551479-340.897355038864i</v>
      </c>
      <c r="EX232" s="1" t="str">
        <f t="shared" si="641"/>
        <v>-0.0125</v>
      </c>
      <c r="EY232" s="1" t="str">
        <f t="shared" si="642"/>
        <v>0.0125142514395014+0.776288125740434i</v>
      </c>
      <c r="EZ232" s="1" t="str">
        <f t="shared" si="643"/>
        <v>0.102604063233116-476.08285340166i</v>
      </c>
      <c r="FB232" s="1" t="str">
        <f t="shared" si="644"/>
        <v>0.00500210760725021+0.832398207440985i</v>
      </c>
      <c r="FC232" s="1" t="str">
        <f t="shared" si="645"/>
        <v>0.0151738403372918-70.4066191650342i</v>
      </c>
      <c r="FD232" s="1" t="str">
        <f t="shared" si="646"/>
        <v>-0.0000360948365298704+0.00600652356654442i</v>
      </c>
      <c r="FE232" s="1" t="str">
        <f t="shared" si="647"/>
        <v>0.0150039487155321+0.82269733628029i</v>
      </c>
      <c r="FF232" s="1" t="str">
        <f t="shared" si="648"/>
        <v>-0.393170129305556-137.942131229751i</v>
      </c>
      <c r="FG232" s="1" t="str">
        <f t="shared" si="649"/>
        <v>-0.000221605718703138+0.0121510968837702i</v>
      </c>
      <c r="FH232" s="1" t="str">
        <f t="shared" si="650"/>
        <v>0.0225079886330194+0.79526885197296i</v>
      </c>
      <c r="FI232" s="1" t="str">
        <f t="shared" si="651"/>
        <v>-1.60276607212404-340.923146355662i</v>
      </c>
      <c r="FJ232" s="1" t="str">
        <f t="shared" si="652"/>
        <v>-0.000444499230379281+0.0157053745854489i</v>
      </c>
      <c r="FK232" s="1" t="str">
        <f t="shared" si="653"/>
        <v>0.0125086951991217+0.776484442922752i</v>
      </c>
      <c r="FL232" s="1" t="str">
        <f t="shared" si="654"/>
        <v>-5.25128393581257-476.235535875823i</v>
      </c>
      <c r="FM232" s="1" t="str">
        <f t="shared" si="655"/>
        <v>-613.272495291802-3.11655282195799i</v>
      </c>
      <c r="FN232" s="1" t="str">
        <f t="shared" si="656"/>
        <v>-428.724597513735-0.47915381486154i</v>
      </c>
      <c r="FO232" s="1" t="str">
        <f t="shared" si="657"/>
        <v>-167.724363034538+2.63023625785776i</v>
      </c>
      <c r="FP232" s="1" t="str">
        <f t="shared" si="658"/>
        <v>-84.5699493190393+0.481043789405632i</v>
      </c>
      <c r="FQ232" s="92" t="str">
        <f t="shared" si="659"/>
        <v>0.0106478101806851-71.2336548847589i</v>
      </c>
      <c r="FR232" s="1" t="str">
        <f t="shared" si="660"/>
        <v>-0.405124258396808-71.2229089224166i</v>
      </c>
      <c r="FS232" s="1" t="str">
        <f t="shared" si="661"/>
        <v>0.415772068577494-0.0107459623422607i</v>
      </c>
      <c r="FT232" s="1" t="str">
        <f t="shared" si="662"/>
        <v>-0.0199729485273247-141.153014549481i</v>
      </c>
      <c r="FU232" s="1" t="str">
        <f t="shared" si="663"/>
        <v>0.100532078615218-361.197358044122i</v>
      </c>
      <c r="FV232" s="1" t="str">
        <f t="shared" si="664"/>
        <v>0.317431368035054-516.636482597757i</v>
      </c>
      <c r="FW232" s="1" t="str">
        <f t="shared" si="665"/>
        <v>-0.405124258396808-71.2229089224166i</v>
      </c>
      <c r="FX232" s="1" t="str">
        <f t="shared" si="666"/>
        <v>-2.2142032247418-141.194854412551i</v>
      </c>
      <c r="FY232" s="1" t="str">
        <f t="shared" si="667"/>
        <v>0.403685701181393-361.199231630983i</v>
      </c>
      <c r="FZ232" s="1" t="str">
        <f t="shared" si="668"/>
        <v>2.62543023786623-516.629829549693i</v>
      </c>
      <c r="GA232" s="1" t="str">
        <f t="shared" si="669"/>
        <v>0.415772068577494-0.0107459623422607i</v>
      </c>
      <c r="GB232" s="1" t="str">
        <f t="shared" si="670"/>
        <v>2.61000234479197+0.031093900727193i</v>
      </c>
      <c r="GC232" s="1" t="str">
        <f t="shared" si="671"/>
        <v>2.30684872222584+0.0329674875887056i</v>
      </c>
      <c r="GD232" s="92" t="str">
        <f t="shared" si="672"/>
        <v>0.408638308303632-1090.22051007612i</v>
      </c>
      <c r="GE232" s="1" t="str">
        <f t="shared" si="623"/>
        <v>0.00247523334329021+6.60376206352675i</v>
      </c>
      <c r="GF232" s="1">
        <f t="shared" si="624"/>
        <v>46.4</v>
      </c>
      <c r="GG232" s="56">
        <f t="shared" si="625"/>
        <v>0.22884750273704813</v>
      </c>
      <c r="GH232" s="1">
        <f t="shared" si="626"/>
        <v>0.77115251821154562</v>
      </c>
      <c r="GJ232" s="1">
        <f t="shared" si="673"/>
        <v>1090.2205866593706</v>
      </c>
      <c r="GK232" s="1">
        <f t="shared" si="674"/>
        <v>6.6037625274123215</v>
      </c>
      <c r="GM232" s="1" t="str">
        <f t="shared" si="627"/>
        <v>0.0191834803010191+22.2528371491822i</v>
      </c>
      <c r="GP232" s="1">
        <f t="shared" si="613"/>
        <v>46.4</v>
      </c>
      <c r="GQ232" s="1">
        <f t="shared" si="614"/>
        <v>6.6037625274123215</v>
      </c>
      <c r="GR232" s="1">
        <f t="shared" si="628"/>
        <v>22.252845417922174</v>
      </c>
      <c r="GS232" s="1">
        <f t="shared" si="629"/>
        <v>5.0925081026850849</v>
      </c>
    </row>
    <row r="233" spans="2:201" ht="18" customHeight="1" x14ac:dyDescent="0.25">
      <c r="B233" s="6"/>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8"/>
      <c r="AR233" s="6"/>
      <c r="AS233" s="179"/>
      <c r="AT233" s="179"/>
      <c r="AU233" s="179"/>
      <c r="AV233" s="179"/>
      <c r="AW233" s="179"/>
      <c r="AX233" s="179"/>
      <c r="AY233" s="179"/>
      <c r="AZ233" s="179"/>
      <c r="BA233" s="179"/>
      <c r="BB233" s="179"/>
      <c r="BC233" s="179"/>
      <c r="BD233" s="179"/>
      <c r="BE233" s="179"/>
      <c r="BF233" s="179"/>
      <c r="BG233" s="179"/>
      <c r="BH233" s="179"/>
      <c r="BI233" s="179"/>
      <c r="BJ233" s="179"/>
      <c r="BK233" s="179"/>
      <c r="BL233" s="179"/>
      <c r="BM233" s="179"/>
      <c r="BN233" s="179"/>
      <c r="BO233" s="179"/>
      <c r="BP233" s="179"/>
      <c r="BQ233" s="179"/>
      <c r="BR233" s="179"/>
      <c r="BS233" s="179"/>
      <c r="BT233" s="179"/>
      <c r="BU233" s="179"/>
      <c r="BV233" s="179"/>
      <c r="BW233" s="179"/>
      <c r="BX233" s="179"/>
      <c r="BY233" s="179"/>
      <c r="BZ233" s="179"/>
      <c r="CA233" s="179"/>
      <c r="CB233" s="179"/>
      <c r="CC233" s="179"/>
      <c r="CD233" s="179"/>
      <c r="CE233" s="179"/>
      <c r="CF233" s="8"/>
      <c r="EA233" s="1">
        <f t="shared" si="609"/>
        <v>46.6</v>
      </c>
      <c r="EB233" s="1" t="str">
        <f t="shared" si="615"/>
        <v>0.0000020895550236783-0.0097373264103409i</v>
      </c>
      <c r="EC233" s="1" t="str">
        <f t="shared" si="616"/>
        <v>4.09382208720649E-06-0.0190772109263822i</v>
      </c>
      <c r="ED233" s="1" t="str">
        <f t="shared" si="617"/>
        <v>0.0000101172842728097-0.0471465447112935i</v>
      </c>
      <c r="EE233" s="1" t="str">
        <f t="shared" si="618"/>
        <v>0.0000141293720648724-0.0658428738223055i</v>
      </c>
      <c r="EF233" s="1" t="str">
        <f t="shared" si="619"/>
        <v>0.845807580534906i</v>
      </c>
      <c r="EG233" s="1" t="str">
        <f t="shared" si="620"/>
        <v>0.845455307490117i</v>
      </c>
      <c r="EH233" s="1" t="str">
        <f t="shared" si="621"/>
        <v>0.84612855659431i</v>
      </c>
      <c r="EI233" s="1" t="str">
        <f t="shared" si="622"/>
        <v>0.846045903324573i</v>
      </c>
      <c r="EJ233" s="1" t="str">
        <f t="shared" si="610"/>
        <v>0.005</v>
      </c>
      <c r="EK233" s="1" t="str">
        <f t="shared" si="611"/>
        <v>0.01</v>
      </c>
      <c r="EL233" s="1" t="str">
        <f t="shared" si="612"/>
        <v>0.0125</v>
      </c>
      <c r="EM233" s="1" t="str">
        <f t="shared" si="630"/>
        <v>0.00500208955502368+0.836070254124565i</v>
      </c>
      <c r="EN233" s="1" t="str">
        <f t="shared" si="631"/>
        <v>-0.005</v>
      </c>
      <c r="EO233" s="1" t="str">
        <f t="shared" si="632"/>
        <v>0.0150438722879278-70.1044448617437i</v>
      </c>
      <c r="EP233" s="1" t="str">
        <f t="shared" si="633"/>
        <v>-0.005</v>
      </c>
      <c r="EQ233" s="1" t="str">
        <f t="shared" si="634"/>
        <v>0.0150040938220872+0.826378096563735i</v>
      </c>
      <c r="ER233" s="1" t="str">
        <f t="shared" si="635"/>
        <v>-0.01</v>
      </c>
      <c r="ES233" s="1" t="str">
        <f t="shared" si="636"/>
        <v>0.0294737089722669-137.347483810763i</v>
      </c>
      <c r="ET233" s="1" t="str">
        <f t="shared" si="637"/>
        <v>-0.01</v>
      </c>
      <c r="EU233" s="1" t="str">
        <f t="shared" si="638"/>
        <v>0.0225101172842728+0.798982011883016i</v>
      </c>
      <c r="EV233" s="1" t="str">
        <f t="shared" si="639"/>
        <v>-0.0125</v>
      </c>
      <c r="EW233" s="1" t="str">
        <f t="shared" si="640"/>
        <v>0.0728399734757319-339.434276396913i</v>
      </c>
      <c r="EX233" s="1" t="str">
        <f t="shared" si="641"/>
        <v>-0.0125</v>
      </c>
      <c r="EY233" s="1" t="str">
        <f t="shared" si="642"/>
        <v>0.0125141293720649+0.780203029502267i</v>
      </c>
      <c r="EZ233" s="1" t="str">
        <f t="shared" si="643"/>
        <v>0.101725231661227-474.039579541317i</v>
      </c>
      <c r="FB233" s="1" t="str">
        <f t="shared" si="644"/>
        <v>0.00500208955502368+0.836070254124565i</v>
      </c>
      <c r="FC233" s="1" t="str">
        <f t="shared" si="645"/>
        <v>0.0150438722879278-70.1044448617437i</v>
      </c>
      <c r="FD233" s="1" t="str">
        <f t="shared" si="646"/>
        <v>-0.0000357783557081881+0.00598014462157351i</v>
      </c>
      <c r="FE233" s="1" t="str">
        <f t="shared" si="647"/>
        <v>0.0150039149303087+0.826407997286843i</v>
      </c>
      <c r="FF233" s="1" t="str">
        <f t="shared" si="648"/>
        <v>-0.389760471671072-137.35008199706i</v>
      </c>
      <c r="FG233" s="1" t="str">
        <f t="shared" si="649"/>
        <v>-0.00021962027945671+0.0120965732045551i</v>
      </c>
      <c r="FH233" s="1" t="str">
        <f t="shared" si="650"/>
        <v>0.0225079210814782+0.799102977615062i</v>
      </c>
      <c r="FI233" s="1" t="str">
        <f t="shared" si="651"/>
        <v>-1.58871094735706-339.459726494227i</v>
      </c>
      <c r="FJ233" s="1" t="str">
        <f t="shared" si="652"/>
        <v>-0.000440246069806965+0.015630139451465i</v>
      </c>
      <c r="FK233" s="1" t="str">
        <f t="shared" si="653"/>
        <v>0.0125086262961923+0.78039840624541i</v>
      </c>
      <c r="FL233" s="1" t="str">
        <f t="shared" si="654"/>
        <v>-5.20364777551759-474.190152646402i</v>
      </c>
      <c r="FM233" s="1" t="str">
        <f t="shared" si="655"/>
        <v>-607.576514416991-3.07061081941021i</v>
      </c>
      <c r="FN233" s="1" t="str">
        <f t="shared" si="656"/>
        <v>-424.835660208814-0.473969119898188i</v>
      </c>
      <c r="FO233" s="1" t="str">
        <f t="shared" si="657"/>
        <v>-166.254128011853+2.59394183901232i</v>
      </c>
      <c r="FP233" s="1" t="str">
        <f t="shared" si="658"/>
        <v>-83.8372722806606+0.474679277030516i</v>
      </c>
      <c r="FQ233" s="92" t="str">
        <f t="shared" si="659"/>
        <v>0.0105969478207226-70.9207967391615i</v>
      </c>
      <c r="FR233" s="1" t="str">
        <f t="shared" si="660"/>
        <v>-0.401487330835239-70.9102004263517i</v>
      </c>
      <c r="FS233" s="1" t="str">
        <f t="shared" si="661"/>
        <v>0.412084278655962-0.010596312809909i</v>
      </c>
      <c r="FT233" s="1" t="str">
        <f t="shared" si="662"/>
        <v>-0.0193308517999947-140.519159497364i</v>
      </c>
      <c r="FU233" s="1" t="str">
        <f t="shared" si="663"/>
        <v>0.0994841629223436-359.463805050619i</v>
      </c>
      <c r="FV233" s="1" t="str">
        <f t="shared" si="664"/>
        <v>0.312487747031135-514.044119931668i</v>
      </c>
      <c r="FW233" s="1" t="str">
        <f t="shared" si="665"/>
        <v>-0.401487330835239-70.9102004263517i</v>
      </c>
      <c r="FX233" s="1" t="str">
        <f t="shared" si="666"/>
        <v>-2.19306189511364-140.560434919762i</v>
      </c>
      <c r="FY233" s="1" t="str">
        <f t="shared" si="667"/>
        <v>0.401038807289729-359.465583962274i</v>
      </c>
      <c r="FZ233" s="1" t="str">
        <f t="shared" si="668"/>
        <v>2.59787770446612-514.037620978719i</v>
      </c>
      <c r="GA233" s="1" t="str">
        <f t="shared" si="669"/>
        <v>0.412084278655962-0.010596312809909i</v>
      </c>
      <c r="GB233" s="1" t="str">
        <f t="shared" si="670"/>
        <v>2.58581532196961+0.0306791095891051i</v>
      </c>
      <c r="GC233" s="1" t="str">
        <f t="shared" si="671"/>
        <v>2.28426067760221+0.0324580212439003i</v>
      </c>
      <c r="GD233" s="92" t="str">
        <f t="shared" si="672"/>
        <v>0.403238005974207-1084.94788121881i</v>
      </c>
      <c r="GE233" s="1" t="str">
        <f t="shared" si="623"/>
        <v>0.00246632027151205+6.63585503682695i</v>
      </c>
      <c r="GF233" s="1">
        <f t="shared" si="624"/>
        <v>46.6</v>
      </c>
      <c r="GG233" s="56">
        <f t="shared" si="625"/>
        <v>0.22894404093913887</v>
      </c>
      <c r="GH233" s="1">
        <f t="shared" si="626"/>
        <v>0.77105597996891195</v>
      </c>
      <c r="GJ233" s="1">
        <f t="shared" si="673"/>
        <v>1084.9479561536923</v>
      </c>
      <c r="GK233" s="1">
        <f t="shared" si="674"/>
        <v>6.6358554951503645</v>
      </c>
      <c r="GM233" s="1" t="str">
        <f t="shared" si="627"/>
        <v>0.0191834803010191+22.3487545506873i</v>
      </c>
      <c r="GP233" s="1">
        <f t="shared" si="613"/>
        <v>46.6</v>
      </c>
      <c r="GQ233" s="1">
        <f t="shared" si="614"/>
        <v>6.6358554951503645</v>
      </c>
      <c r="GR233" s="1">
        <f t="shared" si="628"/>
        <v>22.348762783939129</v>
      </c>
      <c r="GS233" s="1">
        <f t="shared" si="629"/>
        <v>5.1166160617452574</v>
      </c>
    </row>
    <row r="234" spans="2:201" ht="18" customHeight="1" x14ac:dyDescent="0.25">
      <c r="B234" s="6"/>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8"/>
      <c r="AR234" s="6"/>
      <c r="AS234" s="179"/>
      <c r="AT234" s="179"/>
      <c r="AU234" s="179"/>
      <c r="AV234" s="179"/>
      <c r="AW234" s="179"/>
      <c r="AX234" s="179"/>
      <c r="AY234" s="179"/>
      <c r="AZ234" s="179"/>
      <c r="BA234" s="179"/>
      <c r="BB234" s="179"/>
      <c r="BC234" s="179"/>
      <c r="BD234" s="179"/>
      <c r="BE234" s="179"/>
      <c r="BF234" s="179"/>
      <c r="BG234" s="179"/>
      <c r="BH234" s="179"/>
      <c r="BI234" s="179"/>
      <c r="BJ234" s="179"/>
      <c r="BK234" s="179"/>
      <c r="BL234" s="179"/>
      <c r="BM234" s="179"/>
      <c r="BN234" s="179"/>
      <c r="BO234" s="179"/>
      <c r="BP234" s="179"/>
      <c r="BQ234" s="179"/>
      <c r="BR234" s="179"/>
      <c r="BS234" s="179"/>
      <c r="BT234" s="179"/>
      <c r="BU234" s="179"/>
      <c r="BV234" s="179"/>
      <c r="BW234" s="179"/>
      <c r="BX234" s="179"/>
      <c r="BY234" s="179"/>
      <c r="BZ234" s="179"/>
      <c r="CA234" s="179"/>
      <c r="CB234" s="179"/>
      <c r="CC234" s="179"/>
      <c r="CD234" s="179"/>
      <c r="CE234" s="179"/>
      <c r="CF234" s="8"/>
      <c r="EA234" s="1">
        <f t="shared" si="609"/>
        <v>46.8</v>
      </c>
      <c r="EB234" s="1" t="str">
        <f t="shared" si="615"/>
        <v>2.07173374105168E-06-0.00969571390812183i</v>
      </c>
      <c r="EC234" s="1" t="str">
        <f t="shared" si="616"/>
        <v>4.05890692124407E-06-0.0189956843914223i</v>
      </c>
      <c r="ED234" s="1" t="str">
        <f t="shared" si="617"/>
        <v>0.0000100309965319288-0.0469450637694265i</v>
      </c>
      <c r="EE234" s="1" t="str">
        <f t="shared" si="618"/>
        <v>0.0000140088662490159-0.0655614940453948i</v>
      </c>
      <c r="EF234" s="1" t="str">
        <f t="shared" si="619"/>
        <v>0.849437655987841i</v>
      </c>
      <c r="EG234" s="1" t="str">
        <f t="shared" si="620"/>
        <v>0.849083871041575i</v>
      </c>
      <c r="EH234" s="1" t="str">
        <f t="shared" si="621"/>
        <v>0.849760009626903i</v>
      </c>
      <c r="EI234" s="1" t="str">
        <f t="shared" si="622"/>
        <v>0.849677001622106i</v>
      </c>
      <c r="EJ234" s="1" t="str">
        <f t="shared" si="610"/>
        <v>0.005</v>
      </c>
      <c r="EK234" s="1" t="str">
        <f t="shared" si="611"/>
        <v>0.01</v>
      </c>
      <c r="EL234" s="1" t="str">
        <f t="shared" si="612"/>
        <v>0.0125</v>
      </c>
      <c r="EM234" s="1" t="str">
        <f t="shared" si="630"/>
        <v>0.00500207173374105+0.839741942079719i</v>
      </c>
      <c r="EN234" s="1" t="str">
        <f t="shared" si="631"/>
        <v>-0.005</v>
      </c>
      <c r="EO234" s="1" t="str">
        <f t="shared" si="632"/>
        <v>0.0149155669325752-69.8048532444515i</v>
      </c>
      <c r="EP234" s="1" t="str">
        <f t="shared" si="633"/>
        <v>-0.005</v>
      </c>
      <c r="EQ234" s="1" t="str">
        <f t="shared" si="634"/>
        <v>0.0150040589069212+0.830088186650153i</v>
      </c>
      <c r="ER234" s="1" t="str">
        <f t="shared" si="635"/>
        <v>-0.01</v>
      </c>
      <c r="ES234" s="1" t="str">
        <f t="shared" si="636"/>
        <v>0.0292223352148409-136.760528805456i</v>
      </c>
      <c r="ET234" s="1" t="str">
        <f t="shared" si="637"/>
        <v>-0.01</v>
      </c>
      <c r="EU234" s="1" t="str">
        <f t="shared" si="638"/>
        <v>0.0225100309965319+0.802814945857476i</v>
      </c>
      <c r="EV234" s="1" t="str">
        <f t="shared" si="639"/>
        <v>-0.0125</v>
      </c>
      <c r="EW234" s="1" t="str">
        <f t="shared" si="640"/>
        <v>0.0722187398929277-337.9837026989i</v>
      </c>
      <c r="EX234" s="1" t="str">
        <f t="shared" si="641"/>
        <v>-0.0125</v>
      </c>
      <c r="EY234" s="1" t="str">
        <f t="shared" si="642"/>
        <v>0.012514008866249+0.784115507576711i</v>
      </c>
      <c r="EZ234" s="1" t="str">
        <f t="shared" si="643"/>
        <v>0.100857643067888-472.013769557717i</v>
      </c>
      <c r="FB234" s="1" t="str">
        <f t="shared" si="644"/>
        <v>0.00500207173374105+0.839741942079719i</v>
      </c>
      <c r="FC234" s="1" t="str">
        <f t="shared" si="645"/>
        <v>0.0149155669325752-69.8048532444515i</v>
      </c>
      <c r="FD234" s="1" t="str">
        <f t="shared" si="646"/>
        <v>-0.000035466049853221+0.00595399889624648i</v>
      </c>
      <c r="FE234" s="1" t="str">
        <f t="shared" si="647"/>
        <v>0.0150038815766719+0.830117956644634i</v>
      </c>
      <c r="FF234" s="1" t="str">
        <f t="shared" si="648"/>
        <v>-0.38639515495903-136.76309331513i</v>
      </c>
      <c r="FG234" s="1" t="str">
        <f t="shared" si="649"/>
        <v>-0.000217661770312131+0.0120425466628642i</v>
      </c>
      <c r="FH234" s="1" t="str">
        <f t="shared" si="650"/>
        <v>0.0225078543788288+0.802935371324105i</v>
      </c>
      <c r="FI234" s="1" t="str">
        <f t="shared" si="651"/>
        <v>-1.57484129656564-338.00881761422i</v>
      </c>
      <c r="FJ234" s="1" t="str">
        <f t="shared" si="652"/>
        <v>-0.000436055530318227+0.0155556546288716i</v>
      </c>
      <c r="FK234" s="1" t="str">
        <f t="shared" si="653"/>
        <v>0.01250855817212+0.784309953259572i</v>
      </c>
      <c r="FL234" s="1" t="str">
        <f t="shared" si="654"/>
        <v>-5.15666861492249-472.162272630212i</v>
      </c>
      <c r="FM234" s="1" t="str">
        <f t="shared" si="655"/>
        <v>-601.961539399305-3.02559250736329i</v>
      </c>
      <c r="FN234" s="1" t="str">
        <f t="shared" si="656"/>
        <v>-421.000365456529-0.468847672573577i</v>
      </c>
      <c r="FO234" s="1" t="str">
        <f t="shared" si="657"/>
        <v>-164.803285450679+2.55832296383514i</v>
      </c>
      <c r="FP234" s="1" t="str">
        <f t="shared" si="658"/>
        <v>-83.1141107042091+0.468427378437326i</v>
      </c>
      <c r="FQ234" s="92" t="str">
        <f t="shared" si="659"/>
        <v>0.0105460193920187-70.6107048540243i</v>
      </c>
      <c r="FR234" s="1" t="str">
        <f t="shared" si="660"/>
        <v>-0.397899854340332-70.6002553760973i</v>
      </c>
      <c r="FS234" s="1" t="str">
        <f t="shared" si="661"/>
        <v>0.40844587373235-0.0104494779269891i</v>
      </c>
      <c r="FT234" s="1" t="str">
        <f t="shared" si="662"/>
        <v>-0.01870583918154-139.891090386541i</v>
      </c>
      <c r="FU234" s="1" t="str">
        <f t="shared" si="663"/>
        <v>0.0984518769858767-357.747586999199i</v>
      </c>
      <c r="FV234" s="1" t="str">
        <f t="shared" si="664"/>
        <v>0.307652806915674-511.47922505348i</v>
      </c>
      <c r="FW234" s="1" t="str">
        <f t="shared" si="665"/>
        <v>-0.397899854340332-70.6002553760973i</v>
      </c>
      <c r="FX234" s="1" t="str">
        <f t="shared" si="666"/>
        <v>-2.1722307655077-139.931811570832i</v>
      </c>
      <c r="FY234" s="1" t="str">
        <f t="shared" si="667"/>
        <v>0.398408002759674-357.74927460327i</v>
      </c>
      <c r="FZ234" s="1" t="str">
        <f t="shared" si="668"/>
        <v>2.57077636978675-511.472875888629i</v>
      </c>
      <c r="GA234" s="1" t="str">
        <f t="shared" si="669"/>
        <v>0.40844587373235-0.0104494779269891i</v>
      </c>
      <c r="GB234" s="1" t="str">
        <f t="shared" si="670"/>
        <v>2.5619708000585+0.0302717063640872i</v>
      </c>
      <c r="GC234" s="1" t="str">
        <f t="shared" si="671"/>
        <v>2.2620146742847+0.0319593104348714i</v>
      </c>
      <c r="GD234" s="92" t="str">
        <f t="shared" si="672"/>
        <v>0.397944864112029-1079.72860729324i</v>
      </c>
      <c r="GE234" s="1" t="str">
        <f t="shared" si="623"/>
        <v>0.00245753354701468+6.66793195086335i</v>
      </c>
      <c r="GF234" s="1">
        <f t="shared" si="624"/>
        <v>46.8</v>
      </c>
      <c r="GG234" s="56">
        <f t="shared" si="625"/>
        <v>0.22903930488898278</v>
      </c>
      <c r="GH234" s="1">
        <f t="shared" si="626"/>
        <v>0.77096071597686477</v>
      </c>
      <c r="GJ234" s="1">
        <f t="shared" si="673"/>
        <v>1079.7286806265333</v>
      </c>
      <c r="GK234" s="1">
        <f t="shared" si="674"/>
        <v>6.6679324037377183</v>
      </c>
      <c r="GM234" s="1" t="str">
        <f t="shared" si="627"/>
        <v>0.0191834803010191+22.4446719521924i</v>
      </c>
      <c r="GP234" s="1">
        <f t="shared" si="613"/>
        <v>46.8</v>
      </c>
      <c r="GQ234" s="1">
        <f t="shared" si="614"/>
        <v>6.6679324037377183</v>
      </c>
      <c r="GR234" s="1">
        <f t="shared" si="628"/>
        <v>22.444680150259408</v>
      </c>
      <c r="GS234" s="1">
        <f t="shared" si="629"/>
        <v>5.1407139400709552</v>
      </c>
    </row>
    <row r="235" spans="2:201" ht="18" customHeight="1" x14ac:dyDescent="0.25">
      <c r="B235" s="6"/>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8"/>
      <c r="AR235" s="6"/>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79"/>
      <c r="CB235" s="179"/>
      <c r="CC235" s="179"/>
      <c r="CD235" s="179"/>
      <c r="CE235" s="179"/>
      <c r="CF235" s="8"/>
      <c r="EA235" s="1">
        <f t="shared" si="609"/>
        <v>47</v>
      </c>
      <c r="EB235" s="1" t="str">
        <f t="shared" si="615"/>
        <v>2.05413947974668E-06-0.00965445555480942i</v>
      </c>
      <c r="EC235" s="1" t="str">
        <f t="shared" si="616"/>
        <v>4.02443653174861E-06-0.0189148516992185i</v>
      </c>
      <c r="ED235" s="1" t="str">
        <f t="shared" si="617"/>
        <v>9.94580799122247E-06-0.0467452975587456i</v>
      </c>
      <c r="EE235" s="1" t="str">
        <f t="shared" si="618"/>
        <v>0.0000138898955297156-0.0652825089896636i</v>
      </c>
      <c r="EF235" s="1" t="str">
        <f t="shared" si="619"/>
        <v>0.853067731440782i</v>
      </c>
      <c r="EG235" s="1" t="str">
        <f t="shared" si="620"/>
        <v>0.852712434593036i</v>
      </c>
      <c r="EH235" s="1" t="str">
        <f t="shared" si="621"/>
        <v>0.853391462659493i</v>
      </c>
      <c r="EI235" s="1" t="str">
        <f t="shared" si="622"/>
        <v>0.853308099919631i</v>
      </c>
      <c r="EJ235" s="1" t="str">
        <f t="shared" si="610"/>
        <v>0.005</v>
      </c>
      <c r="EK235" s="1" t="str">
        <f t="shared" si="611"/>
        <v>0.01</v>
      </c>
      <c r="EL235" s="1" t="str">
        <f t="shared" si="612"/>
        <v>0.0125</v>
      </c>
      <c r="EM235" s="1" t="str">
        <f t="shared" si="630"/>
        <v>0.00500205413947975+0.843413275885973i</v>
      </c>
      <c r="EN235" s="1" t="str">
        <f t="shared" si="631"/>
        <v>-0.005</v>
      </c>
      <c r="EO235" s="1" t="str">
        <f t="shared" si="632"/>
        <v>0.0147888960303623-69.5078113427028i</v>
      </c>
      <c r="EP235" s="1" t="str">
        <f t="shared" si="633"/>
        <v>-0.005</v>
      </c>
      <c r="EQ235" s="1" t="str">
        <f t="shared" si="634"/>
        <v>0.0150040244365317+0.833797582893818i</v>
      </c>
      <c r="ER235" s="1" t="str">
        <f t="shared" si="635"/>
        <v>-0.01</v>
      </c>
      <c r="ES235" s="1" t="str">
        <f t="shared" si="636"/>
        <v>0.0289741636513221-136.178569161214i</v>
      </c>
      <c r="ET235" s="1" t="str">
        <f t="shared" si="637"/>
        <v>-0.01</v>
      </c>
      <c r="EU235" s="1" t="str">
        <f t="shared" si="638"/>
        <v>0.0225099458079912+0.806646165100747i</v>
      </c>
      <c r="EV235" s="1" t="str">
        <f t="shared" si="639"/>
        <v>-0.0125</v>
      </c>
      <c r="EW235" s="1" t="str">
        <f t="shared" si="640"/>
        <v>0.0716054200653766-336.54547430727i</v>
      </c>
      <c r="EX235" s="1" t="str">
        <f t="shared" si="641"/>
        <v>-0.0125</v>
      </c>
      <c r="EY235" s="1" t="str">
        <f t="shared" si="642"/>
        <v>0.0125138898955297+0.788025590929967i</v>
      </c>
      <c r="EZ235" s="1" t="str">
        <f t="shared" si="643"/>
        <v>0.100001106491021-470.005200507799i</v>
      </c>
      <c r="FB235" s="1" t="str">
        <f t="shared" si="644"/>
        <v>0.00500205413947975+0.843413275885973i</v>
      </c>
      <c r="FC235" s="1" t="str">
        <f t="shared" si="645"/>
        <v>0.0147888960303623-69.5078113427028i</v>
      </c>
      <c r="FD235" s="1" t="str">
        <f t="shared" si="646"/>
        <v>-0.000035157845335844+0.00592808327957854i</v>
      </c>
      <c r="FE235" s="1" t="str">
        <f t="shared" si="647"/>
        <v>0.015003848647305+0.833827223310216i</v>
      </c>
      <c r="FF235" s="1" t="str">
        <f t="shared" si="648"/>
        <v>-0.383073410623735-136.181100575902i</v>
      </c>
      <c r="FG235" s="1" t="str">
        <f t="shared" si="649"/>
        <v>-0.000215729700281892+0.0119890103666105i</v>
      </c>
      <c r="FH235" s="1" t="str">
        <f t="shared" si="650"/>
        <v>0.0225077885109884+0.806766055204413i</v>
      </c>
      <c r="FI235" s="1" t="str">
        <f t="shared" si="651"/>
        <v>-1.5611538467876-336.57025994419i</v>
      </c>
      <c r="FJ235" s="1" t="str">
        <f t="shared" si="652"/>
        <v>-0.000431926357437513+0.0154819085561672i</v>
      </c>
      <c r="FK235" s="1" t="str">
        <f t="shared" si="653"/>
        <v>0.0125084908160617+0.788219114786919i</v>
      </c>
      <c r="FL235" s="1" t="str">
        <f t="shared" si="654"/>
        <v>-5.11033422345779-470.151671957194i</v>
      </c>
      <c r="FM235" s="1" t="str">
        <f t="shared" si="655"/>
        <v>-596.426005655876-2.98147424575512i</v>
      </c>
      <c r="FN235" s="1" t="str">
        <f t="shared" si="656"/>
        <v>-417.217714277805-0.463788921339743i</v>
      </c>
      <c r="FO235" s="1" t="str">
        <f t="shared" si="657"/>
        <v>-163.371493307937+2.5233637565495i</v>
      </c>
      <c r="FP235" s="1" t="str">
        <f t="shared" si="658"/>
        <v>-82.4002999342119+0.462285596251082i</v>
      </c>
      <c r="FQ235" s="92" t="str">
        <f t="shared" si="659"/>
        <v>0.0104950419969654-70.3033423257197i</v>
      </c>
      <c r="FR235" s="1" t="str">
        <f t="shared" si="660"/>
        <v>-0.39436092487166-70.2930369349182i</v>
      </c>
      <c r="FS235" s="1" t="str">
        <f t="shared" si="661"/>
        <v>0.404855966868626-0.0103053908014921i</v>
      </c>
      <c r="FT235" s="1" t="str">
        <f t="shared" si="662"/>
        <v>-0.0180974093810799-139.268726884131i</v>
      </c>
      <c r="FU235" s="1" t="str">
        <f t="shared" si="663"/>
        <v>0.0974349384745963-356.04843589521i</v>
      </c>
      <c r="FV235" s="1" t="str">
        <f t="shared" si="664"/>
        <v>0.302923520651745-508.941345171332i</v>
      </c>
      <c r="FW235" s="1" t="str">
        <f t="shared" si="665"/>
        <v>-0.39436092487166-70.2930369349182i</v>
      </c>
      <c r="FX235" s="1" t="str">
        <f t="shared" si="666"/>
        <v>-2.15170365221115-139.308903801711i</v>
      </c>
      <c r="FY235" s="1" t="str">
        <f t="shared" si="667"/>
        <v>0.395793505947392-356.050035434986i</v>
      </c>
      <c r="FZ235" s="1" t="str">
        <f t="shared" si="668"/>
        <v>2.54411612360462-508.935141628871i</v>
      </c>
      <c r="GA235" s="1" t="str">
        <f t="shared" si="669"/>
        <v>0.404855966868626-0.0103053908014921i</v>
      </c>
      <c r="GB235" s="1" t="str">
        <f t="shared" si="670"/>
        <v>2.53846220969868+0.0298715267788924i</v>
      </c>
      <c r="GC235" s="1" t="str">
        <f t="shared" si="671"/>
        <v>2.24010364222589+0.0314710665551923i</v>
      </c>
      <c r="GD235" s="92" t="str">
        <f t="shared" si="672"/>
        <v>0.392756091742227-1074.56185027639i</v>
      </c>
      <c r="GE235" s="1" t="str">
        <f t="shared" si="623"/>
        <v>0.00244887073930453+6.69999301867447i</v>
      </c>
      <c r="GF235" s="1">
        <f t="shared" si="624"/>
        <v>47</v>
      </c>
      <c r="GG235" s="56">
        <f t="shared" si="625"/>
        <v>0.22913331709308982</v>
      </c>
      <c r="GH235" s="1">
        <f t="shared" si="626"/>
        <v>0.77086670372896571</v>
      </c>
      <c r="GJ235" s="1">
        <f t="shared" si="673"/>
        <v>1074.561922053246</v>
      </c>
      <c r="GK235" s="1">
        <f t="shared" si="674"/>
        <v>6.6999934662098388</v>
      </c>
      <c r="GM235" s="1" t="str">
        <f t="shared" si="627"/>
        <v>0.0191834803010191+22.5405893536975i</v>
      </c>
      <c r="GP235" s="1">
        <f t="shared" si="613"/>
        <v>47</v>
      </c>
      <c r="GQ235" s="1">
        <f t="shared" si="614"/>
        <v>6.6999934662098388</v>
      </c>
      <c r="GR235" s="1">
        <f t="shared" si="628"/>
        <v>22.540597516879124</v>
      </c>
      <c r="GS235" s="1">
        <f t="shared" si="629"/>
        <v>5.1648018783027858</v>
      </c>
    </row>
    <row r="236" spans="2:201" ht="18" customHeight="1" x14ac:dyDescent="0.25">
      <c r="B236" s="6"/>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8"/>
      <c r="AR236" s="6"/>
      <c r="AS236" s="179"/>
      <c r="AT236" s="179"/>
      <c r="AU236" s="179"/>
      <c r="AV236" s="179"/>
      <c r="AW236" s="179"/>
      <c r="AX236" s="179"/>
      <c r="AY236" s="179"/>
      <c r="AZ236" s="179"/>
      <c r="BA236" s="179"/>
      <c r="BB236" s="179"/>
      <c r="BC236" s="179"/>
      <c r="BD236" s="179"/>
      <c r="BE236" s="179"/>
      <c r="BF236" s="179"/>
      <c r="BG236" s="179"/>
      <c r="BH236" s="179"/>
      <c r="BI236" s="179"/>
      <c r="BJ236" s="179"/>
      <c r="BK236" s="179"/>
      <c r="BL236" s="179"/>
      <c r="BM236" s="179"/>
      <c r="BN236" s="179"/>
      <c r="BO236" s="179"/>
      <c r="BP236" s="179"/>
      <c r="BQ236" s="179"/>
      <c r="BR236" s="179"/>
      <c r="BS236" s="179"/>
      <c r="BT236" s="179"/>
      <c r="BU236" s="179"/>
      <c r="BV236" s="179"/>
      <c r="BW236" s="179"/>
      <c r="BX236" s="179"/>
      <c r="BY236" s="179"/>
      <c r="BZ236" s="179"/>
      <c r="CA236" s="179"/>
      <c r="CB236" s="179"/>
      <c r="CC236" s="179"/>
      <c r="CD236" s="179"/>
      <c r="CE236" s="179"/>
      <c r="CF236" s="8"/>
      <c r="EA236" s="1">
        <f t="shared" si="609"/>
        <v>47.2</v>
      </c>
      <c r="EB236" s="1" t="str">
        <f t="shared" si="615"/>
        <v>0.0000020367684001084-0.00961354684851169i</v>
      </c>
      <c r="EC236" s="1" t="str">
        <f t="shared" si="616"/>
        <v>3.99040339613077E-06-0.0188347040297373i</v>
      </c>
      <c r="ED236" s="1" t="str">
        <f t="shared" si="617"/>
        <v>9.86170005970859E-06-0.0465472242818246i</v>
      </c>
      <c r="EE236" s="1" t="str">
        <f t="shared" si="618"/>
        <v>0.0000137724339435903-0.065005888213746i</v>
      </c>
      <c r="EF236" s="1" t="str">
        <f t="shared" si="619"/>
        <v>0.856697806893721i</v>
      </c>
      <c r="EG236" s="1" t="str">
        <f t="shared" si="620"/>
        <v>0.856340998144498i</v>
      </c>
      <c r="EH236" s="1" t="str">
        <f t="shared" si="621"/>
        <v>0.857022915692086i</v>
      </c>
      <c r="EI236" s="1" t="str">
        <f t="shared" si="622"/>
        <v>0.856939198217164i</v>
      </c>
      <c r="EJ236" s="1" t="str">
        <f t="shared" si="610"/>
        <v>0.005</v>
      </c>
      <c r="EK236" s="1" t="str">
        <f t="shared" si="611"/>
        <v>0.01</v>
      </c>
      <c r="EL236" s="1" t="str">
        <f t="shared" si="612"/>
        <v>0.0125</v>
      </c>
      <c r="EM236" s="1" t="str">
        <f t="shared" si="630"/>
        <v>0.00500203676840011+0.847084260045209i</v>
      </c>
      <c r="EN236" s="1" t="str">
        <f t="shared" si="631"/>
        <v>-0.005</v>
      </c>
      <c r="EO236" s="1" t="str">
        <f t="shared" si="632"/>
        <v>0.0146638319374715-69.2132867448656i</v>
      </c>
      <c r="EP236" s="1" t="str">
        <f t="shared" si="633"/>
        <v>-0.005</v>
      </c>
      <c r="EQ236" s="1" t="str">
        <f t="shared" si="634"/>
        <v>0.0150039904033961+0.837506294114761i</v>
      </c>
      <c r="ER236" s="1" t="str">
        <f t="shared" si="635"/>
        <v>-0.01</v>
      </c>
      <c r="ES236" s="1" t="str">
        <f t="shared" si="636"/>
        <v>0.0287291401223933-135.601541377697i</v>
      </c>
      <c r="ET236" s="1" t="str">
        <f t="shared" si="637"/>
        <v>-0.01</v>
      </c>
      <c r="EU236" s="1" t="str">
        <f t="shared" si="638"/>
        <v>0.0225098617000597+0.810475691410261i</v>
      </c>
      <c r="EV236" s="1" t="str">
        <f t="shared" si="639"/>
        <v>-0.0125</v>
      </c>
      <c r="EW236" s="1" t="str">
        <f t="shared" si="640"/>
        <v>0.0709998801462271-335.119434290192i</v>
      </c>
      <c r="EX236" s="1" t="str">
        <f t="shared" si="641"/>
        <v>-0.0125</v>
      </c>
      <c r="EY236" s="1" t="str">
        <f t="shared" si="642"/>
        <v>0.0125137724339436+0.791933310003418i</v>
      </c>
      <c r="EZ236" s="1" t="str">
        <f t="shared" si="643"/>
        <v>0.0991554350057606-468.013653227189i</v>
      </c>
      <c r="FB236" s="1" t="str">
        <f t="shared" si="644"/>
        <v>0.00500203676840011+0.847084260045209i</v>
      </c>
      <c r="FC236" s="1" t="str">
        <f t="shared" si="645"/>
        <v>0.0146638319374715-69.2132867448656i</v>
      </c>
      <c r="FD236" s="1" t="str">
        <f t="shared" si="646"/>
        <v>-0.0000348536701536964+0.00590239471619215i</v>
      </c>
      <c r="FE236" s="1" t="str">
        <f t="shared" si="647"/>
        <v>0.0150038161350453+0.837535806088342i</v>
      </c>
      <c r="FF236" s="1" t="str">
        <f t="shared" si="648"/>
        <v>-0.379794486762432-135.604040266488i</v>
      </c>
      <c r="FG236" s="1" t="str">
        <f t="shared" si="649"/>
        <v>-0.000213823589644404+0.0119359575525075i</v>
      </c>
      <c r="FH236" s="1" t="str">
        <f t="shared" si="650"/>
        <v>0.0225077234641633+0.810595050985786i</v>
      </c>
      <c r="FI236" s="1" t="str">
        <f t="shared" si="651"/>
        <v>-1.54764539744358-335.143896421979i</v>
      </c>
      <c r="FJ236" s="1" t="str">
        <f t="shared" si="652"/>
        <v>-0.000427857328582074+0.0154088899141147i</v>
      </c>
      <c r="FK236" s="1" t="str">
        <f t="shared" si="653"/>
        <v>0.0125084242173363+0.792125921127344i</v>
      </c>
      <c r="FL236" s="1" t="str">
        <f t="shared" si="654"/>
        <v>-5.06463265823315-468.158130562437i</v>
      </c>
      <c r="FM236" s="1" t="str">
        <f t="shared" si="655"/>
        <v>-590.968386982922-2.9382331307525i</v>
      </c>
      <c r="FN236" s="1" t="str">
        <f t="shared" si="656"/>
        <v>-413.48673120851-0.458792299508346i</v>
      </c>
      <c r="FO236" s="1" t="str">
        <f t="shared" si="657"/>
        <v>-161.958417101531+2.48904879287429i</v>
      </c>
      <c r="FP236" s="1" t="str">
        <f t="shared" si="658"/>
        <v>-81.6956788737699+0.456251499707423i</v>
      </c>
      <c r="FQ236" s="92" t="str">
        <f t="shared" si="659"/>
        <v>0.0104440319474859-69.9986729103182i</v>
      </c>
      <c r="FR236" s="1" t="str">
        <f t="shared" si="660"/>
        <v>-0.39086965919132-69.9885089238524i</v>
      </c>
      <c r="FS236" s="1" t="str">
        <f t="shared" si="661"/>
        <v>0.401313691138806-0.0101639864658344i</v>
      </c>
      <c r="FT236" s="1" t="str">
        <f t="shared" si="662"/>
        <v>-0.0175050777893349-138.651990161238i</v>
      </c>
      <c r="FU236" s="1" t="str">
        <f t="shared" si="663"/>
        <v>0.0964330703320637-354.366089380841i</v>
      </c>
      <c r="FV236" s="1" t="str">
        <f t="shared" si="664"/>
        <v>0.298296962521855-506.430037662637i</v>
      </c>
      <c r="FW236" s="1" t="str">
        <f t="shared" si="665"/>
        <v>-0.39086965919132-69.9885089238524i</v>
      </c>
      <c r="FX236" s="1" t="str">
        <f t="shared" si="666"/>
        <v>-2.13147452772033-138.691632558628i</v>
      </c>
      <c r="FY236" s="1" t="str">
        <f t="shared" si="667"/>
        <v>0.393195514221719-354.367603980307i</v>
      </c>
      <c r="FZ236" s="1" t="str">
        <f t="shared" si="668"/>
        <v>2.51788714324216-506.423975712836i</v>
      </c>
      <c r="GA236" s="1" t="str">
        <f t="shared" si="669"/>
        <v>0.401313691138806-0.0101639864658344i</v>
      </c>
      <c r="GB236" s="1" t="str">
        <f t="shared" si="670"/>
        <v>2.51528314106979+0.0294784109238264i</v>
      </c>
      <c r="GC236" s="1" t="str">
        <f t="shared" si="671"/>
        <v>2.21852069718015+0.0309930103905519i</v>
      </c>
      <c r="GD236" s="92" t="str">
        <f t="shared" si="672"/>
        <v>0.38766898701207-1069.44679011503i</v>
      </c>
      <c r="GE236" s="1" t="str">
        <f t="shared" si="623"/>
        <v>0.00244032947722942+6.73203844950546i</v>
      </c>
      <c r="GF236" s="1">
        <f t="shared" si="624"/>
        <v>47.2</v>
      </c>
      <c r="GG236" s="56">
        <f t="shared" si="625"/>
        <v>0.2292260995592873</v>
      </c>
      <c r="GH236" s="1">
        <f t="shared" si="626"/>
        <v>0.7707739212174548</v>
      </c>
      <c r="GJ236" s="1">
        <f t="shared" si="673"/>
        <v>1069.4468603790394</v>
      </c>
      <c r="GK236" s="1">
        <f t="shared" si="674"/>
        <v>6.7320388918089176</v>
      </c>
      <c r="GM236" s="1" t="str">
        <f t="shared" si="627"/>
        <v>0.0191834803010191+22.6365067552026i</v>
      </c>
      <c r="GP236" s="1">
        <f t="shared" si="613"/>
        <v>47.2</v>
      </c>
      <c r="GQ236" s="1">
        <f t="shared" si="614"/>
        <v>6.7320388918089176</v>
      </c>
      <c r="GR236" s="1">
        <f t="shared" si="628"/>
        <v>22.63651488379449</v>
      </c>
      <c r="GS236" s="1">
        <f t="shared" si="629"/>
        <v>5.1888800144279648</v>
      </c>
    </row>
    <row r="237" spans="2:201" ht="18" customHeight="1" x14ac:dyDescent="0.25">
      <c r="B237" s="6"/>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8"/>
      <c r="AR237" s="6"/>
      <c r="AS237" s="179"/>
      <c r="AT237" s="179"/>
      <c r="AU237" s="179"/>
      <c r="AV237" s="179"/>
      <c r="AW237" s="179"/>
      <c r="AX237" s="179"/>
      <c r="AY237" s="179"/>
      <c r="AZ237" s="179"/>
      <c r="BA237" s="179"/>
      <c r="BB237" s="179"/>
      <c r="BC237" s="179"/>
      <c r="BD237" s="179"/>
      <c r="BE237" s="179"/>
      <c r="BF237" s="179"/>
      <c r="BG237" s="179"/>
      <c r="BH237" s="179"/>
      <c r="BI237" s="179"/>
      <c r="BJ237" s="179"/>
      <c r="BK237" s="179"/>
      <c r="BL237" s="179"/>
      <c r="BM237" s="179"/>
      <c r="BN237" s="179"/>
      <c r="BO237" s="179"/>
      <c r="BP237" s="179"/>
      <c r="BQ237" s="179"/>
      <c r="BR237" s="179"/>
      <c r="BS237" s="179"/>
      <c r="BT237" s="179"/>
      <c r="BU237" s="179"/>
      <c r="BV237" s="179"/>
      <c r="BW237" s="179"/>
      <c r="BX237" s="179"/>
      <c r="BY237" s="179"/>
      <c r="BZ237" s="179"/>
      <c r="CA237" s="179"/>
      <c r="CB237" s="179"/>
      <c r="CC237" s="179"/>
      <c r="CD237" s="179"/>
      <c r="CE237" s="179"/>
      <c r="CF237" s="8"/>
      <c r="EA237" s="1">
        <f t="shared" si="609"/>
        <v>47.4</v>
      </c>
      <c r="EB237" s="1" t="str">
        <f t="shared" si="615"/>
        <v>2.01961674331602E-06-0.00957298336331795i</v>
      </c>
      <c r="EC237" s="1" t="str">
        <f t="shared" si="616"/>
        <v>3.95680015017016E-06-0.0187552327118066i</v>
      </c>
      <c r="ED237" s="1" t="str">
        <f t="shared" si="617"/>
        <v>9.77865453779028E-06-0.046350822509126i</v>
      </c>
      <c r="EE237" s="1" t="str">
        <f t="shared" si="618"/>
        <v>0.0000136564560738512-0.0647316017900547i</v>
      </c>
      <c r="EF237" s="1" t="str">
        <f t="shared" si="619"/>
        <v>0.860327882346664i</v>
      </c>
      <c r="EG237" s="1" t="str">
        <f t="shared" si="620"/>
        <v>0.859969561695952i</v>
      </c>
      <c r="EH237" s="1" t="str">
        <f t="shared" si="621"/>
        <v>0.860654368724684i</v>
      </c>
      <c r="EI237" s="1" t="str">
        <f t="shared" si="622"/>
        <v>0.860570296514691i</v>
      </c>
      <c r="EJ237" s="1" t="str">
        <f t="shared" si="610"/>
        <v>0.005</v>
      </c>
      <c r="EK237" s="1" t="str">
        <f t="shared" si="611"/>
        <v>0.01</v>
      </c>
      <c r="EL237" s="1" t="str">
        <f t="shared" si="612"/>
        <v>0.0125</v>
      </c>
      <c r="EM237" s="1" t="str">
        <f t="shared" si="630"/>
        <v>0.00500201961674332+0.850754898983346i</v>
      </c>
      <c r="EN237" s="1" t="str">
        <f t="shared" si="631"/>
        <v>-0.005</v>
      </c>
      <c r="EO237" s="1" t="str">
        <f t="shared" si="632"/>
        <v>0.0145403475920548-68.9212475863401i</v>
      </c>
      <c r="EP237" s="1" t="str">
        <f t="shared" si="633"/>
        <v>-0.005</v>
      </c>
      <c r="EQ237" s="1" t="str">
        <f t="shared" si="634"/>
        <v>0.0150039568001502+0.841214328984145i</v>
      </c>
      <c r="ER237" s="1" t="str">
        <f t="shared" si="635"/>
        <v>-0.01</v>
      </c>
      <c r="ES237" s="1" t="str">
        <f t="shared" si="636"/>
        <v>0.0284872116089238-135.029383026299i</v>
      </c>
      <c r="ET237" s="1" t="str">
        <f t="shared" si="637"/>
        <v>-0.01</v>
      </c>
      <c r="EU237" s="1" t="str">
        <f t="shared" si="638"/>
        <v>0.0225097786545378+0.814303546215558i</v>
      </c>
      <c r="EV237" s="1" t="str">
        <f t="shared" si="639"/>
        <v>-0.0125</v>
      </c>
      <c r="EW237" s="1" t="str">
        <f t="shared" si="640"/>
        <v>0.0704019891064285-333.705428364472i</v>
      </c>
      <c r="EX237" s="1" t="str">
        <f t="shared" si="641"/>
        <v>-0.0125</v>
      </c>
      <c r="EY237" s="1" t="str">
        <f t="shared" si="642"/>
        <v>0.0125136564560739+0.795838694724636i</v>
      </c>
      <c r="EZ237" s="1" t="str">
        <f t="shared" si="643"/>
        <v>0.0983204456224662-466.03891225049i</v>
      </c>
      <c r="FB237" s="1" t="str">
        <f t="shared" si="644"/>
        <v>0.00500201961674332+0.850754898983346i</v>
      </c>
      <c r="FC237" s="1" t="str">
        <f t="shared" si="645"/>
        <v>0.0145403475920548-68.9212475863401i</v>
      </c>
      <c r="FD237" s="1" t="str">
        <f t="shared" si="646"/>
        <v>-0.0000345534538879722+0.0058769302050692i</v>
      </c>
      <c r="FE237" s="1" t="str">
        <f t="shared" si="647"/>
        <v>0.0150037840328808+0.84124371363517i</v>
      </c>
      <c r="FF237" s="1" t="str">
        <f t="shared" si="648"/>
        <v>-0.376557647683061-135.031849946057i</v>
      </c>
      <c r="FG237" s="1" t="str">
        <f t="shared" si="649"/>
        <v>-0.0002119429696321+0.0118833815830352i</v>
      </c>
      <c r="FH237" s="1" t="str">
        <f t="shared" si="650"/>
        <v>0.0225076592248415+0.814422380031388i</v>
      </c>
      <c r="FI237" s="1" t="str">
        <f t="shared" si="651"/>
        <v>-1.5343128184118-333.729572637529i</v>
      </c>
      <c r="FJ237" s="1" t="str">
        <f t="shared" si="652"/>
        <v>-0.000423847252078562+0.0153365876193204i</v>
      </c>
      <c r="FK237" s="1" t="str">
        <f t="shared" si="653"/>
        <v>0.0125083583654229+0.796030402069878i</v>
      </c>
      <c r="FL237" s="1" t="str">
        <f t="shared" si="654"/>
        <v>-5.01955225584248-466.18143210558i</v>
      </c>
      <c r="FM237" s="1" t="str">
        <f t="shared" si="655"/>
        <v>-585.58719441097-2.89584696772693i</v>
      </c>
      <c r="FN237" s="1" t="str">
        <f t="shared" si="656"/>
        <v>-409.806463628815-0.453857226923929i</v>
      </c>
      <c r="FO237" s="1" t="str">
        <f t="shared" si="657"/>
        <v>-160.563729709311+2.45536308494145i</v>
      </c>
      <c r="FP237" s="1" t="str">
        <f t="shared" si="658"/>
        <v>-81.0000898923493+0.450322722575937i</v>
      </c>
      <c r="FQ237" s="92" t="str">
        <f t="shared" si="659"/>
        <v>0.010393004798468-69.6966610087861i</v>
      </c>
      <c r="FR237" s="1" t="str">
        <f t="shared" si="660"/>
        <v>-0.38742519428634-69.6866358069743i</v>
      </c>
      <c r="FS237" s="1" t="str">
        <f t="shared" si="661"/>
        <v>0.397818199084808-0.0100252018118276i</v>
      </c>
      <c r="FT237" s="1" t="str">
        <f t="shared" si="662"/>
        <v>-0.0169283758513068-138.040802857454i</v>
      </c>
      <c r="FU237" s="1" t="str">
        <f t="shared" si="663"/>
        <v>0.0954460007112434-352.700290585111i</v>
      </c>
      <c r="FV237" s="1" t="str">
        <f t="shared" si="664"/>
        <v>0.293770304180186-503.944869785449i</v>
      </c>
      <c r="FW237" s="1" t="str">
        <f t="shared" si="665"/>
        <v>-0.38742519428634-69.6866358069743i</v>
      </c>
      <c r="FX237" s="1" t="str">
        <f t="shared" si="666"/>
        <v>-2.11153751596152-138.079920262383i</v>
      </c>
      <c r="FY237" s="1" t="str">
        <f t="shared" si="667"/>
        <v>0.39061420512935-352.701723253753i</v>
      </c>
      <c r="FZ237" s="1" t="str">
        <f t="shared" si="668"/>
        <v>2.49207988367793-503.938945529454i</v>
      </c>
      <c r="GA237" s="1" t="str">
        <f t="shared" si="669"/>
        <v>0.397818199084808-0.0100252018118276i</v>
      </c>
      <c r="GB237" s="1" t="str">
        <f t="shared" si="670"/>
        <v>2.49242733919504+0.0290922031186538i</v>
      </c>
      <c r="GC237" s="1" t="str">
        <f t="shared" si="671"/>
        <v>2.19725913477694+0.0305248717600375i</v>
      </c>
      <c r="GD237" s="92" t="str">
        <f t="shared" si="672"/>
        <v>0.382680933838591-1064.3826242368i</v>
      </c>
      <c r="GE237" s="1" t="str">
        <f t="shared" si="623"/>
        <v>0.00243190744721762+6.76406844889295i</v>
      </c>
      <c r="GF237" s="1">
        <f t="shared" si="624"/>
        <v>47.4</v>
      </c>
      <c r="GG237" s="56">
        <f t="shared" si="625"/>
        <v>0.22931767381002163</v>
      </c>
      <c r="GH237" s="1">
        <f t="shared" si="626"/>
        <v>0.77068234691994886</v>
      </c>
      <c r="GJ237" s="1">
        <f t="shared" si="673"/>
        <v>1064.3826930300559</v>
      </c>
      <c r="GK237" s="1">
        <f t="shared" si="674"/>
        <v>6.7640688860687197</v>
      </c>
      <c r="GM237" s="1" t="str">
        <f t="shared" si="627"/>
        <v>0.0191834803010191+22.7324241567077i</v>
      </c>
      <c r="GP237" s="1">
        <f t="shared" si="613"/>
        <v>47.4</v>
      </c>
      <c r="GQ237" s="1">
        <f t="shared" si="614"/>
        <v>6.7640688860687197</v>
      </c>
      <c r="GR237" s="1">
        <f t="shared" si="628"/>
        <v>22.732432251001743</v>
      </c>
      <c r="GS237" s="1">
        <f t="shared" si="629"/>
        <v>5.2129484838436557</v>
      </c>
    </row>
    <row r="238" spans="2:201" ht="18" customHeight="1" x14ac:dyDescent="0.25">
      <c r="B238" s="6"/>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8"/>
      <c r="AR238" s="6"/>
      <c r="AS238" s="179"/>
      <c r="AT238" s="179"/>
      <c r="AU238" s="179"/>
      <c r="AV238" s="179"/>
      <c r="AW238" s="179"/>
      <c r="AX238" s="179"/>
      <c r="AY238" s="179"/>
      <c r="AZ238" s="179"/>
      <c r="BA238" s="179"/>
      <c r="BB238" s="179"/>
      <c r="BC238" s="179"/>
      <c r="BD238" s="179"/>
      <c r="BE238" s="179"/>
      <c r="BF238" s="179"/>
      <c r="BG238" s="179"/>
      <c r="BH238" s="179"/>
      <c r="BI238" s="179"/>
      <c r="BJ238" s="179"/>
      <c r="BK238" s="179"/>
      <c r="BL238" s="179"/>
      <c r="BM238" s="179"/>
      <c r="BN238" s="179"/>
      <c r="BO238" s="179"/>
      <c r="BP238" s="179"/>
      <c r="BQ238" s="179"/>
      <c r="BR238" s="179"/>
      <c r="BS238" s="179"/>
      <c r="BT238" s="179"/>
      <c r="BU238" s="179"/>
      <c r="BV238" s="179"/>
      <c r="BW238" s="179"/>
      <c r="BX238" s="179"/>
      <c r="BY238" s="179"/>
      <c r="BZ238" s="179"/>
      <c r="CA238" s="179"/>
      <c r="CB238" s="179"/>
      <c r="CC238" s="179"/>
      <c r="CD238" s="179"/>
      <c r="CE238" s="179"/>
      <c r="CF238" s="8"/>
      <c r="EA238" s="1">
        <f t="shared" si="609"/>
        <v>47.6</v>
      </c>
      <c r="EB238" s="1" t="str">
        <f t="shared" si="615"/>
        <v>2.00268082934921E-06-0.00953276074770228i</v>
      </c>
      <c r="EC238" s="1" t="str">
        <f t="shared" si="616"/>
        <v>3.92361958403112E-06-0.0186764292199882i</v>
      </c>
      <c r="ED238" s="1" t="str">
        <f t="shared" si="617"/>
        <v>9.69665360741028E-06-0.0461560711712729i</v>
      </c>
      <c r="EE238" s="1" t="str">
        <f t="shared" si="618"/>
        <v>0.0000135419370365518-0.0644596202939868i</v>
      </c>
      <c r="EF238" s="1" t="str">
        <f t="shared" si="619"/>
        <v>0.863957957799605i</v>
      </c>
      <c r="EG238" s="1" t="str">
        <f t="shared" si="620"/>
        <v>0.863598125247415i</v>
      </c>
      <c r="EH238" s="1" t="str">
        <f t="shared" si="621"/>
        <v>0.864285821757278i</v>
      </c>
      <c r="EI238" s="1" t="str">
        <f t="shared" si="622"/>
        <v>0.864201394812223i</v>
      </c>
      <c r="EJ238" s="1" t="str">
        <f t="shared" si="610"/>
        <v>0.005</v>
      </c>
      <c r="EK238" s="1" t="str">
        <f t="shared" si="611"/>
        <v>0.01</v>
      </c>
      <c r="EL238" s="1" t="str">
        <f t="shared" si="612"/>
        <v>0.0125</v>
      </c>
      <c r="EM238" s="1" t="str">
        <f t="shared" si="630"/>
        <v>0.00500200268082935+0.854425197051903i</v>
      </c>
      <c r="EN238" s="1" t="str">
        <f t="shared" si="631"/>
        <v>-0.005</v>
      </c>
      <c r="EO238" s="1" t="str">
        <f t="shared" si="632"/>
        <v>0.0144184164995931-68.6316625380634i</v>
      </c>
      <c r="EP238" s="1" t="str">
        <f t="shared" si="633"/>
        <v>-0.005</v>
      </c>
      <c r="EQ238" s="1" t="str">
        <f t="shared" si="634"/>
        <v>0.015003923619584+0.844921696027427i</v>
      </c>
      <c r="ER238" s="1" t="str">
        <f t="shared" si="635"/>
        <v>-0.01</v>
      </c>
      <c r="ES238" s="1" t="str">
        <f t="shared" si="636"/>
        <v>0.0282483262032845-134.462032727635i</v>
      </c>
      <c r="ET238" s="1" t="str">
        <f t="shared" si="637"/>
        <v>-0.01</v>
      </c>
      <c r="EU238" s="1" t="str">
        <f t="shared" si="638"/>
        <v>0.0225096966536074+0.818129750586005i</v>
      </c>
      <c r="EV238" s="1" t="str">
        <f t="shared" si="639"/>
        <v>-0.0125</v>
      </c>
      <c r="EW238" s="1" t="str">
        <f t="shared" si="640"/>
        <v>0.0698116186638467-332.30330483991i</v>
      </c>
      <c r="EX238" s="1" t="str">
        <f t="shared" si="641"/>
        <v>-0.0125</v>
      </c>
      <c r="EY238" s="1" t="str">
        <f t="shared" si="642"/>
        <v>0.0125135419370366+0.799741774518236i</v>
      </c>
      <c r="EZ238" s="1" t="str">
        <f t="shared" si="643"/>
        <v>0.0974959591877248-464.080765733572i</v>
      </c>
      <c r="FB238" s="1" t="str">
        <f t="shared" si="644"/>
        <v>0.00500200268082935+0.854425197051903i</v>
      </c>
      <c r="FC238" s="1" t="str">
        <f t="shared" si="645"/>
        <v>0.0144184164995931-68.6316625380634i</v>
      </c>
      <c r="FD238" s="1" t="str">
        <f t="shared" si="646"/>
        <v>-0.0000342571276615572+0.00585168679833757i</v>
      </c>
      <c r="FE238" s="1" t="str">
        <f t="shared" si="647"/>
        <v>0.0150037523339457+0.844950954461419i</v>
      </c>
      <c r="FF238" s="1" t="str">
        <f t="shared" si="648"/>
        <v>-0.373362173485126-134.464468223318i</v>
      </c>
      <c r="FG238" s="1" t="str">
        <f t="shared" si="649"/>
        <v>-0.000210087382129622+0.0118312759434921i</v>
      </c>
      <c r="FH238" s="1" t="str">
        <f t="shared" si="650"/>
        <v>0.0225075957797861+0.81824806334544i</v>
      </c>
      <c r="FI238" s="1" t="str">
        <f t="shared" si="651"/>
        <v>-1.52115304816276-332.327136777127i</v>
      </c>
      <c r="FJ238" s="1" t="str">
        <f t="shared" si="652"/>
        <v>-0.000419894966215255+0.0152649908180196i</v>
      </c>
      <c r="FK238" s="1" t="str">
        <f t="shared" si="653"/>
        <v>0.0125082932499589+0.799932586903461i</v>
      </c>
      <c r="FL238" s="1" t="str">
        <f t="shared" si="654"/>
        <v>-4.9750816244438-464.221363892249i</v>
      </c>
      <c r="FM238" s="1" t="str">
        <f t="shared" si="655"/>
        <v>-580.28097510025-2.85429424536968i</v>
      </c>
      <c r="FN238" s="1" t="str">
        <f t="shared" si="656"/>
        <v>-406.175981115031-0.448983111523927i</v>
      </c>
      <c r="FO238" s="1" t="str">
        <f t="shared" si="657"/>
        <v>-159.187111174303+2.42229206679163i</v>
      </c>
      <c r="FP238" s="1" t="str">
        <f t="shared" si="658"/>
        <v>-80.3133787363626+0.444496961157739i</v>
      </c>
      <c r="FQ238" s="92" t="str">
        <f t="shared" si="659"/>
        <v>0.0103419753797312-69.3972716525824i</v>
      </c>
      <c r="FR238" s="1" t="str">
        <f t="shared" si="660"/>
        <v>-0.384026686809971-69.387382677054i</v>
      </c>
      <c r="FS238" s="1" t="str">
        <f t="shared" si="661"/>
        <v>0.394368662189702-0.00988897552816945i</v>
      </c>
      <c r="FT238" s="1" t="str">
        <f t="shared" si="662"/>
        <v>-0.0163668504653594-137.435089046369i</v>
      </c>
      <c r="FU238" s="1" t="str">
        <f t="shared" si="663"/>
        <v>0.0944734629065672-351.050787978684i</v>
      </c>
      <c r="FV238" s="1" t="str">
        <f t="shared" si="664"/>
        <v>0.289340810879882-501.485418399685i</v>
      </c>
      <c r="FW238" s="1" t="str">
        <f t="shared" si="665"/>
        <v>-0.384026686809971-69.387382677054i</v>
      </c>
      <c r="FX238" s="1" t="str">
        <f t="shared" si="666"/>
        <v>-2.09188688768294-137.47369077368i</v>
      </c>
      <c r="FY238" s="1" t="str">
        <f t="shared" si="667"/>
        <v>0.388049737498597-351.052141616073i</v>
      </c>
      <c r="FZ238" s="1" t="str">
        <f t="shared" si="668"/>
        <v>2.46668506805298-501.479628064633i</v>
      </c>
      <c r="GA238" s="1" t="str">
        <f t="shared" si="669"/>
        <v>0.394368662189702-0.00988897552816945i</v>
      </c>
      <c r="GB238" s="1" t="str">
        <f t="shared" si="670"/>
        <v>2.46988869940728+0.0287127517831556i</v>
      </c>
      <c r="GC238" s="1" t="str">
        <f t="shared" si="671"/>
        <v>2.17631242481524+0.0300663891730719i</v>
      </c>
      <c r="GD238" s="92" t="str">
        <f t="shared" si="672"/>
        <v>0.377789398700821-1059.36856707732i</v>
      </c>
      <c r="GE238" s="1" t="str">
        <f t="shared" si="623"/>
        <v>0.00242360239157839+6.79608321874805i</v>
      </c>
      <c r="GF238" s="1">
        <f t="shared" si="624"/>
        <v>47.6</v>
      </c>
      <c r="GG238" s="56">
        <f t="shared" si="625"/>
        <v>0.22940806089525795</v>
      </c>
      <c r="GH238" s="1">
        <f t="shared" si="626"/>
        <v>0.77059195978654316</v>
      </c>
      <c r="GJ238" s="1">
        <f t="shared" si="673"/>
        <v>1059.3686344404782</v>
      </c>
      <c r="GK238" s="1">
        <f t="shared" si="674"/>
        <v>6.7960836508975815</v>
      </c>
      <c r="GM238" s="1" t="str">
        <f t="shared" si="627"/>
        <v>0.0191834803010191+22.8283415582128i</v>
      </c>
      <c r="GP238" s="1">
        <f t="shared" si="613"/>
        <v>47.6</v>
      </c>
      <c r="GQ238" s="1">
        <f t="shared" si="614"/>
        <v>6.7960836508975815</v>
      </c>
      <c r="GR238" s="1">
        <f t="shared" si="628"/>
        <v>22.828349618497217</v>
      </c>
      <c r="GS238" s="1">
        <f t="shared" si="629"/>
        <v>5.2370074194184673</v>
      </c>
    </row>
    <row r="239" spans="2:201" ht="18" customHeight="1" x14ac:dyDescent="0.25">
      <c r="B239" s="6"/>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8"/>
      <c r="AR239" s="6"/>
      <c r="AS239" s="179"/>
      <c r="AT239" s="179"/>
      <c r="AU239" s="179"/>
      <c r="AV239" s="179"/>
      <c r="AW239" s="179"/>
      <c r="AX239" s="179"/>
      <c r="AY239" s="179"/>
      <c r="AZ239" s="179"/>
      <c r="BA239" s="179"/>
      <c r="BB239" s="179"/>
      <c r="BC239" s="179"/>
      <c r="BD239" s="179"/>
      <c r="BE239" s="179"/>
      <c r="BF239" s="179"/>
      <c r="BG239" s="179"/>
      <c r="BH239" s="179"/>
      <c r="BI239" s="179"/>
      <c r="BJ239" s="179"/>
      <c r="BK239" s="179"/>
      <c r="BL239" s="179"/>
      <c r="BM239" s="179"/>
      <c r="BN239" s="179"/>
      <c r="BO239" s="179"/>
      <c r="BP239" s="179"/>
      <c r="BQ239" s="179"/>
      <c r="BR239" s="179"/>
      <c r="BS239" s="179"/>
      <c r="BT239" s="179"/>
      <c r="BU239" s="179"/>
      <c r="BV239" s="179"/>
      <c r="BW239" s="179"/>
      <c r="BX239" s="179"/>
      <c r="BY239" s="179"/>
      <c r="BZ239" s="179"/>
      <c r="CA239" s="179"/>
      <c r="CB239" s="179"/>
      <c r="CC239" s="179"/>
      <c r="CD239" s="179"/>
      <c r="CE239" s="179"/>
      <c r="CF239" s="8"/>
      <c r="EA239" s="1">
        <f t="shared" ref="EA239:EA250" si="675">ROUND(EA238+0.2,1)</f>
        <v>47.8</v>
      </c>
      <c r="EB239" s="1" t="str">
        <f t="shared" si="615"/>
        <v>1.98595705501422E-06-0.00949287472296797i</v>
      </c>
      <c r="EC239" s="1" t="str">
        <f t="shared" si="616"/>
        <v>3.89085463839519E-06-0.018598285171529i</v>
      </c>
      <c r="ED239" s="1" t="str">
        <f t="shared" si="617"/>
        <v>9.61567982249227E-06-0.0459629495515131i</v>
      </c>
      <c r="EE239" s="1" t="str">
        <f t="shared" si="618"/>
        <v>0.0000134288524672389-0.0641899147934021i</v>
      </c>
      <c r="EF239" s="1" t="str">
        <f t="shared" si="619"/>
        <v>0.867588033252544i</v>
      </c>
      <c r="EG239" s="1" t="str">
        <f t="shared" si="620"/>
        <v>0.867226688798873i</v>
      </c>
      <c r="EH239" s="1" t="str">
        <f t="shared" si="621"/>
        <v>0.867917274789865i</v>
      </c>
      <c r="EI239" s="1" t="str">
        <f t="shared" si="622"/>
        <v>0.867832493109754i</v>
      </c>
      <c r="EJ239" s="1" t="str">
        <f t="shared" si="610"/>
        <v>0.005</v>
      </c>
      <c r="EK239" s="1" t="str">
        <f t="shared" si="611"/>
        <v>0.01</v>
      </c>
      <c r="EL239" s="1" t="str">
        <f t="shared" si="612"/>
        <v>0.0125</v>
      </c>
      <c r="EM239" s="1" t="str">
        <f t="shared" si="630"/>
        <v>0.00500198595705501+0.858095158529576i</v>
      </c>
      <c r="EN239" s="1" t="str">
        <f t="shared" si="631"/>
        <v>-0.005</v>
      </c>
      <c r="EO239" s="1" t="str">
        <f t="shared" si="632"/>
        <v>0.0142980127186844-68.3445007953112i</v>
      </c>
      <c r="EP239" s="1" t="str">
        <f t="shared" si="633"/>
        <v>-0.005</v>
      </c>
      <c r="EQ239" s="1" t="str">
        <f t="shared" si="634"/>
        <v>0.0150038908546384+0.848628403627344i</v>
      </c>
      <c r="ER239" s="1" t="str">
        <f t="shared" si="635"/>
        <v>-0.01</v>
      </c>
      <c r="ES239" s="1" t="str">
        <f t="shared" si="636"/>
        <v>0.0280124330815039-133.899430129589i</v>
      </c>
      <c r="ET239" s="1" t="str">
        <f t="shared" si="637"/>
        <v>-0.01</v>
      </c>
      <c r="EU239" s="1" t="str">
        <f t="shared" si="638"/>
        <v>0.0225096156798225+0.821954325238352i</v>
      </c>
      <c r="EV239" s="1" t="str">
        <f t="shared" si="639"/>
        <v>-0.0125</v>
      </c>
      <c r="EW239" s="1" t="str">
        <f t="shared" si="640"/>
        <v>0.0692286432144458-330.912914565052i</v>
      </c>
      <c r="EX239" s="1" t="str">
        <f t="shared" si="641"/>
        <v>-0.0125</v>
      </c>
      <c r="EY239" s="1" t="str">
        <f t="shared" si="642"/>
        <v>0.0125134288524672+0.803642578316352i</v>
      </c>
      <c r="EZ239" s="1" t="str">
        <f t="shared" si="643"/>
        <v>0.0966818002882458-462.139005377816i</v>
      </c>
      <c r="FB239" s="1" t="str">
        <f t="shared" si="644"/>
        <v>0.00500198595705501+0.858095158529576i</v>
      </c>
      <c r="FC239" s="1" t="str">
        <f t="shared" si="645"/>
        <v>0.0142980127186844-68.3445007953112i</v>
      </c>
      <c r="FD239" s="1" t="str">
        <f t="shared" si="646"/>
        <v>-0.0000339646240984544+0.00582666160008977i</v>
      </c>
      <c r="FE239" s="1" t="str">
        <f t="shared" si="647"/>
        <v>0.0150037210315179+0.848657536935345i</v>
      </c>
      <c r="FF239" s="1" t="str">
        <f t="shared" si="648"/>
        <v>-0.370207359653213-133.901834734549i</v>
      </c>
      <c r="FG239" s="1" t="str">
        <f t="shared" si="649"/>
        <v>-0.00020825637938182+0.0117796342391316i</v>
      </c>
      <c r="FH239" s="1" t="str">
        <f t="shared" si="650"/>
        <v>0.0225075331160287+0.822072121580743i</v>
      </c>
      <c r="FI239" s="1" t="str">
        <f t="shared" si="651"/>
        <v>-1.50816309195153-330.936439569057i</v>
      </c>
      <c r="FJ239" s="1" t="str">
        <f t="shared" si="652"/>
        <v>-0.000415999338328393+0.0151940888800588i</v>
      </c>
      <c r="FK239" s="1" t="str">
        <f t="shared" si="653"/>
        <v>0.0125082288607381+0.803832504427353i</v>
      </c>
      <c r="FL239" s="1" t="str">
        <f t="shared" si="654"/>
        <v>-4.93120963610268-462.277716797477i</v>
      </c>
      <c r="FM239" s="1" t="str">
        <f t="shared" si="655"/>
        <v>-575.048311274804-2.81355411089616i</v>
      </c>
      <c r="FN239" s="1" t="str">
        <f t="shared" si="656"/>
        <v>-402.594374813091-0.444169350791058i</v>
      </c>
      <c r="FO239" s="1" t="str">
        <f t="shared" si="657"/>
        <v>-157.828248515949+2.38982158042421i</v>
      </c>
      <c r="FP239" s="1" t="str">
        <f t="shared" si="658"/>
        <v>-79.6353944424427+0.438771972353983i</v>
      </c>
      <c r="FQ239" s="92" t="str">
        <f t="shared" si="659"/>
        <v>0.0102909578266002-69.1004704896498i</v>
      </c>
      <c r="FR239" s="1" t="str">
        <f t="shared" si="660"/>
        <v>-0.380673312540932-69.0907152416094i</v>
      </c>
      <c r="FS239" s="1" t="str">
        <f t="shared" si="661"/>
        <v>0.390964270367532-0.00975524804035115i</v>
      </c>
      <c r="FT239" s="1" t="str">
        <f t="shared" si="662"/>
        <v>-0.0158200634074916-136.83477420206i</v>
      </c>
      <c r="FU239" s="1" t="str">
        <f t="shared" si="663"/>
        <v>0.0935151952837227-349.417335233319i</v>
      </c>
      <c r="FV239" s="1" t="str">
        <f t="shared" si="664"/>
        <v>0.285005837866941-499.051269697833i</v>
      </c>
      <c r="FW239" s="1" t="str">
        <f t="shared" si="665"/>
        <v>-0.380673312540932-69.0907152416094i</v>
      </c>
      <c r="FX239" s="1" t="str">
        <f t="shared" si="666"/>
        <v>-2.07251705601138-136.872869359412i</v>
      </c>
      <c r="FY239" s="1" t="str">
        <f t="shared" si="667"/>
        <v>0.385502252483759-349.418612633507i</v>
      </c>
      <c r="FZ239" s="1" t="str">
        <f t="shared" si="668"/>
        <v>2.44169367855821-499.045609632167i</v>
      </c>
      <c r="GA239" s="1" t="str">
        <f t="shared" si="669"/>
        <v>0.390964270367532-0.00975524804035115i</v>
      </c>
      <c r="GB239" s="1" t="str">
        <f t="shared" si="670"/>
        <v>2.44766126297142+0.0283399093121527i</v>
      </c>
      <c r="GC239" s="1" t="str">
        <f t="shared" si="671"/>
        <v>2.15567420577141+0.0296173095013137i</v>
      </c>
      <c r="GD239" s="92" t="str">
        <f t="shared" si="672"/>
        <v>0.372991927569772-1054.40384962286i</v>
      </c>
      <c r="GE239" s="1" t="str">
        <f t="shared" si="623"/>
        <v>0.00241541210686166+6.82808295743662i</v>
      </c>
      <c r="GF239" s="1">
        <f t="shared" si="624"/>
        <v>47.8</v>
      </c>
      <c r="GG239" s="56">
        <f t="shared" si="625"/>
        <v>0.2294972814049627</v>
      </c>
      <c r="GH239" s="1">
        <f t="shared" si="626"/>
        <v>0.77050273922733337</v>
      </c>
      <c r="GJ239" s="1">
        <f t="shared" si="673"/>
        <v>1054.4039155951978</v>
      </c>
      <c r="GK239" s="1">
        <f t="shared" si="674"/>
        <v>6.8280833846586892</v>
      </c>
      <c r="GM239" s="1" t="str">
        <f t="shared" si="627"/>
        <v>0.0191834803010191+22.9242589597179i</v>
      </c>
      <c r="GP239" s="1">
        <f t="shared" si="613"/>
        <v>47.8</v>
      </c>
      <c r="GQ239" s="1">
        <f t="shared" si="614"/>
        <v>6.8280833846586892</v>
      </c>
      <c r="GR239" s="1">
        <f t="shared" si="628"/>
        <v>22.924266986277289</v>
      </c>
      <c r="GS239" s="1">
        <f t="shared" si="629"/>
        <v>5.2610569515521508</v>
      </c>
    </row>
    <row r="240" spans="2:201" ht="18" customHeight="1" x14ac:dyDescent="0.25">
      <c r="B240" s="6"/>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8"/>
      <c r="AR240" s="6"/>
      <c r="AS240" s="179"/>
      <c r="AT240" s="179"/>
      <c r="AU240" s="179"/>
      <c r="AV240" s="179"/>
      <c r="AW240" s="179"/>
      <c r="AX240" s="179"/>
      <c r="AY240" s="179"/>
      <c r="AZ240" s="179"/>
      <c r="BA240" s="179"/>
      <c r="BB240" s="179"/>
      <c r="BC240" s="179"/>
      <c r="BD240" s="179"/>
      <c r="BE240" s="179"/>
      <c r="BF240" s="179"/>
      <c r="BG240" s="179"/>
      <c r="BH240" s="179"/>
      <c r="BI240" s="179"/>
      <c r="BJ240" s="179"/>
      <c r="BK240" s="179"/>
      <c r="BL240" s="179"/>
      <c r="BM240" s="179"/>
      <c r="BN240" s="179"/>
      <c r="BO240" s="179"/>
      <c r="BP240" s="179"/>
      <c r="BQ240" s="179"/>
      <c r="BR240" s="179"/>
      <c r="BS240" s="179"/>
      <c r="BT240" s="179"/>
      <c r="BU240" s="179"/>
      <c r="BV240" s="179"/>
      <c r="BW240" s="179"/>
      <c r="BX240" s="179"/>
      <c r="BY240" s="179"/>
      <c r="BZ240" s="179"/>
      <c r="CA240" s="179"/>
      <c r="CB240" s="179"/>
      <c r="CC240" s="179"/>
      <c r="CD240" s="179"/>
      <c r="CE240" s="179"/>
      <c r="CF240" s="8"/>
      <c r="EA240" s="1">
        <f t="shared" si="675"/>
        <v>48</v>
      </c>
      <c r="EB240" s="1" t="str">
        <f t="shared" si="615"/>
        <v>1.96944189202699E-06-0.00945332108172956i</v>
      </c>
      <c r="EC240" s="1" t="str">
        <f t="shared" si="616"/>
        <v>3.85849840070593E-06-0.0185207923233885i</v>
      </c>
      <c r="ED240" s="1" t="str">
        <f t="shared" si="617"/>
        <v>9.53571609966127E-06-0.0457714372783742i</v>
      </c>
      <c r="EE240" s="1" t="str">
        <f t="shared" si="618"/>
        <v>0.000013317178507992-0.0639224568383618i</v>
      </c>
      <c r="EF240" s="1" t="str">
        <f t="shared" si="619"/>
        <v>0.87121810870548i</v>
      </c>
      <c r="EG240" s="1" t="str">
        <f t="shared" si="620"/>
        <v>0.870855252350335i</v>
      </c>
      <c r="EH240" s="1" t="str">
        <f t="shared" si="621"/>
        <v>0.871548727822461i</v>
      </c>
      <c r="EI240" s="1" t="str">
        <f t="shared" si="622"/>
        <v>0.871463591407286i</v>
      </c>
      <c r="EJ240" s="1" t="str">
        <f t="shared" si="610"/>
        <v>0.005</v>
      </c>
      <c r="EK240" s="1" t="str">
        <f t="shared" si="611"/>
        <v>0.01</v>
      </c>
      <c r="EL240" s="1" t="str">
        <f t="shared" si="612"/>
        <v>0.0125</v>
      </c>
      <c r="EM240" s="1" t="str">
        <f t="shared" si="630"/>
        <v>0.00500196944189203+0.86176478762375i</v>
      </c>
      <c r="EN240" s="1" t="str">
        <f t="shared" si="631"/>
        <v>-0.005</v>
      </c>
      <c r="EO240" s="1" t="str">
        <f t="shared" si="632"/>
        <v>0.0141791108472434-68.0597320667684i</v>
      </c>
      <c r="EP240" s="1" t="str">
        <f t="shared" si="633"/>
        <v>-0.005</v>
      </c>
      <c r="EQ240" s="1" t="str">
        <f t="shared" si="634"/>
        <v>0.0150038584984007+0.852334460026946i</v>
      </c>
      <c r="ER240" s="1" t="str">
        <f t="shared" si="635"/>
        <v>-0.01</v>
      </c>
      <c r="ES240" s="1" t="str">
        <f t="shared" si="636"/>
        <v>0.0277794824762319-133.341515885913i</v>
      </c>
      <c r="ET240" s="1" t="str">
        <f t="shared" si="637"/>
        <v>-0.01</v>
      </c>
      <c r="EU240" s="1" t="str">
        <f t="shared" si="638"/>
        <v>0.0225095357160997+0.825777290544087i</v>
      </c>
      <c r="EV240" s="1" t="str">
        <f t="shared" si="639"/>
        <v>-0.0125</v>
      </c>
      <c r="EW240" s="1" t="str">
        <f t="shared" si="640"/>
        <v>0.0686529397654794-329.534110874302i</v>
      </c>
      <c r="EX240" s="1" t="str">
        <f t="shared" si="641"/>
        <v>-0.0125</v>
      </c>
      <c r="EY240" s="1" t="str">
        <f t="shared" si="642"/>
        <v>0.012513317178508+0.807541134568924i</v>
      </c>
      <c r="EZ240" s="1" t="str">
        <f t="shared" si="643"/>
        <v>0.0958777971575504-460.213426356244i</v>
      </c>
      <c r="FB240" s="1" t="str">
        <f t="shared" si="644"/>
        <v>0.00500196944189203+0.86176478762375i</v>
      </c>
      <c r="FC240" s="1" t="str">
        <f t="shared" si="645"/>
        <v>0.0141791108472434-68.0597320667684i</v>
      </c>
      <c r="FD240" s="1" t="str">
        <f t="shared" si="646"/>
        <v>-0.0000336758772844588+0.00580185176523346i</v>
      </c>
      <c r="FE240" s="1" t="str">
        <f t="shared" si="647"/>
        <v>0.0150036901190143+0.852363469285772i</v>
      </c>
      <c r="FF240" s="1" t="str">
        <f t="shared" si="648"/>
        <v>-0.367092516662668-133.343890122197i</v>
      </c>
      <c r="FG240" s="1" t="str">
        <f t="shared" si="649"/>
        <v>-0.000206449523711042+0.0117284501923784i</v>
      </c>
      <c r="FH240" s="1" t="str">
        <f t="shared" si="650"/>
        <v>0.0225074712208626+0.825894575046011i</v>
      </c>
      <c r="FI240" s="1" t="str">
        <f t="shared" si="651"/>
        <v>-1.49534002006591-329.55733423061i</v>
      </c>
      <c r="FJ240" s="1" t="str">
        <f t="shared" si="652"/>
        <v>-0.00041215926392125+0.0151238713930686i</v>
      </c>
      <c r="FK240" s="1" t="str">
        <f t="shared" si="653"/>
        <v>0.012508165187709+0.807730182961337i</v>
      </c>
      <c r="FL240" s="1" t="str">
        <f t="shared" si="654"/>
        <v>-4.88792541938948-460.350285191051i</v>
      </c>
      <c r="FM240" s="1" t="str">
        <f t="shared" si="655"/>
        <v>-569.887819193627-2.77360634628518i</v>
      </c>
      <c r="FN240" s="1" t="str">
        <f t="shared" si="656"/>
        <v>-399.060756832812-0.439415333105564i</v>
      </c>
      <c r="FO240" s="1" t="str">
        <f t="shared" si="657"/>
        <v>-156.486835547167+2.35793786237702i</v>
      </c>
      <c r="FP240" s="1" t="str">
        <f t="shared" si="658"/>
        <v>-78.9659892533013+0.433145571802796i</v>
      </c>
      <c r="FQ240" s="92" t="str">
        <f t="shared" si="659"/>
        <v>0.010239965609143-68.8062237707712i</v>
      </c>
      <c r="FR240" s="1" t="str">
        <f t="shared" si="660"/>
        <v>-0.377364265860186-68.7965998093184i</v>
      </c>
      <c r="FS240" s="1" t="str">
        <f t="shared" si="661"/>
        <v>0.387604231469329-0.0096239614528711i</v>
      </c>
      <c r="FT240" s="1" t="str">
        <f t="shared" si="662"/>
        <v>-0.0152875907796172-136.239785166526i</v>
      </c>
      <c r="FU240" s="1" t="str">
        <f t="shared" si="663"/>
        <v>0.0925709412075503-347.799691085796i</v>
      </c>
      <c r="FV240" s="1" t="str">
        <f t="shared" si="664"/>
        <v>0.280762826932303-496.642018944745i</v>
      </c>
      <c r="FW240" s="1" t="str">
        <f t="shared" si="665"/>
        <v>-0.377364265860186-68.7965998093184i</v>
      </c>
      <c r="FX240" s="1" t="str">
        <f t="shared" si="666"/>
        <v>-2.05342257216675-136.277382659933i</v>
      </c>
      <c r="FY240" s="1" t="str">
        <f t="shared" si="667"/>
        <v>0.382971874553837-347.800894941506i</v>
      </c>
      <c r="FZ240" s="1" t="str">
        <f t="shared" si="668"/>
        <v>2.41709694768372-496.636485613744i</v>
      </c>
      <c r="GA240" s="1" t="str">
        <f t="shared" si="669"/>
        <v>0.387604231469329-0.0096239614528711i</v>
      </c>
      <c r="GB240" s="1" t="str">
        <f t="shared" si="670"/>
        <v>2.42573921285645+0.0279735319548258i</v>
      </c>
      <c r="GC240" s="1" t="str">
        <f t="shared" si="671"/>
        <v>2.13533827951019+0.0291773876647453i</v>
      </c>
      <c r="GD240" s="92" t="str">
        <f t="shared" si="672"/>
        <v>0.368286142969379-1049.48771896784i</v>
      </c>
      <c r="GE240" s="1" t="str">
        <f t="shared" si="623"/>
        <v>0.00240733444227434+6.86006785985776i</v>
      </c>
      <c r="GF240" s="1">
        <f t="shared" si="624"/>
        <v>48</v>
      </c>
      <c r="GG240" s="56">
        <f t="shared" si="625"/>
        <v>0.22958535548120679</v>
      </c>
      <c r="GH240" s="1">
        <f t="shared" si="626"/>
        <v>0.77041466510029821</v>
      </c>
      <c r="GJ240" s="1">
        <f t="shared" si="673"/>
        <v>1049.4877835873094</v>
      </c>
      <c r="GK240" s="1">
        <f t="shared" si="674"/>
        <v>6.8600682822485481</v>
      </c>
      <c r="GM240" s="1" t="str">
        <f t="shared" si="627"/>
        <v>0.0191834803010191+23.020176361223i</v>
      </c>
      <c r="GP240" s="1">
        <f t="shared" si="613"/>
        <v>48</v>
      </c>
      <c r="GQ240" s="1">
        <f t="shared" si="614"/>
        <v>6.8600682822485481</v>
      </c>
      <c r="GR240" s="1">
        <f t="shared" si="628"/>
        <v>23.020184354338404</v>
      </c>
      <c r="GS240" s="1">
        <f t="shared" si="629"/>
        <v>5.2850972082336929</v>
      </c>
    </row>
    <row r="241" spans="2:201" ht="18" customHeight="1" x14ac:dyDescent="0.25">
      <c r="B241" s="6"/>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8"/>
      <c r="AR241" s="6"/>
      <c r="AS241" s="179"/>
      <c r="AT241" s="179"/>
      <c r="AU241" s="179"/>
      <c r="AV241" s="179"/>
      <c r="AW241" s="179"/>
      <c r="AX241" s="179"/>
      <c r="AY241" s="179"/>
      <c r="AZ241" s="179"/>
      <c r="BA241" s="179"/>
      <c r="BB241" s="179"/>
      <c r="BC241" s="179"/>
      <c r="BD241" s="179"/>
      <c r="BE241" s="179"/>
      <c r="BF241" s="179"/>
      <c r="BG241" s="179"/>
      <c r="BH241" s="179"/>
      <c r="BI241" s="179"/>
      <c r="BJ241" s="179"/>
      <c r="BK241" s="179"/>
      <c r="BL241" s="179"/>
      <c r="BM241" s="179"/>
      <c r="BN241" s="179"/>
      <c r="BO241" s="179"/>
      <c r="BP241" s="179"/>
      <c r="BQ241" s="179"/>
      <c r="BR241" s="179"/>
      <c r="BS241" s="179"/>
      <c r="BT241" s="179"/>
      <c r="BU241" s="179"/>
      <c r="BV241" s="179"/>
      <c r="BW241" s="179"/>
      <c r="BX241" s="179"/>
      <c r="BY241" s="179"/>
      <c r="BZ241" s="179"/>
      <c r="CA241" s="179"/>
      <c r="CB241" s="179"/>
      <c r="CC241" s="179"/>
      <c r="CD241" s="179"/>
      <c r="CE241" s="179"/>
      <c r="CF241" s="8"/>
      <c r="EA241" s="1">
        <f t="shared" si="675"/>
        <v>48.2</v>
      </c>
      <c r="EB241" s="1" t="str">
        <f t="shared" si="615"/>
        <v>1.95313188515227E-06-0.00941409568643397i</v>
      </c>
      <c r="EC241" s="1" t="str">
        <f t="shared" si="616"/>
        <v>3.82654410152284E-06-0.0184439425693401i</v>
      </c>
      <c r="ED241" s="1" t="str">
        <f t="shared" si="617"/>
        <v>9.45674570923217E-06-0.0455815143184992i</v>
      </c>
      <c r="EE241" s="1" t="str">
        <f t="shared" si="618"/>
        <v>0.0000132068917948393-0.0636572184511252i</v>
      </c>
      <c r="EF241" s="1" t="str">
        <f t="shared" si="619"/>
        <v>0.874848184158418i</v>
      </c>
      <c r="EG241" s="1" t="str">
        <f t="shared" si="620"/>
        <v>0.874483815901796i</v>
      </c>
      <c r="EH241" s="1" t="str">
        <f t="shared" si="621"/>
        <v>0.875180180855052i</v>
      </c>
      <c r="EI241" s="1" t="str">
        <f t="shared" si="622"/>
        <v>0.875094689704813i</v>
      </c>
      <c r="EJ241" s="1" t="str">
        <f t="shared" si="610"/>
        <v>0.005</v>
      </c>
      <c r="EK241" s="1" t="str">
        <f t="shared" si="611"/>
        <v>0.01</v>
      </c>
      <c r="EL241" s="1" t="str">
        <f t="shared" si="612"/>
        <v>0.0125</v>
      </c>
      <c r="EM241" s="1" t="str">
        <f t="shared" si="630"/>
        <v>0.00500195313188515+0.865434088471984i</v>
      </c>
      <c r="EN241" s="1" t="str">
        <f t="shared" si="631"/>
        <v>-0.005</v>
      </c>
      <c r="EO241" s="1" t="str">
        <f t="shared" si="632"/>
        <v>0.0140616860091041-67.7773265638822i</v>
      </c>
      <c r="EP241" s="1" t="str">
        <f t="shared" si="633"/>
        <v>-0.005</v>
      </c>
      <c r="EQ241" s="1" t="str">
        <f t="shared" si="634"/>
        <v>0.0150038265441015+0.856039873332456i</v>
      </c>
      <c r="ER241" s="1" t="str">
        <f t="shared" si="635"/>
        <v>-0.01</v>
      </c>
      <c r="ES241" s="1" t="str">
        <f t="shared" si="636"/>
        <v>0.0275494256504899-132.788231635362i</v>
      </c>
      <c r="ET241" s="1" t="str">
        <f t="shared" si="637"/>
        <v>-0.01</v>
      </c>
      <c r="EU241" s="1" t="str">
        <f t="shared" si="638"/>
        <v>0.0225094567457092+0.829598666536553i</v>
      </c>
      <c r="EV241" s="1" t="str">
        <f t="shared" si="639"/>
        <v>-0.0125</v>
      </c>
      <c r="EW241" s="1" t="str">
        <f t="shared" si="640"/>
        <v>0.0680843878706114-328.166749536348i</v>
      </c>
      <c r="EX241" s="1" t="str">
        <f t="shared" si="641"/>
        <v>-0.0125</v>
      </c>
      <c r="EY241" s="1" t="str">
        <f t="shared" si="642"/>
        <v>0.0125132068917948+0.811437471253688i</v>
      </c>
      <c r="EZ241" s="1" t="str">
        <f t="shared" si="643"/>
        <v>0.0950837815853719-458.303827241491i</v>
      </c>
      <c r="FB241" s="1" t="str">
        <f t="shared" si="644"/>
        <v>0.00500195313188515+0.865434088471984i</v>
      </c>
      <c r="FC241" s="1" t="str">
        <f t="shared" si="645"/>
        <v>0.0140616860091041-67.7773265638822i</v>
      </c>
      <c r="FD241" s="1" t="str">
        <f t="shared" si="646"/>
        <v>-0.0000333908227290349+0.0057772544983725i</v>
      </c>
      <c r="FE241" s="1" t="str">
        <f t="shared" si="647"/>
        <v>0.0150036595899879+0.856068759604948i</v>
      </c>
      <c r="FF241" s="1" t="str">
        <f t="shared" si="648"/>
        <v>-0.364016969597096-132.790576013997i</v>
      </c>
      <c r="FG241" s="1" t="str">
        <f t="shared" si="649"/>
        <v>-0.000204666387243526+0.0116777176401223i</v>
      </c>
      <c r="FH241" s="1" t="str">
        <f t="shared" si="650"/>
        <v>0.0225074100818368+0.829715443712954i</v>
      </c>
      <c r="FI241" s="1" t="str">
        <f t="shared" si="651"/>
        <v>-1.48268096612811-328.189676416414i</v>
      </c>
      <c r="FJ241" s="1" t="str">
        <f t="shared" si="652"/>
        <v>-0.000408373665814671+0.0150543281568207i</v>
      </c>
      <c r="FK241" s="1" t="str">
        <f t="shared" si="653"/>
        <v>0.0125081022209721+0.811625650355648i</v>
      </c>
      <c r="FL241" s="1" t="str">
        <f t="shared" si="654"/>
        <v>-4.84521835222094-458.438866864715i</v>
      </c>
      <c r="FM241" s="1" t="str">
        <f t="shared" si="655"/>
        <v>-564.798148157417-2.73443134550427i</v>
      </c>
      <c r="FN241" s="1" t="str">
        <f t="shared" si="656"/>
        <v>-395.574259662195-0.434720439005083i</v>
      </c>
      <c r="FO241" s="1" t="str">
        <f t="shared" si="657"/>
        <v>-155.162572697022+2.32662753081344i</v>
      </c>
      <c r="FP241" s="1" t="str">
        <f t="shared" si="658"/>
        <v>-78.3050185361078+0.4276156320817i</v>
      </c>
      <c r="FQ241" s="92" t="str">
        <f t="shared" si="659"/>
        <v>0.0101890115601424-68.5144983362988i</v>
      </c>
      <c r="FR241" s="1" t="str">
        <f t="shared" si="660"/>
        <v>-0.374098759244429-68.5050032768052i</v>
      </c>
      <c r="FS241" s="1" t="str">
        <f t="shared" si="661"/>
        <v>0.384287770804571-0.0094950594936587i</v>
      </c>
      <c r="FT241" s="1" t="str">
        <f t="shared" si="662"/>
        <v>-0.0147690224807478-135.650050118039i</v>
      </c>
      <c r="FU241" s="1" t="str">
        <f t="shared" si="663"/>
        <v>0.091640448968409-346.19761920613i</v>
      </c>
      <c r="FV241" s="1" t="str">
        <f t="shared" si="664"/>
        <v>0.276609303114382-494.257270226199i</v>
      </c>
      <c r="FW241" s="1" t="str">
        <f t="shared" si="665"/>
        <v>-0.374098759244429-68.5050032768052i</v>
      </c>
      <c r="FX241" s="1" t="str">
        <f t="shared" si="666"/>
        <v>-2.03459812132791-135.687158657232i</v>
      </c>
      <c r="FY241" s="1" t="str">
        <f t="shared" si="667"/>
        <v>0.380458712429856-346.198752112763i</v>
      </c>
      <c r="FZ241" s="1" t="str">
        <f t="shared" si="668"/>
        <v>2.39288634981317-494.251860207668i</v>
      </c>
      <c r="GA241" s="1" t="str">
        <f t="shared" si="669"/>
        <v>0.384287770804571-0.0094950594936587i</v>
      </c>
      <c r="GB241" s="1" t="str">
        <f t="shared" si="670"/>
        <v>2.40411686965173+0.0276134796981852i</v>
      </c>
      <c r="GC241" s="1" t="str">
        <f t="shared" si="671"/>
        <v>2.11529860619028+0.0287463863312399i</v>
      </c>
      <c r="GD241" s="92" t="str">
        <f t="shared" si="672"/>
        <v>0.363669741162186-1044.61943788667i</v>
      </c>
      <c r="GE241" s="1" t="str">
        <f t="shared" si="623"/>
        <v>0.00239936729815129+6.8920381175201i</v>
      </c>
      <c r="GF241" s="1">
        <f t="shared" si="624"/>
        <v>48.2</v>
      </c>
      <c r="GG241" s="56">
        <f t="shared" si="625"/>
        <v>0.2296723028299068</v>
      </c>
      <c r="GH241" s="1">
        <f t="shared" si="626"/>
        <v>0.77032771769958419</v>
      </c>
      <c r="GJ241" s="1">
        <f t="shared" si="673"/>
        <v>1044.6195011899515</v>
      </c>
      <c r="GK241" s="1">
        <f t="shared" si="674"/>
        <v>6.8920385351732785</v>
      </c>
      <c r="GM241" s="1" t="str">
        <f t="shared" si="627"/>
        <v>0.0191834803010191+23.1160937627281i</v>
      </c>
      <c r="GP241" s="1">
        <f t="shared" si="613"/>
        <v>48.2</v>
      </c>
      <c r="GQ241" s="1">
        <f t="shared" si="614"/>
        <v>6.8920385351732785</v>
      </c>
      <c r="GR241" s="1">
        <f t="shared" si="628"/>
        <v>23.116101722677062</v>
      </c>
      <c r="GS241" s="1">
        <f t="shared" si="629"/>
        <v>5.3091283150976123</v>
      </c>
    </row>
    <row r="242" spans="2:201" ht="18" customHeight="1" x14ac:dyDescent="0.25">
      <c r="B242" s="6"/>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c r="AC242" s="62"/>
      <c r="AD242" s="62"/>
      <c r="AE242" s="62"/>
      <c r="AF242" s="62"/>
      <c r="AG242" s="62"/>
      <c r="AH242" s="62"/>
      <c r="AI242" s="62"/>
      <c r="AJ242" s="62"/>
      <c r="AK242" s="62"/>
      <c r="AL242" s="62"/>
      <c r="AM242" s="62"/>
      <c r="AN242" s="62"/>
      <c r="AO242" s="62"/>
      <c r="AP242" s="8"/>
      <c r="AR242" s="6"/>
      <c r="AS242" s="179"/>
      <c r="AT242" s="179"/>
      <c r="AU242" s="179"/>
      <c r="AV242" s="179"/>
      <c r="AW242" s="179"/>
      <c r="AX242" s="179"/>
      <c r="AY242" s="179"/>
      <c r="AZ242" s="179"/>
      <c r="BA242" s="179"/>
      <c r="BB242" s="179"/>
      <c r="BC242" s="179"/>
      <c r="BD242" s="179"/>
      <c r="BE242" s="179"/>
      <c r="BF242" s="179"/>
      <c r="BG242" s="179"/>
      <c r="BH242" s="179"/>
      <c r="BI242" s="179"/>
      <c r="BJ242" s="179"/>
      <c r="BK242" s="179"/>
      <c r="BL242" s="179"/>
      <c r="BM242" s="179"/>
      <c r="BN242" s="179"/>
      <c r="BO242" s="179"/>
      <c r="BP242" s="179"/>
      <c r="BQ242" s="179"/>
      <c r="BR242" s="179"/>
      <c r="BS242" s="179"/>
      <c r="BT242" s="179"/>
      <c r="BU242" s="179"/>
      <c r="BV242" s="179"/>
      <c r="BW242" s="179"/>
      <c r="BX242" s="179"/>
      <c r="BY242" s="179"/>
      <c r="BZ242" s="179"/>
      <c r="CA242" s="179"/>
      <c r="CB242" s="179"/>
      <c r="CC242" s="179"/>
      <c r="CD242" s="179"/>
      <c r="CE242" s="179"/>
      <c r="CF242" s="8"/>
      <c r="EA242" s="1">
        <f t="shared" si="675"/>
        <v>48.4</v>
      </c>
      <c r="EB242" s="1" t="str">
        <f t="shared" si="615"/>
        <v>1.93702365039616E-06-0.0093751944679174i</v>
      </c>
      <c r="EC242" s="1" t="str">
        <f t="shared" si="616"/>
        <v>3.79498511098021E-06-0.0183677279371442i</v>
      </c>
      <c r="ED242" s="1" t="str">
        <f t="shared" si="617"/>
        <v>9.37875226645894E-06-0.0453931609696612i</v>
      </c>
      <c r="EE242" s="1" t="str">
        <f t="shared" si="618"/>
        <v>0.0000130979694455358-0.0633941721163935i</v>
      </c>
      <c r="EF242" s="1" t="str">
        <f t="shared" si="619"/>
        <v>0.87847825961136i</v>
      </c>
      <c r="EG242" s="1" t="str">
        <f t="shared" si="620"/>
        <v>0.878112379453251i</v>
      </c>
      <c r="EH242" s="1" t="str">
        <f t="shared" si="621"/>
        <v>0.878811633887646i</v>
      </c>
      <c r="EI242" s="1" t="str">
        <f t="shared" si="622"/>
        <v>0.878725788002343i</v>
      </c>
      <c r="EJ242" s="1" t="str">
        <f t="shared" si="610"/>
        <v>0.005</v>
      </c>
      <c r="EK242" s="1" t="str">
        <f t="shared" si="611"/>
        <v>0.01</v>
      </c>
      <c r="EL242" s="1" t="str">
        <f t="shared" si="612"/>
        <v>0.0125</v>
      </c>
      <c r="EM242" s="1" t="str">
        <f t="shared" si="630"/>
        <v>0.0050019370236504+0.869103065143443i</v>
      </c>
      <c r="EN242" s="1" t="str">
        <f t="shared" si="631"/>
        <v>-0.005</v>
      </c>
      <c r="EO242" s="1" t="str">
        <f t="shared" si="632"/>
        <v>0.0139457138410067-67.4972549904723i</v>
      </c>
      <c r="EP242" s="1" t="str">
        <f t="shared" si="633"/>
        <v>-0.005</v>
      </c>
      <c r="EQ242" s="1" t="str">
        <f t="shared" si="634"/>
        <v>0.015003794985111+0.859744651516107i</v>
      </c>
      <c r="ER242" s="1" t="str">
        <f t="shared" si="635"/>
        <v>-0.01</v>
      </c>
      <c r="ES242" s="1" t="str">
        <f t="shared" si="636"/>
        <v>0.0273222148721762-132.239519981333i</v>
      </c>
      <c r="ET242" s="1" t="str">
        <f t="shared" si="637"/>
        <v>-0.01</v>
      </c>
      <c r="EU242" s="1" t="str">
        <f t="shared" si="638"/>
        <v>0.0225093787522665+0.833418472917985i</v>
      </c>
      <c r="EV242" s="1" t="str">
        <f t="shared" si="639"/>
        <v>-0.0125</v>
      </c>
      <c r="EW242" s="1" t="str">
        <f t="shared" si="640"/>
        <v>0.0675228695669149-326.810688703868i</v>
      </c>
      <c r="EX242" s="1" t="str">
        <f t="shared" si="641"/>
        <v>-0.0125</v>
      </c>
      <c r="EY242" s="1" t="str">
        <f t="shared" si="642"/>
        <v>0.0125130979694455+0.815331615885949i</v>
      </c>
      <c r="EZ242" s="1" t="str">
        <f t="shared" si="643"/>
        <v>0.0942995888296633-456.410009935572i</v>
      </c>
      <c r="FB242" s="1" t="str">
        <f t="shared" si="644"/>
        <v>0.0050019370236504+0.869103065143443i</v>
      </c>
      <c r="FC242" s="1" t="str">
        <f t="shared" si="645"/>
        <v>0.0139457138410067-67.4972549904723i</v>
      </c>
      <c r="FD242" s="1" t="str">
        <f t="shared" si="646"/>
        <v>-0.000033109397328357+0.00575286705271769i</v>
      </c>
      <c r="FE242" s="1" t="str">
        <f t="shared" si="647"/>
        <v>0.0150036294381244+0.859773415851371i</v>
      </c>
      <c r="FF242" s="1" t="str">
        <f t="shared" si="648"/>
        <v>-0.360980057777216-132.241835002605i</v>
      </c>
      <c r="FG242" s="1" t="str">
        <f t="shared" si="649"/>
        <v>-0.000202906551644468+0.0116274305310886i</v>
      </c>
      <c r="FH242" s="1" t="str">
        <f t="shared" si="650"/>
        <v>0.0225073496867501+0.833534747223296i</v>
      </c>
      <c r="FI242" s="1" t="str">
        <f t="shared" si="651"/>
        <v>-1.4701831254483-326.833324168047i</v>
      </c>
      <c r="FJ242" s="1" t="str">
        <f t="shared" si="652"/>
        <v>-0.000404641493327591+0.0149854491777602i</v>
      </c>
      <c r="FK242" s="1" t="str">
        <f t="shared" si="653"/>
        <v>0.0125080399507789+0.815518934000671i</v>
      </c>
      <c r="FL242" s="1" t="str">
        <f t="shared" si="654"/>
        <v>-4.80307805493619-456.543262961215i</v>
      </c>
      <c r="FM242" s="1" t="str">
        <f t="shared" si="655"/>
        <v>-559.777979549513-2.69601009267751i</v>
      </c>
      <c r="FN242" s="1" t="str">
        <f t="shared" si="656"/>
        <v>-392.134035600926-0.430084042355242i</v>
      </c>
      <c r="FO242" s="1" t="str">
        <f t="shared" si="657"/>
        <v>-153.855166838792+2.29587757309499i</v>
      </c>
      <c r="FP242" s="1" t="str">
        <f t="shared" si="658"/>
        <v>-77.652340703281+0.422180080972949i</v>
      </c>
      <c r="FQ242" s="92" t="str">
        <f t="shared" si="659"/>
        <v>0.0101381079018551-68.2252616032274i</v>
      </c>
      <c r="FR242" s="1" t="str">
        <f t="shared" si="660"/>
        <v>-0.370876022775699-68.2158931157667i</v>
      </c>
      <c r="FS242" s="1" t="str">
        <f t="shared" si="661"/>
        <v>0.381014130677555-0.0093684874606102i</v>
      </c>
      <c r="FT242" s="1" t="str">
        <f t="shared" si="662"/>
        <v>-0.0142639617000228-135.065498540373i</v>
      </c>
      <c r="FU242" s="1" t="str">
        <f t="shared" si="663"/>
        <v>0.0907234717071769-344.610888069932i</v>
      </c>
      <c r="FV242" s="1" t="str">
        <f t="shared" si="664"/>
        <v>0.272542871544819-491.896636205843i</v>
      </c>
      <c r="FW242" s="1" t="str">
        <f t="shared" si="665"/>
        <v>-0.370876022775699-68.2158931157667i</v>
      </c>
      <c r="FX242" s="1" t="str">
        <f t="shared" si="666"/>
        <v>-2.0160385186438-135.102126643989i</v>
      </c>
      <c r="FY242" s="1" t="str">
        <f t="shared" si="667"/>
        <v>0.377962859971214-344.611952529406i</v>
      </c>
      <c r="FZ242" s="1" t="str">
        <f t="shared" si="668"/>
        <v>2.36905359315031-491.891346186005i</v>
      </c>
      <c r="GA242" s="1" t="str">
        <f t="shared" si="669"/>
        <v>0.381014130677555-0.0093684874606102i</v>
      </c>
      <c r="GB242" s="1" t="str">
        <f t="shared" si="670"/>
        <v>2.38278868762134+0.0272596161545023i</v>
      </c>
      <c r="GC242" s="1" t="str">
        <f t="shared" si="671"/>
        <v>2.09554929935734+0.0283240756290284i</v>
      </c>
      <c r="GD242" s="92" t="str">
        <f t="shared" si="672"/>
        <v>0.359140489453828-1039.79828441938i</v>
      </c>
      <c r="GE242" s="1" t="str">
        <f t="shared" si="623"/>
        <v>0.00239150862447865+6.92399391861592i</v>
      </c>
      <c r="GF242" s="1">
        <f t="shared" si="624"/>
        <v>48.4</v>
      </c>
      <c r="GG242" s="56">
        <f t="shared" si="625"/>
        <v>0.22975814273218392</v>
      </c>
      <c r="GH242" s="1">
        <f t="shared" si="626"/>
        <v>0.77024187774412134</v>
      </c>
      <c r="GJ242" s="1">
        <f t="shared" si="673"/>
        <v>1039.7983464419324</v>
      </c>
      <c r="GK242" s="1">
        <f t="shared" si="674"/>
        <v>6.9239943316227324</v>
      </c>
      <c r="GM242" s="1" t="str">
        <f t="shared" si="627"/>
        <v>0.0191834803010191+23.2120111642332i</v>
      </c>
      <c r="GP242" s="1">
        <f t="shared" si="613"/>
        <v>48.4</v>
      </c>
      <c r="GQ242" s="1">
        <f t="shared" si="614"/>
        <v>6.9239943316227324</v>
      </c>
      <c r="GR242" s="1">
        <f t="shared" si="628"/>
        <v>23.212019091289822</v>
      </c>
      <c r="GS242" s="1">
        <f t="shared" si="629"/>
        <v>5.3331503954787447</v>
      </c>
    </row>
    <row r="243" spans="2:201" ht="18" customHeight="1" thickBot="1" x14ac:dyDescent="0.3">
      <c r="B243" s="6"/>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1"/>
      <c r="AO243" s="10"/>
      <c r="AP243" s="8"/>
      <c r="AR243" s="6"/>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1"/>
      <c r="CE243" s="10"/>
      <c r="CF243" s="8"/>
      <c r="EA243" s="1">
        <f t="shared" si="675"/>
        <v>48.6</v>
      </c>
      <c r="EB243" s="1" t="str">
        <f t="shared" si="615"/>
        <v>1.92111387325059E-06-0.00933661342399791i</v>
      </c>
      <c r="EC243" s="1" t="str">
        <f t="shared" si="616"/>
        <v>3.76381493534811E-06-0.0182921405857918i</v>
      </c>
      <c r="ED243" s="1" t="str">
        <f t="shared" si="617"/>
        <v>9.30171972303479E-06-0.0452063578539491i</v>
      </c>
      <c r="EE243" s="1" t="str">
        <f t="shared" si="618"/>
        <v>0.0000129903890476945-0.0631332907717954i</v>
      </c>
      <c r="EF243" s="1" t="str">
        <f t="shared" si="619"/>
        <v>0.882108335064302i</v>
      </c>
      <c r="EG243" s="1" t="str">
        <f t="shared" si="620"/>
        <v>0.881740943004717i</v>
      </c>
      <c r="EH243" s="1" t="str">
        <f t="shared" si="621"/>
        <v>0.88244308692024i</v>
      </c>
      <c r="EI243" s="1" t="str">
        <f t="shared" si="622"/>
        <v>0.882356886299875i</v>
      </c>
      <c r="EJ243" s="1" t="str">
        <f t="shared" si="610"/>
        <v>0.005</v>
      </c>
      <c r="EK243" s="1" t="str">
        <f t="shared" si="611"/>
        <v>0.01</v>
      </c>
      <c r="EL243" s="1" t="str">
        <f t="shared" si="612"/>
        <v>0.0125</v>
      </c>
      <c r="EM243" s="1" t="str">
        <f t="shared" si="630"/>
        <v>0.00500192111387325+0.872771721640304i</v>
      </c>
      <c r="EN243" s="1" t="str">
        <f t="shared" si="631"/>
        <v>-0.005</v>
      </c>
      <c r="EO243" s="1" t="str">
        <f t="shared" si="632"/>
        <v>0.0138311704799585-67.2194885325984i</v>
      </c>
      <c r="EP243" s="1" t="str">
        <f t="shared" si="633"/>
        <v>-0.005</v>
      </c>
      <c r="EQ243" s="1" t="str">
        <f t="shared" si="634"/>
        <v>0.0150037638149353+0.863448802418925i</v>
      </c>
      <c r="ER243" s="1" t="str">
        <f t="shared" si="635"/>
        <v>-0.01</v>
      </c>
      <c r="ES243" s="1" t="str">
        <f t="shared" si="636"/>
        <v>0.0270978033893065-131.695324472029i</v>
      </c>
      <c r="ET243" s="1" t="str">
        <f t="shared" si="637"/>
        <v>-0.01</v>
      </c>
      <c r="EU243" s="1" t="str">
        <f t="shared" si="638"/>
        <v>0.022509301719723+0.837236729066291i</v>
      </c>
      <c r="EV243" s="1" t="str">
        <f t="shared" si="639"/>
        <v>-0.0125</v>
      </c>
      <c r="EW243" s="1" t="str">
        <f t="shared" si="640"/>
        <v>0.0669682693136767-325.465788864469i</v>
      </c>
      <c r="EX243" s="1" t="str">
        <f t="shared" si="641"/>
        <v>-0.0125</v>
      </c>
      <c r="EY243" s="1" t="str">
        <f t="shared" si="642"/>
        <v>0.0125129903890477+0.81922359552808i</v>
      </c>
      <c r="EZ243" s="1" t="str">
        <f t="shared" si="643"/>
        <v>0.0935250575311479-454.53177960138i</v>
      </c>
      <c r="FB243" s="1" t="str">
        <f t="shared" si="644"/>
        <v>0.00500192111387325+0.872771721640304i</v>
      </c>
      <c r="FC243" s="1" t="str">
        <f t="shared" si="645"/>
        <v>0.0138311704799585-67.2194885325984i</v>
      </c>
      <c r="FD243" s="1" t="str">
        <f t="shared" si="646"/>
        <v>-0.000032831539329469+0.00572868672902628i</v>
      </c>
      <c r="FE243" s="1" t="str">
        <f t="shared" si="647"/>
        <v>0.0150035996572387+0.86347744585257i</v>
      </c>
      <c r="FF243" s="1" t="str">
        <f t="shared" si="648"/>
        <v>-0.357981134400707-131.697610625753i</v>
      </c>
      <c r="FG243" s="1" t="str">
        <f t="shared" si="649"/>
        <v>-0.000201169607861466+0.0115775829232803i</v>
      </c>
      <c r="FH243" s="1" t="str">
        <f t="shared" si="650"/>
        <v>0.0225072900236444+0.837352504895524i</v>
      </c>
      <c r="FI243" s="1" t="str">
        <f t="shared" si="651"/>
        <v>-1.45784375342829-325.488137864886i</v>
      </c>
      <c r="FJ243" s="1" t="str">
        <f t="shared" si="652"/>
        <v>-0.000400961721486524+0.0149172246637091i</v>
      </c>
      <c r="FK243" s="1" t="str">
        <f t="shared" si="653"/>
        <v>0.0125079783675291+0.819410060836376i</v>
      </c>
      <c r="FL243" s="1" t="str">
        <f t="shared" si="654"/>
        <v>-4.7614943835989-454.663277905087i</v>
      </c>
      <c r="FM243" s="1" t="str">
        <f t="shared" si="655"/>
        <v>-554.826025909656-2.65832414114839i</v>
      </c>
      <c r="FN243" s="1" t="str">
        <f t="shared" si="656"/>
        <v>-388.739256212425-0.425505511438499i</v>
      </c>
      <c r="FO243" s="1" t="str">
        <f t="shared" si="657"/>
        <v>-152.564331123272+2.26567533381875i</v>
      </c>
      <c r="FP243" s="1" t="str">
        <f t="shared" si="658"/>
        <v>-77.007817135623+0.416836899789442i</v>
      </c>
      <c r="FQ243" s="92" t="str">
        <f t="shared" si="659"/>
        <v>0.0100872662716147-67.9384815526108i</v>
      </c>
      <c r="FR243" s="1" t="str">
        <f t="shared" si="660"/>
        <v>-0.36769530366663-67.9292373604406i</v>
      </c>
      <c r="FS243" s="1" t="str">
        <f t="shared" si="661"/>
        <v>0.377782569938245-0.00924419217014655i</v>
      </c>
      <c r="FT243" s="1" t="str">
        <f t="shared" si="662"/>
        <v>-0.0137720244305837-134.486061192896i</v>
      </c>
      <c r="FU243" s="1" t="str">
        <f t="shared" si="663"/>
        <v>0.0898197673392221-343.039270834753i</v>
      </c>
      <c r="FV243" s="1" t="str">
        <f t="shared" si="664"/>
        <v>0.268561214430305-489.559737890229i</v>
      </c>
      <c r="FW243" s="1" t="str">
        <f t="shared" si="665"/>
        <v>-0.36769530366663-67.9292373604406i</v>
      </c>
      <c r="FX243" s="1" t="str">
        <f t="shared" si="666"/>
        <v>-1.99773870538387-134.522217193518i</v>
      </c>
      <c r="FY243" s="1" t="str">
        <f t="shared" si="667"/>
        <v>0.375484397015365-343.04026925917i</v>
      </c>
      <c r="FZ243" s="1" t="str">
        <f t="shared" si="668"/>
        <v>2.34559061195948-489.554564659778i</v>
      </c>
      <c r="GA243" s="1" t="str">
        <f t="shared" si="669"/>
        <v>0.377782569938245-0.00924419217014655i</v>
      </c>
      <c r="GB243" s="1" t="str">
        <f t="shared" si="670"/>
        <v>2.36174925089153+0.0269118084525725i</v>
      </c>
      <c r="GC243" s="1" t="str">
        <f t="shared" si="671"/>
        <v>2.07608462121539+0.0279102328713736i</v>
      </c>
      <c r="GD243" s="92" t="str">
        <f t="shared" si="672"/>
        <v>0.354696223610558-1035.02355147049i</v>
      </c>
      <c r="GE243" s="1" t="str">
        <f t="shared" si="623"/>
        <v>0.00238375641946726+6.95593544809352i</v>
      </c>
      <c r="GF243" s="1">
        <f t="shared" si="624"/>
        <v>48.6</v>
      </c>
      <c r="GG243" s="56">
        <f t="shared" si="625"/>
        <v>0.22984289405539382</v>
      </c>
      <c r="GH243" s="1">
        <f t="shared" si="626"/>
        <v>0.77015712636660383</v>
      </c>
      <c r="GJ243" s="1">
        <f t="shared" si="673"/>
        <v>1035.0236122465985</v>
      </c>
      <c r="GK243" s="1">
        <f t="shared" si="674"/>
        <v>6.9559358565428608</v>
      </c>
      <c r="GM243" s="1" t="str">
        <f t="shared" si="627"/>
        <v>0.0191834803010191+23.3079285657383i</v>
      </c>
      <c r="GP243" s="1">
        <f t="shared" si="613"/>
        <v>48.6</v>
      </c>
      <c r="GQ243" s="1">
        <f t="shared" si="614"/>
        <v>6.9559358565428608</v>
      </c>
      <c r="GR243" s="1">
        <f t="shared" si="628"/>
        <v>23.307936460173305</v>
      </c>
      <c r="GS243" s="1">
        <f t="shared" si="629"/>
        <v>5.3571635704654534</v>
      </c>
    </row>
    <row r="244" spans="2:201" ht="18" customHeight="1" x14ac:dyDescent="0.25">
      <c r="B244" s="6"/>
      <c r="D244" s="43" t="s">
        <v>84</v>
      </c>
      <c r="AO244" s="29" t="s">
        <v>445</v>
      </c>
      <c r="AP244" s="8"/>
      <c r="AR244" s="6"/>
      <c r="AT244" s="43" t="s">
        <v>84</v>
      </c>
      <c r="CE244" s="29" t="s">
        <v>446</v>
      </c>
      <c r="CF244" s="8"/>
      <c r="EA244" s="1">
        <f t="shared" si="675"/>
        <v>48.8</v>
      </c>
      <c r="EB244" s="1" t="str">
        <f t="shared" si="615"/>
        <v>1.90539930698837E-06-0.00929834861810333i</v>
      </c>
      <c r="EC244" s="1" t="str">
        <f t="shared" si="616"/>
        <v>3.73302721369154E-06-0.0182171728028147i</v>
      </c>
      <c r="ED244" s="1" t="str">
        <f t="shared" si="617"/>
        <v>9.22563235883664E-06-0.0450210859111229i</v>
      </c>
      <c r="EE244" s="1" t="str">
        <f t="shared" si="618"/>
        <v>0.0000128841286472549-0.0628745477986038i</v>
      </c>
      <c r="EF244" s="1" t="str">
        <f t="shared" si="619"/>
        <v>0.885738410517236i</v>
      </c>
      <c r="EG244" s="1" t="str">
        <f t="shared" si="620"/>
        <v>0.885369506556172i</v>
      </c>
      <c r="EH244" s="1" t="str">
        <f t="shared" si="621"/>
        <v>0.88607453995284i</v>
      </c>
      <c r="EI244" s="1" t="str">
        <f t="shared" si="622"/>
        <v>0.885987984597403i</v>
      </c>
      <c r="EJ244" s="1" t="str">
        <f t="shared" si="610"/>
        <v>0.005</v>
      </c>
      <c r="EK244" s="1" t="str">
        <f t="shared" si="611"/>
        <v>0.01</v>
      </c>
      <c r="EL244" s="1" t="str">
        <f t="shared" si="612"/>
        <v>0.0125</v>
      </c>
      <c r="EM244" s="1" t="str">
        <f t="shared" si="630"/>
        <v>0.00500190539930699+0.876440061899133i</v>
      </c>
      <c r="EN244" s="1" t="str">
        <f t="shared" si="631"/>
        <v>-0.005</v>
      </c>
      <c r="EO244" s="1" t="str">
        <f t="shared" si="632"/>
        <v>0.0137180325509592-66.9439988486814i</v>
      </c>
      <c r="EP244" s="1" t="str">
        <f t="shared" si="633"/>
        <v>-0.005</v>
      </c>
      <c r="EQ244" s="1" t="str">
        <f t="shared" si="634"/>
        <v>0.0150037330272137+0.867152333753357i</v>
      </c>
      <c r="ER244" s="1" t="str">
        <f t="shared" si="635"/>
        <v>-0.01</v>
      </c>
      <c r="ES244" s="1" t="str">
        <f t="shared" si="636"/>
        <v>0.0268761454059611-131.15558958109i</v>
      </c>
      <c r="ET244" s="1" t="str">
        <f t="shared" si="637"/>
        <v>-0.01</v>
      </c>
      <c r="EU244" s="1" t="str">
        <f t="shared" si="638"/>
        <v>0.0225092256323588+0.841053454041717i</v>
      </c>
      <c r="EV244" s="1" t="str">
        <f t="shared" si="639"/>
        <v>-0.0125</v>
      </c>
      <c r="EW244" s="1" t="str">
        <f t="shared" si="640"/>
        <v>0.0664204739329611-324.131912792851i</v>
      </c>
      <c r="EX244" s="1" t="str">
        <f t="shared" si="641"/>
        <v>-0.0125</v>
      </c>
      <c r="EY244" s="1" t="str">
        <f t="shared" si="642"/>
        <v>0.0125128841286473+0.823113436798799i</v>
      </c>
      <c r="EZ244" s="1" t="str">
        <f t="shared" si="643"/>
        <v>0.0927600296302968-452.668944595848i</v>
      </c>
      <c r="FB244" s="1" t="str">
        <f t="shared" si="644"/>
        <v>0.00500190539930699+0.876440061899133i</v>
      </c>
      <c r="FC244" s="1" t="str">
        <f t="shared" si="645"/>
        <v>0.0137180325509592-66.9439988486814i</v>
      </c>
      <c r="FD244" s="1" t="str">
        <f t="shared" si="646"/>
        <v>-0.0000325571882955265+0.00570471087456919i</v>
      </c>
      <c r="FE244" s="1" t="str">
        <f t="shared" si="647"/>
        <v>0.0150035702412722+0.86718085730773i</v>
      </c>
      <c r="FF244" s="1" t="str">
        <f t="shared" si="648"/>
        <v>-0.35501956619269-131.157847346875i</v>
      </c>
      <c r="FG244" s="1" t="str">
        <f t="shared" si="649"/>
        <v>-0.00019945515587609+0.0115281689814923i</v>
      </c>
      <c r="FH244" s="1" t="str">
        <f t="shared" si="650"/>
        <v>0.0225072310808+0.841168735731532i</v>
      </c>
      <c r="FI244" s="1" t="str">
        <f t="shared" si="651"/>
        <v>-1.4456601640135-324.153980176187i</v>
      </c>
      <c r="FJ244" s="1" t="str">
        <f t="shared" si="652"/>
        <v>-0.000397333350262725+0.0148496450187328i</v>
      </c>
      <c r="FK244" s="1" t="str">
        <f t="shared" si="653"/>
        <v>0.012507917461769+0.823299057361533i</v>
      </c>
      <c r="FL244" s="1" t="str">
        <f t="shared" si="654"/>
        <v>-4.72045742351696-452.798719335145i</v>
      </c>
      <c r="FM244" s="1" t="str">
        <f t="shared" si="655"/>
        <v>-549.94103003925-2.6213555933983i</v>
      </c>
      <c r="FN244" s="1" t="str">
        <f t="shared" si="656"/>
        <v>-385.389111793705-0.420984209967208i</v>
      </c>
      <c r="FO244" s="1" t="str">
        <f t="shared" si="657"/>
        <v>-151.289784817123+2.23600850330002i</v>
      </c>
      <c r="FP244" s="1" t="str">
        <f t="shared" si="658"/>
        <v>-76.3713121077173+0.411584121758711i</v>
      </c>
      <c r="FQ244" s="92" t="str">
        <f t="shared" si="659"/>
        <v>0.0100364977463346-67.654126717313i</v>
      </c>
      <c r="FR244" s="1" t="str">
        <f t="shared" si="660"/>
        <v>-0.364555865800693-67.6450045954053i</v>
      </c>
      <c r="FS244" s="1" t="str">
        <f t="shared" si="661"/>
        <v>0.374592363547029-0.00912212190770655i</v>
      </c>
      <c r="FT244" s="1" t="str">
        <f t="shared" si="662"/>
        <v>-0.0132928390033425-133.911670081485i</v>
      </c>
      <c r="FU244" s="1" t="str">
        <f t="shared" si="663"/>
        <v>0.0889290984776283-341.482545220281i</v>
      </c>
      <c r="FV244" s="1" t="str">
        <f t="shared" si="664"/>
        <v>0.264662088163985-487.246204401581i</v>
      </c>
      <c r="FW244" s="1" t="str">
        <f t="shared" si="665"/>
        <v>-0.364555865800693-67.6450045954053i</v>
      </c>
      <c r="FX244" s="1" t="str">
        <f t="shared" si="666"/>
        <v>-1.97969374522214-133.947362130526i</v>
      </c>
      <c r="FY244" s="1" t="str">
        <f t="shared" si="667"/>
        <v>0.373023390174104-341.483479935441i</v>
      </c>
      <c r="FZ244" s="1" t="str">
        <f t="shared" si="668"/>
        <v>2.32248955910809-487.241144851895i</v>
      </c>
      <c r="GA244" s="1" t="str">
        <f t="shared" si="669"/>
        <v>0.374592363547029-0.00912212190770655i</v>
      </c>
      <c r="GB244" s="1" t="str">
        <f t="shared" si="670"/>
        <v>2.34099326976582+0.0265699271326723i</v>
      </c>
      <c r="GC244" s="1" t="str">
        <f t="shared" si="671"/>
        <v>2.05689897806931+0.0275046422928886i</v>
      </c>
      <c r="GD244" s="92" t="str">
        <f t="shared" si="672"/>
        <v>0.350334845384605-1030.29454642066i</v>
      </c>
      <c r="GE244" s="1" t="str">
        <f t="shared" si="623"/>
        <v>0.00237610872817461+6.98786288772748i</v>
      </c>
      <c r="GF244" s="1">
        <f t="shared" si="624"/>
        <v>48.8</v>
      </c>
      <c r="GG244" s="56">
        <f t="shared" si="625"/>
        <v>0.22992657526381594</v>
      </c>
      <c r="GH244" s="1">
        <f t="shared" si="626"/>
        <v>0.7700734451028054</v>
      </c>
      <c r="GJ244" s="1">
        <f t="shared" si="673"/>
        <v>1030.2946059834815</v>
      </c>
      <c r="GK244" s="1">
        <f t="shared" si="674"/>
        <v>6.9878632917059651</v>
      </c>
      <c r="GM244" s="1" t="str">
        <f t="shared" si="627"/>
        <v>0.0191834803010191+23.4038459672434i</v>
      </c>
      <c r="GP244" s="1">
        <f t="shared" si="613"/>
        <v>48.8</v>
      </c>
      <c r="GQ244" s="1">
        <f t="shared" si="614"/>
        <v>6.9878632917059651</v>
      </c>
      <c r="GR244" s="1">
        <f t="shared" si="628"/>
        <v>23.40385382932417</v>
      </c>
      <c r="GS244" s="1">
        <f t="shared" si="629"/>
        <v>5.3811679589514396</v>
      </c>
    </row>
    <row r="245" spans="2:201" ht="18" customHeight="1" x14ac:dyDescent="0.25">
      <c r="B245" s="45"/>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7"/>
      <c r="AR245" s="45"/>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7"/>
      <c r="EA245" s="1">
        <f t="shared" si="675"/>
        <v>49</v>
      </c>
      <c r="EB245" s="1" t="str">
        <f t="shared" si="615"/>
        <v>1.88987677100654E-06-0.00926039617793205i</v>
      </c>
      <c r="EC245" s="1" t="str">
        <f t="shared" si="616"/>
        <v>3.70261571462505E-06-0.0181428170016628i</v>
      </c>
      <c r="ED245" s="1" t="str">
        <f t="shared" si="617"/>
        <v>9.15047477390405E-06-0.04483732639213i</v>
      </c>
      <c r="EE245" s="1" t="str">
        <f t="shared" si="618"/>
        <v>0.0000127791667372824-0.0626179170126834i</v>
      </c>
      <c r="EF245" s="1" t="str">
        <f t="shared" si="619"/>
        <v>0.889368485970177i</v>
      </c>
      <c r="EG245" s="1" t="str">
        <f t="shared" si="620"/>
        <v>0.888998070107633i</v>
      </c>
      <c r="EH245" s="1" t="str">
        <f t="shared" si="621"/>
        <v>0.889705992985428i</v>
      </c>
      <c r="EI245" s="1" t="str">
        <f t="shared" si="622"/>
        <v>0.889619082894937i</v>
      </c>
      <c r="EJ245" s="1" t="str">
        <f t="shared" si="610"/>
        <v>0.005</v>
      </c>
      <c r="EK245" s="1" t="str">
        <f t="shared" si="611"/>
        <v>0.01</v>
      </c>
      <c r="EL245" s="1" t="str">
        <f t="shared" si="612"/>
        <v>0.0125</v>
      </c>
      <c r="EM245" s="1" t="str">
        <f t="shared" si="630"/>
        <v>0.00500188987677101+0.880108089792245i</v>
      </c>
      <c r="EN245" s="1" t="str">
        <f t="shared" si="631"/>
        <v>-0.005</v>
      </c>
      <c r="EO245" s="1" t="str">
        <f t="shared" si="632"/>
        <v>0.0136062771550738-66.6707580598617i</v>
      </c>
      <c r="EP245" s="1" t="str">
        <f t="shared" si="633"/>
        <v>-0.005</v>
      </c>
      <c r="EQ245" s="1" t="str">
        <f t="shared" si="634"/>
        <v>0.0150037026157146+0.87085525310597i</v>
      </c>
      <c r="ER245" s="1" t="str">
        <f t="shared" si="635"/>
        <v>-0.01</v>
      </c>
      <c r="ES245" s="1" t="str">
        <f t="shared" si="636"/>
        <v>0.0266571960589201-130.620260688709i</v>
      </c>
      <c r="ET245" s="1" t="str">
        <f t="shared" si="637"/>
        <v>-0.01</v>
      </c>
      <c r="EU245" s="1" t="str">
        <f t="shared" si="638"/>
        <v>0.0225091504747739+0.844868666593298i</v>
      </c>
      <c r="EV245" s="1" t="str">
        <f t="shared" si="639"/>
        <v>-0.0125</v>
      </c>
      <c r="EW245" s="1" t="str">
        <f t="shared" si="640"/>
        <v>0.065879372551862-322.808925504125i</v>
      </c>
      <c r="EX245" s="1" t="str">
        <f t="shared" si="641"/>
        <v>-0.0125</v>
      </c>
      <c r="EY245" s="1" t="str">
        <f t="shared" si="642"/>
        <v>0.0125127791667373+0.827001165882254i</v>
      </c>
      <c r="EZ245" s="1" t="str">
        <f t="shared" si="643"/>
        <v>0.0920043502866902-450.821316404779i</v>
      </c>
      <c r="FB245" s="1" t="str">
        <f t="shared" si="644"/>
        <v>0.00500188987677101+0.880108089792245i</v>
      </c>
      <c r="FC245" s="1" t="str">
        <f t="shared" si="645"/>
        <v>0.0136062771550738-66.6707580598617i</v>
      </c>
      <c r="FD245" s="1" t="str">
        <f t="shared" si="646"/>
        <v>-0.0000322862850720811+0.00568093688212522i</v>
      </c>
      <c r="FE245" s="1" t="str">
        <f t="shared" si="647"/>
        <v>0.0150035411842892+0.870883657790381i</v>
      </c>
      <c r="FF245" s="1" t="str">
        <f t="shared" si="648"/>
        <v>-0.352094733066453-130.622490536211i</v>
      </c>
      <c r="FG245" s="1" t="str">
        <f t="shared" si="649"/>
        <v>-0.000197762804463177+0.0114791829748914i</v>
      </c>
      <c r="FH245" s="1" t="str">
        <f t="shared" si="650"/>
        <v>0.0225071728467293+0.844983458423047i</v>
      </c>
      <c r="FI245" s="1" t="str">
        <f t="shared" si="651"/>
        <v>-1.43362972819117-322.830716014314i</v>
      </c>
      <c r="FJ245" s="1" t="str">
        <f t="shared" si="652"/>
        <v>-0.000393755403835975+0.0147827008381657i</v>
      </c>
      <c r="FK245" s="1" t="str">
        <f t="shared" si="653"/>
        <v>0.0125078572241894+0.827185949642731i</v>
      </c>
      <c r="FL245" s="1" t="str">
        <f t="shared" si="654"/>
        <v>-4.67995748297156-450.949398038659i</v>
      </c>
      <c r="FM245" s="1" t="str">
        <f t="shared" si="655"/>
        <v>-545.121764136931-2.58508708178009i</v>
      </c>
      <c r="FN245" s="1" t="str">
        <f t="shared" si="656"/>
        <v>-382.082810862388-0.416519498024229i</v>
      </c>
      <c r="FO245" s="1" t="str">
        <f t="shared" si="657"/>
        <v>-150.031253146047+2.2068651064821i</v>
      </c>
      <c r="FP245" s="1" t="str">
        <f t="shared" si="658"/>
        <v>-75.7426927155061+0.406419830462563i</v>
      </c>
      <c r="FQ245" s="92" t="str">
        <f t="shared" si="659"/>
        <v>0.00998581286595902-67.372166170074i</v>
      </c>
      <c r="FR245" s="1" t="str">
        <f t="shared" si="660"/>
        <v>-0.361456989286746-67.363163943694i</v>
      </c>
      <c r="FS245" s="1" t="str">
        <f t="shared" si="661"/>
        <v>0.371442802152704-0.0090022263800977i</v>
      </c>
      <c r="FT245" s="1" t="str">
        <f t="shared" si="662"/>
        <v>-0.0128260456397563-133.342258430241i</v>
      </c>
      <c r="FU245" s="1" t="str">
        <f t="shared" si="663"/>
        <v>0.0880512323557991-339.940493392233i</v>
      </c>
      <c r="FV245" s="1" t="str">
        <f t="shared" si="664"/>
        <v>0.260843320560183-484.955672758055i</v>
      </c>
      <c r="FW245" s="1" t="str">
        <f t="shared" si="665"/>
        <v>-0.361456989286746-67.363163943694i</v>
      </c>
      <c r="FX245" s="1" t="str">
        <f t="shared" si="666"/>
        <v>-1.96189882065046-133.377494502666i</v>
      </c>
      <c r="FY245" s="1" t="str">
        <f t="shared" si="667"/>
        <v>0.370579893587439-339.941366640984i</v>
      </c>
      <c r="FZ245" s="1" t="str">
        <f t="shared" si="668"/>
        <v>2.29974279889675-484.950723877567i</v>
      </c>
      <c r="GA245" s="1" t="str">
        <f t="shared" si="669"/>
        <v>0.371442802152704-0.0090022263800977i</v>
      </c>
      <c r="GB245" s="1" t="str">
        <f t="shared" si="670"/>
        <v>2.32051557716341+0.0262338460450633i</v>
      </c>
      <c r="GC245" s="1" t="str">
        <f t="shared" si="671"/>
        <v>2.03798691593179+0.0271070947969483i</v>
      </c>
      <c r="GD245" s="92" t="str">
        <f t="shared" si="672"/>
        <v>0.346054320142185-1025.6105907506i</v>
      </c>
      <c r="GE245" s="1" t="str">
        <f t="shared" si="623"/>
        <v>0.002368563641173+7.01977641618727i</v>
      </c>
      <c r="GF245" s="1">
        <f t="shared" si="624"/>
        <v>49</v>
      </c>
      <c r="GG245" s="56">
        <f t="shared" si="625"/>
        <v>0.23000920442901554</v>
      </c>
      <c r="GH245" s="1">
        <f t="shared" si="626"/>
        <v>0.7699908158812071</v>
      </c>
      <c r="GJ245" s="1">
        <f t="shared" si="673"/>
        <v>1025.6106491322073</v>
      </c>
      <c r="GK245" s="1">
        <f t="shared" si="674"/>
        <v>7.019776815779311</v>
      </c>
      <c r="GM245" s="1" t="str">
        <f t="shared" si="627"/>
        <v>0.0191834803010191+23.4997633687485i</v>
      </c>
      <c r="GP245" s="1">
        <f t="shared" si="613"/>
        <v>49</v>
      </c>
      <c r="GQ245" s="1">
        <f t="shared" si="614"/>
        <v>7.019776815779311</v>
      </c>
      <c r="GR245" s="1">
        <f t="shared" si="628"/>
        <v>23.499771198739158</v>
      </c>
      <c r="GS245" s="1">
        <f t="shared" si="629"/>
        <v>5.4051636776858842</v>
      </c>
    </row>
    <row r="246" spans="2:201" ht="18" customHeight="1" x14ac:dyDescent="0.25">
      <c r="EA246" s="1">
        <f t="shared" si="675"/>
        <v>49.2</v>
      </c>
      <c r="EB246" s="1" t="str">
        <f t="shared" si="615"/>
        <v>1.87454314921675E-06-0.00922275229414644i</v>
      </c>
      <c r="EC246" s="1" t="str">
        <f t="shared" si="616"/>
        <v>3.67257433315936E-06-0.0180690657191441i</v>
      </c>
      <c r="ED246" s="1" t="str">
        <f t="shared" si="617"/>
        <v>9.07623188064647E-06-0.0446550608527806i</v>
      </c>
      <c r="EE246" s="1" t="str">
        <f t="shared" si="618"/>
        <v>0.0000126754822470847-0.0623633726556569i</v>
      </c>
      <c r="EF246" s="1" t="str">
        <f t="shared" si="619"/>
        <v>0.89299856142312i</v>
      </c>
      <c r="EG246" s="1" t="str">
        <f t="shared" si="620"/>
        <v>0.892626633659089i</v>
      </c>
      <c r="EH246" s="1" t="str">
        <f t="shared" si="621"/>
        <v>0.893337446018023i</v>
      </c>
      <c r="EI246" s="1" t="str">
        <f t="shared" si="622"/>
        <v>0.893250181192469i</v>
      </c>
      <c r="EJ246" s="1" t="str">
        <f t="shared" si="610"/>
        <v>0.005</v>
      </c>
      <c r="EK246" s="1" t="str">
        <f t="shared" si="611"/>
        <v>0.01</v>
      </c>
      <c r="EL246" s="1" t="str">
        <f t="shared" si="612"/>
        <v>0.0125</v>
      </c>
      <c r="EM246" s="1" t="str">
        <f t="shared" si="630"/>
        <v>0.00500187454314922+0.883775809128973i</v>
      </c>
      <c r="EN246" s="1" t="str">
        <f t="shared" si="631"/>
        <v>-0.005</v>
      </c>
      <c r="EO246" s="1" t="str">
        <f t="shared" si="632"/>
        <v>0.013495881857844-66.3997387405927i</v>
      </c>
      <c r="EP246" s="1" t="str">
        <f t="shared" si="633"/>
        <v>-0.005</v>
      </c>
      <c r="EQ246" s="1" t="str">
        <f t="shared" si="634"/>
        <v>0.0150036725743332+0.874557567939945i</v>
      </c>
      <c r="ER246" s="1" t="str">
        <f t="shared" si="635"/>
        <v>-0.01</v>
      </c>
      <c r="ES246" s="1" t="str">
        <f t="shared" si="636"/>
        <v>0.0264409113949598-130.089284063202i</v>
      </c>
      <c r="ET246" s="1" t="str">
        <f t="shared" si="637"/>
        <v>-0.01</v>
      </c>
      <c r="EU246" s="1" t="str">
        <f t="shared" si="638"/>
        <v>0.0225090762318806+0.848682385165242i</v>
      </c>
      <c r="EV246" s="1" t="str">
        <f t="shared" si="639"/>
        <v>-0.0125</v>
      </c>
      <c r="EW246" s="1" t="str">
        <f t="shared" si="640"/>
        <v>0.0653448565463982-321.496694208279i</v>
      </c>
      <c r="EX246" s="1" t="str">
        <f t="shared" si="641"/>
        <v>-0.0125</v>
      </c>
      <c r="EY246" s="1" t="str">
        <f t="shared" si="642"/>
        <v>0.0125126754822471+0.830886808536812i</v>
      </c>
      <c r="EZ246" s="1" t="str">
        <f t="shared" si="643"/>
        <v>0.0912578678006595-448.988709579246i</v>
      </c>
      <c r="FB246" s="1" t="str">
        <f t="shared" si="644"/>
        <v>0.00500187454314922+0.883775809128973i</v>
      </c>
      <c r="FC246" s="1" t="str">
        <f t="shared" si="645"/>
        <v>0.013495881857844-66.3997387405927i</v>
      </c>
      <c r="FD246" s="1" t="str">
        <f t="shared" si="646"/>
        <v>-0.0000320187717543795+0.00565736218900173i</v>
      </c>
      <c r="FE246" s="1" t="str">
        <f t="shared" si="647"/>
        <v>0.0150035124804744+0.87458585475089i</v>
      </c>
      <c r="FF246" s="1" t="str">
        <f t="shared" si="648"/>
        <v>-0.349206027794102-130.091486452373i</v>
      </c>
      <c r="FG246" s="1" t="str">
        <f t="shared" si="649"/>
        <v>-0.000196092170957705+0.0114306192746659i</v>
      </c>
      <c r="FH246" s="1" t="str">
        <f t="shared" si="650"/>
        <v>0.022507115310171+0.848796691357989i</v>
      </c>
      <c r="FI246" s="1" t="str">
        <f t="shared" si="651"/>
        <v>-1.42174987253413-321.518212489128i</v>
      </c>
      <c r="FJ246" s="1" t="str">
        <f t="shared" si="652"/>
        <v>-0.000390226929883818+0.0147163829037873i</v>
      </c>
      <c r="FK246" s="1" t="str">
        <f t="shared" si="653"/>
        <v>0.0125077976456236+0.831070763323109i</v>
      </c>
      <c r="FL246" s="1" t="str">
        <f t="shared" si="654"/>
        <v>-4.63998508714744-449.115127887124i</v>
      </c>
      <c r="FM246" s="1" t="str">
        <f t="shared" si="655"/>
        <v>-540.367028963261-2.54950175003098i</v>
      </c>
      <c r="FN246" s="1" t="str">
        <f t="shared" si="656"/>
        <v>-378.819579660217-0.412110732934739i</v>
      </c>
      <c r="FO246" s="1" t="str">
        <f t="shared" si="657"/>
        <v>-148.788467142718+2.17823349225385i</v>
      </c>
      <c r="FP246" s="1" t="str">
        <f t="shared" si="658"/>
        <v>-75.1218288059835+0.401342158330701i</v>
      </c>
      <c r="FQ246" s="92" t="str">
        <f t="shared" si="659"/>
        <v>0.00993522165590675-67.0925695118868i</v>
      </c>
      <c r="FR246" s="1" t="str">
        <f t="shared" si="660"/>
        <v>-0.358397970027766-67.0836850552172i</v>
      </c>
      <c r="FS246" s="1" t="str">
        <f t="shared" si="661"/>
        <v>0.368333191683672-0.00888445666961575i</v>
      </c>
      <c r="FT246" s="1" t="str">
        <f t="shared" si="662"/>
        <v>-0.0123712960227173-132.777760653979i</v>
      </c>
      <c r="FU246" s="1" t="str">
        <f t="shared" si="663"/>
        <v>0.0871859407496082-338.412901849818i</v>
      </c>
      <c r="FV246" s="1" t="str">
        <f t="shared" si="664"/>
        <v>0.257102808206625-482.687787661148i</v>
      </c>
      <c r="FW246" s="1" t="str">
        <f t="shared" si="665"/>
        <v>-0.358397970027766-67.0836850552172i</v>
      </c>
      <c r="FX246" s="1" t="str">
        <f t="shared" si="666"/>
        <v>-1.94434922951404-132.8125485529i</v>
      </c>
      <c r="FY246" s="1" t="str">
        <f t="shared" si="667"/>
        <v>0.368153949636535-338.413715795279i</v>
      </c>
      <c r="FZ246" s="1" t="str">
        <f t="shared" si="668"/>
        <v>2.27734290016569-482.682946531869i</v>
      </c>
      <c r="GA246" s="1" t="str">
        <f t="shared" si="669"/>
        <v>0.368333191683672-0.00888445666961575i</v>
      </c>
      <c r="GB246" s="1" t="str">
        <f t="shared" si="670"/>
        <v>2.30031112517499+0.0259034422518859i</v>
      </c>
      <c r="GC246" s="1" t="str">
        <f t="shared" si="671"/>
        <v>2.01934311628805+0.026717387713703i</v>
      </c>
      <c r="GD246" s="92" t="str">
        <f t="shared" si="672"/>
        <v>0.341852674589423-1020.97101967683i</v>
      </c>
      <c r="GE246" s="1" t="str">
        <f t="shared" si="623"/>
        <v>0.00236111929326243+7.05167620910394i</v>
      </c>
      <c r="GF246" s="1">
        <f t="shared" si="624"/>
        <v>49.2</v>
      </c>
      <c r="GG246" s="56">
        <f t="shared" si="625"/>
        <v>0.2300907992399055</v>
      </c>
      <c r="GH246" s="1">
        <f t="shared" si="626"/>
        <v>0.76990922101294768</v>
      </c>
      <c r="GJ246" s="1">
        <f t="shared" si="673"/>
        <v>1020.9710769082526</v>
      </c>
      <c r="GK246" s="1">
        <f t="shared" si="674"/>
        <v>7.0516766043918109</v>
      </c>
      <c r="GM246" s="1" t="str">
        <f t="shared" si="627"/>
        <v>0.0191834803010191+23.5956807702536i</v>
      </c>
      <c r="GP246" s="1">
        <f t="shared" si="613"/>
        <v>49.2</v>
      </c>
      <c r="GQ246" s="1">
        <f t="shared" si="614"/>
        <v>7.0516766043918109</v>
      </c>
      <c r="GR246" s="1">
        <f t="shared" si="628"/>
        <v>23.595688568415035</v>
      </c>
      <c r="GS246" s="1">
        <f t="shared" si="629"/>
        <v>5.4291508413225262</v>
      </c>
    </row>
    <row r="247" spans="2:201" ht="18" customHeight="1" x14ac:dyDescent="0.25">
      <c r="B247" s="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5"/>
      <c r="AR247" s="3"/>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5"/>
      <c r="EA247" s="1">
        <f t="shared" si="675"/>
        <v>49.4</v>
      </c>
      <c r="EB247" s="1" t="str">
        <f t="shared" si="615"/>
        <v>1.85939538848156E-06-0.00918541321909889i</v>
      </c>
      <c r="EC247" s="1" t="str">
        <f t="shared" si="616"/>
        <v>3.64289708763732E-06-0.0179959116129284i</v>
      </c>
      <c r="ED247" s="1" t="str">
        <f t="shared" si="617"/>
        <v>9.00288889627035E-06-0.0444742711475756i</v>
      </c>
      <c r="EE247" s="1" t="str">
        <f t="shared" si="618"/>
        <v>0.0000125730545316371-0.0621108893862874i</v>
      </c>
      <c r="EF247" s="1" t="str">
        <f t="shared" si="619"/>
        <v>0.896628636876057i</v>
      </c>
      <c r="EG247" s="1" t="str">
        <f t="shared" si="620"/>
        <v>0.896255197210555i</v>
      </c>
      <c r="EH247" s="1" t="str">
        <f t="shared" si="621"/>
        <v>0.896968899050614i</v>
      </c>
      <c r="EI247" s="1" t="str">
        <f t="shared" si="622"/>
        <v>0.896881279489994i</v>
      </c>
      <c r="EJ247" s="1" t="str">
        <f t="shared" si="610"/>
        <v>0.005</v>
      </c>
      <c r="EK247" s="1" t="str">
        <f t="shared" si="611"/>
        <v>0.01</v>
      </c>
      <c r="EL247" s="1" t="str">
        <f t="shared" si="612"/>
        <v>0.0125</v>
      </c>
      <c r="EM247" s="1" t="str">
        <f t="shared" si="630"/>
        <v>0.00500185939538848+0.887443223656958i</v>
      </c>
      <c r="EN247" s="1" t="str">
        <f t="shared" si="631"/>
        <v>-0.005</v>
      </c>
      <c r="EO247" s="1" t="str">
        <f t="shared" si="632"/>
        <v>0.0133868246780301-66.1309139094687i</v>
      </c>
      <c r="EP247" s="1" t="str">
        <f t="shared" si="633"/>
        <v>-0.005</v>
      </c>
      <c r="EQ247" s="1" t="str">
        <f t="shared" si="634"/>
        <v>0.0150036428970876+0.878259285597627i</v>
      </c>
      <c r="ER247" s="1" t="str">
        <f t="shared" si="635"/>
        <v>-0.01</v>
      </c>
      <c r="ES247" s="1" t="str">
        <f t="shared" si="636"/>
        <v>0.0262272483487936-129.56260684304i</v>
      </c>
      <c r="ET247" s="1" t="str">
        <f t="shared" si="637"/>
        <v>-0.01</v>
      </c>
      <c r="EU247" s="1" t="str">
        <f t="shared" si="638"/>
        <v>0.0225090028888963+0.852494627903038i</v>
      </c>
      <c r="EV247" s="1" t="str">
        <f t="shared" si="639"/>
        <v>-0.0125</v>
      </c>
      <c r="EW247" s="1" t="str">
        <f t="shared" si="640"/>
        <v>0.0648168194869924-320.195088265743i</v>
      </c>
      <c r="EX247" s="1" t="str">
        <f t="shared" si="641"/>
        <v>-0.0125</v>
      </c>
      <c r="EY247" s="1" t="str">
        <f t="shared" si="642"/>
        <v>0.0125125730545316+0.834770390103707i</v>
      </c>
      <c r="EZ247" s="1" t="str">
        <f t="shared" si="643"/>
        <v>0.0905204335371553-447.170941673548i</v>
      </c>
      <c r="FB247" s="1" t="str">
        <f t="shared" si="644"/>
        <v>0.00500185939538848+0.887443223656958i</v>
      </c>
      <c r="FC247" s="1" t="str">
        <f t="shared" si="645"/>
        <v>0.0133868246780301-66.1309139094687i</v>
      </c>
      <c r="FD247" s="1" t="str">
        <f t="shared" si="646"/>
        <v>-0.0000317545916556311+0.00563398427608037i</v>
      </c>
      <c r="FE247" s="1" t="str">
        <f t="shared" si="647"/>
        <v>0.0150034841241293+0.878287455519007i</v>
      </c>
      <c r="FF247" s="1" t="str">
        <f t="shared" si="648"/>
        <v>-0.346352855686826-129.564782224367i</v>
      </c>
      <c r="FG247" s="1" t="str">
        <f t="shared" si="649"/>
        <v>-0.000194442881028843+0.0113824723517357i</v>
      </c>
      <c r="FH247" s="1" t="str">
        <f t="shared" si="650"/>
        <v>0.022507058460086+0.852608452626555i</v>
      </c>
      <c r="FI247" s="1" t="str">
        <f t="shared" si="651"/>
        <v>-1.41001807778764-320.216338863475i</v>
      </c>
      <c r="FJ247" s="1" t="str">
        <f t="shared" si="652"/>
        <v>-0.000386746998895455+0.0146506821791477i</v>
      </c>
      <c r="FK247" s="1" t="str">
        <f t="shared" si="653"/>
        <v>0.0125077387170454+0.834953523630946i</v>
      </c>
      <c r="FL247" s="1" t="str">
        <f t="shared" si="654"/>
        <v>-4.60053097225797-447.295725773618i</v>
      </c>
      <c r="FM247" s="1" t="str">
        <f t="shared" si="655"/>
        <v>-535.675653033377-2.51458323552652i</v>
      </c>
      <c r="FN247" s="1" t="str">
        <f t="shared" si="656"/>
        <v>-375.59866167251-0.407757270077962i</v>
      </c>
      <c r="FO247" s="1" t="str">
        <f t="shared" si="657"/>
        <v>-147.561163499203+2.15010232315988i</v>
      </c>
      <c r="FP247" s="1" t="str">
        <f t="shared" si="658"/>
        <v>-74.5085929089346+0.396349285185617i</v>
      </c>
      <c r="FQ247" s="92" t="str">
        <f t="shared" si="659"/>
        <v>0.00988473364856289-66.8153068606809i</v>
      </c>
      <c r="FR247" s="1" t="str">
        <f t="shared" si="660"/>
        <v>-0.355378119302779-66.8065380954911i</v>
      </c>
      <c r="FS247" s="1" t="str">
        <f t="shared" si="661"/>
        <v>0.365262852951342-0.0087687651898713i</v>
      </c>
      <c r="FT247" s="1" t="str">
        <f t="shared" si="662"/>
        <v>-0.011928252884784-132.218112331475i</v>
      </c>
      <c r="FU247" s="1" t="str">
        <f t="shared" si="663"/>
        <v>0.0863329998994603-336.899561316639i</v>
      </c>
      <c r="FV247" s="1" t="str">
        <f t="shared" si="664"/>
        <v>0.253438513928415-480.442201290039i</v>
      </c>
      <c r="FW247" s="1" t="str">
        <f t="shared" si="665"/>
        <v>-0.355378119302779-66.8065380954911i</v>
      </c>
      <c r="FX247" s="1" t="str">
        <f t="shared" si="666"/>
        <v>-1.92704038166653-132.252459692597i</v>
      </c>
      <c r="FY247" s="1" t="str">
        <f t="shared" si="667"/>
        <v>0.365745589621713-336.900318045275i</v>
      </c>
      <c r="FZ247" s="1" t="str">
        <f t="shared" si="668"/>
        <v>2.25528262966311-480.437465084213i</v>
      </c>
      <c r="GA247" s="1" t="str">
        <f t="shared" si="669"/>
        <v>0.365262852951342-0.0087687651898713i</v>
      </c>
      <c r="GB247" s="1" t="str">
        <f t="shared" si="670"/>
        <v>2.28037498173307+0.0255785959323784i</v>
      </c>
      <c r="GC247" s="1" t="str">
        <f t="shared" si="671"/>
        <v>2.00096239201084+0.026335324568107i</v>
      </c>
      <c r="GD247" s="92" t="str">
        <f t="shared" si="672"/>
        <v>0.337727994591654-1016.37518179883i</v>
      </c>
      <c r="GE247" s="1" t="str">
        <f t="shared" si="623"/>
        <v>0.00235377386222657+7.08356243913511i</v>
      </c>
      <c r="GF247" s="1">
        <f t="shared" si="624"/>
        <v>49.4</v>
      </c>
      <c r="GG247" s="56">
        <f t="shared" si="625"/>
        <v>0.2301713770124906</v>
      </c>
      <c r="GH247" s="1">
        <f t="shared" si="626"/>
        <v>0.76982864318206257</v>
      </c>
      <c r="GJ247" s="1">
        <f t="shared" si="673"/>
        <v>1016.3752379100955</v>
      </c>
      <c r="GK247" s="1">
        <f t="shared" si="674"/>
        <v>7.0835628301990203</v>
      </c>
      <c r="GM247" s="1" t="str">
        <f t="shared" si="627"/>
        <v>0.0191834803010191+23.6915981717587i</v>
      </c>
      <c r="GP247" s="1">
        <f t="shared" si="613"/>
        <v>49.4</v>
      </c>
      <c r="GQ247" s="1">
        <f t="shared" si="614"/>
        <v>7.0835628301990203</v>
      </c>
      <c r="GR247" s="1">
        <f t="shared" si="628"/>
        <v>23.691605938348644</v>
      </c>
      <c r="GS247" s="1">
        <f t="shared" si="629"/>
        <v>5.4531295624670086</v>
      </c>
    </row>
    <row r="248" spans="2:201" ht="18" customHeight="1" x14ac:dyDescent="0.25">
      <c r="B248" s="6"/>
      <c r="AN248" s="7"/>
      <c r="AP248" s="8"/>
      <c r="AR248" s="6"/>
      <c r="CD248" s="7"/>
      <c r="CF248" s="8"/>
      <c r="EA248" s="1">
        <f t="shared" si="675"/>
        <v>49.6</v>
      </c>
      <c r="EB248" s="1" t="str">
        <f t="shared" si="615"/>
        <v>1.84443049709422E-06-0.00914837526558735i</v>
      </c>
      <c r="EC248" s="1" t="str">
        <f t="shared" si="616"/>
        <v>3.61357811675603E-06-0.0179233474591099i</v>
      </c>
      <c r="ED248" s="1" t="str">
        <f t="shared" si="617"/>
        <v>8.93043133542047E-06-0.0442949394236856i</v>
      </c>
      <c r="EE248" s="1" t="str">
        <f t="shared" si="618"/>
        <v>0.0000124718633613038-0.0618604422720669i</v>
      </c>
      <c r="EF248" s="1" t="str">
        <f t="shared" si="619"/>
        <v>0.900258712328998i</v>
      </c>
      <c r="EG248" s="1" t="str">
        <f t="shared" si="620"/>
        <v>0.899883760762009i</v>
      </c>
      <c r="EH248" s="1" t="str">
        <f t="shared" si="621"/>
        <v>0.900600352083213i</v>
      </c>
      <c r="EI248" s="1" t="str">
        <f t="shared" si="622"/>
        <v>0.90051237778753i</v>
      </c>
      <c r="EJ248" s="1" t="str">
        <f t="shared" si="610"/>
        <v>0.005</v>
      </c>
      <c r="EK248" s="1" t="str">
        <f t="shared" si="611"/>
        <v>0.01</v>
      </c>
      <c r="EL248" s="1" t="str">
        <f t="shared" si="612"/>
        <v>0.0125</v>
      </c>
      <c r="EM248" s="1" t="str">
        <f t="shared" si="630"/>
        <v>0.00500184443049709+0.891110337063411i</v>
      </c>
      <c r="EN248" s="1" t="str">
        <f t="shared" si="631"/>
        <v>-0.005</v>
      </c>
      <c r="EO248" s="1" t="str">
        <f t="shared" si="632"/>
        <v>0.0132790840766663-65.8642570202651i</v>
      </c>
      <c r="EP248" s="1" t="str">
        <f t="shared" si="633"/>
        <v>-0.005</v>
      </c>
      <c r="EQ248" s="1" t="str">
        <f t="shared" si="634"/>
        <v>0.0150036135781168+0.881960413302899i</v>
      </c>
      <c r="ER248" s="1" t="str">
        <f t="shared" si="635"/>
        <v>-0.01</v>
      </c>
      <c r="ES248" s="1" t="str">
        <f t="shared" si="636"/>
        <v>0.026016164721632-129.040177019295i</v>
      </c>
      <c r="ET248" s="1" t="str">
        <f t="shared" si="637"/>
        <v>-0.01</v>
      </c>
      <c r="EU248" s="1" t="str">
        <f t="shared" si="638"/>
        <v>0.0225089304313354+0.856305412659527i</v>
      </c>
      <c r="EV248" s="1" t="str">
        <f t="shared" si="639"/>
        <v>-0.0125</v>
      </c>
      <c r="EW248" s="1" t="str">
        <f t="shared" si="640"/>
        <v>0.0642951570854914-318.903979144038i</v>
      </c>
      <c r="EX248" s="1" t="str">
        <f t="shared" si="641"/>
        <v>-0.0125</v>
      </c>
      <c r="EY248" s="1" t="str">
        <f t="shared" si="642"/>
        <v>0.0125124718633613+0.838651935515463i</v>
      </c>
      <c r="EZ248" s="1" t="str">
        <f t="shared" si="643"/>
        <v>0.0897919018517439-445.36783318465i</v>
      </c>
      <c r="FB248" s="1" t="str">
        <f t="shared" si="644"/>
        <v>0.00500184443049709+0.891110337063411i</v>
      </c>
      <c r="FC248" s="1" t="str">
        <f t="shared" si="645"/>
        <v>0.0132790840766663-65.8642570202651i</v>
      </c>
      <c r="FD248" s="1" t="str">
        <f t="shared" si="646"/>
        <v>-0.0000314936892762174+0.00561080066688746i</v>
      </c>
      <c r="FE248" s="1" t="str">
        <f t="shared" si="647"/>
        <v>0.0150034561096704+0.881988467306233i</v>
      </c>
      <c r="FF248" s="1" t="str">
        <f t="shared" si="648"/>
        <v>-0.343534634284371-129.042325834034i</v>
      </c>
      <c r="FG248" s="1" t="str">
        <f t="shared" si="649"/>
        <v>-0.000192814568461062+0.0113347367745271i</v>
      </c>
      <c r="FH248" s="1" t="str">
        <f t="shared" si="650"/>
        <v>0.0225070022856508+0.856418760027272i</v>
      </c>
      <c r="FI248" s="1" t="str">
        <f t="shared" si="651"/>
        <v>-1.3984318774983-318.924966509754i</v>
      </c>
      <c r="FJ248" s="1" t="str">
        <f t="shared" si="652"/>
        <v>-0.000383314703509027+0.0145855898050321i</v>
      </c>
      <c r="FK248" s="1" t="str">
        <f t="shared" si="653"/>
        <v>0.0125076804295674+0.838834255388026i</v>
      </c>
      <c r="FL248" s="1" t="str">
        <f t="shared" si="654"/>
        <v>-4.56158607985663-445.491011551651i</v>
      </c>
      <c r="FM248" s="1" t="str">
        <f t="shared" si="655"/>
        <v>-531.046491836517-2.48031565224405i</v>
      </c>
      <c r="FN248" s="1" t="str">
        <f t="shared" si="656"/>
        <v>-372.419317162888-0.403458463637418i</v>
      </c>
      <c r="FO248" s="1" t="str">
        <f t="shared" si="657"/>
        <v>-146.34908442379+2.1224605654855i</v>
      </c>
      <c r="FP248" s="1" t="str">
        <f t="shared" si="658"/>
        <v>-73.902860170635+0.391439436837288i</v>
      </c>
      <c r="FQ248" s="92" t="str">
        <f t="shared" si="659"/>
        <v>0.00983435790384985-66.5403488402891i</v>
      </c>
      <c r="FR248" s="1" t="str">
        <f t="shared" si="660"/>
        <v>-0.352396763361925-66.5316937346459i</v>
      </c>
      <c r="FS248" s="1" t="str">
        <f t="shared" si="661"/>
        <v>0.362231121265775-0.00865510564324105i</v>
      </c>
      <c r="FT248" s="1" t="str">
        <f t="shared" si="662"/>
        <v>-0.0114965896129424-131.663250179422i</v>
      </c>
      <c r="FU248" s="1" t="str">
        <f t="shared" si="663"/>
        <v>0.0854921904321915-335.40026663492i</v>
      </c>
      <c r="FV248" s="1" t="str">
        <f t="shared" si="664"/>
        <v>0.249848464358576-478.218573102529i</v>
      </c>
      <c r="FW248" s="1" t="str">
        <f t="shared" si="665"/>
        <v>-0.352396763361925-66.5316937346459i</v>
      </c>
      <c r="FX248" s="1" t="str">
        <f t="shared" si="666"/>
        <v>-1.90996779573815-131.697164475357i</v>
      </c>
      <c r="FY248" s="1" t="str">
        <f t="shared" si="667"/>
        <v>0.363354834402811-335.400968159487i</v>
      </c>
      <c r="FZ248" s="1" t="str">
        <f t="shared" si="668"/>
        <v>2.23355494566592-478.213939079428i</v>
      </c>
      <c r="GA248" s="1" t="str">
        <f t="shared" si="669"/>
        <v>0.362231121265775-0.00865510564324105i</v>
      </c>
      <c r="GB248" s="1" t="str">
        <f t="shared" si="670"/>
        <v>2.26070232739098+0.0252591902912292i</v>
      </c>
      <c r="GC248" s="1" t="str">
        <f t="shared" si="671"/>
        <v>1.98283968342036+0.0259607148575829i</v>
      </c>
      <c r="GD248" s="92" t="str">
        <f t="shared" si="672"/>
        <v>0.333678423081675-1011.82243875716i</v>
      </c>
      <c r="GE248" s="1" t="str">
        <f t="shared" si="623"/>
        <v>0.00234652556762944+7.1154352760283i</v>
      </c>
      <c r="GF248" s="1">
        <f t="shared" si="624"/>
        <v>49.6</v>
      </c>
      <c r="GG248" s="56">
        <f t="shared" si="625"/>
        <v>0.2302509546993334</v>
      </c>
      <c r="GH248" s="1">
        <f t="shared" si="626"/>
        <v>0.76974906543603439</v>
      </c>
      <c r="GJ248" s="1">
        <f t="shared" si="673"/>
        <v>1011.8224937773309</v>
      </c>
      <c r="GK248" s="1">
        <f t="shared" si="674"/>
        <v>7.1154356629464495</v>
      </c>
      <c r="GM248" s="1" t="str">
        <f t="shared" si="627"/>
        <v>0.0191834803010191+23.7875155732638i</v>
      </c>
      <c r="GP248" s="1">
        <f t="shared" si="613"/>
        <v>49.6</v>
      </c>
      <c r="GQ248" s="1">
        <f t="shared" si="614"/>
        <v>7.1154356629464495</v>
      </c>
      <c r="GR248" s="1">
        <f t="shared" si="628"/>
        <v>23.787523308536855</v>
      </c>
      <c r="GS248" s="1">
        <f t="shared" si="629"/>
        <v>5.4770999517232575</v>
      </c>
    </row>
    <row r="249" spans="2:201" ht="18" customHeight="1" x14ac:dyDescent="0.25">
      <c r="B249" s="6"/>
      <c r="AN249" s="9"/>
      <c r="AP249" s="8"/>
      <c r="AR249" s="6"/>
      <c r="CD249" s="9"/>
      <c r="CF249" s="8"/>
      <c r="EA249" s="1">
        <f t="shared" si="675"/>
        <v>49.8</v>
      </c>
      <c r="EB249" s="1" t="str">
        <f t="shared" si="615"/>
        <v>1.82964554330163E-06-0.00911163480564218i</v>
      </c>
      <c r="EC249" s="1" t="str">
        <f t="shared" si="616"/>
        <v>3.58461167667261E-06-0.0178513661498296i</v>
      </c>
      <c r="ED249" s="1" t="str">
        <f t="shared" si="617"/>
        <v>8.85884500302689E-06-0.0441170481150739i</v>
      </c>
      <c r="EE249" s="1" t="str">
        <f t="shared" si="618"/>
        <v>0.0000123718889118493-0.0616120067810094i</v>
      </c>
      <c r="EF249" s="1" t="str">
        <f t="shared" si="619"/>
        <v>0.903888787781933i</v>
      </c>
      <c r="EG249" s="1" t="str">
        <f t="shared" si="620"/>
        <v>0.90351232431347i</v>
      </c>
      <c r="EH249" s="1" t="str">
        <f t="shared" si="621"/>
        <v>0.904231805115808i</v>
      </c>
      <c r="EI249" s="1" t="str">
        <f t="shared" si="622"/>
        <v>0.904143476085058i</v>
      </c>
      <c r="EJ249" s="1" t="str">
        <f t="shared" si="610"/>
        <v>0.005</v>
      </c>
      <c r="EK249" s="1" t="str">
        <f t="shared" si="611"/>
        <v>0.01</v>
      </c>
      <c r="EL249" s="1" t="str">
        <f t="shared" si="612"/>
        <v>0.0125</v>
      </c>
      <c r="EM249" s="1" t="str">
        <f t="shared" si="630"/>
        <v>0.0050018296455433+0.894777152976291i</v>
      </c>
      <c r="EN249" s="1" t="str">
        <f t="shared" si="631"/>
        <v>-0.005</v>
      </c>
      <c r="EO249" s="1" t="str">
        <f t="shared" si="632"/>
        <v>0.0131726389464265-65.5997419532046i</v>
      </c>
      <c r="EP249" s="1" t="str">
        <f t="shared" si="633"/>
        <v>-0.005</v>
      </c>
      <c r="EQ249" s="1" t="str">
        <f t="shared" si="634"/>
        <v>0.0150035846116767+0.88566095816364i</v>
      </c>
      <c r="ER249" s="1" t="str">
        <f t="shared" si="635"/>
        <v>-0.01</v>
      </c>
      <c r="ES249" s="1" t="str">
        <f t="shared" si="636"/>
        <v>0.0258076191603461-128.521943418523i</v>
      </c>
      <c r="ET249" s="1" t="str">
        <f t="shared" si="637"/>
        <v>-0.01</v>
      </c>
      <c r="EU249" s="1" t="str">
        <f t="shared" si="638"/>
        <v>0.022508858845003+0.860114757000734i</v>
      </c>
      <c r="EV249" s="1" t="str">
        <f t="shared" si="639"/>
        <v>-0.0125</v>
      </c>
      <c r="EW249" s="1" t="str">
        <f t="shared" si="640"/>
        <v>0.0637797671436681-317.623240375467i</v>
      </c>
      <c r="EX249" s="1" t="str">
        <f t="shared" si="641"/>
        <v>-0.0125</v>
      </c>
      <c r="EY249" s="1" t="str">
        <f t="shared" si="642"/>
        <v>0.0125123718889118+0.842531469304049i</v>
      </c>
      <c r="EZ249" s="1" t="str">
        <f t="shared" si="643"/>
        <v>0.089072130018695-443.579207493101i</v>
      </c>
      <c r="FB249" s="1" t="str">
        <f t="shared" si="644"/>
        <v>0.0050018296455433+0.894777152976291i</v>
      </c>
      <c r="FC249" s="1" t="str">
        <f t="shared" si="645"/>
        <v>0.0131726389464265-65.5997419532046i</v>
      </c>
      <c r="FD249" s="1" t="str">
        <f t="shared" si="646"/>
        <v>-0.0000312360102738144+0.00558780892668846i</v>
      </c>
      <c r="FE249" s="1" t="str">
        <f t="shared" si="647"/>
        <v>0.0150034284316253+0.885688897208273i</v>
      </c>
      <c r="FF249" s="1" t="str">
        <f t="shared" si="648"/>
        <v>-0.340750793053545-128.524066098926i</v>
      </c>
      <c r="FG249" s="1" t="str">
        <f t="shared" si="649"/>
        <v>-0.000191206874941883+0.0112874072068054i</v>
      </c>
      <c r="FH249" s="1" t="str">
        <f t="shared" si="650"/>
        <v>0.0225069467762536+0.860227631072802i</v>
      </c>
      <c r="FI249" s="1" t="str">
        <f t="shared" si="651"/>
        <v>-1.38698885668355-317.643968867543i</v>
      </c>
      <c r="FJ249" s="1" t="str">
        <f t="shared" si="652"/>
        <v>-0.000379929157871652+0.014521097095064i</v>
      </c>
      <c r="FK249" s="1" t="str">
        <f t="shared" si="653"/>
        <v>0.0125076227744384+0.842712983017737i</v>
      </c>
      <c r="FL249" s="1" t="str">
        <f t="shared" si="654"/>
        <v>-4.5231415513291-443.700807975529i</v>
      </c>
      <c r="FM249" s="1" t="str">
        <f t="shared" si="655"/>
        <v>-526.478427081494-2.4466835744033i</v>
      </c>
      <c r="FN249" s="1" t="str">
        <f t="shared" si="656"/>
        <v>-369.280822722813-0.399213667297558i</v>
      </c>
      <c r="FO249" s="1" t="str">
        <f t="shared" si="657"/>
        <v>-145.151977502036+2.09529747970251i</v>
      </c>
      <c r="FP249" s="1" t="str">
        <f t="shared" si="658"/>
        <v>-73.3045082894775+0.38661088372541i</v>
      </c>
      <c r="FQ249" s="92" t="str">
        <f t="shared" si="659"/>
        <v>0.00978410302892977-66.2676665697064i</v>
      </c>
      <c r="FR249" s="1" t="str">
        <f t="shared" si="660"/>
        <v>-0.349453243033863-66.2591231367265i</v>
      </c>
      <c r="FS249" s="1" t="str">
        <f t="shared" si="661"/>
        <v>0.359237346062792-0.0085434329798855i</v>
      </c>
      <c r="FT249" s="1" t="str">
        <f t="shared" si="662"/>
        <v>-0.0110759898691927-131.113112027112i</v>
      </c>
      <c r="FU249" s="1" t="str">
        <f t="shared" si="663"/>
        <v>0.0846632972831213-333.914816662932i</v>
      </c>
      <c r="FV249" s="1" t="str">
        <f t="shared" si="664"/>
        <v>0.246330747610153-476.016569642403i</v>
      </c>
      <c r="FW249" s="1" t="str">
        <f t="shared" si="665"/>
        <v>-0.349453243033863-66.2591231367265i</v>
      </c>
      <c r="FX249" s="1" t="str">
        <f t="shared" si="666"/>
        <v>-1.89312709601417-131.146600571561i</v>
      </c>
      <c r="FY249" s="1" t="str">
        <f t="shared" si="667"/>
        <v>0.360981695007372-333.9154649253i</v>
      </c>
      <c r="FZ249" s="1" t="str">
        <f t="shared" si="668"/>
        <v>2.21215299184121-476.012035145256i</v>
      </c>
      <c r="GA249" s="1" t="str">
        <f t="shared" si="669"/>
        <v>0.359237346062792-0.0085434329798855i</v>
      </c>
      <c r="GB249" s="1" t="str">
        <f t="shared" si="670"/>
        <v>2.24128845220777+0.0249451114700007i</v>
      </c>
      <c r="GC249" s="1" t="str">
        <f t="shared" si="671"/>
        <v>1.96497005448351+0.0255933738388218i</v>
      </c>
      <c r="GD249" s="92" t="str">
        <f t="shared" si="672"/>
        <v>0.329702158053011-1007.31216490215i</v>
      </c>
      <c r="GE249" s="1" t="str">
        <f t="shared" si="623"/>
        <v>0.00233937266965245+7.1472948866827i</v>
      </c>
      <c r="GF249" s="1">
        <f t="shared" si="624"/>
        <v>49.8</v>
      </c>
      <c r="GG249" s="56">
        <f t="shared" si="625"/>
        <v>0.23032954889873941</v>
      </c>
      <c r="GH249" s="1">
        <f t="shared" si="626"/>
        <v>0.76967047117660226</v>
      </c>
      <c r="GJ249" s="1">
        <f t="shared" si="673"/>
        <v>1007.3122188593611</v>
      </c>
      <c r="GK249" s="1">
        <f t="shared" si="674"/>
        <v>7.1472952695313472</v>
      </c>
      <c r="GM249" s="1" t="str">
        <f t="shared" si="627"/>
        <v>0.0191834803010191+23.8834329747689i</v>
      </c>
      <c r="GP249" s="1">
        <f t="shared" si="613"/>
        <v>49.8</v>
      </c>
      <c r="GQ249" s="1">
        <f t="shared" si="614"/>
        <v>7.1472952695313472</v>
      </c>
      <c r="GR249" s="1">
        <f t="shared" si="628"/>
        <v>23.883440678976616</v>
      </c>
      <c r="GS249" s="1">
        <f t="shared" si="629"/>
        <v>5.501062117738492</v>
      </c>
    </row>
    <row r="250" spans="2:201" ht="18" customHeight="1" thickBot="1" x14ac:dyDescent="0.3">
      <c r="B250" s="6"/>
      <c r="C250" s="10" t="str">
        <f>"Harmonic Filter Design - H - Type | "&amp; H12 &amp; " | " &amp; AE13</f>
        <v xml:space="preserve">Harmonic Filter Design - H - Type | Enter Customer PO #  | </v>
      </c>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1"/>
      <c r="AO250" s="10"/>
      <c r="AP250" s="8"/>
      <c r="AR250" s="6"/>
      <c r="AS250" s="10" t="str">
        <f>"Harmonic Filter Design - H - Type | "&amp; H12 &amp; " | " &amp; AE13</f>
        <v xml:space="preserve">Harmonic Filter Design - H - Type | Enter Customer PO #  | </v>
      </c>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1"/>
      <c r="CE250" s="10"/>
      <c r="CF250" s="8"/>
      <c r="EA250" s="1">
        <f t="shared" si="675"/>
        <v>50</v>
      </c>
      <c r="EB250" s="1" t="str">
        <f t="shared" si="615"/>
        <v>1.81503765386825E-06-0.00907518826934124i</v>
      </c>
      <c r="EC250" s="1" t="str">
        <f t="shared" si="616"/>
        <v>3.55599213819085E-06-0.0177799606909542i</v>
      </c>
      <c r="ED250" s="1" t="str">
        <f t="shared" si="617"/>
        <v>8.78811598735186E-06-0.0439405799367593i</v>
      </c>
      <c r="EE250" s="1" t="str">
        <f t="shared" si="618"/>
        <v>0.0000122731117547281-0.0613655587736405i</v>
      </c>
      <c r="EF250" s="1" t="str">
        <f t="shared" si="619"/>
        <v>0.907518863234877i</v>
      </c>
      <c r="EG250" s="1" t="str">
        <f t="shared" si="620"/>
        <v>0.907140887864928i</v>
      </c>
      <c r="EH250" s="1" t="str">
        <f t="shared" si="621"/>
        <v>0.907863258148395i</v>
      </c>
      <c r="EI250" s="1" t="str">
        <f t="shared" si="622"/>
        <v>0.907774574382591i</v>
      </c>
      <c r="EJ250" s="1" t="str">
        <f t="shared" si="610"/>
        <v>0.005</v>
      </c>
      <c r="EK250" s="1" t="str">
        <f t="shared" si="611"/>
        <v>0.01</v>
      </c>
      <c r="EL250" s="1" t="str">
        <f t="shared" si="612"/>
        <v>0.0125</v>
      </c>
      <c r="EM250" s="1" t="str">
        <f t="shared" si="630"/>
        <v>0.00500181503765387+0.898443674965536i</v>
      </c>
      <c r="EN250" s="1" t="str">
        <f t="shared" si="631"/>
        <v>-0.005</v>
      </c>
      <c r="EO250" s="1" t="str">
        <f t="shared" si="632"/>
        <v>0.0130674686012853-65.3373430064262i</v>
      </c>
      <c r="EP250" s="1" t="str">
        <f t="shared" si="633"/>
        <v>-0.005</v>
      </c>
      <c r="EQ250" s="1" t="str">
        <f t="shared" si="634"/>
        <v>0.0150035559921382+0.889360927173974i</v>
      </c>
      <c r="ER250" s="1" t="str">
        <f t="shared" si="635"/>
        <v>-0.01</v>
      </c>
      <c r="ES250" s="1" t="str">
        <f t="shared" si="636"/>
        <v>0.0256015711372119-128.007855686059i</v>
      </c>
      <c r="ET250" s="1" t="str">
        <f t="shared" si="637"/>
        <v>-0.01</v>
      </c>
      <c r="EU250" s="1" t="str">
        <f t="shared" si="638"/>
        <v>0.0225087881159874+0.863922678211636i</v>
      </c>
      <c r="EV250" s="1" t="str">
        <f t="shared" si="639"/>
        <v>-0.0125</v>
      </c>
      <c r="EW250" s="1" t="str">
        <f t="shared" si="640"/>
        <v>0.0632705495031616-316.352747515808i</v>
      </c>
      <c r="EX250" s="1" t="str">
        <f t="shared" si="641"/>
        <v>-0.0125</v>
      </c>
      <c r="EY250" s="1" t="str">
        <f t="shared" si="642"/>
        <v>0.0125122731117547+0.846409015608951i</v>
      </c>
      <c r="EZ250" s="1" t="str">
        <f t="shared" si="643"/>
        <v>0.0883609781610713-441.804890805356i</v>
      </c>
      <c r="FB250" s="1" t="str">
        <f t="shared" si="644"/>
        <v>0.00500181503765387+0.898443674965536i</v>
      </c>
      <c r="FC250" s="1" t="str">
        <f t="shared" si="645"/>
        <v>0.0130674686012853-65.3373430064262i</v>
      </c>
      <c r="FD250" s="1" t="str">
        <f t="shared" si="646"/>
        <v>-0.000030981501434387+0.00556500666160517i</v>
      </c>
      <c r="FE250" s="1" t="str">
        <f t="shared" si="647"/>
        <v>0.015003401084631+0.889388752207282i</v>
      </c>
      <c r="FF250" s="1" t="str">
        <f t="shared" si="648"/>
        <v>-0.338000773095335-128.009952655595i</v>
      </c>
      <c r="FG250" s="1" t="str">
        <f t="shared" si="649"/>
        <v>-0.000189619449856225+0.0112404784055673i</v>
      </c>
      <c r="FH250" s="1" t="str">
        <f t="shared" si="650"/>
        <v>0.0225068919214888+0.864035082995692i</v>
      </c>
      <c r="FI250" s="1" t="str">
        <f t="shared" si="651"/>
        <v>-1.37568665054039-316.373221402216i</v>
      </c>
      <c r="FJ250" s="1" t="str">
        <f t="shared" si="652"/>
        <v>-0.000376589497021094+0.0144571955314389i</v>
      </c>
      <c r="FK250" s="1" t="str">
        <f t="shared" si="653"/>
        <v>0.0125075657430419+0.846589730553094i</v>
      </c>
      <c r="FL250" s="1" t="str">
        <f t="shared" si="654"/>
        <v>-4.48518872255847-441.92494064213i</v>
      </c>
      <c r="FM250" s="1" t="str">
        <f t="shared" si="655"/>
        <v>-521.970365966936-2.41367202075276i</v>
      </c>
      <c r="FN250" s="1" t="str">
        <f t="shared" si="656"/>
        <v>-366.182470835279-0.395022234887607i</v>
      </c>
      <c r="FO250" s="1" t="str">
        <f t="shared" si="657"/>
        <v>-143.969595561923+2.06860261125913i</v>
      </c>
      <c r="FP250" s="1" t="str">
        <f t="shared" si="658"/>
        <v>-72.7134174534288+0.381861939607652i</v>
      </c>
      <c r="FQ250" s="92" t="str">
        <f t="shared" si="659"/>
        <v>0.00973397719706941-65.9972316526171i</v>
      </c>
      <c r="FR250" s="1" t="str">
        <f t="shared" si="660"/>
        <v>-0.346546913345402-65.9887979492588i</v>
      </c>
      <c r="FS250" s="1" t="str">
        <f t="shared" si="661"/>
        <v>0.356280890542471-0.0084337033582574i</v>
      </c>
      <c r="FT250" s="1" t="str">
        <f t="shared" si="662"/>
        <v>-0.0106661472262239-130.567636791777i</v>
      </c>
      <c r="FU250" s="1" t="str">
        <f t="shared" si="663"/>
        <v>0.0838461096182733-332.443014175484i</v>
      </c>
      <c r="FV250" s="1" t="str">
        <f t="shared" si="664"/>
        <v>0.242883511045035-473.835864352933i</v>
      </c>
      <c r="FW250" s="1" t="str">
        <f t="shared" si="665"/>
        <v>-0.346546913345402-65.9887979492588i</v>
      </c>
      <c r="FX250" s="1" t="str">
        <f t="shared" si="666"/>
        <v>-1.87651400941732-130.600706743597i</v>
      </c>
      <c r="FY250" s="1" t="str">
        <f t="shared" si="667"/>
        <v>0.358626173206123-332.443611049346i</v>
      </c>
      <c r="FZ250" s="1" t="str">
        <f t="shared" si="668"/>
        <v>2.19107009133801-473.831426805961i</v>
      </c>
      <c r="GA250" s="1" t="str">
        <f t="shared" si="669"/>
        <v>0.356280890542471-0.0084337033582574i</v>
      </c>
      <c r="GB250" s="1" t="str">
        <f t="shared" si="670"/>
        <v>2.22212875273356+0.0246362484614674i</v>
      </c>
      <c r="GC250" s="1" t="str">
        <f t="shared" si="671"/>
        <v>1.94734868914571+0.0252331223233144i</v>
      </c>
      <c r="GD250" s="92" t="str">
        <f t="shared" si="672"/>
        <v>0.325797450634154-1002.84374697281i</v>
      </c>
      <c r="GE250" s="1" t="str">
        <f t="shared" si="623"/>
        <v>0.00233231346796897+7.1791414352091i</v>
      </c>
      <c r="GF250" s="1">
        <f t="shared" si="624"/>
        <v>50</v>
      </c>
      <c r="GG250" s="56">
        <f t="shared" si="625"/>
        <v>0.23040717586365897</v>
      </c>
      <c r="GH250" s="1">
        <f t="shared" si="626"/>
        <v>0.7695928441508556</v>
      </c>
      <c r="GJ250" s="1">
        <f t="shared" si="673"/>
        <v>1002.8437998943027</v>
      </c>
      <c r="GK250" s="1">
        <f t="shared" si="674"/>
        <v>7.1791418140626178</v>
      </c>
      <c r="GM250" s="1" t="str">
        <f t="shared" si="627"/>
        <v>0.0191834803010191+23.979350376274i</v>
      </c>
      <c r="GP250" s="1">
        <f t="shared" si="613"/>
        <v>50</v>
      </c>
      <c r="GQ250" s="1">
        <f t="shared" si="614"/>
        <v>7.1791418140626178</v>
      </c>
      <c r="GR250" s="1">
        <f t="shared" si="628"/>
        <v>23.979358049664892</v>
      </c>
      <c r="GS250" s="1">
        <f t="shared" si="629"/>
        <v>5.5250161672468012</v>
      </c>
    </row>
    <row r="251" spans="2:201" ht="18" customHeight="1" x14ac:dyDescent="0.3">
      <c r="B251" s="6"/>
      <c r="AN251" s="9"/>
      <c r="AP251" s="8"/>
      <c r="AR251" s="6"/>
      <c r="AS251" s="30" t="s">
        <v>483</v>
      </c>
      <c r="CD251" s="9"/>
      <c r="CF251" s="8"/>
      <c r="FQ251" s="92"/>
      <c r="GD251" s="92"/>
    </row>
    <row r="252" spans="2:201" ht="18" customHeight="1" x14ac:dyDescent="0.25">
      <c r="B252" s="6"/>
      <c r="C252" s="153" t="s">
        <v>478</v>
      </c>
      <c r="D252" s="153"/>
      <c r="E252" s="153"/>
      <c r="F252" s="153"/>
      <c r="G252" s="153"/>
      <c r="H252" s="153"/>
      <c r="I252" s="153"/>
      <c r="J252" s="153"/>
      <c r="K252" s="153"/>
      <c r="L252" s="153"/>
      <c r="M252" s="153"/>
      <c r="N252" s="153"/>
      <c r="O252" s="153"/>
      <c r="P252" s="153"/>
      <c r="Q252" s="153"/>
      <c r="R252" s="153"/>
      <c r="S252" s="153"/>
      <c r="T252" s="153"/>
      <c r="U252" s="153"/>
      <c r="V252" s="153"/>
      <c r="W252" s="153"/>
      <c r="X252" s="153"/>
      <c r="Y252" s="153"/>
      <c r="Z252" s="153"/>
      <c r="AA252" s="153"/>
      <c r="AB252" s="153"/>
      <c r="AC252" s="153"/>
      <c r="AD252" s="153"/>
      <c r="AE252" s="153"/>
      <c r="AF252" s="153"/>
      <c r="AG252" s="153"/>
      <c r="AH252" s="153"/>
      <c r="AI252" s="153"/>
      <c r="AJ252" s="153"/>
      <c r="AK252" s="153"/>
      <c r="AL252" s="153"/>
      <c r="AM252" s="153"/>
      <c r="AN252" s="153"/>
      <c r="AO252" s="153"/>
      <c r="AP252" s="8"/>
      <c r="AR252" s="6"/>
      <c r="AS252" s="153" t="s">
        <v>484</v>
      </c>
      <c r="AT252" s="153"/>
      <c r="AU252" s="153"/>
      <c r="AV252" s="153"/>
      <c r="AW252" s="153"/>
      <c r="AX252" s="153"/>
      <c r="AY252" s="153"/>
      <c r="AZ252" s="153"/>
      <c r="BA252" s="153"/>
      <c r="BB252" s="153"/>
      <c r="BC252" s="153"/>
      <c r="BD252" s="153"/>
      <c r="BE252" s="153"/>
      <c r="BF252" s="153"/>
      <c r="BG252" s="153"/>
      <c r="BH252" s="153"/>
      <c r="BI252" s="153"/>
      <c r="BJ252" s="153"/>
      <c r="BK252" s="153"/>
      <c r="BL252" s="153"/>
      <c r="BM252" s="153"/>
      <c r="BN252" s="153"/>
      <c r="BO252" s="153"/>
      <c r="BP252" s="153"/>
      <c r="BQ252" s="153"/>
      <c r="BR252" s="153"/>
      <c r="BS252" s="153"/>
      <c r="BT252" s="153"/>
      <c r="BU252" s="153"/>
      <c r="BV252" s="153"/>
      <c r="BW252" s="153"/>
      <c r="BX252" s="153"/>
      <c r="BY252" s="153"/>
      <c r="BZ252" s="153"/>
      <c r="CA252" s="153"/>
      <c r="CB252" s="153"/>
      <c r="CC252" s="153"/>
      <c r="CD252" s="153"/>
      <c r="CE252" s="153"/>
      <c r="CF252" s="8"/>
      <c r="FQ252" s="92"/>
      <c r="GD252" s="92"/>
    </row>
    <row r="253" spans="2:201" ht="18" customHeight="1" x14ac:dyDescent="0.25">
      <c r="B253" s="6"/>
      <c r="C253" s="153"/>
      <c r="D253" s="153"/>
      <c r="E253" s="153"/>
      <c r="F253" s="153"/>
      <c r="G253" s="153"/>
      <c r="H253" s="153"/>
      <c r="I253" s="153"/>
      <c r="J253" s="153"/>
      <c r="K253" s="153"/>
      <c r="L253" s="153"/>
      <c r="M253" s="153"/>
      <c r="N253" s="153"/>
      <c r="O253" s="153"/>
      <c r="P253" s="153"/>
      <c r="Q253" s="153"/>
      <c r="R253" s="153"/>
      <c r="S253" s="153"/>
      <c r="T253" s="153"/>
      <c r="U253" s="153"/>
      <c r="V253" s="153"/>
      <c r="W253" s="153"/>
      <c r="X253" s="153"/>
      <c r="Y253" s="153"/>
      <c r="Z253" s="153"/>
      <c r="AA253" s="153"/>
      <c r="AB253" s="153"/>
      <c r="AC253" s="153"/>
      <c r="AD253" s="153"/>
      <c r="AE253" s="153"/>
      <c r="AF253" s="153"/>
      <c r="AG253" s="153"/>
      <c r="AH253" s="153"/>
      <c r="AI253" s="153"/>
      <c r="AJ253" s="153"/>
      <c r="AK253" s="153"/>
      <c r="AL253" s="153"/>
      <c r="AM253" s="153"/>
      <c r="AN253" s="153"/>
      <c r="AO253" s="153"/>
      <c r="AP253" s="8"/>
      <c r="AR253" s="6"/>
      <c r="AS253" s="153"/>
      <c r="AT253" s="153"/>
      <c r="AU253" s="153"/>
      <c r="AV253" s="153"/>
      <c r="AW253" s="153"/>
      <c r="AX253" s="153"/>
      <c r="AY253" s="153"/>
      <c r="AZ253" s="153"/>
      <c r="BA253" s="153"/>
      <c r="BB253" s="153"/>
      <c r="BC253" s="153"/>
      <c r="BD253" s="153"/>
      <c r="BE253" s="153"/>
      <c r="BF253" s="153"/>
      <c r="BG253" s="153"/>
      <c r="BH253" s="153"/>
      <c r="BI253" s="153"/>
      <c r="BJ253" s="153"/>
      <c r="BK253" s="153"/>
      <c r="BL253" s="153"/>
      <c r="BM253" s="153"/>
      <c r="BN253" s="153"/>
      <c r="BO253" s="153"/>
      <c r="BP253" s="153"/>
      <c r="BQ253" s="153"/>
      <c r="BR253" s="153"/>
      <c r="BS253" s="153"/>
      <c r="BT253" s="153"/>
      <c r="BU253" s="153"/>
      <c r="BV253" s="153"/>
      <c r="BW253" s="153"/>
      <c r="BX253" s="153"/>
      <c r="BY253" s="153"/>
      <c r="BZ253" s="153"/>
      <c r="CA253" s="153"/>
      <c r="CB253" s="153"/>
      <c r="CC253" s="153"/>
      <c r="CD253" s="153"/>
      <c r="CE253" s="153"/>
      <c r="CF253" s="8"/>
      <c r="FQ253" s="92"/>
      <c r="GD253" s="92"/>
    </row>
    <row r="254" spans="2:201" ht="18" customHeight="1" x14ac:dyDescent="0.25">
      <c r="B254" s="6"/>
      <c r="C254" s="153"/>
      <c r="D254" s="153"/>
      <c r="E254" s="153"/>
      <c r="F254" s="153"/>
      <c r="G254" s="153"/>
      <c r="H254" s="153"/>
      <c r="I254" s="153"/>
      <c r="J254" s="153"/>
      <c r="K254" s="153"/>
      <c r="L254" s="153"/>
      <c r="M254" s="153"/>
      <c r="N254" s="153"/>
      <c r="O254" s="153"/>
      <c r="P254" s="153"/>
      <c r="Q254" s="153"/>
      <c r="R254" s="153"/>
      <c r="S254" s="153"/>
      <c r="T254" s="153"/>
      <c r="U254" s="153"/>
      <c r="V254" s="153"/>
      <c r="W254" s="153"/>
      <c r="X254" s="153"/>
      <c r="Y254" s="153"/>
      <c r="Z254" s="153"/>
      <c r="AA254" s="153"/>
      <c r="AB254" s="153"/>
      <c r="AC254" s="153"/>
      <c r="AD254" s="153"/>
      <c r="AE254" s="153"/>
      <c r="AF254" s="153"/>
      <c r="AG254" s="153"/>
      <c r="AH254" s="153"/>
      <c r="AI254" s="153"/>
      <c r="AJ254" s="153"/>
      <c r="AK254" s="153"/>
      <c r="AL254" s="153"/>
      <c r="AM254" s="153"/>
      <c r="AN254" s="153"/>
      <c r="AO254" s="153"/>
      <c r="AP254" s="8"/>
      <c r="AR254" s="6"/>
      <c r="AS254" s="153"/>
      <c r="AT254" s="153"/>
      <c r="AU254" s="153"/>
      <c r="AV254" s="153"/>
      <c r="AW254" s="153"/>
      <c r="AX254" s="153"/>
      <c r="AY254" s="153"/>
      <c r="AZ254" s="153"/>
      <c r="BA254" s="153"/>
      <c r="BB254" s="153"/>
      <c r="BC254" s="153"/>
      <c r="BD254" s="153"/>
      <c r="BE254" s="153"/>
      <c r="BF254" s="153"/>
      <c r="BG254" s="153"/>
      <c r="BH254" s="153"/>
      <c r="BI254" s="153"/>
      <c r="BJ254" s="153"/>
      <c r="BK254" s="153"/>
      <c r="BL254" s="153"/>
      <c r="BM254" s="153"/>
      <c r="BN254" s="153"/>
      <c r="BO254" s="153"/>
      <c r="BP254" s="153"/>
      <c r="BQ254" s="153"/>
      <c r="BR254" s="153"/>
      <c r="BS254" s="153"/>
      <c r="BT254" s="153"/>
      <c r="BU254" s="153"/>
      <c r="BV254" s="153"/>
      <c r="BW254" s="153"/>
      <c r="BX254" s="153"/>
      <c r="BY254" s="153"/>
      <c r="BZ254" s="153"/>
      <c r="CA254" s="153"/>
      <c r="CB254" s="153"/>
      <c r="CC254" s="153"/>
      <c r="CD254" s="153"/>
      <c r="CE254" s="153"/>
      <c r="CF254" s="8"/>
      <c r="FQ254" s="92"/>
      <c r="GD254" s="92"/>
    </row>
    <row r="255" spans="2:201" ht="18" customHeight="1" x14ac:dyDescent="0.25">
      <c r="B255" s="6"/>
      <c r="C255" s="153"/>
      <c r="D255" s="153"/>
      <c r="E255" s="153"/>
      <c r="F255" s="153"/>
      <c r="G255" s="153"/>
      <c r="H255" s="153"/>
      <c r="I255" s="153"/>
      <c r="J255" s="153"/>
      <c r="K255" s="153"/>
      <c r="L255" s="153"/>
      <c r="M255" s="153"/>
      <c r="N255" s="153"/>
      <c r="O255" s="153"/>
      <c r="P255" s="153"/>
      <c r="Q255" s="153"/>
      <c r="R255" s="153"/>
      <c r="S255" s="153"/>
      <c r="T255" s="153"/>
      <c r="U255" s="153"/>
      <c r="V255" s="153"/>
      <c r="W255" s="153"/>
      <c r="X255" s="153"/>
      <c r="Y255" s="153"/>
      <c r="Z255" s="153"/>
      <c r="AA255" s="153"/>
      <c r="AB255" s="153"/>
      <c r="AC255" s="153"/>
      <c r="AD255" s="153"/>
      <c r="AE255" s="153"/>
      <c r="AF255" s="153"/>
      <c r="AG255" s="153"/>
      <c r="AH255" s="153"/>
      <c r="AI255" s="153"/>
      <c r="AJ255" s="153"/>
      <c r="AK255" s="153"/>
      <c r="AL255" s="153"/>
      <c r="AM255" s="153"/>
      <c r="AN255" s="153"/>
      <c r="AO255" s="153"/>
      <c r="AP255" s="8"/>
      <c r="AR255" s="6"/>
      <c r="AS255" s="153"/>
      <c r="AT255" s="153"/>
      <c r="AU255" s="153"/>
      <c r="AV255" s="153"/>
      <c r="AW255" s="153"/>
      <c r="AX255" s="153"/>
      <c r="AY255" s="153"/>
      <c r="AZ255" s="153"/>
      <c r="BA255" s="153"/>
      <c r="BB255" s="153"/>
      <c r="BC255" s="153"/>
      <c r="BD255" s="153"/>
      <c r="BE255" s="153"/>
      <c r="BF255" s="153"/>
      <c r="BG255" s="153"/>
      <c r="BH255" s="153"/>
      <c r="BI255" s="153"/>
      <c r="BJ255" s="153"/>
      <c r="BK255" s="153"/>
      <c r="BL255" s="153"/>
      <c r="BM255" s="153"/>
      <c r="BN255" s="153"/>
      <c r="BO255" s="153"/>
      <c r="BP255" s="153"/>
      <c r="BQ255" s="153"/>
      <c r="BR255" s="153"/>
      <c r="BS255" s="153"/>
      <c r="BT255" s="153"/>
      <c r="BU255" s="153"/>
      <c r="BV255" s="153"/>
      <c r="BW255" s="153"/>
      <c r="BX255" s="153"/>
      <c r="BY255" s="153"/>
      <c r="BZ255" s="153"/>
      <c r="CA255" s="153"/>
      <c r="CB255" s="153"/>
      <c r="CC255" s="153"/>
      <c r="CD255" s="153"/>
      <c r="CE255" s="153"/>
      <c r="CF255" s="8"/>
      <c r="FQ255" s="92"/>
      <c r="GD255" s="92"/>
    </row>
    <row r="256" spans="2:201" ht="18" customHeight="1" x14ac:dyDescent="0.25">
      <c r="B256" s="6"/>
      <c r="C256" s="153"/>
      <c r="D256" s="153"/>
      <c r="E256" s="153"/>
      <c r="F256" s="153"/>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153"/>
      <c r="AE256" s="153"/>
      <c r="AF256" s="153"/>
      <c r="AG256" s="153"/>
      <c r="AH256" s="153"/>
      <c r="AI256" s="153"/>
      <c r="AJ256" s="153"/>
      <c r="AK256" s="153"/>
      <c r="AL256" s="153"/>
      <c r="AM256" s="153"/>
      <c r="AN256" s="153"/>
      <c r="AO256" s="153"/>
      <c r="AP256" s="8"/>
      <c r="AR256" s="6"/>
      <c r="AS256" s="153"/>
      <c r="AT256" s="153"/>
      <c r="AU256" s="153"/>
      <c r="AV256" s="153"/>
      <c r="AW256" s="153"/>
      <c r="AX256" s="153"/>
      <c r="AY256" s="153"/>
      <c r="AZ256" s="153"/>
      <c r="BA256" s="153"/>
      <c r="BB256" s="153"/>
      <c r="BC256" s="153"/>
      <c r="BD256" s="153"/>
      <c r="BE256" s="153"/>
      <c r="BF256" s="153"/>
      <c r="BG256" s="153"/>
      <c r="BH256" s="153"/>
      <c r="BI256" s="153"/>
      <c r="BJ256" s="153"/>
      <c r="BK256" s="153"/>
      <c r="BL256" s="153"/>
      <c r="BM256" s="153"/>
      <c r="BN256" s="153"/>
      <c r="BO256" s="153"/>
      <c r="BP256" s="153"/>
      <c r="BQ256" s="153"/>
      <c r="BR256" s="153"/>
      <c r="BS256" s="153"/>
      <c r="BT256" s="153"/>
      <c r="BU256" s="153"/>
      <c r="BV256" s="153"/>
      <c r="BW256" s="153"/>
      <c r="BX256" s="153"/>
      <c r="BY256" s="153"/>
      <c r="BZ256" s="153"/>
      <c r="CA256" s="153"/>
      <c r="CB256" s="153"/>
      <c r="CC256" s="153"/>
      <c r="CD256" s="153"/>
      <c r="CE256" s="153"/>
      <c r="CF256" s="8"/>
    </row>
    <row r="257" spans="2:138" ht="18" customHeight="1" x14ac:dyDescent="0.25">
      <c r="B257" s="6"/>
      <c r="C257" s="153"/>
      <c r="D257" s="153"/>
      <c r="E257" s="153"/>
      <c r="F257" s="153"/>
      <c r="G257" s="153"/>
      <c r="H257" s="153"/>
      <c r="I257" s="153"/>
      <c r="J257" s="153"/>
      <c r="K257" s="153"/>
      <c r="L257" s="153"/>
      <c r="M257" s="153"/>
      <c r="N257" s="153"/>
      <c r="O257" s="153"/>
      <c r="P257" s="153"/>
      <c r="Q257" s="153"/>
      <c r="R257" s="153"/>
      <c r="S257" s="153"/>
      <c r="T257" s="153"/>
      <c r="U257" s="153"/>
      <c r="V257" s="153"/>
      <c r="W257" s="153"/>
      <c r="X257" s="153"/>
      <c r="Y257" s="153"/>
      <c r="Z257" s="153"/>
      <c r="AA257" s="153"/>
      <c r="AB257" s="153"/>
      <c r="AC257" s="153"/>
      <c r="AD257" s="153"/>
      <c r="AE257" s="153"/>
      <c r="AF257" s="153"/>
      <c r="AG257" s="153"/>
      <c r="AH257" s="153"/>
      <c r="AI257" s="153"/>
      <c r="AJ257" s="153"/>
      <c r="AK257" s="153"/>
      <c r="AL257" s="153"/>
      <c r="AM257" s="153"/>
      <c r="AN257" s="153"/>
      <c r="AO257" s="153"/>
      <c r="AP257" s="8"/>
      <c r="AR257" s="6"/>
      <c r="AS257" s="153"/>
      <c r="AT257" s="153"/>
      <c r="AU257" s="153"/>
      <c r="AV257" s="153"/>
      <c r="AW257" s="153"/>
      <c r="AX257" s="153"/>
      <c r="AY257" s="153"/>
      <c r="AZ257" s="153"/>
      <c r="BA257" s="153"/>
      <c r="BB257" s="153"/>
      <c r="BC257" s="153"/>
      <c r="BD257" s="153"/>
      <c r="BE257" s="153"/>
      <c r="BF257" s="153"/>
      <c r="BG257" s="153"/>
      <c r="BH257" s="153"/>
      <c r="BI257" s="153"/>
      <c r="BJ257" s="153"/>
      <c r="BK257" s="153"/>
      <c r="BL257" s="153"/>
      <c r="BM257" s="153"/>
      <c r="BN257" s="153"/>
      <c r="BO257" s="153"/>
      <c r="BP257" s="153"/>
      <c r="BQ257" s="153"/>
      <c r="BR257" s="153"/>
      <c r="BS257" s="153"/>
      <c r="BT257" s="153"/>
      <c r="BU257" s="153"/>
      <c r="BV257" s="153"/>
      <c r="BW257" s="153"/>
      <c r="BX257" s="153"/>
      <c r="BY257" s="153"/>
      <c r="BZ257" s="153"/>
      <c r="CA257" s="153"/>
      <c r="CB257" s="153"/>
      <c r="CC257" s="153"/>
      <c r="CD257" s="153"/>
      <c r="CE257" s="153"/>
      <c r="CF257" s="8"/>
    </row>
    <row r="258" spans="2:138" ht="18" customHeight="1" x14ac:dyDescent="0.25">
      <c r="B258" s="6"/>
      <c r="C258" s="153"/>
      <c r="D258" s="153"/>
      <c r="E258" s="153"/>
      <c r="F258" s="153"/>
      <c r="G258" s="153"/>
      <c r="H258" s="153"/>
      <c r="I258" s="153"/>
      <c r="J258" s="153"/>
      <c r="K258" s="153"/>
      <c r="L258" s="153"/>
      <c r="M258" s="153"/>
      <c r="N258" s="153"/>
      <c r="O258" s="153"/>
      <c r="P258" s="153"/>
      <c r="Q258" s="153"/>
      <c r="R258" s="153"/>
      <c r="S258" s="153"/>
      <c r="T258" s="153"/>
      <c r="U258" s="153"/>
      <c r="V258" s="153"/>
      <c r="W258" s="153"/>
      <c r="X258" s="153"/>
      <c r="Y258" s="153"/>
      <c r="Z258" s="153"/>
      <c r="AA258" s="153"/>
      <c r="AB258" s="153"/>
      <c r="AC258" s="153"/>
      <c r="AD258" s="153"/>
      <c r="AE258" s="153"/>
      <c r="AF258" s="153"/>
      <c r="AG258" s="153"/>
      <c r="AH258" s="153"/>
      <c r="AI258" s="153"/>
      <c r="AJ258" s="153"/>
      <c r="AK258" s="153"/>
      <c r="AL258" s="153"/>
      <c r="AM258" s="153"/>
      <c r="AN258" s="153"/>
      <c r="AO258" s="153"/>
      <c r="AP258" s="8"/>
      <c r="AR258" s="6"/>
      <c r="AS258" s="153"/>
      <c r="AT258" s="153"/>
      <c r="AU258" s="153"/>
      <c r="AV258" s="153"/>
      <c r="AW258" s="153"/>
      <c r="AX258" s="153"/>
      <c r="AY258" s="153"/>
      <c r="AZ258" s="153"/>
      <c r="BA258" s="153"/>
      <c r="BB258" s="153"/>
      <c r="BC258" s="153"/>
      <c r="BD258" s="153"/>
      <c r="BE258" s="153"/>
      <c r="BF258" s="153"/>
      <c r="BG258" s="153"/>
      <c r="BH258" s="153"/>
      <c r="BI258" s="153"/>
      <c r="BJ258" s="153"/>
      <c r="BK258" s="153"/>
      <c r="BL258" s="153"/>
      <c r="BM258" s="153"/>
      <c r="BN258" s="153"/>
      <c r="BO258" s="153"/>
      <c r="BP258" s="153"/>
      <c r="BQ258" s="153"/>
      <c r="BR258" s="153"/>
      <c r="BS258" s="153"/>
      <c r="BT258" s="153"/>
      <c r="BU258" s="153"/>
      <c r="BV258" s="153"/>
      <c r="BW258" s="153"/>
      <c r="BX258" s="153"/>
      <c r="BY258" s="153"/>
      <c r="BZ258" s="153"/>
      <c r="CA258" s="153"/>
      <c r="CB258" s="153"/>
      <c r="CC258" s="153"/>
      <c r="CD258" s="153"/>
      <c r="CE258" s="153"/>
      <c r="CF258" s="8"/>
    </row>
    <row r="259" spans="2:138" ht="18" customHeight="1" x14ac:dyDescent="0.25">
      <c r="B259" s="6"/>
      <c r="C259" s="153"/>
      <c r="D259" s="153"/>
      <c r="E259" s="153"/>
      <c r="F259" s="153"/>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c r="AE259" s="153"/>
      <c r="AF259" s="153"/>
      <c r="AG259" s="153"/>
      <c r="AH259" s="153"/>
      <c r="AI259" s="153"/>
      <c r="AJ259" s="153"/>
      <c r="AK259" s="153"/>
      <c r="AL259" s="153"/>
      <c r="AM259" s="153"/>
      <c r="AN259" s="153"/>
      <c r="AO259" s="153"/>
      <c r="AP259" s="8"/>
      <c r="AR259" s="6"/>
      <c r="AS259" s="153"/>
      <c r="AT259" s="153"/>
      <c r="AU259" s="153"/>
      <c r="AV259" s="153"/>
      <c r="AW259" s="153"/>
      <c r="AX259" s="153"/>
      <c r="AY259" s="153"/>
      <c r="AZ259" s="153"/>
      <c r="BA259" s="153"/>
      <c r="BB259" s="153"/>
      <c r="BC259" s="153"/>
      <c r="BD259" s="153"/>
      <c r="BE259" s="153"/>
      <c r="BF259" s="153"/>
      <c r="BG259" s="153"/>
      <c r="BH259" s="153"/>
      <c r="BI259" s="153"/>
      <c r="BJ259" s="153"/>
      <c r="BK259" s="153"/>
      <c r="BL259" s="153"/>
      <c r="BM259" s="153"/>
      <c r="BN259" s="153"/>
      <c r="BO259" s="153"/>
      <c r="BP259" s="153"/>
      <c r="BQ259" s="153"/>
      <c r="BR259" s="153"/>
      <c r="BS259" s="153"/>
      <c r="BT259" s="153"/>
      <c r="BU259" s="153"/>
      <c r="BV259" s="153"/>
      <c r="BW259" s="153"/>
      <c r="BX259" s="153"/>
      <c r="BY259" s="153"/>
      <c r="BZ259" s="153"/>
      <c r="CA259" s="153"/>
      <c r="CB259" s="153"/>
      <c r="CC259" s="153"/>
      <c r="CD259" s="153"/>
      <c r="CE259" s="153"/>
      <c r="CF259" s="8"/>
    </row>
    <row r="260" spans="2:138" ht="18" customHeight="1" x14ac:dyDescent="0.25">
      <c r="B260" s="6"/>
      <c r="C260" s="153"/>
      <c r="D260" s="153"/>
      <c r="E260" s="153"/>
      <c r="F260" s="153"/>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c r="AE260" s="153"/>
      <c r="AF260" s="153"/>
      <c r="AG260" s="153"/>
      <c r="AH260" s="153"/>
      <c r="AI260" s="153"/>
      <c r="AJ260" s="153"/>
      <c r="AK260" s="153"/>
      <c r="AL260" s="153"/>
      <c r="AM260" s="153"/>
      <c r="AN260" s="153"/>
      <c r="AO260" s="153"/>
      <c r="AP260" s="8"/>
      <c r="AR260" s="6"/>
      <c r="AS260" s="153"/>
      <c r="AT260" s="153"/>
      <c r="AU260" s="153"/>
      <c r="AV260" s="153"/>
      <c r="AW260" s="153"/>
      <c r="AX260" s="153"/>
      <c r="AY260" s="153"/>
      <c r="AZ260" s="153"/>
      <c r="BA260" s="153"/>
      <c r="BB260" s="153"/>
      <c r="BC260" s="153"/>
      <c r="BD260" s="153"/>
      <c r="BE260" s="153"/>
      <c r="BF260" s="153"/>
      <c r="BG260" s="153"/>
      <c r="BH260" s="153"/>
      <c r="BI260" s="153"/>
      <c r="BJ260" s="153"/>
      <c r="BK260" s="153"/>
      <c r="BL260" s="153"/>
      <c r="BM260" s="153"/>
      <c r="BN260" s="153"/>
      <c r="BO260" s="153"/>
      <c r="BP260" s="153"/>
      <c r="BQ260" s="153"/>
      <c r="BR260" s="153"/>
      <c r="BS260" s="153"/>
      <c r="BT260" s="153"/>
      <c r="BU260" s="153"/>
      <c r="BV260" s="153"/>
      <c r="BW260" s="153"/>
      <c r="BX260" s="153"/>
      <c r="BY260" s="153"/>
      <c r="BZ260" s="153"/>
      <c r="CA260" s="153"/>
      <c r="CB260" s="153"/>
      <c r="CC260" s="153"/>
      <c r="CD260" s="153"/>
      <c r="CE260" s="153"/>
      <c r="CF260" s="8"/>
      <c r="EB260" s="15"/>
      <c r="EC260" s="15"/>
      <c r="ED260" s="15"/>
      <c r="EE260" s="15"/>
      <c r="EF260" s="15"/>
      <c r="EH260" s="56"/>
    </row>
    <row r="261" spans="2:138" ht="18" customHeight="1" x14ac:dyDescent="0.25">
      <c r="B261" s="6"/>
      <c r="C261" s="153"/>
      <c r="D261" s="153"/>
      <c r="E261" s="153"/>
      <c r="F261" s="153"/>
      <c r="G261" s="153"/>
      <c r="H261" s="153"/>
      <c r="I261" s="153"/>
      <c r="J261" s="153"/>
      <c r="K261" s="153"/>
      <c r="L261" s="153"/>
      <c r="M261" s="153"/>
      <c r="N261" s="153"/>
      <c r="O261" s="153"/>
      <c r="P261" s="153"/>
      <c r="Q261" s="153"/>
      <c r="R261" s="153"/>
      <c r="S261" s="153"/>
      <c r="T261" s="153"/>
      <c r="U261" s="153"/>
      <c r="V261" s="153"/>
      <c r="W261" s="153"/>
      <c r="X261" s="153"/>
      <c r="Y261" s="153"/>
      <c r="Z261" s="153"/>
      <c r="AA261" s="153"/>
      <c r="AB261" s="153"/>
      <c r="AC261" s="153"/>
      <c r="AD261" s="153"/>
      <c r="AE261" s="153"/>
      <c r="AF261" s="153"/>
      <c r="AG261" s="153"/>
      <c r="AH261" s="153"/>
      <c r="AI261" s="153"/>
      <c r="AJ261" s="153"/>
      <c r="AK261" s="153"/>
      <c r="AL261" s="153"/>
      <c r="AM261" s="153"/>
      <c r="AN261" s="153"/>
      <c r="AO261" s="153"/>
      <c r="AP261" s="8"/>
      <c r="AR261" s="6"/>
      <c r="AS261" s="153"/>
      <c r="AT261" s="153"/>
      <c r="AU261" s="153"/>
      <c r="AV261" s="153"/>
      <c r="AW261" s="153"/>
      <c r="AX261" s="153"/>
      <c r="AY261" s="153"/>
      <c r="AZ261" s="153"/>
      <c r="BA261" s="153"/>
      <c r="BB261" s="153"/>
      <c r="BC261" s="153"/>
      <c r="BD261" s="153"/>
      <c r="BE261" s="153"/>
      <c r="BF261" s="153"/>
      <c r="BG261" s="153"/>
      <c r="BH261" s="153"/>
      <c r="BI261" s="153"/>
      <c r="BJ261" s="153"/>
      <c r="BK261" s="153"/>
      <c r="BL261" s="153"/>
      <c r="BM261" s="153"/>
      <c r="BN261" s="153"/>
      <c r="BO261" s="153"/>
      <c r="BP261" s="153"/>
      <c r="BQ261" s="153"/>
      <c r="BR261" s="153"/>
      <c r="BS261" s="153"/>
      <c r="BT261" s="153"/>
      <c r="BU261" s="153"/>
      <c r="BV261" s="153"/>
      <c r="BW261" s="153"/>
      <c r="BX261" s="153"/>
      <c r="BY261" s="153"/>
      <c r="BZ261" s="153"/>
      <c r="CA261" s="153"/>
      <c r="CB261" s="153"/>
      <c r="CC261" s="153"/>
      <c r="CD261" s="153"/>
      <c r="CE261" s="153"/>
      <c r="CF261" s="8"/>
      <c r="EB261" s="58"/>
      <c r="EC261" s="59"/>
      <c r="ED261" s="58"/>
      <c r="EE261" s="59"/>
      <c r="EF261" s="58"/>
    </row>
    <row r="262" spans="2:138" ht="18" customHeight="1" x14ac:dyDescent="0.25">
      <c r="B262" s="6"/>
      <c r="C262" s="153"/>
      <c r="D262" s="153"/>
      <c r="E262" s="153"/>
      <c r="F262" s="153"/>
      <c r="G262" s="153"/>
      <c r="H262" s="153"/>
      <c r="I262" s="153"/>
      <c r="J262" s="153"/>
      <c r="K262" s="153"/>
      <c r="L262" s="153"/>
      <c r="M262" s="153"/>
      <c r="N262" s="153"/>
      <c r="O262" s="153"/>
      <c r="P262" s="153"/>
      <c r="Q262" s="153"/>
      <c r="R262" s="153"/>
      <c r="S262" s="153"/>
      <c r="T262" s="153"/>
      <c r="U262" s="153"/>
      <c r="V262" s="153"/>
      <c r="W262" s="153"/>
      <c r="X262" s="153"/>
      <c r="Y262" s="153"/>
      <c r="Z262" s="153"/>
      <c r="AA262" s="153"/>
      <c r="AB262" s="153"/>
      <c r="AC262" s="153"/>
      <c r="AD262" s="153"/>
      <c r="AE262" s="153"/>
      <c r="AF262" s="153"/>
      <c r="AG262" s="153"/>
      <c r="AH262" s="153"/>
      <c r="AI262" s="153"/>
      <c r="AJ262" s="153"/>
      <c r="AK262" s="153"/>
      <c r="AL262" s="153"/>
      <c r="AM262" s="153"/>
      <c r="AN262" s="153"/>
      <c r="AO262" s="153"/>
      <c r="AP262" s="8"/>
      <c r="AR262" s="6"/>
      <c r="AS262" s="153"/>
      <c r="AT262" s="153"/>
      <c r="AU262" s="153"/>
      <c r="AV262" s="153"/>
      <c r="AW262" s="153"/>
      <c r="AX262" s="153"/>
      <c r="AY262" s="153"/>
      <c r="AZ262" s="153"/>
      <c r="BA262" s="153"/>
      <c r="BB262" s="153"/>
      <c r="BC262" s="153"/>
      <c r="BD262" s="153"/>
      <c r="BE262" s="153"/>
      <c r="BF262" s="153"/>
      <c r="BG262" s="153"/>
      <c r="BH262" s="153"/>
      <c r="BI262" s="153"/>
      <c r="BJ262" s="153"/>
      <c r="BK262" s="153"/>
      <c r="BL262" s="153"/>
      <c r="BM262" s="153"/>
      <c r="BN262" s="153"/>
      <c r="BO262" s="153"/>
      <c r="BP262" s="153"/>
      <c r="BQ262" s="153"/>
      <c r="BR262" s="153"/>
      <c r="BS262" s="153"/>
      <c r="BT262" s="153"/>
      <c r="BU262" s="153"/>
      <c r="BV262" s="153"/>
      <c r="BW262" s="153"/>
      <c r="BX262" s="153"/>
      <c r="BY262" s="153"/>
      <c r="BZ262" s="153"/>
      <c r="CA262" s="153"/>
      <c r="CB262" s="153"/>
      <c r="CC262" s="153"/>
      <c r="CD262" s="153"/>
      <c r="CE262" s="153"/>
      <c r="CF262" s="8"/>
    </row>
    <row r="263" spans="2:138" ht="18" customHeight="1" x14ac:dyDescent="0.25">
      <c r="B263" s="6"/>
      <c r="C263" s="153"/>
      <c r="D263" s="153"/>
      <c r="E263" s="153"/>
      <c r="F263" s="153"/>
      <c r="G263" s="153"/>
      <c r="H263" s="153"/>
      <c r="I263" s="153"/>
      <c r="J263" s="153"/>
      <c r="K263" s="153"/>
      <c r="L263" s="153"/>
      <c r="M263" s="153"/>
      <c r="N263" s="153"/>
      <c r="O263" s="153"/>
      <c r="P263" s="153"/>
      <c r="Q263" s="153"/>
      <c r="R263" s="153"/>
      <c r="S263" s="153"/>
      <c r="T263" s="153"/>
      <c r="U263" s="153"/>
      <c r="V263" s="153"/>
      <c r="W263" s="153"/>
      <c r="X263" s="153"/>
      <c r="Y263" s="153"/>
      <c r="Z263" s="153"/>
      <c r="AA263" s="153"/>
      <c r="AB263" s="153"/>
      <c r="AC263" s="153"/>
      <c r="AD263" s="153"/>
      <c r="AE263" s="153"/>
      <c r="AF263" s="153"/>
      <c r="AG263" s="153"/>
      <c r="AH263" s="153"/>
      <c r="AI263" s="153"/>
      <c r="AJ263" s="153"/>
      <c r="AK263" s="153"/>
      <c r="AL263" s="153"/>
      <c r="AM263" s="153"/>
      <c r="AN263" s="153"/>
      <c r="AO263" s="153"/>
      <c r="AP263" s="8"/>
      <c r="AR263" s="6"/>
      <c r="AS263" s="153"/>
      <c r="AT263" s="153"/>
      <c r="AU263" s="153"/>
      <c r="AV263" s="153"/>
      <c r="AW263" s="153"/>
      <c r="AX263" s="153"/>
      <c r="AY263" s="153"/>
      <c r="AZ263" s="153"/>
      <c r="BA263" s="153"/>
      <c r="BB263" s="153"/>
      <c r="BC263" s="153"/>
      <c r="BD263" s="153"/>
      <c r="BE263" s="153"/>
      <c r="BF263" s="153"/>
      <c r="BG263" s="153"/>
      <c r="BH263" s="153"/>
      <c r="BI263" s="153"/>
      <c r="BJ263" s="153"/>
      <c r="BK263" s="153"/>
      <c r="BL263" s="153"/>
      <c r="BM263" s="153"/>
      <c r="BN263" s="153"/>
      <c r="BO263" s="153"/>
      <c r="BP263" s="153"/>
      <c r="BQ263" s="153"/>
      <c r="BR263" s="153"/>
      <c r="BS263" s="153"/>
      <c r="BT263" s="153"/>
      <c r="BU263" s="153"/>
      <c r="BV263" s="153"/>
      <c r="BW263" s="153"/>
      <c r="BX263" s="153"/>
      <c r="BY263" s="153"/>
      <c r="BZ263" s="153"/>
      <c r="CA263" s="153"/>
      <c r="CB263" s="153"/>
      <c r="CC263" s="153"/>
      <c r="CD263" s="153"/>
      <c r="CE263" s="153"/>
      <c r="CF263" s="8"/>
    </row>
    <row r="264" spans="2:138" ht="18" customHeight="1" x14ac:dyDescent="0.25">
      <c r="B264" s="6"/>
      <c r="C264" s="91"/>
      <c r="D264" s="91"/>
      <c r="E264" s="91"/>
      <c r="F264" s="91"/>
      <c r="G264" s="91"/>
      <c r="H264" s="91"/>
      <c r="I264" s="91"/>
      <c r="J264" s="91"/>
      <c r="K264" s="91"/>
      <c r="L264" s="91"/>
      <c r="M264" s="91"/>
      <c r="N264" s="91"/>
      <c r="O264" s="91"/>
      <c r="P264" s="91"/>
      <c r="Q264" s="91"/>
      <c r="R264" s="91"/>
      <c r="S264" s="91"/>
      <c r="T264" s="91"/>
      <c r="U264" s="91"/>
      <c r="V264" s="91"/>
      <c r="W264" s="91"/>
      <c r="X264" s="91"/>
      <c r="Y264" s="91"/>
      <c r="Z264" s="91"/>
      <c r="AA264" s="91"/>
      <c r="AB264" s="91"/>
      <c r="AC264" s="91"/>
      <c r="AD264" s="91"/>
      <c r="AE264" s="91"/>
      <c r="AF264" s="91"/>
      <c r="AG264" s="91"/>
      <c r="AH264" s="91"/>
      <c r="AI264" s="91"/>
      <c r="AJ264" s="91"/>
      <c r="AK264" s="91"/>
      <c r="AL264" s="91"/>
      <c r="AM264" s="91"/>
      <c r="AN264" s="91"/>
      <c r="AO264" s="91"/>
      <c r="AP264" s="8"/>
      <c r="AR264" s="6"/>
      <c r="AS264" s="153"/>
      <c r="AT264" s="153"/>
      <c r="AU264" s="153"/>
      <c r="AV264" s="153"/>
      <c r="AW264" s="153"/>
      <c r="AX264" s="153"/>
      <c r="AY264" s="153"/>
      <c r="AZ264" s="153"/>
      <c r="BA264" s="153"/>
      <c r="BB264" s="153"/>
      <c r="BC264" s="153"/>
      <c r="BD264" s="153"/>
      <c r="BE264" s="153"/>
      <c r="BF264" s="153"/>
      <c r="BG264" s="153"/>
      <c r="BH264" s="153"/>
      <c r="BI264" s="153"/>
      <c r="BJ264" s="153"/>
      <c r="BK264" s="153"/>
      <c r="BL264" s="153"/>
      <c r="BM264" s="153"/>
      <c r="BN264" s="153"/>
      <c r="BO264" s="153"/>
      <c r="BP264" s="153"/>
      <c r="BQ264" s="153"/>
      <c r="BR264" s="153"/>
      <c r="BS264" s="153"/>
      <c r="BT264" s="153"/>
      <c r="BU264" s="153"/>
      <c r="BV264" s="153"/>
      <c r="BW264" s="153"/>
      <c r="BX264" s="153"/>
      <c r="BY264" s="153"/>
      <c r="BZ264" s="153"/>
      <c r="CA264" s="153"/>
      <c r="CB264" s="153"/>
      <c r="CC264" s="153"/>
      <c r="CD264" s="153"/>
      <c r="CE264" s="153"/>
      <c r="CF264" s="8"/>
      <c r="EH264" s="15"/>
    </row>
    <row r="265" spans="2:138" ht="18" customHeight="1" x14ac:dyDescent="0.25">
      <c r="B265" s="6"/>
      <c r="C265" s="91"/>
      <c r="D265" s="91"/>
      <c r="E265" s="91"/>
      <c r="F265" s="91"/>
      <c r="G265" s="91"/>
      <c r="H265" s="91"/>
      <c r="I265" s="91"/>
      <c r="J265" s="91"/>
      <c r="K265" s="91"/>
      <c r="L265" s="91"/>
      <c r="M265" s="91"/>
      <c r="N265" s="91"/>
      <c r="O265" s="91"/>
      <c r="P265" s="91"/>
      <c r="Q265" s="91"/>
      <c r="R265" s="91"/>
      <c r="S265" s="91"/>
      <c r="T265" s="91"/>
      <c r="U265" s="91"/>
      <c r="V265" s="91"/>
      <c r="W265" s="91"/>
      <c r="X265" s="91"/>
      <c r="Y265" s="91"/>
      <c r="Z265" s="91"/>
      <c r="AA265" s="91"/>
      <c r="AB265" s="91"/>
      <c r="AC265" s="91"/>
      <c r="AD265" s="91"/>
      <c r="AE265" s="91"/>
      <c r="AF265" s="91"/>
      <c r="AG265" s="91"/>
      <c r="AH265" s="91"/>
      <c r="AI265" s="91"/>
      <c r="AJ265" s="91"/>
      <c r="AK265" s="91"/>
      <c r="AL265" s="91"/>
      <c r="AM265" s="91"/>
      <c r="AN265" s="91"/>
      <c r="AO265" s="91"/>
      <c r="AP265" s="8"/>
      <c r="AR265" s="6"/>
      <c r="AS265" s="153"/>
      <c r="AT265" s="153"/>
      <c r="AU265" s="153"/>
      <c r="AV265" s="153"/>
      <c r="AW265" s="153"/>
      <c r="AX265" s="153"/>
      <c r="AY265" s="153"/>
      <c r="AZ265" s="153"/>
      <c r="BA265" s="153"/>
      <c r="BB265" s="153"/>
      <c r="BC265" s="153"/>
      <c r="BD265" s="153"/>
      <c r="BE265" s="153"/>
      <c r="BF265" s="153"/>
      <c r="BG265" s="153"/>
      <c r="BH265" s="153"/>
      <c r="BI265" s="153"/>
      <c r="BJ265" s="153"/>
      <c r="BK265" s="153"/>
      <c r="BL265" s="153"/>
      <c r="BM265" s="153"/>
      <c r="BN265" s="153"/>
      <c r="BO265" s="153"/>
      <c r="BP265" s="153"/>
      <c r="BQ265" s="153"/>
      <c r="BR265" s="153"/>
      <c r="BS265" s="153"/>
      <c r="BT265" s="153"/>
      <c r="BU265" s="153"/>
      <c r="BV265" s="153"/>
      <c r="BW265" s="153"/>
      <c r="BX265" s="153"/>
      <c r="BY265" s="153"/>
      <c r="BZ265" s="153"/>
      <c r="CA265" s="153"/>
      <c r="CB265" s="153"/>
      <c r="CC265" s="153"/>
      <c r="CD265" s="153"/>
      <c r="CE265" s="153"/>
      <c r="CF265" s="8"/>
    </row>
    <row r="266" spans="2:138" ht="18" customHeight="1" x14ac:dyDescent="0.25">
      <c r="B266" s="6"/>
      <c r="C266" s="91"/>
      <c r="D266" s="91"/>
      <c r="E266" s="91"/>
      <c r="F266" s="91"/>
      <c r="G266" s="91"/>
      <c r="H266" s="91"/>
      <c r="I266" s="91"/>
      <c r="J266" s="91"/>
      <c r="K266" s="91"/>
      <c r="L266" s="91"/>
      <c r="M266" s="91"/>
      <c r="N266" s="91"/>
      <c r="O266" s="91"/>
      <c r="P266" s="91"/>
      <c r="Q266" s="91"/>
      <c r="R266" s="91"/>
      <c r="S266" s="91"/>
      <c r="T266" s="91"/>
      <c r="U266" s="91"/>
      <c r="V266" s="91"/>
      <c r="W266" s="91"/>
      <c r="X266" s="91"/>
      <c r="Y266" s="91"/>
      <c r="Z266" s="91"/>
      <c r="AA266" s="91"/>
      <c r="AB266" s="91"/>
      <c r="AC266" s="91"/>
      <c r="AD266" s="91"/>
      <c r="AE266" s="91"/>
      <c r="AF266" s="91"/>
      <c r="AG266" s="91"/>
      <c r="AH266" s="91"/>
      <c r="AI266" s="91"/>
      <c r="AJ266" s="91"/>
      <c r="AK266" s="91"/>
      <c r="AL266" s="91"/>
      <c r="AM266" s="91"/>
      <c r="AN266" s="91"/>
      <c r="AO266" s="91"/>
      <c r="AP266" s="8"/>
      <c r="AR266" s="6"/>
      <c r="AS266" s="153"/>
      <c r="AT266" s="153"/>
      <c r="AU266" s="153"/>
      <c r="AV266" s="153"/>
      <c r="AW266" s="153"/>
      <c r="AX266" s="153"/>
      <c r="AY266" s="153"/>
      <c r="AZ266" s="153"/>
      <c r="BA266" s="153"/>
      <c r="BB266" s="153"/>
      <c r="BC266" s="153"/>
      <c r="BD266" s="153"/>
      <c r="BE266" s="153"/>
      <c r="BF266" s="153"/>
      <c r="BG266" s="153"/>
      <c r="BH266" s="153"/>
      <c r="BI266" s="153"/>
      <c r="BJ266" s="153"/>
      <c r="BK266" s="153"/>
      <c r="BL266" s="153"/>
      <c r="BM266" s="153"/>
      <c r="BN266" s="153"/>
      <c r="BO266" s="153"/>
      <c r="BP266" s="153"/>
      <c r="BQ266" s="153"/>
      <c r="BR266" s="153"/>
      <c r="BS266" s="153"/>
      <c r="BT266" s="153"/>
      <c r="BU266" s="153"/>
      <c r="BV266" s="153"/>
      <c r="BW266" s="153"/>
      <c r="BX266" s="153"/>
      <c r="BY266" s="153"/>
      <c r="BZ266" s="153"/>
      <c r="CA266" s="153"/>
      <c r="CB266" s="153"/>
      <c r="CC266" s="153"/>
      <c r="CD266" s="153"/>
      <c r="CE266" s="153"/>
      <c r="CF266" s="8"/>
    </row>
    <row r="267" spans="2:138" ht="18" customHeight="1" x14ac:dyDescent="0.25">
      <c r="B267" s="6"/>
      <c r="C267" s="91"/>
      <c r="D267" s="91"/>
      <c r="E267" s="91"/>
      <c r="F267" s="91"/>
      <c r="G267" s="91"/>
      <c r="H267" s="91"/>
      <c r="I267" s="91"/>
      <c r="J267" s="91"/>
      <c r="K267" s="91"/>
      <c r="L267" s="91"/>
      <c r="M267" s="91"/>
      <c r="N267" s="91"/>
      <c r="O267" s="91"/>
      <c r="P267" s="91"/>
      <c r="Q267" s="91"/>
      <c r="R267" s="91"/>
      <c r="S267" s="91"/>
      <c r="T267" s="91"/>
      <c r="U267" s="91"/>
      <c r="V267" s="91"/>
      <c r="W267" s="91"/>
      <c r="X267" s="91"/>
      <c r="Y267" s="91"/>
      <c r="Z267" s="91"/>
      <c r="AA267" s="91"/>
      <c r="AB267" s="91"/>
      <c r="AC267" s="91"/>
      <c r="AD267" s="91"/>
      <c r="AE267" s="91"/>
      <c r="AF267" s="91"/>
      <c r="AG267" s="91"/>
      <c r="AH267" s="91"/>
      <c r="AI267" s="91"/>
      <c r="AJ267" s="91"/>
      <c r="AK267" s="91"/>
      <c r="AL267" s="91"/>
      <c r="AM267" s="91"/>
      <c r="AN267" s="91"/>
      <c r="AO267" s="91"/>
      <c r="AP267" s="8"/>
      <c r="AR267" s="6"/>
      <c r="AS267" s="153"/>
      <c r="AT267" s="153"/>
      <c r="AU267" s="153"/>
      <c r="AV267" s="153"/>
      <c r="AW267" s="153"/>
      <c r="AX267" s="153"/>
      <c r="AY267" s="153"/>
      <c r="AZ267" s="153"/>
      <c r="BA267" s="153"/>
      <c r="BB267" s="153"/>
      <c r="BC267" s="153"/>
      <c r="BD267" s="153"/>
      <c r="BE267" s="153"/>
      <c r="BF267" s="153"/>
      <c r="BG267" s="153"/>
      <c r="BH267" s="153"/>
      <c r="BI267" s="153"/>
      <c r="BJ267" s="153"/>
      <c r="BK267" s="153"/>
      <c r="BL267" s="153"/>
      <c r="BM267" s="153"/>
      <c r="BN267" s="153"/>
      <c r="BO267" s="153"/>
      <c r="BP267" s="153"/>
      <c r="BQ267" s="153"/>
      <c r="BR267" s="153"/>
      <c r="BS267" s="153"/>
      <c r="BT267" s="153"/>
      <c r="BU267" s="153"/>
      <c r="BV267" s="153"/>
      <c r="BW267" s="153"/>
      <c r="BX267" s="153"/>
      <c r="BY267" s="153"/>
      <c r="BZ267" s="153"/>
      <c r="CA267" s="153"/>
      <c r="CB267" s="153"/>
      <c r="CC267" s="153"/>
      <c r="CD267" s="153"/>
      <c r="CE267" s="153"/>
      <c r="CF267" s="8"/>
    </row>
    <row r="268" spans="2:138" ht="18" customHeight="1" x14ac:dyDescent="0.25">
      <c r="B268" s="6"/>
      <c r="C268" s="91"/>
      <c r="D268" s="91"/>
      <c r="E268" s="91"/>
      <c r="F268" s="91"/>
      <c r="G268" s="91"/>
      <c r="H268" s="91"/>
      <c r="I268" s="91"/>
      <c r="J268" s="91"/>
      <c r="K268" s="91"/>
      <c r="L268" s="91"/>
      <c r="M268" s="91"/>
      <c r="N268" s="91"/>
      <c r="O268" s="91"/>
      <c r="P268" s="91"/>
      <c r="Q268" s="91"/>
      <c r="R268" s="91"/>
      <c r="S268" s="91"/>
      <c r="T268" s="91"/>
      <c r="U268" s="91"/>
      <c r="V268" s="91"/>
      <c r="W268" s="91"/>
      <c r="X268" s="91"/>
      <c r="Y268" s="91"/>
      <c r="Z268" s="91"/>
      <c r="AA268" s="91"/>
      <c r="AB268" s="91"/>
      <c r="AC268" s="91"/>
      <c r="AD268" s="91"/>
      <c r="AE268" s="91"/>
      <c r="AF268" s="91"/>
      <c r="AG268" s="91"/>
      <c r="AH268" s="91"/>
      <c r="AI268" s="91"/>
      <c r="AJ268" s="91"/>
      <c r="AK268" s="91"/>
      <c r="AL268" s="91"/>
      <c r="AM268" s="91"/>
      <c r="AN268" s="91"/>
      <c r="AO268" s="91"/>
      <c r="AP268" s="8"/>
      <c r="AR268" s="6"/>
      <c r="AS268" s="153"/>
      <c r="AT268" s="153"/>
      <c r="AU268" s="153"/>
      <c r="AV268" s="153"/>
      <c r="AW268" s="153"/>
      <c r="AX268" s="153"/>
      <c r="AY268" s="153"/>
      <c r="AZ268" s="153"/>
      <c r="BA268" s="153"/>
      <c r="BB268" s="153"/>
      <c r="BC268" s="153"/>
      <c r="BD268" s="153"/>
      <c r="BE268" s="153"/>
      <c r="BF268" s="153"/>
      <c r="BG268" s="153"/>
      <c r="BH268" s="153"/>
      <c r="BI268" s="153"/>
      <c r="BJ268" s="153"/>
      <c r="BK268" s="153"/>
      <c r="BL268" s="153"/>
      <c r="BM268" s="153"/>
      <c r="BN268" s="153"/>
      <c r="BO268" s="153"/>
      <c r="BP268" s="153"/>
      <c r="BQ268" s="153"/>
      <c r="BR268" s="153"/>
      <c r="BS268" s="153"/>
      <c r="BT268" s="153"/>
      <c r="BU268" s="153"/>
      <c r="BV268" s="153"/>
      <c r="BW268" s="153"/>
      <c r="BX268" s="153"/>
      <c r="BY268" s="153"/>
      <c r="BZ268" s="153"/>
      <c r="CA268" s="153"/>
      <c r="CB268" s="153"/>
      <c r="CC268" s="153"/>
      <c r="CD268" s="153"/>
      <c r="CE268" s="153"/>
      <c r="CF268" s="8"/>
    </row>
    <row r="269" spans="2:138" ht="18" customHeight="1" x14ac:dyDescent="0.25">
      <c r="B269" s="6"/>
      <c r="C269" s="91"/>
      <c r="D269" s="91"/>
      <c r="E269" s="91"/>
      <c r="F269" s="91"/>
      <c r="G269" s="91"/>
      <c r="H269" s="91"/>
      <c r="I269" s="91"/>
      <c r="J269" s="91"/>
      <c r="K269" s="91"/>
      <c r="L269" s="91"/>
      <c r="M269" s="91"/>
      <c r="N269" s="91"/>
      <c r="O269" s="91"/>
      <c r="P269" s="91"/>
      <c r="Q269" s="91"/>
      <c r="R269" s="91"/>
      <c r="S269" s="91"/>
      <c r="T269" s="91"/>
      <c r="U269" s="91"/>
      <c r="V269" s="91"/>
      <c r="W269" s="91"/>
      <c r="X269" s="91"/>
      <c r="Y269" s="91"/>
      <c r="Z269" s="91"/>
      <c r="AA269" s="91"/>
      <c r="AB269" s="91"/>
      <c r="AC269" s="91"/>
      <c r="AD269" s="91"/>
      <c r="AE269" s="91"/>
      <c r="AF269" s="91"/>
      <c r="AG269" s="91"/>
      <c r="AH269" s="91"/>
      <c r="AI269" s="91"/>
      <c r="AJ269" s="91"/>
      <c r="AK269" s="91"/>
      <c r="AL269" s="91"/>
      <c r="AM269" s="91"/>
      <c r="AN269" s="91"/>
      <c r="AO269" s="91"/>
      <c r="AP269" s="8"/>
      <c r="AR269" s="6"/>
      <c r="AS269" s="153"/>
      <c r="AT269" s="153"/>
      <c r="AU269" s="153"/>
      <c r="AV269" s="153"/>
      <c r="AW269" s="153"/>
      <c r="AX269" s="153"/>
      <c r="AY269" s="153"/>
      <c r="AZ269" s="153"/>
      <c r="BA269" s="153"/>
      <c r="BB269" s="153"/>
      <c r="BC269" s="153"/>
      <c r="BD269" s="153"/>
      <c r="BE269" s="153"/>
      <c r="BF269" s="153"/>
      <c r="BG269" s="153"/>
      <c r="BH269" s="153"/>
      <c r="BI269" s="153"/>
      <c r="BJ269" s="153"/>
      <c r="BK269" s="153"/>
      <c r="BL269" s="153"/>
      <c r="BM269" s="153"/>
      <c r="BN269" s="153"/>
      <c r="BO269" s="153"/>
      <c r="BP269" s="153"/>
      <c r="BQ269" s="153"/>
      <c r="BR269" s="153"/>
      <c r="BS269" s="153"/>
      <c r="BT269" s="153"/>
      <c r="BU269" s="153"/>
      <c r="BV269" s="153"/>
      <c r="BW269" s="153"/>
      <c r="BX269" s="153"/>
      <c r="BY269" s="153"/>
      <c r="BZ269" s="153"/>
      <c r="CA269" s="153"/>
      <c r="CB269" s="153"/>
      <c r="CC269" s="153"/>
      <c r="CD269" s="153"/>
      <c r="CE269" s="153"/>
      <c r="CF269" s="8"/>
    </row>
    <row r="270" spans="2:138" ht="18" customHeight="1" x14ac:dyDescent="0.25">
      <c r="B270" s="6"/>
      <c r="C270" s="91"/>
      <c r="D270" s="91"/>
      <c r="E270" s="91"/>
      <c r="F270" s="91"/>
      <c r="G270" s="91"/>
      <c r="H270" s="91"/>
      <c r="I270" s="91"/>
      <c r="J270" s="91"/>
      <c r="K270" s="91"/>
      <c r="L270" s="91"/>
      <c r="M270" s="91"/>
      <c r="N270" s="91"/>
      <c r="O270" s="91"/>
      <c r="P270" s="91"/>
      <c r="Q270" s="91"/>
      <c r="R270" s="91"/>
      <c r="S270" s="91"/>
      <c r="T270" s="91"/>
      <c r="U270" s="91"/>
      <c r="V270" s="91"/>
      <c r="W270" s="91"/>
      <c r="X270" s="91"/>
      <c r="Y270" s="91"/>
      <c r="Z270" s="91"/>
      <c r="AA270" s="91"/>
      <c r="AB270" s="91"/>
      <c r="AC270" s="91"/>
      <c r="AD270" s="91"/>
      <c r="AE270" s="91"/>
      <c r="AF270" s="91"/>
      <c r="AG270" s="91"/>
      <c r="AH270" s="91"/>
      <c r="AI270" s="91"/>
      <c r="AJ270" s="91"/>
      <c r="AK270" s="91"/>
      <c r="AL270" s="91"/>
      <c r="AM270" s="91"/>
      <c r="AN270" s="91"/>
      <c r="AO270" s="91"/>
      <c r="AP270" s="8"/>
      <c r="AR270" s="6"/>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c r="CA270" s="95"/>
      <c r="CB270" s="95"/>
      <c r="CC270" s="95"/>
      <c r="CD270" s="95"/>
      <c r="CE270" s="95"/>
      <c r="CF270" s="8"/>
    </row>
    <row r="271" spans="2:138" ht="18" customHeight="1" x14ac:dyDescent="0.25">
      <c r="B271" s="6"/>
      <c r="C271" s="91"/>
      <c r="D271" s="91"/>
      <c r="E271" s="91"/>
      <c r="F271" s="91"/>
      <c r="G271" s="91"/>
      <c r="H271" s="91"/>
      <c r="I271" s="91"/>
      <c r="J271" s="91"/>
      <c r="K271" s="91"/>
      <c r="L271" s="91"/>
      <c r="M271" s="91"/>
      <c r="N271" s="91"/>
      <c r="O271" s="91"/>
      <c r="P271" s="91"/>
      <c r="Q271" s="91"/>
      <c r="R271" s="91"/>
      <c r="S271" s="91"/>
      <c r="T271" s="91"/>
      <c r="U271" s="91"/>
      <c r="V271" s="91"/>
      <c r="W271" s="91"/>
      <c r="X271" s="91"/>
      <c r="Y271" s="91"/>
      <c r="Z271" s="91"/>
      <c r="AA271" s="91"/>
      <c r="AB271" s="91"/>
      <c r="AC271" s="91"/>
      <c r="AD271" s="91"/>
      <c r="AE271" s="91"/>
      <c r="AF271" s="91"/>
      <c r="AG271" s="91"/>
      <c r="AH271" s="91"/>
      <c r="AI271" s="91"/>
      <c r="AJ271" s="91"/>
      <c r="AK271" s="91"/>
      <c r="AL271" s="91"/>
      <c r="AM271" s="91"/>
      <c r="AN271" s="91"/>
      <c r="AO271" s="91"/>
      <c r="AP271" s="8"/>
      <c r="AR271" s="6"/>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c r="CA271" s="95"/>
      <c r="CB271" s="95"/>
      <c r="CC271" s="95"/>
      <c r="CD271" s="95"/>
      <c r="CE271" s="95"/>
      <c r="CF271" s="8"/>
    </row>
    <row r="272" spans="2:138" ht="18" customHeight="1" x14ac:dyDescent="0.25">
      <c r="B272" s="6"/>
      <c r="C272" s="91"/>
      <c r="D272" s="91"/>
      <c r="E272" s="91"/>
      <c r="F272" s="91"/>
      <c r="G272" s="91"/>
      <c r="H272" s="91"/>
      <c r="I272" s="91"/>
      <c r="J272" s="91"/>
      <c r="K272" s="91"/>
      <c r="L272" s="91"/>
      <c r="M272" s="91"/>
      <c r="N272" s="91"/>
      <c r="O272" s="91"/>
      <c r="P272" s="91"/>
      <c r="Q272" s="91"/>
      <c r="R272" s="91"/>
      <c r="S272" s="91"/>
      <c r="T272" s="91"/>
      <c r="U272" s="91"/>
      <c r="V272" s="91"/>
      <c r="W272" s="91"/>
      <c r="X272" s="91"/>
      <c r="Y272" s="91"/>
      <c r="Z272" s="91"/>
      <c r="AA272" s="91"/>
      <c r="AB272" s="91"/>
      <c r="AC272" s="91"/>
      <c r="AD272" s="91"/>
      <c r="AE272" s="91"/>
      <c r="AF272" s="91"/>
      <c r="AG272" s="91"/>
      <c r="AH272" s="91"/>
      <c r="AI272" s="91"/>
      <c r="AJ272" s="91"/>
      <c r="AK272" s="91"/>
      <c r="AL272" s="91"/>
      <c r="AM272" s="91"/>
      <c r="AN272" s="91"/>
      <c r="AO272" s="91"/>
      <c r="AP272" s="8"/>
      <c r="AR272" s="6"/>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c r="CA272" s="95"/>
      <c r="CB272" s="95"/>
      <c r="CC272" s="95"/>
      <c r="CD272" s="95"/>
      <c r="CE272" s="95"/>
      <c r="CF272" s="8"/>
    </row>
    <row r="273" spans="2:140" ht="18" customHeight="1" x14ac:dyDescent="0.25">
      <c r="B273" s="6"/>
      <c r="AP273" s="8"/>
      <c r="AR273" s="6"/>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c r="CA273" s="95"/>
      <c r="CB273" s="95"/>
      <c r="CC273" s="95"/>
      <c r="CD273" s="95"/>
      <c r="CE273" s="95"/>
      <c r="CF273" s="8"/>
    </row>
    <row r="274" spans="2:140" ht="18" customHeight="1" x14ac:dyDescent="0.25">
      <c r="B274" s="6"/>
      <c r="AP274" s="8"/>
      <c r="AR274" s="6"/>
      <c r="AS274" s="95"/>
      <c r="AT274" s="95"/>
      <c r="AU274" s="95"/>
      <c r="AV274" s="95"/>
      <c r="AW274" s="95"/>
      <c r="AX274" s="95"/>
      <c r="AY274" s="95"/>
      <c r="AZ274" s="95"/>
      <c r="BA274" s="95"/>
      <c r="BB274" s="95"/>
      <c r="BC274" s="95"/>
      <c r="BD274" s="95"/>
      <c r="BE274" s="95"/>
      <c r="BF274" s="95"/>
      <c r="BG274" s="95"/>
      <c r="BH274" s="95"/>
      <c r="BI274" s="95"/>
      <c r="BJ274" s="95"/>
      <c r="BK274" s="95"/>
      <c r="BL274" s="95"/>
      <c r="BM274" s="95"/>
      <c r="BN274" s="95"/>
      <c r="BO274" s="95"/>
      <c r="BP274" s="95"/>
      <c r="BQ274" s="95"/>
      <c r="BR274" s="95"/>
      <c r="BS274" s="95"/>
      <c r="BT274" s="95"/>
      <c r="BU274" s="95"/>
      <c r="BV274" s="95"/>
      <c r="BW274" s="95"/>
      <c r="BX274" s="95"/>
      <c r="BY274" s="95"/>
      <c r="BZ274" s="95"/>
      <c r="CA274" s="95"/>
      <c r="CB274" s="95"/>
      <c r="CC274" s="95"/>
      <c r="CD274" s="95"/>
      <c r="CE274" s="95"/>
      <c r="CF274" s="8"/>
      <c r="EB274" s="15">
        <f>AF20</f>
        <v>25</v>
      </c>
      <c r="EC274" s="15">
        <f>AH20</f>
        <v>29</v>
      </c>
      <c r="ED274" s="15">
        <f>AJ20</f>
        <v>31</v>
      </c>
      <c r="EE274" s="15">
        <f>AL20</f>
        <v>35</v>
      </c>
      <c r="EF274" s="15">
        <f>AN20</f>
        <v>37</v>
      </c>
      <c r="EG274" s="1" t="s">
        <v>3</v>
      </c>
      <c r="EH274" s="1" t="s">
        <v>3</v>
      </c>
      <c r="EI274" s="1" t="s">
        <v>3</v>
      </c>
      <c r="EJ274" s="1" t="s">
        <v>3</v>
      </c>
    </row>
    <row r="275" spans="2:140" ht="18" customHeight="1" x14ac:dyDescent="0.25">
      <c r="B275" s="6"/>
      <c r="AP275" s="8"/>
      <c r="AR275" s="6"/>
      <c r="AS275" s="95"/>
      <c r="AT275" s="95"/>
      <c r="AU275" s="95"/>
      <c r="AV275" s="95"/>
      <c r="AW275" s="95"/>
      <c r="AX275" s="95"/>
      <c r="AY275" s="95"/>
      <c r="AZ275" s="95"/>
      <c r="BA275" s="95"/>
      <c r="BB275" s="95"/>
      <c r="BC275" s="95"/>
      <c r="BD275" s="95"/>
      <c r="BE275" s="95"/>
      <c r="BF275" s="95"/>
      <c r="BG275" s="95"/>
      <c r="BH275" s="95"/>
      <c r="BI275" s="95"/>
      <c r="BJ275" s="95"/>
      <c r="BK275" s="95"/>
      <c r="BL275" s="95"/>
      <c r="BM275" s="95"/>
      <c r="BN275" s="95"/>
      <c r="BO275" s="95"/>
      <c r="BP275" s="95"/>
      <c r="BQ275" s="95"/>
      <c r="BR275" s="95"/>
      <c r="BS275" s="95"/>
      <c r="BT275" s="95"/>
      <c r="BU275" s="95"/>
      <c r="BV275" s="95"/>
      <c r="BW275" s="95"/>
      <c r="BX275" s="95"/>
      <c r="BY275" s="95"/>
      <c r="BZ275" s="95"/>
      <c r="CA275" s="95"/>
      <c r="CB275" s="95"/>
      <c r="CC275" s="95"/>
      <c r="CD275" s="95"/>
      <c r="CE275" s="95"/>
      <c r="CF275" s="8"/>
      <c r="EB275" s="15">
        <f>AF21</f>
        <v>20</v>
      </c>
      <c r="EC275" s="15">
        <f>AH21</f>
        <v>2</v>
      </c>
      <c r="ED275" s="15">
        <f>AJ21</f>
        <v>2</v>
      </c>
      <c r="EE275" s="15">
        <f>AL21</f>
        <v>2</v>
      </c>
      <c r="EF275" s="15">
        <f>AN21</f>
        <v>1</v>
      </c>
    </row>
    <row r="276" spans="2:140" ht="18" customHeight="1" x14ac:dyDescent="0.25">
      <c r="B276" s="6"/>
      <c r="AP276" s="8"/>
      <c r="AR276" s="6"/>
      <c r="AS276" s="95"/>
      <c r="AT276" s="95"/>
      <c r="AU276" s="95"/>
      <c r="AV276" s="95"/>
      <c r="AW276" s="95"/>
      <c r="AX276" s="95"/>
      <c r="AY276" s="95"/>
      <c r="AZ276" s="95"/>
      <c r="BA276" s="95"/>
      <c r="BB276" s="95"/>
      <c r="BC276" s="95"/>
      <c r="BD276" s="95"/>
      <c r="BE276" s="95"/>
      <c r="BF276" s="95"/>
      <c r="BG276" s="95"/>
      <c r="BH276" s="95"/>
      <c r="BI276" s="95"/>
      <c r="BJ276" s="95"/>
      <c r="BK276" s="95"/>
      <c r="BL276" s="95"/>
      <c r="BM276" s="95"/>
      <c r="BN276" s="95"/>
      <c r="BO276" s="95"/>
      <c r="BP276" s="95"/>
      <c r="BQ276" s="95"/>
      <c r="BR276" s="95"/>
      <c r="BS276" s="95"/>
      <c r="BT276" s="95"/>
      <c r="BU276" s="95"/>
      <c r="BV276" s="95"/>
      <c r="BW276" s="95"/>
      <c r="BX276" s="95"/>
      <c r="BY276" s="95"/>
      <c r="BZ276" s="95"/>
      <c r="CA276" s="95"/>
      <c r="CB276" s="95"/>
      <c r="CC276" s="95"/>
      <c r="CD276" s="95"/>
      <c r="CE276" s="95"/>
      <c r="CF276" s="8"/>
      <c r="EB276" s="52" t="e">
        <f>1/SQRT((1/$IB$37^2)+(1/(#REF!*EB274)^2))</f>
        <v>#DIV/0!</v>
      </c>
      <c r="EC276" s="52" t="e">
        <f>1/SQRT((1/$IB$37^2)+(1/(#REF!*EC274)^2))</f>
        <v>#DIV/0!</v>
      </c>
      <c r="ED276" s="52" t="e">
        <f>1/SQRT((1/$IB$37^2)+(1/(#REF!*ED274)^2))</f>
        <v>#DIV/0!</v>
      </c>
      <c r="EE276" s="52" t="e">
        <f>1/SQRT((1/$IB$37^2)+(1/(#REF!*EE274)^2))</f>
        <v>#DIV/0!</v>
      </c>
      <c r="EF276" s="52" t="e">
        <f>1/SQRT((1/$IB$37^2)+(1/(#REF!*EF274)^2))</f>
        <v>#DIV/0!</v>
      </c>
    </row>
    <row r="277" spans="2:140" ht="18" customHeight="1" x14ac:dyDescent="0.3">
      <c r="B277" s="6"/>
      <c r="AP277" s="8"/>
      <c r="AR277" s="6"/>
      <c r="AS277" s="30"/>
      <c r="AT277" s="95"/>
      <c r="AU277" s="95"/>
      <c r="AV277" s="95"/>
      <c r="AW277" s="95"/>
      <c r="AX277" s="95"/>
      <c r="AY277" s="95"/>
      <c r="AZ277" s="95"/>
      <c r="BA277" s="95"/>
      <c r="BB277" s="95"/>
      <c r="BC277" s="95"/>
      <c r="BD277" s="95"/>
      <c r="BE277" s="95"/>
      <c r="BF277" s="95"/>
      <c r="BG277" s="95"/>
      <c r="BH277" s="95"/>
      <c r="BI277" s="95"/>
      <c r="BJ277" s="95"/>
      <c r="BK277" s="95"/>
      <c r="BL277" s="95"/>
      <c r="BM277" s="95"/>
      <c r="BN277" s="95"/>
      <c r="BO277" s="95"/>
      <c r="BP277" s="95"/>
      <c r="BQ277" s="95"/>
      <c r="BR277" s="95"/>
      <c r="BS277" s="95"/>
      <c r="BT277" s="95"/>
      <c r="BU277" s="95"/>
      <c r="BV277" s="95"/>
      <c r="BW277" s="95"/>
      <c r="BX277" s="95"/>
      <c r="BY277" s="95"/>
      <c r="BZ277" s="95"/>
      <c r="CA277" s="95"/>
      <c r="CB277" s="95"/>
      <c r="CC277" s="95"/>
      <c r="CD277" s="95"/>
      <c r="CE277" s="95"/>
      <c r="CF277" s="8"/>
      <c r="EB277" s="56" t="e">
        <f>(EB276*EB275)/(EB274*#REF!)</f>
        <v>#DIV/0!</v>
      </c>
      <c r="EC277" s="56" t="e">
        <f>(EC276*EC275)/(EC274*#REF!)</f>
        <v>#DIV/0!</v>
      </c>
      <c r="ED277" s="56" t="e">
        <f>(ED276*ED275)/(ED274*#REF!)</f>
        <v>#DIV/0!</v>
      </c>
      <c r="EE277" s="56" t="e">
        <f>(EE276*EE275)/(EE274*#REF!)</f>
        <v>#DIV/0!</v>
      </c>
      <c r="EF277" s="56" t="e">
        <f>(EF276*EF275)/(EF274*#REF!)</f>
        <v>#DIV/0!</v>
      </c>
    </row>
    <row r="278" spans="2:140" ht="18" customHeight="1" x14ac:dyDescent="0.25">
      <c r="B278" s="6"/>
      <c r="AP278" s="8"/>
      <c r="AR278" s="6"/>
      <c r="AS278" s="95"/>
      <c r="AT278" s="95"/>
      <c r="AU278" s="95"/>
      <c r="AV278" s="95"/>
      <c r="AW278" s="95"/>
      <c r="AX278" s="95"/>
      <c r="AY278" s="95"/>
      <c r="AZ278" s="95"/>
      <c r="BA278" s="95"/>
      <c r="BB278" s="95"/>
      <c r="BC278" s="95"/>
      <c r="BD278" s="95"/>
      <c r="BE278" s="95"/>
      <c r="BF278" s="95"/>
      <c r="BG278" s="95"/>
      <c r="BH278" s="95"/>
      <c r="BI278" s="95"/>
      <c r="BJ278" s="95"/>
      <c r="BK278" s="95"/>
      <c r="BL278" s="95"/>
      <c r="BM278" s="95"/>
      <c r="BN278" s="95"/>
      <c r="BO278" s="95"/>
      <c r="BP278" s="95"/>
      <c r="BQ278" s="95"/>
      <c r="BR278" s="95"/>
      <c r="BS278" s="95"/>
      <c r="BT278" s="95"/>
      <c r="BU278" s="95"/>
      <c r="BV278" s="95"/>
      <c r="BW278" s="95"/>
      <c r="BX278" s="95"/>
      <c r="BY278" s="95"/>
      <c r="BZ278" s="95"/>
      <c r="CA278" s="95"/>
      <c r="CB278" s="95"/>
      <c r="CC278" s="95"/>
      <c r="CD278" s="95"/>
      <c r="CE278" s="95"/>
      <c r="CF278" s="8"/>
      <c r="EB278" s="56" t="e">
        <f>(EB275*EB276)/$IB$37</f>
        <v>#DIV/0!</v>
      </c>
      <c r="EC278" s="56" t="e">
        <f>(EC275*EC276)/$IB$37</f>
        <v>#DIV/0!</v>
      </c>
      <c r="ED278" s="56" t="e">
        <f>(ED275*ED276)/$IB$37</f>
        <v>#DIV/0!</v>
      </c>
      <c r="EE278" s="56" t="e">
        <f>(EE275*EE276)/$IB$37</f>
        <v>#DIV/0!</v>
      </c>
      <c r="EF278" s="56" t="e">
        <f>(EF275*EF276)/$IB$37</f>
        <v>#DIV/0!</v>
      </c>
    </row>
    <row r="279" spans="2:140" ht="18" customHeight="1" x14ac:dyDescent="0.25">
      <c r="B279" s="6"/>
      <c r="AP279" s="8"/>
      <c r="AR279" s="6"/>
      <c r="AS279" s="95"/>
      <c r="AT279" s="95"/>
      <c r="AU279" s="95"/>
      <c r="AV279" s="95"/>
      <c r="AW279" s="95"/>
      <c r="AX279" s="95"/>
      <c r="AY279" s="95"/>
      <c r="AZ279" s="95"/>
      <c r="BA279" s="95"/>
      <c r="BB279" s="95"/>
      <c r="BC279" s="95"/>
      <c r="BD279" s="95"/>
      <c r="BE279" s="95"/>
      <c r="BF279" s="95"/>
      <c r="BG279" s="95"/>
      <c r="BH279" s="95"/>
      <c r="BI279" s="95"/>
      <c r="BJ279" s="95"/>
      <c r="BK279" s="95"/>
      <c r="BL279" s="95"/>
      <c r="BM279" s="95"/>
      <c r="BN279" s="95"/>
      <c r="BO279" s="95"/>
      <c r="BP279" s="95"/>
      <c r="BQ279" s="95"/>
      <c r="BR279" s="95"/>
      <c r="BS279" s="95"/>
      <c r="BT279" s="95"/>
      <c r="BU279" s="95"/>
      <c r="BV279" s="95"/>
      <c r="BW279" s="95"/>
      <c r="BX279" s="95"/>
      <c r="BY279" s="95"/>
      <c r="BZ279" s="95"/>
      <c r="CA279" s="95"/>
      <c r="CB279" s="95"/>
      <c r="CC279" s="95"/>
      <c r="CD279" s="95"/>
      <c r="CE279" s="95"/>
      <c r="CF279" s="8"/>
      <c r="EB279" s="56" t="e">
        <f>EB278*EB278*$IB$37</f>
        <v>#DIV/0!</v>
      </c>
      <c r="EC279" s="56" t="e">
        <f>EC278*EC278*$IB$37</f>
        <v>#DIV/0!</v>
      </c>
      <c r="ED279" s="56" t="e">
        <f>ED278*ED278*$IB$37</f>
        <v>#DIV/0!</v>
      </c>
      <c r="EE279" s="56" t="e">
        <f>EE278*EE278*$IB$37</f>
        <v>#DIV/0!</v>
      </c>
      <c r="EF279" s="56" t="e">
        <f>EF278*EF278*$IB$37</f>
        <v>#DIV/0!</v>
      </c>
      <c r="EH279" s="56" t="e">
        <f>SUM(EB279:EF279)</f>
        <v>#DIV/0!</v>
      </c>
      <c r="EI279" s="1" t="e">
        <f>3*EH279</f>
        <v>#DIV/0!</v>
      </c>
    </row>
    <row r="280" spans="2:140" ht="18" customHeight="1" x14ac:dyDescent="0.25">
      <c r="B280" s="6"/>
      <c r="AP280" s="8"/>
      <c r="AR280" s="6"/>
      <c r="AS280" s="95"/>
      <c r="AT280" s="95"/>
      <c r="AU280" s="95"/>
      <c r="AV280" s="95"/>
      <c r="AW280" s="95"/>
      <c r="AX280" s="95"/>
      <c r="AY280" s="95"/>
      <c r="AZ280" s="95"/>
      <c r="BA280" s="95"/>
      <c r="BB280" s="95"/>
      <c r="BC280" s="95"/>
      <c r="BD280" s="95"/>
      <c r="BE280" s="95"/>
      <c r="BF280" s="95"/>
      <c r="BG280" s="95"/>
      <c r="BH280" s="95"/>
      <c r="BI280" s="95"/>
      <c r="BJ280" s="95"/>
      <c r="BK280" s="95"/>
      <c r="BL280" s="95"/>
      <c r="BM280" s="95"/>
      <c r="BN280" s="95"/>
      <c r="BO280" s="95"/>
      <c r="BP280" s="95"/>
      <c r="BQ280" s="95"/>
      <c r="BR280" s="95"/>
      <c r="BS280" s="95"/>
      <c r="BT280" s="95"/>
      <c r="BU280" s="95"/>
      <c r="BV280" s="95"/>
      <c r="BW280" s="95"/>
      <c r="BX280" s="95"/>
      <c r="BY280" s="95"/>
      <c r="BZ280" s="95"/>
      <c r="CA280" s="95"/>
      <c r="CB280" s="95"/>
      <c r="CC280" s="95"/>
      <c r="CD280" s="95"/>
      <c r="CE280" s="95"/>
      <c r="CF280" s="8"/>
      <c r="EB280" s="1" t="e">
        <f t="shared" ref="EB280:EF280" si="676">EB278*EB278</f>
        <v>#DIV/0!</v>
      </c>
      <c r="EC280" s="1" t="e">
        <f t="shared" si="676"/>
        <v>#DIV/0!</v>
      </c>
      <c r="ED280" s="1" t="e">
        <f t="shared" si="676"/>
        <v>#DIV/0!</v>
      </c>
      <c r="EE280" s="1" t="e">
        <f t="shared" si="676"/>
        <v>#DIV/0!</v>
      </c>
      <c r="EF280" s="1" t="e">
        <f t="shared" si="676"/>
        <v>#DIV/0!</v>
      </c>
      <c r="EH280" s="1" t="s">
        <v>191</v>
      </c>
      <c r="EJ280" s="1" t="e">
        <f>SQRT(SUM(EB280:EF280))</f>
        <v>#DIV/0!</v>
      </c>
    </row>
    <row r="281" spans="2:140" ht="18" customHeight="1" x14ac:dyDescent="0.25">
      <c r="B281" s="6"/>
      <c r="AP281" s="8"/>
      <c r="AR281" s="6"/>
      <c r="AS281" s="95"/>
      <c r="AT281" s="95"/>
      <c r="AU281" s="95"/>
      <c r="AV281" s="95"/>
      <c r="AW281" s="95"/>
      <c r="AX281" s="95"/>
      <c r="AY281" s="95"/>
      <c r="AZ281" s="95"/>
      <c r="BA281" s="95"/>
      <c r="BB281" s="95"/>
      <c r="BC281" s="95"/>
      <c r="BD281" s="95"/>
      <c r="BE281" s="95"/>
      <c r="BF281" s="95"/>
      <c r="BG281" s="95"/>
      <c r="BH281" s="95"/>
      <c r="BI281" s="95"/>
      <c r="BJ281" s="95"/>
      <c r="BK281" s="95"/>
      <c r="BL281" s="95"/>
      <c r="BM281" s="95"/>
      <c r="BN281" s="95"/>
      <c r="BO281" s="95"/>
      <c r="BP281" s="95"/>
      <c r="BQ281" s="95"/>
      <c r="BR281" s="95"/>
      <c r="BS281" s="95"/>
      <c r="BT281" s="95"/>
      <c r="BU281" s="95"/>
      <c r="BV281" s="95"/>
      <c r="BW281" s="95"/>
      <c r="BX281" s="95"/>
      <c r="BY281" s="95"/>
      <c r="BZ281" s="95"/>
      <c r="CA281" s="95"/>
      <c r="CB281" s="95"/>
      <c r="CC281" s="95"/>
      <c r="CD281" s="95"/>
      <c r="CE281" s="95"/>
      <c r="CF281" s="8"/>
      <c r="EB281" s="15">
        <f t="shared" ref="EB281:EF281" si="677">EB275*EB275</f>
        <v>400</v>
      </c>
      <c r="EC281" s="15">
        <f t="shared" si="677"/>
        <v>4</v>
      </c>
      <c r="ED281" s="15">
        <f t="shared" si="677"/>
        <v>4</v>
      </c>
      <c r="EE281" s="15">
        <f t="shared" si="677"/>
        <v>4</v>
      </c>
      <c r="EF281" s="15">
        <f t="shared" si="677"/>
        <v>1</v>
      </c>
      <c r="EH281" s="1" t="s">
        <v>192</v>
      </c>
      <c r="EJ281" s="1">
        <f>SQRT(SUM(EB281:EF281))</f>
        <v>20.322401432901575</v>
      </c>
    </row>
    <row r="282" spans="2:140" ht="18" customHeight="1" x14ac:dyDescent="0.25">
      <c r="B282" s="6"/>
      <c r="AP282" s="8"/>
      <c r="AR282" s="6"/>
      <c r="AS282" s="95"/>
      <c r="AT282" s="95"/>
      <c r="AU282" s="95"/>
      <c r="AV282" s="95"/>
      <c r="AW282" s="95"/>
      <c r="AX282" s="95"/>
      <c r="AY282" s="95"/>
      <c r="AZ282" s="95"/>
      <c r="BA282" s="95"/>
      <c r="BB282" s="95"/>
      <c r="BC282" s="95"/>
      <c r="BD282" s="95"/>
      <c r="BE282" s="95"/>
      <c r="BF282" s="95"/>
      <c r="BG282" s="95"/>
      <c r="BH282" s="95"/>
      <c r="BI282" s="95"/>
      <c r="BJ282" s="95"/>
      <c r="BK282" s="95"/>
      <c r="BL282" s="95"/>
      <c r="BM282" s="95"/>
      <c r="BN282" s="95"/>
      <c r="BO282" s="95"/>
      <c r="BP282" s="95"/>
      <c r="BQ282" s="95"/>
      <c r="BR282" s="95"/>
      <c r="BS282" s="95"/>
      <c r="BT282" s="95"/>
      <c r="BU282" s="95"/>
      <c r="BV282" s="95"/>
      <c r="BW282" s="95"/>
      <c r="BX282" s="95"/>
      <c r="BY282" s="95"/>
      <c r="BZ282" s="95"/>
      <c r="CA282" s="95"/>
      <c r="CB282" s="95"/>
      <c r="CC282" s="95"/>
      <c r="CD282" s="95"/>
      <c r="CE282" s="95"/>
      <c r="CF282" s="8"/>
      <c r="EB282" s="15" t="e">
        <f>#REF!/#REF!*EB277*EB277</f>
        <v>#REF!</v>
      </c>
      <c r="EC282" s="15" t="e">
        <f>#REF!/#REF!*EC277*EC277</f>
        <v>#REF!</v>
      </c>
      <c r="ED282" s="15" t="e">
        <f>#REF!/#REF!*ED277*ED277</f>
        <v>#REF!</v>
      </c>
      <c r="EE282" s="15" t="e">
        <f>#REF!/#REF!*EE277*EE277</f>
        <v>#REF!</v>
      </c>
      <c r="EF282" s="15" t="e">
        <f>#REF!/#REF!*EF277*EF277</f>
        <v>#REF!</v>
      </c>
    </row>
    <row r="283" spans="2:140" ht="18" customHeight="1" x14ac:dyDescent="0.25">
      <c r="B283" s="6"/>
      <c r="AP283" s="8"/>
      <c r="AR283" s="6"/>
      <c r="AS283" s="95"/>
      <c r="AT283" s="95"/>
      <c r="AU283" s="95"/>
      <c r="AV283" s="95"/>
      <c r="AW283" s="95"/>
      <c r="AX283" s="95"/>
      <c r="AY283" s="95"/>
      <c r="AZ283" s="95"/>
      <c r="BA283" s="95"/>
      <c r="BB283" s="95"/>
      <c r="BC283" s="95"/>
      <c r="BD283" s="95"/>
      <c r="BE283" s="95"/>
      <c r="BF283" s="95"/>
      <c r="BG283" s="95"/>
      <c r="BH283" s="95"/>
      <c r="BI283" s="95"/>
      <c r="BJ283" s="95"/>
      <c r="BK283" s="95"/>
      <c r="BL283" s="95"/>
      <c r="BM283" s="95"/>
      <c r="BN283" s="95"/>
      <c r="BO283" s="95"/>
      <c r="BP283" s="95"/>
      <c r="BQ283" s="95"/>
      <c r="BR283" s="95"/>
      <c r="BS283" s="95"/>
      <c r="BT283" s="95"/>
      <c r="BU283" s="95"/>
      <c r="BV283" s="95"/>
      <c r="BW283" s="95"/>
      <c r="BX283" s="95"/>
      <c r="BY283" s="95"/>
      <c r="BZ283" s="95"/>
      <c r="CA283" s="95"/>
      <c r="CB283" s="95"/>
      <c r="CC283" s="95"/>
      <c r="CD283" s="95"/>
      <c r="CE283" s="95"/>
      <c r="CF283" s="8"/>
    </row>
    <row r="284" spans="2:140" ht="18" customHeight="1" x14ac:dyDescent="0.25">
      <c r="B284" s="6"/>
      <c r="AP284" s="8"/>
      <c r="AR284" s="6"/>
      <c r="AS284" s="95"/>
      <c r="AT284" s="95"/>
      <c r="AU284" s="95"/>
      <c r="AV284" s="95"/>
      <c r="AW284" s="95"/>
      <c r="AX284" s="95"/>
      <c r="AY284" s="95"/>
      <c r="AZ284" s="95"/>
      <c r="BA284" s="95"/>
      <c r="BB284" s="95"/>
      <c r="BC284" s="95"/>
      <c r="BD284" s="95"/>
      <c r="BE284" s="95"/>
      <c r="BF284" s="95"/>
      <c r="BG284" s="95"/>
      <c r="BH284" s="95"/>
      <c r="BI284" s="95"/>
      <c r="BJ284" s="95"/>
      <c r="BK284" s="95"/>
      <c r="BL284" s="95"/>
      <c r="BM284" s="95"/>
      <c r="BN284" s="95"/>
      <c r="BO284" s="95"/>
      <c r="BP284" s="95"/>
      <c r="BQ284" s="95"/>
      <c r="BR284" s="95"/>
      <c r="BS284" s="95"/>
      <c r="BT284" s="95"/>
      <c r="BU284" s="95"/>
      <c r="BV284" s="95"/>
      <c r="BW284" s="95"/>
      <c r="BX284" s="95"/>
      <c r="BY284" s="95"/>
      <c r="BZ284" s="95"/>
      <c r="CA284" s="95"/>
      <c r="CB284" s="95"/>
      <c r="CC284" s="95"/>
      <c r="CD284" s="95"/>
      <c r="CE284" s="95"/>
      <c r="CF284" s="8"/>
    </row>
    <row r="285" spans="2:140" ht="18" customHeight="1" x14ac:dyDescent="0.25">
      <c r="B285" s="6"/>
      <c r="AP285" s="8"/>
      <c r="AR285" s="6"/>
      <c r="AS285" s="95"/>
      <c r="AT285" s="95"/>
      <c r="AU285" s="95"/>
      <c r="AV285" s="95"/>
      <c r="AW285" s="95"/>
      <c r="AX285" s="95"/>
      <c r="AY285" s="95"/>
      <c r="AZ285" s="95"/>
      <c r="BA285" s="95"/>
      <c r="BB285" s="95"/>
      <c r="BC285" s="95"/>
      <c r="BD285" s="95"/>
      <c r="BE285" s="95"/>
      <c r="BF285" s="95"/>
      <c r="BG285" s="95"/>
      <c r="BH285" s="95"/>
      <c r="BI285" s="95"/>
      <c r="BJ285" s="95"/>
      <c r="BK285" s="95"/>
      <c r="BL285" s="95"/>
      <c r="BM285" s="95"/>
      <c r="BN285" s="95"/>
      <c r="BO285" s="95"/>
      <c r="BP285" s="95"/>
      <c r="BQ285" s="95"/>
      <c r="BR285" s="95"/>
      <c r="BS285" s="95"/>
      <c r="BT285" s="95"/>
      <c r="BU285" s="95"/>
      <c r="BV285" s="95"/>
      <c r="BW285" s="95"/>
      <c r="BX285" s="95"/>
      <c r="BY285" s="95"/>
      <c r="BZ285" s="95"/>
      <c r="CA285" s="95"/>
      <c r="CB285" s="95"/>
      <c r="CC285" s="95"/>
      <c r="CD285" s="95"/>
      <c r="CE285" s="95"/>
      <c r="CF285" s="8"/>
      <c r="EB285" s="1" t="e">
        <f t="shared" ref="EB285:EF285" si="678">EB277*EB277</f>
        <v>#DIV/0!</v>
      </c>
      <c r="EC285" s="1" t="e">
        <f t="shared" si="678"/>
        <v>#DIV/0!</v>
      </c>
      <c r="ED285" s="1" t="e">
        <f t="shared" si="678"/>
        <v>#DIV/0!</v>
      </c>
      <c r="EE285" s="1" t="e">
        <f t="shared" si="678"/>
        <v>#DIV/0!</v>
      </c>
      <c r="EF285" s="1" t="e">
        <f t="shared" si="678"/>
        <v>#DIV/0!</v>
      </c>
      <c r="EH285" s="1" t="e">
        <f>SQRT(SUM(EB285:EF285))</f>
        <v>#DIV/0!</v>
      </c>
    </row>
    <row r="286" spans="2:140" ht="18" customHeight="1" x14ac:dyDescent="0.25">
      <c r="B286" s="6"/>
      <c r="AP286" s="8"/>
      <c r="AR286" s="6"/>
      <c r="AS286" s="95"/>
      <c r="AT286" s="95"/>
      <c r="AU286" s="95"/>
      <c r="AV286" s="95"/>
      <c r="AW286" s="95"/>
      <c r="AX286" s="95"/>
      <c r="AY286" s="95"/>
      <c r="AZ286" s="95"/>
      <c r="BA286" s="95"/>
      <c r="BB286" s="95"/>
      <c r="BC286" s="95"/>
      <c r="BD286" s="95"/>
      <c r="BE286" s="95"/>
      <c r="BF286" s="95"/>
      <c r="BG286" s="95"/>
      <c r="BH286" s="95"/>
      <c r="BI286" s="95"/>
      <c r="BJ286" s="95"/>
      <c r="BK286" s="95"/>
      <c r="BL286" s="95"/>
      <c r="BM286" s="95"/>
      <c r="BN286" s="95"/>
      <c r="BO286" s="95"/>
      <c r="BP286" s="95"/>
      <c r="BQ286" s="95"/>
      <c r="BR286" s="95"/>
      <c r="BS286" s="95"/>
      <c r="BT286" s="95"/>
      <c r="BU286" s="95"/>
      <c r="BV286" s="95"/>
      <c r="BW286" s="95"/>
      <c r="BX286" s="95"/>
      <c r="BY286" s="95"/>
      <c r="BZ286" s="95"/>
      <c r="CA286" s="95"/>
      <c r="CB286" s="95"/>
      <c r="CC286" s="95"/>
      <c r="CD286" s="95"/>
      <c r="CE286" s="95"/>
      <c r="CF286" s="8"/>
    </row>
    <row r="287" spans="2:140" ht="18" customHeight="1" x14ac:dyDescent="0.25">
      <c r="B287" s="6"/>
      <c r="AP287" s="8"/>
      <c r="AR287" s="6"/>
      <c r="AS287" s="95"/>
      <c r="AT287" s="95"/>
      <c r="AU287" s="95"/>
      <c r="AV287" s="95"/>
      <c r="AW287" s="95"/>
      <c r="AX287" s="95"/>
      <c r="AY287" s="95"/>
      <c r="AZ287" s="95"/>
      <c r="BA287" s="95"/>
      <c r="BB287" s="95"/>
      <c r="BC287" s="95"/>
      <c r="BD287" s="95"/>
      <c r="BE287" s="95"/>
      <c r="BF287" s="95"/>
      <c r="BG287" s="95"/>
      <c r="BH287" s="95"/>
      <c r="BI287" s="95"/>
      <c r="BJ287" s="95"/>
      <c r="BK287" s="95"/>
      <c r="BL287" s="95"/>
      <c r="BM287" s="95"/>
      <c r="BN287" s="95"/>
      <c r="BO287" s="95"/>
      <c r="BP287" s="95"/>
      <c r="BQ287" s="95"/>
      <c r="BR287" s="95"/>
      <c r="BS287" s="95"/>
      <c r="BT287" s="95"/>
      <c r="BU287" s="95"/>
      <c r="BV287" s="95"/>
      <c r="BW287" s="95"/>
      <c r="BX287" s="95"/>
      <c r="BY287" s="95"/>
      <c r="BZ287" s="95"/>
      <c r="CA287" s="95"/>
      <c r="CB287" s="95"/>
      <c r="CC287" s="95"/>
      <c r="CD287" s="95"/>
      <c r="CE287" s="95"/>
      <c r="CF287" s="8"/>
    </row>
    <row r="288" spans="2:140" ht="18" customHeight="1" x14ac:dyDescent="0.25">
      <c r="B288" s="6"/>
      <c r="AP288" s="8"/>
      <c r="AR288" s="6"/>
      <c r="AS288" s="95"/>
      <c r="AT288" s="95"/>
      <c r="AU288" s="95"/>
      <c r="AV288" s="95"/>
      <c r="AW288" s="95"/>
      <c r="AX288" s="95"/>
      <c r="AY288" s="95"/>
      <c r="AZ288" s="95"/>
      <c r="BA288" s="95"/>
      <c r="BB288" s="95"/>
      <c r="BC288" s="95"/>
      <c r="BD288" s="95"/>
      <c r="BE288" s="95"/>
      <c r="BF288" s="95"/>
      <c r="BG288" s="95"/>
      <c r="BH288" s="95"/>
      <c r="BI288" s="95"/>
      <c r="BJ288" s="95"/>
      <c r="BK288" s="95"/>
      <c r="BL288" s="95"/>
      <c r="BM288" s="95"/>
      <c r="BN288" s="95"/>
      <c r="BO288" s="95"/>
      <c r="BP288" s="95"/>
      <c r="BQ288" s="95"/>
      <c r="BR288" s="95"/>
      <c r="BS288" s="95"/>
      <c r="BT288" s="95"/>
      <c r="BU288" s="95"/>
      <c r="BV288" s="95"/>
      <c r="BW288" s="95"/>
      <c r="BX288" s="95"/>
      <c r="BY288" s="95"/>
      <c r="BZ288" s="95"/>
      <c r="CA288" s="95"/>
      <c r="CB288" s="95"/>
      <c r="CC288" s="95"/>
      <c r="CD288" s="95"/>
      <c r="CE288" s="95"/>
      <c r="CF288" s="8"/>
    </row>
    <row r="289" spans="2:84" ht="18" customHeight="1" x14ac:dyDescent="0.25">
      <c r="B289" s="6"/>
      <c r="AP289" s="8"/>
      <c r="AR289" s="6"/>
      <c r="AS289" s="95"/>
      <c r="AT289" s="95"/>
      <c r="AU289" s="95"/>
      <c r="AV289" s="95"/>
      <c r="AW289" s="95"/>
      <c r="AX289" s="95"/>
      <c r="AY289" s="95"/>
      <c r="AZ289" s="95"/>
      <c r="BA289" s="95"/>
      <c r="BB289" s="95"/>
      <c r="BC289" s="95"/>
      <c r="BD289" s="95"/>
      <c r="BE289" s="95"/>
      <c r="BF289" s="95"/>
      <c r="BG289" s="95"/>
      <c r="BH289" s="95"/>
      <c r="BI289" s="95"/>
      <c r="BJ289" s="95"/>
      <c r="BK289" s="95"/>
      <c r="BL289" s="95"/>
      <c r="BM289" s="95"/>
      <c r="BN289" s="95"/>
      <c r="BO289" s="95"/>
      <c r="BP289" s="95"/>
      <c r="BQ289" s="95"/>
      <c r="BR289" s="95"/>
      <c r="BS289" s="95"/>
      <c r="BT289" s="95"/>
      <c r="BU289" s="95"/>
      <c r="BV289" s="95"/>
      <c r="BW289" s="95"/>
      <c r="BX289" s="95"/>
      <c r="BY289" s="95"/>
      <c r="BZ289" s="95"/>
      <c r="CA289" s="95"/>
      <c r="CB289" s="95"/>
      <c r="CC289" s="95"/>
      <c r="CD289" s="95"/>
      <c r="CE289" s="95"/>
      <c r="CF289" s="8"/>
    </row>
    <row r="290" spans="2:84" ht="18" customHeight="1" x14ac:dyDescent="0.25">
      <c r="B290" s="6"/>
      <c r="AP290" s="8"/>
      <c r="AR290" s="6"/>
      <c r="AS290" s="95"/>
      <c r="AT290" s="95"/>
      <c r="AU290" s="95"/>
      <c r="AV290" s="95"/>
      <c r="AW290" s="95"/>
      <c r="AX290" s="95"/>
      <c r="AY290" s="95"/>
      <c r="AZ290" s="95"/>
      <c r="BA290" s="95"/>
      <c r="BB290" s="95"/>
      <c r="BC290" s="95"/>
      <c r="BD290" s="95"/>
      <c r="BE290" s="95"/>
      <c r="BF290" s="95"/>
      <c r="BG290" s="95"/>
      <c r="BH290" s="95"/>
      <c r="BI290" s="95"/>
      <c r="BJ290" s="95"/>
      <c r="BK290" s="95"/>
      <c r="BL290" s="95"/>
      <c r="BM290" s="95"/>
      <c r="BN290" s="95"/>
      <c r="BO290" s="95"/>
      <c r="BP290" s="95"/>
      <c r="BQ290" s="95"/>
      <c r="BR290" s="95"/>
      <c r="BS290" s="95"/>
      <c r="BT290" s="95"/>
      <c r="BU290" s="95"/>
      <c r="BV290" s="95"/>
      <c r="BW290" s="95"/>
      <c r="BX290" s="95"/>
      <c r="BY290" s="95"/>
      <c r="BZ290" s="95"/>
      <c r="CA290" s="95"/>
      <c r="CB290" s="95"/>
      <c r="CC290" s="95"/>
      <c r="CD290" s="95"/>
      <c r="CE290" s="95"/>
      <c r="CF290" s="8"/>
    </row>
    <row r="291" spans="2:84" ht="18" customHeight="1" x14ac:dyDescent="0.25">
      <c r="B291" s="6"/>
      <c r="AP291" s="8"/>
      <c r="AR291" s="6"/>
      <c r="AS291" s="95"/>
      <c r="AT291" s="95"/>
      <c r="AU291" s="95"/>
      <c r="AV291" s="95"/>
      <c r="AW291" s="95"/>
      <c r="AX291" s="95"/>
      <c r="AY291" s="95"/>
      <c r="AZ291" s="95"/>
      <c r="BA291" s="95"/>
      <c r="BB291" s="95"/>
      <c r="BC291" s="95"/>
      <c r="BD291" s="95"/>
      <c r="BE291" s="95"/>
      <c r="BF291" s="95"/>
      <c r="BG291" s="95"/>
      <c r="BH291" s="95"/>
      <c r="BI291" s="95"/>
      <c r="BJ291" s="95"/>
      <c r="BK291" s="95"/>
      <c r="BL291" s="95"/>
      <c r="BM291" s="95"/>
      <c r="BN291" s="95"/>
      <c r="BO291" s="95"/>
      <c r="BP291" s="95"/>
      <c r="BQ291" s="95"/>
      <c r="BR291" s="95"/>
      <c r="BS291" s="95"/>
      <c r="BT291" s="95"/>
      <c r="BU291" s="95"/>
      <c r="BV291" s="95"/>
      <c r="BW291" s="95"/>
      <c r="BX291" s="95"/>
      <c r="BY291" s="95"/>
      <c r="BZ291" s="95"/>
      <c r="CA291" s="95"/>
      <c r="CB291" s="95"/>
      <c r="CC291" s="95"/>
      <c r="CD291" s="95"/>
      <c r="CE291" s="95"/>
      <c r="CF291" s="8"/>
    </row>
    <row r="292" spans="2:84" ht="18" customHeight="1" thickBot="1" x14ac:dyDescent="0.3">
      <c r="B292" s="6"/>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1"/>
      <c r="AO292" s="10"/>
      <c r="AP292" s="8"/>
      <c r="AR292" s="6"/>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1"/>
      <c r="CE292" s="10"/>
      <c r="CF292" s="8"/>
    </row>
    <row r="293" spans="2:84" ht="18" customHeight="1" x14ac:dyDescent="0.25">
      <c r="B293" s="6"/>
      <c r="D293" s="43" t="s">
        <v>84</v>
      </c>
      <c r="AO293" s="29" t="s">
        <v>473</v>
      </c>
      <c r="AP293" s="8"/>
      <c r="AR293" s="6"/>
      <c r="AT293" s="43" t="s">
        <v>84</v>
      </c>
      <c r="CE293" s="29" t="s">
        <v>474</v>
      </c>
      <c r="CF293" s="8"/>
    </row>
    <row r="294" spans="2:84" ht="18" customHeight="1" x14ac:dyDescent="0.25">
      <c r="B294" s="45"/>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7"/>
      <c r="AR294" s="45"/>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7"/>
    </row>
    <row r="295" spans="2:84" ht="18" customHeight="1" x14ac:dyDescent="0.25"/>
    <row r="304" spans="2:84" ht="44.25" customHeight="1" x14ac:dyDescent="0.25"/>
    <row r="305" ht="18.75" customHeight="1" x14ac:dyDescent="0.25"/>
  </sheetData>
  <sheetProtection algorithmName="SHA-512" hashValue="V7btZLxVbNsq3qKxxrFxL7nHu9XScTuf3c/RO02SzPjjp/GamHuHQoypnWMQaYM2Swbrs0n6Dx9QTf/RULf+cg==" saltValue="EJIwDAgIuehOJoQ64jfFSw==" spinCount="100000" sheet="1" objects="1" scenarios="1"/>
  <mergeCells count="766">
    <mergeCell ref="C252:AO263"/>
    <mergeCell ref="E205:K205"/>
    <mergeCell ref="E206:K206"/>
    <mergeCell ref="E207:K207"/>
    <mergeCell ref="E208:K208"/>
    <mergeCell ref="C210:AO210"/>
    <mergeCell ref="C211:AO215"/>
    <mergeCell ref="C217:AO217"/>
    <mergeCell ref="AS224:CE242"/>
    <mergeCell ref="AS252:CE269"/>
    <mergeCell ref="C220:AO241"/>
    <mergeCell ref="AS177:CE177"/>
    <mergeCell ref="AU188:BA188"/>
    <mergeCell ref="AT189:BA189"/>
    <mergeCell ref="AU192:BA192"/>
    <mergeCell ref="E204:K204"/>
    <mergeCell ref="AU184:BA184"/>
    <mergeCell ref="AU185:BA185"/>
    <mergeCell ref="AU186:BA186"/>
    <mergeCell ref="AU187:BA187"/>
    <mergeCell ref="AU190:BA190"/>
    <mergeCell ref="AU191:BA191"/>
    <mergeCell ref="AT173:BC175"/>
    <mergeCell ref="AU178:BA178"/>
    <mergeCell ref="AU179:BA179"/>
    <mergeCell ref="AU180:BA180"/>
    <mergeCell ref="AU181:BA181"/>
    <mergeCell ref="AU182:BA182"/>
    <mergeCell ref="AU183:BA183"/>
    <mergeCell ref="CI65:CK66"/>
    <mergeCell ref="C87:AO89"/>
    <mergeCell ref="C107:AO107"/>
    <mergeCell ref="C123:J123"/>
    <mergeCell ref="C122:J122"/>
    <mergeCell ref="L122:O122"/>
    <mergeCell ref="Q122:T122"/>
    <mergeCell ref="L123:O123"/>
    <mergeCell ref="Q123:T123"/>
    <mergeCell ref="C121:J121"/>
    <mergeCell ref="C124:J124"/>
    <mergeCell ref="L124:O124"/>
    <mergeCell ref="Q124:T124"/>
    <mergeCell ref="V134:Y134"/>
    <mergeCell ref="V135:Y135"/>
    <mergeCell ref="AA127:AD127"/>
    <mergeCell ref="AA128:AD128"/>
    <mergeCell ref="AA133:AD133"/>
    <mergeCell ref="AS110:CE110"/>
    <mergeCell ref="AS111:CE123"/>
    <mergeCell ref="AT157:CE158"/>
    <mergeCell ref="BJ95:BN95"/>
    <mergeCell ref="BO95:BQ95"/>
    <mergeCell ref="BV95:BW95"/>
    <mergeCell ref="V125:Y125"/>
    <mergeCell ref="AA125:AD125"/>
    <mergeCell ref="V122:Y122"/>
    <mergeCell ref="AA122:AD122"/>
    <mergeCell ref="AA123:AD123"/>
    <mergeCell ref="V123:Y123"/>
    <mergeCell ref="V124:Y124"/>
    <mergeCell ref="V128:Y128"/>
    <mergeCell ref="V129:Y129"/>
    <mergeCell ref="V130:Y130"/>
    <mergeCell ref="V131:Y131"/>
    <mergeCell ref="V132:Y132"/>
    <mergeCell ref="V133:Y133"/>
    <mergeCell ref="M118:V118"/>
    <mergeCell ref="M119:V119"/>
    <mergeCell ref="L121:O121"/>
    <mergeCell ref="L144:O144"/>
    <mergeCell ref="AA134:AD134"/>
    <mergeCell ref="AS105:CE105"/>
    <mergeCell ref="AS106:CE109"/>
    <mergeCell ref="G144:J144"/>
    <mergeCell ref="Q121:T121"/>
    <mergeCell ref="V121:Y121"/>
    <mergeCell ref="AA121:AD121"/>
    <mergeCell ref="L125:O125"/>
    <mergeCell ref="Q125:T125"/>
    <mergeCell ref="AA142:AD142"/>
    <mergeCell ref="AA143:AD143"/>
    <mergeCell ref="Q127:T127"/>
    <mergeCell ref="Q128:T128"/>
    <mergeCell ref="Q129:T129"/>
    <mergeCell ref="Q130:T130"/>
    <mergeCell ref="Q131:T131"/>
    <mergeCell ref="Q132:T132"/>
    <mergeCell ref="Q133:T133"/>
    <mergeCell ref="Q134:T134"/>
    <mergeCell ref="Q135:T135"/>
    <mergeCell ref="AA129:AD129"/>
    <mergeCell ref="AA130:AD130"/>
    <mergeCell ref="AA131:AD131"/>
    <mergeCell ref="AA132:AD132"/>
    <mergeCell ref="GH1:GL1"/>
    <mergeCell ref="AA124:AD124"/>
    <mergeCell ref="C125:J125"/>
    <mergeCell ref="C126:J126"/>
    <mergeCell ref="L126:O126"/>
    <mergeCell ref="Q126:T126"/>
    <mergeCell ref="V126:Y126"/>
    <mergeCell ref="AA126:AD126"/>
    <mergeCell ref="M110:V110"/>
    <mergeCell ref="M111:V111"/>
    <mergeCell ref="M112:V112"/>
    <mergeCell ref="M113:V113"/>
    <mergeCell ref="M114:V114"/>
    <mergeCell ref="M115:V115"/>
    <mergeCell ref="M116:V116"/>
    <mergeCell ref="M117:V117"/>
    <mergeCell ref="Y44:AA44"/>
    <mergeCell ref="Y45:AA45"/>
    <mergeCell ref="AM82:AO83"/>
    <mergeCell ref="X108:AO108"/>
    <mergeCell ref="P82:Q83"/>
    <mergeCell ref="R82:S83"/>
    <mergeCell ref="T82:U83"/>
    <mergeCell ref="V82:W83"/>
    <mergeCell ref="Q143:T143"/>
    <mergeCell ref="Q144:T144"/>
    <mergeCell ref="V142:Y142"/>
    <mergeCell ref="V143:Y143"/>
    <mergeCell ref="V144:Y144"/>
    <mergeCell ref="AA138:AD138"/>
    <mergeCell ref="AA139:AD139"/>
    <mergeCell ref="AA140:AD140"/>
    <mergeCell ref="V140:Y140"/>
    <mergeCell ref="AA144:AD144"/>
    <mergeCell ref="V139:Y139"/>
    <mergeCell ref="Q142:T142"/>
    <mergeCell ref="L143:O143"/>
    <mergeCell ref="AA135:AD135"/>
    <mergeCell ref="V136:Y136"/>
    <mergeCell ref="V127:Y127"/>
    <mergeCell ref="G142:J142"/>
    <mergeCell ref="L142:O142"/>
    <mergeCell ref="G143:J143"/>
    <mergeCell ref="AA136:AD136"/>
    <mergeCell ref="AA137:AD137"/>
    <mergeCell ref="G132:J132"/>
    <mergeCell ref="L132:O132"/>
    <mergeCell ref="G133:J133"/>
    <mergeCell ref="L133:O133"/>
    <mergeCell ref="G134:J134"/>
    <mergeCell ref="L134:O134"/>
    <mergeCell ref="G137:J137"/>
    <mergeCell ref="L137:O137"/>
    <mergeCell ref="Q137:T137"/>
    <mergeCell ref="V137:Y137"/>
    <mergeCell ref="L140:O140"/>
    <mergeCell ref="Q138:T138"/>
    <mergeCell ref="Q139:T139"/>
    <mergeCell ref="Q140:T140"/>
    <mergeCell ref="V138:Y138"/>
    <mergeCell ref="G127:J127"/>
    <mergeCell ref="L127:O127"/>
    <mergeCell ref="G128:J128"/>
    <mergeCell ref="L128:O128"/>
    <mergeCell ref="G129:J129"/>
    <mergeCell ref="L129:O129"/>
    <mergeCell ref="F82:G83"/>
    <mergeCell ref="H82:I83"/>
    <mergeCell ref="J82:K83"/>
    <mergeCell ref="L82:M83"/>
    <mergeCell ref="N82:O83"/>
    <mergeCell ref="C82:E83"/>
    <mergeCell ref="AM75:AO75"/>
    <mergeCell ref="AM76:AO76"/>
    <mergeCell ref="AM77:AO77"/>
    <mergeCell ref="AM78:AO78"/>
    <mergeCell ref="AM80:AO80"/>
    <mergeCell ref="AM81:AO81"/>
    <mergeCell ref="AJ77:AL77"/>
    <mergeCell ref="AJ78:AL78"/>
    <mergeCell ref="AJ80:AL80"/>
    <mergeCell ref="AJ81:AL81"/>
    <mergeCell ref="Z80:AA80"/>
    <mergeCell ref="AB80:AC80"/>
    <mergeCell ref="AD80:AE80"/>
    <mergeCell ref="AF80:AG80"/>
    <mergeCell ref="AH80:AI80"/>
    <mergeCell ref="H81:I81"/>
    <mergeCell ref="AJ75:AL75"/>
    <mergeCell ref="AJ76:AL76"/>
    <mergeCell ref="X82:Y83"/>
    <mergeCell ref="Z82:AA83"/>
    <mergeCell ref="AB82:AC83"/>
    <mergeCell ref="AD82:AE83"/>
    <mergeCell ref="AF82:AG83"/>
    <mergeCell ref="AH82:AI83"/>
    <mergeCell ref="AJ82:AL83"/>
    <mergeCell ref="AJ67:AL67"/>
    <mergeCell ref="AM67:AO67"/>
    <mergeCell ref="AM68:AO68"/>
    <mergeCell ref="AM69:AO69"/>
    <mergeCell ref="AM70:AO70"/>
    <mergeCell ref="AM71:AO71"/>
    <mergeCell ref="AM72:AO72"/>
    <mergeCell ref="AM73:AO73"/>
    <mergeCell ref="AM74:AO74"/>
    <mergeCell ref="AJ68:AL68"/>
    <mergeCell ref="AJ69:AL69"/>
    <mergeCell ref="AJ70:AL70"/>
    <mergeCell ref="AJ71:AL71"/>
    <mergeCell ref="AJ72:AL72"/>
    <mergeCell ref="AJ73:AL73"/>
    <mergeCell ref="AJ74:AL74"/>
    <mergeCell ref="AB81:AC81"/>
    <mergeCell ref="AD81:AE81"/>
    <mergeCell ref="AF81:AG81"/>
    <mergeCell ref="AH81:AI81"/>
    <mergeCell ref="H80:I80"/>
    <mergeCell ref="J80:K80"/>
    <mergeCell ref="L80:M80"/>
    <mergeCell ref="N80:O80"/>
    <mergeCell ref="P80:Q80"/>
    <mergeCell ref="R80:S80"/>
    <mergeCell ref="T80:U80"/>
    <mergeCell ref="V80:W80"/>
    <mergeCell ref="X80:Y80"/>
    <mergeCell ref="J81:K81"/>
    <mergeCell ref="L81:M81"/>
    <mergeCell ref="N81:O81"/>
    <mergeCell ref="P81:Q81"/>
    <mergeCell ref="R81:S81"/>
    <mergeCell ref="T81:U81"/>
    <mergeCell ref="V81:W81"/>
    <mergeCell ref="X81:Y81"/>
    <mergeCell ref="Z81:AA81"/>
    <mergeCell ref="Z77:AA77"/>
    <mergeCell ref="AB77:AC77"/>
    <mergeCell ref="AD77:AE77"/>
    <mergeCell ref="AF77:AG77"/>
    <mergeCell ref="AH77:AI77"/>
    <mergeCell ref="H78:I78"/>
    <mergeCell ref="J78:K78"/>
    <mergeCell ref="L78:M78"/>
    <mergeCell ref="N78:O78"/>
    <mergeCell ref="P78:Q78"/>
    <mergeCell ref="R78:S78"/>
    <mergeCell ref="T78:U78"/>
    <mergeCell ref="V78:W78"/>
    <mergeCell ref="X78:Y78"/>
    <mergeCell ref="Z78:AA78"/>
    <mergeCell ref="AB78:AC78"/>
    <mergeCell ref="AD78:AE78"/>
    <mergeCell ref="AF78:AG78"/>
    <mergeCell ref="AH78:AI78"/>
    <mergeCell ref="H77:I77"/>
    <mergeCell ref="J77:K77"/>
    <mergeCell ref="L77:M77"/>
    <mergeCell ref="N77:O77"/>
    <mergeCell ref="P77:Q77"/>
    <mergeCell ref="R77:S77"/>
    <mergeCell ref="T77:U77"/>
    <mergeCell ref="V77:W77"/>
    <mergeCell ref="X77:Y77"/>
    <mergeCell ref="AF75:AG75"/>
    <mergeCell ref="AH75:AI75"/>
    <mergeCell ref="H76:I76"/>
    <mergeCell ref="J76:K76"/>
    <mergeCell ref="L76:M76"/>
    <mergeCell ref="N76:O76"/>
    <mergeCell ref="P76:Q76"/>
    <mergeCell ref="R76:S76"/>
    <mergeCell ref="T76:U76"/>
    <mergeCell ref="V76:W76"/>
    <mergeCell ref="X76:Y76"/>
    <mergeCell ref="Z76:AA76"/>
    <mergeCell ref="AB76:AC76"/>
    <mergeCell ref="AD76:AE76"/>
    <mergeCell ref="AF76:AG76"/>
    <mergeCell ref="AH76:AI76"/>
    <mergeCell ref="N75:O75"/>
    <mergeCell ref="P75:Q75"/>
    <mergeCell ref="R75:S75"/>
    <mergeCell ref="T75:U75"/>
    <mergeCell ref="V75:W75"/>
    <mergeCell ref="X75:Y75"/>
    <mergeCell ref="Z75:AA75"/>
    <mergeCell ref="AB75:AC75"/>
    <mergeCell ref="AD75:AE75"/>
    <mergeCell ref="AH73:AI73"/>
    <mergeCell ref="H74:I74"/>
    <mergeCell ref="J74:K74"/>
    <mergeCell ref="L74:M74"/>
    <mergeCell ref="N74:O74"/>
    <mergeCell ref="P74:Q74"/>
    <mergeCell ref="R74:S74"/>
    <mergeCell ref="T74:U74"/>
    <mergeCell ref="V74:W74"/>
    <mergeCell ref="X74:Y74"/>
    <mergeCell ref="Z74:AA74"/>
    <mergeCell ref="AB74:AC74"/>
    <mergeCell ref="AD74:AE74"/>
    <mergeCell ref="AF74:AG74"/>
    <mergeCell ref="AH74:AI74"/>
    <mergeCell ref="P73:Q73"/>
    <mergeCell ref="R73:S73"/>
    <mergeCell ref="T73:U73"/>
    <mergeCell ref="V73:W73"/>
    <mergeCell ref="X73:Y73"/>
    <mergeCell ref="Z73:AA73"/>
    <mergeCell ref="AB73:AC73"/>
    <mergeCell ref="AD73:AE73"/>
    <mergeCell ref="AF73:AG73"/>
    <mergeCell ref="AH71:AI71"/>
    <mergeCell ref="H72:I72"/>
    <mergeCell ref="J72:K72"/>
    <mergeCell ref="L72:M72"/>
    <mergeCell ref="N72:O72"/>
    <mergeCell ref="P72:Q72"/>
    <mergeCell ref="R72:S72"/>
    <mergeCell ref="T72:U72"/>
    <mergeCell ref="V72:W72"/>
    <mergeCell ref="X72:Y72"/>
    <mergeCell ref="Z72:AA72"/>
    <mergeCell ref="AB72:AC72"/>
    <mergeCell ref="AD72:AE72"/>
    <mergeCell ref="AF72:AG72"/>
    <mergeCell ref="AH72:AI72"/>
    <mergeCell ref="P71:Q71"/>
    <mergeCell ref="R71:S71"/>
    <mergeCell ref="T71:U71"/>
    <mergeCell ref="V71:W71"/>
    <mergeCell ref="X71:Y71"/>
    <mergeCell ref="Z71:AA71"/>
    <mergeCell ref="AB71:AC71"/>
    <mergeCell ref="AD71:AE71"/>
    <mergeCell ref="AF71:AG71"/>
    <mergeCell ref="AH69:AI69"/>
    <mergeCell ref="H70:I70"/>
    <mergeCell ref="J70:K70"/>
    <mergeCell ref="L70:M70"/>
    <mergeCell ref="N70:O70"/>
    <mergeCell ref="P70:Q70"/>
    <mergeCell ref="R70:S70"/>
    <mergeCell ref="T70:U70"/>
    <mergeCell ref="V70:W70"/>
    <mergeCell ref="X70:Y70"/>
    <mergeCell ref="Z70:AA70"/>
    <mergeCell ref="AB70:AC70"/>
    <mergeCell ref="AD70:AE70"/>
    <mergeCell ref="AF70:AG70"/>
    <mergeCell ref="AH70:AI70"/>
    <mergeCell ref="P69:Q69"/>
    <mergeCell ref="R69:S69"/>
    <mergeCell ref="T69:U69"/>
    <mergeCell ref="V69:W69"/>
    <mergeCell ref="X69:Y69"/>
    <mergeCell ref="Z69:AA69"/>
    <mergeCell ref="AB69:AC69"/>
    <mergeCell ref="AD69:AE69"/>
    <mergeCell ref="AF69:AG69"/>
    <mergeCell ref="Z67:AA67"/>
    <mergeCell ref="AB67:AC67"/>
    <mergeCell ref="AD67:AE67"/>
    <mergeCell ref="AF67:AG67"/>
    <mergeCell ref="AH67:AI67"/>
    <mergeCell ref="H68:I68"/>
    <mergeCell ref="J68:K68"/>
    <mergeCell ref="L68:M68"/>
    <mergeCell ref="N68:O68"/>
    <mergeCell ref="P68:Q68"/>
    <mergeCell ref="R68:S68"/>
    <mergeCell ref="T68:U68"/>
    <mergeCell ref="V68:W68"/>
    <mergeCell ref="X68:Y68"/>
    <mergeCell ref="Z68:AA68"/>
    <mergeCell ref="AB68:AC68"/>
    <mergeCell ref="AD68:AE68"/>
    <mergeCell ref="AF68:AG68"/>
    <mergeCell ref="AH68:AI68"/>
    <mergeCell ref="P67:Q67"/>
    <mergeCell ref="R67:S67"/>
    <mergeCell ref="T67:U67"/>
    <mergeCell ref="V67:W67"/>
    <mergeCell ref="X67:Y67"/>
    <mergeCell ref="F76:G76"/>
    <mergeCell ref="F77:G77"/>
    <mergeCell ref="F78:G78"/>
    <mergeCell ref="F80:G80"/>
    <mergeCell ref="F81:G81"/>
    <mergeCell ref="H67:I67"/>
    <mergeCell ref="J67:K67"/>
    <mergeCell ref="L67:M67"/>
    <mergeCell ref="N67:O67"/>
    <mergeCell ref="H69:I69"/>
    <mergeCell ref="J69:K69"/>
    <mergeCell ref="L69:M69"/>
    <mergeCell ref="N69:O69"/>
    <mergeCell ref="H71:I71"/>
    <mergeCell ref="J71:K71"/>
    <mergeCell ref="L71:M71"/>
    <mergeCell ref="N71:O71"/>
    <mergeCell ref="H73:I73"/>
    <mergeCell ref="J73:K73"/>
    <mergeCell ref="L73:M73"/>
    <mergeCell ref="N73:O73"/>
    <mergeCell ref="H75:I75"/>
    <mergeCell ref="J75:K75"/>
    <mergeCell ref="L75:M75"/>
    <mergeCell ref="AM66:AO66"/>
    <mergeCell ref="F65:G65"/>
    <mergeCell ref="H65:I65"/>
    <mergeCell ref="J65:K65"/>
    <mergeCell ref="N65:O65"/>
    <mergeCell ref="L65:M65"/>
    <mergeCell ref="P65:Q65"/>
    <mergeCell ref="R65:S65"/>
    <mergeCell ref="T65:U65"/>
    <mergeCell ref="V65:W65"/>
    <mergeCell ref="X65:Y65"/>
    <mergeCell ref="Z65:AA65"/>
    <mergeCell ref="AB65:AC65"/>
    <mergeCell ref="AD65:AE65"/>
    <mergeCell ref="AF65:AG65"/>
    <mergeCell ref="AH65:AI65"/>
    <mergeCell ref="AJ65:AL65"/>
    <mergeCell ref="AM65:AO65"/>
    <mergeCell ref="R66:S66"/>
    <mergeCell ref="T66:U66"/>
    <mergeCell ref="V66:W66"/>
    <mergeCell ref="X66:Y66"/>
    <mergeCell ref="Z66:AA66"/>
    <mergeCell ref="AB66:AC66"/>
    <mergeCell ref="C76:E76"/>
    <mergeCell ref="C77:E77"/>
    <mergeCell ref="C78:E78"/>
    <mergeCell ref="C80:E80"/>
    <mergeCell ref="C81:E81"/>
    <mergeCell ref="AJ66:AL66"/>
    <mergeCell ref="C68:E68"/>
    <mergeCell ref="C69:E69"/>
    <mergeCell ref="C70:E70"/>
    <mergeCell ref="C71:E71"/>
    <mergeCell ref="C72:E72"/>
    <mergeCell ref="C73:E73"/>
    <mergeCell ref="C74:E74"/>
    <mergeCell ref="C75:E75"/>
    <mergeCell ref="C66:E66"/>
    <mergeCell ref="F67:G67"/>
    <mergeCell ref="F68:G68"/>
    <mergeCell ref="F69:G69"/>
    <mergeCell ref="F70:G70"/>
    <mergeCell ref="F71:G71"/>
    <mergeCell ref="F72:G72"/>
    <mergeCell ref="F73:G73"/>
    <mergeCell ref="F74:G74"/>
    <mergeCell ref="F75:G75"/>
    <mergeCell ref="AD66:AE66"/>
    <mergeCell ref="AF66:AG66"/>
    <mergeCell ref="AH66:AI66"/>
    <mergeCell ref="JI23:JJ25"/>
    <mergeCell ref="AS9:CE9"/>
    <mergeCell ref="C62:AO62"/>
    <mergeCell ref="C65:E65"/>
    <mergeCell ref="F64:G64"/>
    <mergeCell ref="H64:I64"/>
    <mergeCell ref="J64:K64"/>
    <mergeCell ref="L64:M64"/>
    <mergeCell ref="N64:O64"/>
    <mergeCell ref="P64:Q64"/>
    <mergeCell ref="R64:S64"/>
    <mergeCell ref="T64:U64"/>
    <mergeCell ref="V64:W64"/>
    <mergeCell ref="W17:AJ17"/>
    <mergeCell ref="AK17:AM17"/>
    <mergeCell ref="S17:U17"/>
    <mergeCell ref="H13:W13"/>
    <mergeCell ref="AE13:AN13"/>
    <mergeCell ref="C16:AO16"/>
    <mergeCell ref="C21:I21"/>
    <mergeCell ref="J21:K21"/>
    <mergeCell ref="C7:AO8"/>
    <mergeCell ref="H11:W11"/>
    <mergeCell ref="AE11:AN11"/>
    <mergeCell ref="H12:W12"/>
    <mergeCell ref="AE12:AN12"/>
    <mergeCell ref="AH20:AI20"/>
    <mergeCell ref="AJ20:AK20"/>
    <mergeCell ref="C19:AO19"/>
    <mergeCell ref="C20:I20"/>
    <mergeCell ref="J20:K20"/>
    <mergeCell ref="L20:M20"/>
    <mergeCell ref="N20:O20"/>
    <mergeCell ref="P20:Q20"/>
    <mergeCell ref="R20:S20"/>
    <mergeCell ref="AL20:AM20"/>
    <mergeCell ref="AN20:AO20"/>
    <mergeCell ref="T20:U20"/>
    <mergeCell ref="V20:W20"/>
    <mergeCell ref="X20:Y20"/>
    <mergeCell ref="Z20:AA20"/>
    <mergeCell ref="AB20:AC20"/>
    <mergeCell ref="AD20:AE20"/>
    <mergeCell ref="L21:M21"/>
    <mergeCell ref="N21:O21"/>
    <mergeCell ref="P21:Q21"/>
    <mergeCell ref="R21:S21"/>
    <mergeCell ref="T21:U21"/>
    <mergeCell ref="V21:W21"/>
    <mergeCell ref="AF20:AG20"/>
    <mergeCell ref="AJ21:AK21"/>
    <mergeCell ref="AL21:AM21"/>
    <mergeCell ref="AN21:AO21"/>
    <mergeCell ref="X21:Y21"/>
    <mergeCell ref="Z21:AA21"/>
    <mergeCell ref="AB21:AC21"/>
    <mergeCell ref="AD21:AE21"/>
    <mergeCell ref="AF21:AG21"/>
    <mergeCell ref="AH21:AI21"/>
    <mergeCell ref="AT73:AX73"/>
    <mergeCell ref="AS29:CE29"/>
    <mergeCell ref="BT30:BZ30"/>
    <mergeCell ref="CA30:CC30"/>
    <mergeCell ref="AS31:AY31"/>
    <mergeCell ref="BQ31:BZ31"/>
    <mergeCell ref="CA31:CC31"/>
    <mergeCell ref="CA26:CC26"/>
    <mergeCell ref="CA42:CC42"/>
    <mergeCell ref="BL43:BO43"/>
    <mergeCell ref="CA43:CC43"/>
    <mergeCell ref="CA23:CC23"/>
    <mergeCell ref="AZ42:BD42"/>
    <mergeCell ref="BF42:BJ42"/>
    <mergeCell ref="BL42:BO42"/>
    <mergeCell ref="AZ43:BD43"/>
    <mergeCell ref="AG36:AJ38"/>
    <mergeCell ref="HR60:HU60"/>
    <mergeCell ref="AB41:AE41"/>
    <mergeCell ref="AB42:AE42"/>
    <mergeCell ref="L41:O41"/>
    <mergeCell ref="L42:O42"/>
    <mergeCell ref="W42:Z42"/>
    <mergeCell ref="AS54:BG54"/>
    <mergeCell ref="Z64:AA64"/>
    <mergeCell ref="AB64:AC64"/>
    <mergeCell ref="AD64:AE64"/>
    <mergeCell ref="AF64:AG64"/>
    <mergeCell ref="AH64:AI64"/>
    <mergeCell ref="AJ64:AL64"/>
    <mergeCell ref="AZ44:BD44"/>
    <mergeCell ref="BF44:BJ44"/>
    <mergeCell ref="BL44:BO44"/>
    <mergeCell ref="CA44:CC44"/>
    <mergeCell ref="CA45:CC45"/>
    <mergeCell ref="AM64:AO64"/>
    <mergeCell ref="BF43:BJ43"/>
    <mergeCell ref="AZ41:BD41"/>
    <mergeCell ref="BF41:BJ41"/>
    <mergeCell ref="BL41:BO41"/>
    <mergeCell ref="CA41:CC41"/>
    <mergeCell ref="C67:E67"/>
    <mergeCell ref="F66:G66"/>
    <mergeCell ref="H66:I66"/>
    <mergeCell ref="J66:K66"/>
    <mergeCell ref="L66:M66"/>
    <mergeCell ref="N66:O66"/>
    <mergeCell ref="P66:Q66"/>
    <mergeCell ref="G36:J38"/>
    <mergeCell ref="G39:J39"/>
    <mergeCell ref="G40:J40"/>
    <mergeCell ref="G41:J41"/>
    <mergeCell ref="G42:J42"/>
    <mergeCell ref="AG39:AJ39"/>
    <mergeCell ref="AG40:AJ40"/>
    <mergeCell ref="AG41:AJ41"/>
    <mergeCell ref="AG42:AJ42"/>
    <mergeCell ref="AB36:AE38"/>
    <mergeCell ref="AB39:AE39"/>
    <mergeCell ref="AB40:AE40"/>
    <mergeCell ref="L39:O39"/>
    <mergeCell ref="L40:O40"/>
    <mergeCell ref="Q36:U38"/>
    <mergeCell ref="L36:O38"/>
    <mergeCell ref="W36:Z38"/>
    <mergeCell ref="W39:Z39"/>
    <mergeCell ref="W40:Z40"/>
    <mergeCell ref="W41:Z41"/>
    <mergeCell ref="F26:N26"/>
    <mergeCell ref="AJ26:AO28"/>
    <mergeCell ref="AL29:AO29"/>
    <mergeCell ref="AL30:AO30"/>
    <mergeCell ref="AL31:AO31"/>
    <mergeCell ref="K27:N28"/>
    <mergeCell ref="F27:I28"/>
    <mergeCell ref="U32:X32"/>
    <mergeCell ref="AE26:AH28"/>
    <mergeCell ref="Z25:AC28"/>
    <mergeCell ref="K29:N29"/>
    <mergeCell ref="K30:N30"/>
    <mergeCell ref="K31:N31"/>
    <mergeCell ref="K32:N32"/>
    <mergeCell ref="F29:I29"/>
    <mergeCell ref="F30:I30"/>
    <mergeCell ref="F31:I31"/>
    <mergeCell ref="F32:I32"/>
    <mergeCell ref="P26:S28"/>
    <mergeCell ref="P29:S29"/>
    <mergeCell ref="P30:S30"/>
    <mergeCell ref="P31:S31"/>
    <mergeCell ref="P32:S32"/>
    <mergeCell ref="U26:X28"/>
    <mergeCell ref="AZ30:BD31"/>
    <mergeCell ref="BF30:BJ31"/>
    <mergeCell ref="BL31:BO31"/>
    <mergeCell ref="AZ17:BD17"/>
    <mergeCell ref="BF34:BJ34"/>
    <mergeCell ref="AZ23:BD23"/>
    <mergeCell ref="BF23:BJ23"/>
    <mergeCell ref="BL23:BO23"/>
    <mergeCell ref="AZ24:BD24"/>
    <mergeCell ref="AZ26:BD26"/>
    <mergeCell ref="BF26:BJ26"/>
    <mergeCell ref="BL26:BO26"/>
    <mergeCell ref="BL24:BO24"/>
    <mergeCell ref="BF32:BJ32"/>
    <mergeCell ref="BL32:BO32"/>
    <mergeCell ref="BL22:BO22"/>
    <mergeCell ref="CA40:CC40"/>
    <mergeCell ref="CA24:CC24"/>
    <mergeCell ref="CA27:CC27"/>
    <mergeCell ref="AS11:CE11"/>
    <mergeCell ref="BL13:BO13"/>
    <mergeCell ref="BL14:BO14"/>
    <mergeCell ref="BL15:BO15"/>
    <mergeCell ref="BL16:BO16"/>
    <mergeCell ref="BL17:BO17"/>
    <mergeCell ref="CA17:CC17"/>
    <mergeCell ref="CA18:CC18"/>
    <mergeCell ref="AZ25:BD25"/>
    <mergeCell ref="BF25:BJ25"/>
    <mergeCell ref="BL25:BO25"/>
    <mergeCell ref="CA25:CC25"/>
    <mergeCell ref="BF24:BJ24"/>
    <mergeCell ref="AS13:AY13"/>
    <mergeCell ref="AZ12:BD13"/>
    <mergeCell ref="AZ14:BD14"/>
    <mergeCell ref="BF17:BJ17"/>
    <mergeCell ref="BQ13:BZ13"/>
    <mergeCell ref="AS20:CE20"/>
    <mergeCell ref="CA21:CC21"/>
    <mergeCell ref="AS22:AY22"/>
    <mergeCell ref="BQ22:BZ22"/>
    <mergeCell ref="CA22:CC22"/>
    <mergeCell ref="AZ15:BD15"/>
    <mergeCell ref="AZ16:BD16"/>
    <mergeCell ref="BF12:BJ13"/>
    <mergeCell ref="BF14:BJ14"/>
    <mergeCell ref="BF15:BJ15"/>
    <mergeCell ref="BF16:BJ16"/>
    <mergeCell ref="CA12:CC12"/>
    <mergeCell ref="CA13:CC13"/>
    <mergeCell ref="CA14:CC14"/>
    <mergeCell ref="CA15:CC15"/>
    <mergeCell ref="CA16:CC16"/>
    <mergeCell ref="BP12:BZ12"/>
    <mergeCell ref="AZ21:BD22"/>
    <mergeCell ref="BF21:BJ22"/>
    <mergeCell ref="BT21:BZ21"/>
    <mergeCell ref="U30:X30"/>
    <mergeCell ref="U31:X31"/>
    <mergeCell ref="AS40:AY40"/>
    <mergeCell ref="BL40:BO40"/>
    <mergeCell ref="BQ40:BZ40"/>
    <mergeCell ref="AS38:CE38"/>
    <mergeCell ref="CA35:CC35"/>
    <mergeCell ref="CA36:CC36"/>
    <mergeCell ref="CA33:CC33"/>
    <mergeCell ref="BL34:BO34"/>
    <mergeCell ref="CA34:CC34"/>
    <mergeCell ref="CA39:CC39"/>
    <mergeCell ref="AZ39:BD40"/>
    <mergeCell ref="BF39:BJ40"/>
    <mergeCell ref="BT39:BZ39"/>
    <mergeCell ref="CA32:CC32"/>
    <mergeCell ref="AZ33:BD33"/>
    <mergeCell ref="BF33:BJ33"/>
    <mergeCell ref="BL33:BO33"/>
    <mergeCell ref="AZ34:BD34"/>
    <mergeCell ref="AZ35:BD35"/>
    <mergeCell ref="BF35:BJ35"/>
    <mergeCell ref="BL35:BO35"/>
    <mergeCell ref="AZ32:BD32"/>
    <mergeCell ref="CX48:CZ48"/>
    <mergeCell ref="AG43:AJ43"/>
    <mergeCell ref="W35:AE35"/>
    <mergeCell ref="C34:AO34"/>
    <mergeCell ref="AL35:AO38"/>
    <mergeCell ref="AL39:AO39"/>
    <mergeCell ref="AL40:AO40"/>
    <mergeCell ref="AL41:AO41"/>
    <mergeCell ref="C23:AO23"/>
    <mergeCell ref="Q39:U39"/>
    <mergeCell ref="Q40:U40"/>
    <mergeCell ref="Q41:U41"/>
    <mergeCell ref="Q42:U42"/>
    <mergeCell ref="AE29:AH29"/>
    <mergeCell ref="AE30:AH30"/>
    <mergeCell ref="AE31:AH31"/>
    <mergeCell ref="AE32:AH32"/>
    <mergeCell ref="Z29:AC29"/>
    <mergeCell ref="Z30:AC30"/>
    <mergeCell ref="Z31:AC31"/>
    <mergeCell ref="Z32:AC32"/>
    <mergeCell ref="F33:I33"/>
    <mergeCell ref="C24:N24"/>
    <mergeCell ref="U29:X29"/>
    <mergeCell ref="AS126:CE126"/>
    <mergeCell ref="AT127:BG127"/>
    <mergeCell ref="BH127:BK127"/>
    <mergeCell ref="AT128:BG128"/>
    <mergeCell ref="BH128:BK128"/>
    <mergeCell ref="AT129:BG129"/>
    <mergeCell ref="BH129:BK129"/>
    <mergeCell ref="AT130:BG130"/>
    <mergeCell ref="BH130:BK130"/>
    <mergeCell ref="AT138:BG138"/>
    <mergeCell ref="BH138:BK138"/>
    <mergeCell ref="AT131:BG131"/>
    <mergeCell ref="BH131:BK131"/>
    <mergeCell ref="AT134:BG134"/>
    <mergeCell ref="BH134:BK134"/>
    <mergeCell ref="AT135:BG135"/>
    <mergeCell ref="BH135:BK135"/>
    <mergeCell ref="AT136:BG136"/>
    <mergeCell ref="BH136:BK136"/>
    <mergeCell ref="AS133:CE133"/>
    <mergeCell ref="AF79:AG79"/>
    <mergeCell ref="AH79:AI79"/>
    <mergeCell ref="AJ79:AL79"/>
    <mergeCell ref="AM79:AO79"/>
    <mergeCell ref="C79:E79"/>
    <mergeCell ref="F79:G79"/>
    <mergeCell ref="H79:I79"/>
    <mergeCell ref="J79:K79"/>
    <mergeCell ref="L79:M79"/>
    <mergeCell ref="N79:O79"/>
    <mergeCell ref="P79:Q79"/>
    <mergeCell ref="R79:S79"/>
    <mergeCell ref="T79:U79"/>
    <mergeCell ref="G141:J141"/>
    <mergeCell ref="L141:O141"/>
    <mergeCell ref="Q141:T141"/>
    <mergeCell ref="V141:Y141"/>
    <mergeCell ref="AA141:AD141"/>
    <mergeCell ref="V79:W79"/>
    <mergeCell ref="X79:Y79"/>
    <mergeCell ref="Z79:AA79"/>
    <mergeCell ref="AB79:AC79"/>
    <mergeCell ref="AD79:AE79"/>
    <mergeCell ref="G130:J130"/>
    <mergeCell ref="L130:O130"/>
    <mergeCell ref="G131:J131"/>
    <mergeCell ref="L131:O131"/>
    <mergeCell ref="G135:J135"/>
    <mergeCell ref="L135:O135"/>
    <mergeCell ref="G136:J136"/>
    <mergeCell ref="L136:O136"/>
    <mergeCell ref="Q136:T136"/>
    <mergeCell ref="G138:J138"/>
    <mergeCell ref="L138:O138"/>
    <mergeCell ref="G139:J139"/>
    <mergeCell ref="L139:O139"/>
    <mergeCell ref="G140:J140"/>
  </mergeCells>
  <conditionalFormatting sqref="AZ14 BF14">
    <cfRule type="cellIs" dxfId="148" priority="158" operator="greaterThan">
      <formula>$BL$14</formula>
    </cfRule>
    <cfRule type="cellIs" dxfId="147" priority="156" operator="greaterThan">
      <formula>$BL$14</formula>
    </cfRule>
    <cfRule type="cellIs" dxfId="146" priority="157" operator="lessThan">
      <formula>"89.0%$F$45"</formula>
    </cfRule>
  </conditionalFormatting>
  <conditionalFormatting sqref="AZ14">
    <cfRule type="cellIs" dxfId="145" priority="131" operator="greaterThan">
      <formula>"e44"</formula>
    </cfRule>
  </conditionalFormatting>
  <conditionalFormatting sqref="AZ15 BF15">
    <cfRule type="cellIs" dxfId="144" priority="162" operator="greaterThan">
      <formula>$BL$15</formula>
    </cfRule>
    <cfRule type="cellIs" dxfId="143" priority="164" operator="greaterThan">
      <formula>$BL$15</formula>
    </cfRule>
    <cfRule type="cellIs" dxfId="142" priority="163" operator="lessThan">
      <formula>"92.9%$F$46"</formula>
    </cfRule>
  </conditionalFormatting>
  <conditionalFormatting sqref="AZ15">
    <cfRule type="cellIs" dxfId="141" priority="130" operator="greaterThan">
      <formula>"e45"</formula>
    </cfRule>
  </conditionalFormatting>
  <conditionalFormatting sqref="AZ15:AZ17">
    <cfRule type="cellIs" dxfId="140" priority="135" operator="greaterThan">
      <formula>#REF!</formula>
    </cfRule>
  </conditionalFormatting>
  <conditionalFormatting sqref="AZ16 BF16">
    <cfRule type="cellIs" dxfId="139" priority="169" operator="lessThan">
      <formula>"90.3%$L$45"</formula>
    </cfRule>
    <cfRule type="cellIs" dxfId="138" priority="168" operator="greaterThan">
      <formula>$BL$16</formula>
    </cfRule>
    <cfRule type="cellIs" dxfId="137" priority="170" operator="greaterThan">
      <formula>$BL$16</formula>
    </cfRule>
  </conditionalFormatting>
  <conditionalFormatting sqref="AZ16:AZ17">
    <cfRule type="cellIs" dxfId="136" priority="139" operator="lessThan">
      <formula>#REF!</formula>
    </cfRule>
  </conditionalFormatting>
  <conditionalFormatting sqref="AZ17 BF17">
    <cfRule type="cellIs" dxfId="135" priority="175" operator="greaterThan">
      <formula>$BL$17</formula>
    </cfRule>
    <cfRule type="cellIs" dxfId="134" priority="174" operator="lessThan">
      <formula>$BL$17</formula>
    </cfRule>
  </conditionalFormatting>
  <conditionalFormatting sqref="AZ23">
    <cfRule type="cellIs" dxfId="133" priority="24" operator="greaterThan">
      <formula>"e44"</formula>
    </cfRule>
    <cfRule type="cellIs" dxfId="132" priority="25" operator="greaterThan">
      <formula>$BL$14</formula>
    </cfRule>
    <cfRule type="cellIs" dxfId="131" priority="26" operator="lessThan">
      <formula>"89.0%$F$45"</formula>
    </cfRule>
    <cfRule type="cellIs" dxfId="130" priority="27" operator="greaterThan">
      <formula>$BL$14</formula>
    </cfRule>
  </conditionalFormatting>
  <conditionalFormatting sqref="AZ24">
    <cfRule type="cellIs" dxfId="129" priority="12" operator="greaterThan">
      <formula>#REF!</formula>
    </cfRule>
    <cfRule type="cellIs" dxfId="128" priority="11" operator="greaterThan">
      <formula>"e45"</formula>
    </cfRule>
    <cfRule type="cellIs" dxfId="127" priority="14" operator="lessThan">
      <formula>"92.9%$F$46"</formula>
    </cfRule>
    <cfRule type="cellIs" dxfId="126" priority="15" operator="greaterThan">
      <formula>$BL$15</formula>
    </cfRule>
    <cfRule type="cellIs" dxfId="125" priority="13" operator="greaterThan">
      <formula>$BL$15</formula>
    </cfRule>
  </conditionalFormatting>
  <conditionalFormatting sqref="AZ25 BF25">
    <cfRule type="cellIs" dxfId="124" priority="178" operator="lessThan">
      <formula>"90.3%$L$45"</formula>
    </cfRule>
    <cfRule type="cellIs" dxfId="123" priority="178" operator="greaterThan">
      <formula>$BL$16</formula>
    </cfRule>
  </conditionalFormatting>
  <conditionalFormatting sqref="AZ25:AZ26">
    <cfRule type="cellIs" dxfId="122" priority="107" operator="greaterThan">
      <formula>#REF!</formula>
    </cfRule>
    <cfRule type="cellIs" dxfId="121" priority="106" operator="lessThan">
      <formula>#REF!</formula>
    </cfRule>
  </conditionalFormatting>
  <conditionalFormatting sqref="AZ26 BF26">
    <cfRule type="cellIs" dxfId="120" priority="109" operator="greaterThan">
      <formula>$BL$17</formula>
    </cfRule>
    <cfRule type="cellIs" dxfId="119" priority="108" operator="lessThan">
      <formula>$BL$17</formula>
    </cfRule>
  </conditionalFormatting>
  <conditionalFormatting sqref="AZ32">
    <cfRule type="cellIs" dxfId="118" priority="21" operator="greaterThan">
      <formula>$BL$14</formula>
    </cfRule>
    <cfRule type="cellIs" dxfId="117" priority="20" operator="greaterThan">
      <formula>"e44"</formula>
    </cfRule>
    <cfRule type="cellIs" dxfId="116" priority="22" operator="lessThan">
      <formula>"89.0%$F$45"</formula>
    </cfRule>
    <cfRule type="cellIs" dxfId="115" priority="23" operator="greaterThan">
      <formula>$BL$14</formula>
    </cfRule>
  </conditionalFormatting>
  <conditionalFormatting sqref="AZ33">
    <cfRule type="cellIs" dxfId="114" priority="7" operator="greaterThan">
      <formula>#REF!</formula>
    </cfRule>
    <cfRule type="cellIs" dxfId="113" priority="10" operator="greaterThan">
      <formula>$BL$15</formula>
    </cfRule>
    <cfRule type="cellIs" dxfId="112" priority="9" operator="lessThan">
      <formula>"92.9%$F$46"</formula>
    </cfRule>
    <cfRule type="cellIs" dxfId="111" priority="8" operator="greaterThan">
      <formula>$BL$15</formula>
    </cfRule>
    <cfRule type="cellIs" dxfId="110" priority="6" operator="greaterThan">
      <formula>"e45"</formula>
    </cfRule>
  </conditionalFormatting>
  <conditionalFormatting sqref="AZ34 BF34">
    <cfRule type="cellIs" dxfId="109" priority="181" operator="greaterThan">
      <formula>$BL$16</formula>
    </cfRule>
    <cfRule type="cellIs" dxfId="108" priority="181" operator="lessThan">
      <formula>"90.3%$L$45"</formula>
    </cfRule>
  </conditionalFormatting>
  <conditionalFormatting sqref="AZ34:AZ35">
    <cfRule type="cellIs" dxfId="107" priority="84" operator="lessThan">
      <formula>#REF!</formula>
    </cfRule>
    <cfRule type="cellIs" dxfId="106" priority="85" operator="greaterThan">
      <formula>#REF!</formula>
    </cfRule>
  </conditionalFormatting>
  <conditionalFormatting sqref="AZ35 BF35">
    <cfRule type="cellIs" dxfId="105" priority="87" operator="greaterThan">
      <formula>$BL$17</formula>
    </cfRule>
    <cfRule type="cellIs" dxfId="104" priority="86" operator="lessThan">
      <formula>$BL$17</formula>
    </cfRule>
  </conditionalFormatting>
  <conditionalFormatting sqref="AZ41">
    <cfRule type="cellIs" dxfId="103" priority="19" operator="greaterThan">
      <formula>$BL$14</formula>
    </cfRule>
    <cfRule type="cellIs" dxfId="102" priority="18" operator="lessThan">
      <formula>"89.0%$F$45"</formula>
    </cfRule>
    <cfRule type="cellIs" dxfId="101" priority="17" operator="greaterThan">
      <formula>$BL$14</formula>
    </cfRule>
    <cfRule type="cellIs" dxfId="100" priority="16" operator="greaterThan">
      <formula>"e44"</formula>
    </cfRule>
  </conditionalFormatting>
  <conditionalFormatting sqref="AZ42">
    <cfRule type="cellIs" dxfId="99" priority="2" operator="greaterThan">
      <formula>#REF!</formula>
    </cfRule>
    <cfRule type="cellIs" dxfId="98" priority="3" operator="greaterThan">
      <formula>$BL$15</formula>
    </cfRule>
    <cfRule type="cellIs" dxfId="97" priority="4" operator="lessThan">
      <formula>"92.9%$F$46"</formula>
    </cfRule>
    <cfRule type="cellIs" dxfId="96" priority="5" operator="greaterThan">
      <formula>$BL$15</formula>
    </cfRule>
    <cfRule type="cellIs" dxfId="95" priority="1" operator="greaterThan">
      <formula>"e45"</formula>
    </cfRule>
  </conditionalFormatting>
  <conditionalFormatting sqref="AZ43 BF43">
    <cfRule type="cellIs" dxfId="94" priority="184" operator="lessThan">
      <formula>"90.3%$L$45"</formula>
    </cfRule>
    <cfRule type="cellIs" dxfId="93" priority="184" operator="greaterThan">
      <formula>$BL$16</formula>
    </cfRule>
  </conditionalFormatting>
  <conditionalFormatting sqref="AZ43:AZ44">
    <cfRule type="cellIs" dxfId="92" priority="63" operator="greaterThan">
      <formula>#REF!</formula>
    </cfRule>
    <cfRule type="cellIs" dxfId="91" priority="62" operator="lessThan">
      <formula>#REF!</formula>
    </cfRule>
  </conditionalFormatting>
  <conditionalFormatting sqref="AZ44 BF44">
    <cfRule type="cellIs" dxfId="90" priority="65" operator="greaterThan">
      <formula>$BL$17</formula>
    </cfRule>
    <cfRule type="cellIs" dxfId="89" priority="64" operator="lessThan">
      <formula>$BL$17</formula>
    </cfRule>
  </conditionalFormatting>
  <conditionalFormatting sqref="BF14">
    <cfRule type="cellIs" dxfId="88" priority="124" operator="greaterThan">
      <formula>"e44"</formula>
    </cfRule>
  </conditionalFormatting>
  <conditionalFormatting sqref="BF15">
    <cfRule type="cellIs" dxfId="87" priority="119" operator="greaterThan">
      <formula>"e45"</formula>
    </cfRule>
  </conditionalFormatting>
  <conditionalFormatting sqref="BF15:BF17">
    <cfRule type="cellIs" dxfId="86" priority="110" operator="greaterThan">
      <formula>#REF!</formula>
    </cfRule>
  </conditionalFormatting>
  <conditionalFormatting sqref="BF16:BF17">
    <cfRule type="cellIs" dxfId="85" priority="111" operator="lessThan">
      <formula>#REF!</formula>
    </cfRule>
  </conditionalFormatting>
  <conditionalFormatting sqref="BF23">
    <cfRule type="cellIs" dxfId="84" priority="176" operator="greaterThan">
      <formula>$BL$14</formula>
    </cfRule>
    <cfRule type="cellIs" dxfId="83" priority="176" operator="lessThan">
      <formula>"89.0%$F$45"</formula>
    </cfRule>
    <cfRule type="cellIs" dxfId="82" priority="105" operator="greaterThan">
      <formula>"e44"</formula>
    </cfRule>
  </conditionalFormatting>
  <conditionalFormatting sqref="BF24">
    <cfRule type="cellIs" dxfId="81" priority="104" operator="greaterThan">
      <formula>"e45"</formula>
    </cfRule>
    <cfRule type="cellIs" dxfId="80" priority="177" operator="greaterThan">
      <formula>$BL$15</formula>
    </cfRule>
    <cfRule type="cellIs" dxfId="79" priority="177" operator="lessThan">
      <formula>"92.9%$F$46"</formula>
    </cfRule>
  </conditionalFormatting>
  <conditionalFormatting sqref="BF24:BF26">
    <cfRule type="cellIs" dxfId="78" priority="100" operator="greaterThan">
      <formula>#REF!</formula>
    </cfRule>
  </conditionalFormatting>
  <conditionalFormatting sqref="BF25:BF26">
    <cfRule type="cellIs" dxfId="77" priority="99" operator="lessThan">
      <formula>#REF!</formula>
    </cfRule>
  </conditionalFormatting>
  <conditionalFormatting sqref="BF32">
    <cfRule type="cellIs" dxfId="76" priority="83" operator="greaterThan">
      <formula>"e44"</formula>
    </cfRule>
    <cfRule type="cellIs" dxfId="75" priority="179" operator="greaterThan">
      <formula>$BL$14</formula>
    </cfRule>
    <cfRule type="cellIs" dxfId="74" priority="179" operator="lessThan">
      <formula>"89.0%$F$45"</formula>
    </cfRule>
  </conditionalFormatting>
  <conditionalFormatting sqref="BF33">
    <cfRule type="cellIs" dxfId="73" priority="82" operator="greaterThan">
      <formula>"e45"</formula>
    </cfRule>
    <cfRule type="cellIs" dxfId="72" priority="180" operator="greaterThan">
      <formula>$BL$15</formula>
    </cfRule>
    <cfRule type="cellIs" dxfId="71" priority="180" operator="lessThan">
      <formula>"92.9%$F$46"</formula>
    </cfRule>
  </conditionalFormatting>
  <conditionalFormatting sqref="BF33:BF35">
    <cfRule type="cellIs" dxfId="70" priority="78" operator="greaterThan">
      <formula>#REF!</formula>
    </cfRule>
  </conditionalFormatting>
  <conditionalFormatting sqref="BF34:BF35">
    <cfRule type="cellIs" dxfId="69" priority="77" operator="lessThan">
      <formula>#REF!</formula>
    </cfRule>
  </conditionalFormatting>
  <conditionalFormatting sqref="BF41">
    <cfRule type="cellIs" dxfId="68" priority="61" operator="greaterThan">
      <formula>"e44"</formula>
    </cfRule>
    <cfRule type="cellIs" dxfId="67" priority="182" operator="greaterThan">
      <formula>$BL$14</formula>
    </cfRule>
    <cfRule type="cellIs" dxfId="66" priority="182" operator="lessThan">
      <formula>"89.0%$F$45"</formula>
    </cfRule>
    <cfRule type="cellIs" dxfId="65" priority="182" operator="greaterThan">
      <formula>$BL$14</formula>
    </cfRule>
  </conditionalFormatting>
  <conditionalFormatting sqref="BF42">
    <cfRule type="cellIs" dxfId="64" priority="60" operator="greaterThan">
      <formula>"e45"</formula>
    </cfRule>
    <cfRule type="cellIs" dxfId="63" priority="183" operator="greaterThan">
      <formula>$BL$15</formula>
    </cfRule>
    <cfRule type="cellIs" dxfId="62" priority="183" operator="lessThan">
      <formula>"92.9%$F$46"</formula>
    </cfRule>
    <cfRule type="cellIs" dxfId="61" priority="183" operator="greaterThan">
      <formula>$BL$15</formula>
    </cfRule>
  </conditionalFormatting>
  <conditionalFormatting sqref="BF42:BF44">
    <cfRule type="cellIs" dxfId="60" priority="56" operator="greaterThan">
      <formula>#REF!</formula>
    </cfRule>
  </conditionalFormatting>
  <conditionalFormatting sqref="BF43:BF44">
    <cfRule type="cellIs" dxfId="59" priority="55" operator="lessThan">
      <formula>#REF!</formula>
    </cfRule>
  </conditionalFormatting>
  <dataValidations disablePrompts="1" count="6">
    <dataValidation allowBlank="1" showErrorMessage="1" sqref="S17:U17" xr:uid="{5ADD3906-E76E-47EE-9A6B-0F0BB0A30E17}"/>
    <dataValidation type="list" allowBlank="1" showInputMessage="1" showErrorMessage="1" sqref="C24:N24" xr:uid="{329184A6-125C-4E6A-BD9E-E3003AD46D4F}">
      <formula1>$CI$7:$CI$9</formula1>
    </dataValidation>
    <dataValidation allowBlank="1" showInputMessage="1" showErrorMessage="1" prompt="If this branch does not exist, enter .01 kvar" sqref="F31:I31" xr:uid="{9AC5E7CF-9AF2-4D5B-A30A-7E63EFC17920}"/>
    <dataValidation allowBlank="1" showInputMessage="1" showErrorMessage="1" prompt="If this branch does not exist, enter .01 kvar_x000a_" sqref="F32:I32" xr:uid="{DC008D90-3B19-4184-8E18-2442ADB065F0}"/>
    <dataValidation allowBlank="1" showInputMessage="1" showErrorMessage="1" prompt="If this branch does not exist, enter 100,000_x000a_" sqref="AL30:AO30" xr:uid="{5F53B014-5950-403D-BE4F-414B68CADBE6}"/>
    <dataValidation allowBlank="1" showInputMessage="1" showErrorMessage="1" prompt="If this branch does  not exist, enter 100,000_x000a_" sqref="AL31:AO31" xr:uid="{4064DCBC-BF47-4319-8ACB-E1947B4CC7C1}"/>
  </dataValidations>
  <printOptions horizontalCentered="1" verticalCentered="1"/>
  <pageMargins left="0.2" right="0.2" top="0.205416666666667" bottom="0.3" header="0" footer="0"/>
  <pageSetup scale="90" orientation="portrait" r:id="rId1"/>
  <headerFooter>
    <oddHeader xml:space="preserve">&amp;L
&amp;R       </oddHeader>
  </headerFooter>
  <rowBreaks count="2" manualBreakCount="2">
    <brk id="63" max="16383" man="1"/>
    <brk id="138"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F15AC-C346-4CCE-BA29-59974F7BC405}">
  <sheetPr codeName="Sheet1">
    <pageSetUpPr fitToPage="1"/>
  </sheetPr>
  <dimension ref="B1:KD309"/>
  <sheetViews>
    <sheetView tabSelected="1" workbookViewId="0">
      <selection activeCell="S18" sqref="S18:U18"/>
    </sheetView>
  </sheetViews>
  <sheetFormatPr defaultRowHeight="15" x14ac:dyDescent="0.25"/>
  <cols>
    <col min="1" max="84" width="2.7109375" style="1" customWidth="1"/>
    <col min="85" max="86" width="2.7109375" style="1" hidden="1" customWidth="1"/>
    <col min="87" max="90" width="9.140625" style="1" hidden="1" customWidth="1"/>
    <col min="91" max="91" width="9.140625" style="2" hidden="1" customWidth="1"/>
    <col min="92" max="92" width="39.5703125" style="1" hidden="1" customWidth="1"/>
    <col min="93" max="93" width="20.85546875" style="1" hidden="1" customWidth="1"/>
    <col min="94" max="96" width="36.85546875" style="1" hidden="1" customWidth="1"/>
    <col min="97" max="97" width="2.5703125" style="1" hidden="1" customWidth="1"/>
    <col min="98" max="98" width="9.140625" style="1" hidden="1" customWidth="1"/>
    <col min="99" max="99" width="13" style="1" hidden="1" customWidth="1"/>
    <col min="100" max="100" width="12.42578125" style="1" hidden="1" customWidth="1"/>
    <col min="101" max="105" width="22.7109375" style="1" hidden="1" customWidth="1"/>
    <col min="106" max="106" width="29.140625" style="1" hidden="1" customWidth="1"/>
    <col min="107" max="110" width="9.140625" style="1" hidden="1" customWidth="1"/>
    <col min="111" max="111" width="26.7109375" style="1" hidden="1" customWidth="1"/>
    <col min="112" max="112" width="38.7109375" style="1" hidden="1" customWidth="1"/>
    <col min="113" max="113" width="35.85546875" style="1" hidden="1" customWidth="1"/>
    <col min="114" max="114" width="9.140625" style="2" hidden="1" customWidth="1"/>
    <col min="115" max="115" width="9.140625" style="1" hidden="1" customWidth="1"/>
    <col min="116" max="116" width="18.140625" style="1" hidden="1" customWidth="1"/>
    <col min="117" max="117" width="19.140625" style="1" hidden="1" customWidth="1"/>
    <col min="118" max="118" width="19" style="1" hidden="1" customWidth="1"/>
    <col min="119" max="120" width="9.140625" style="1" hidden="1" customWidth="1"/>
    <col min="121" max="121" width="16.42578125" style="1" hidden="1" customWidth="1"/>
    <col min="122" max="122" width="9.140625" style="1" hidden="1" customWidth="1"/>
    <col min="123" max="123" width="15.140625" style="1" hidden="1" customWidth="1"/>
    <col min="124" max="124" width="15.42578125" style="1" hidden="1" customWidth="1"/>
    <col min="125" max="125" width="15.5703125" style="1" hidden="1" customWidth="1"/>
    <col min="126" max="127" width="9.140625" style="1" hidden="1" customWidth="1"/>
    <col min="128" max="128" width="15.85546875" style="1" hidden="1" customWidth="1"/>
    <col min="129" max="290" width="9.140625" style="1" hidden="1" customWidth="1"/>
    <col min="291" max="361" width="0" style="1" hidden="1" customWidth="1"/>
    <col min="362" max="16384" width="9.140625" style="1"/>
  </cols>
  <sheetData>
    <row r="1" spans="2:132" ht="18" customHeight="1" x14ac:dyDescent="0.25">
      <c r="CU1" s="1" t="s">
        <v>675</v>
      </c>
      <c r="CV1" s="1">
        <f>COS(ATAN(BW94))*CV3</f>
        <v>1.9183480301019129E-2</v>
      </c>
    </row>
    <row r="2" spans="2:132"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c r="CU2" s="1" t="s">
        <v>676</v>
      </c>
      <c r="CV2" s="1">
        <f>SIN(ATAN(BW94))*CV3</f>
        <v>0.47958700752547934</v>
      </c>
      <c r="DT2" s="140"/>
      <c r="DU2" s="140"/>
      <c r="DW2" s="140"/>
      <c r="DX2" s="140"/>
      <c r="DZ2" s="140"/>
      <c r="EA2" s="140"/>
      <c r="EB2" s="140"/>
    </row>
    <row r="3" spans="2:132" ht="18" customHeight="1" x14ac:dyDescent="0.25">
      <c r="B3" s="6"/>
      <c r="AO3" s="7" t="s">
        <v>280</v>
      </c>
      <c r="AP3" s="8"/>
      <c r="AR3" s="6"/>
      <c r="CD3" s="7"/>
      <c r="CF3" s="8"/>
      <c r="CU3" s="1" t="s">
        <v>677</v>
      </c>
      <c r="CV3" s="1">
        <f>(S17/SQRT(3))/BK94</f>
        <v>0.47997052378630894</v>
      </c>
      <c r="DD3" s="18" t="s">
        <v>666</v>
      </c>
      <c r="DE3" s="18"/>
      <c r="DF3" s="18"/>
      <c r="DG3" s="18"/>
      <c r="DN3" s="1" t="s">
        <v>670</v>
      </c>
      <c r="DT3" s="140"/>
      <c r="DU3" s="140"/>
      <c r="DW3" s="140"/>
      <c r="DX3" s="140"/>
      <c r="DZ3" s="140"/>
      <c r="EA3" s="140"/>
      <c r="EB3" s="140"/>
    </row>
    <row r="4" spans="2:132" ht="18" customHeight="1" x14ac:dyDescent="0.25">
      <c r="B4" s="6"/>
      <c r="AO4" s="9" t="s">
        <v>1</v>
      </c>
      <c r="AP4" s="8"/>
      <c r="AR4" s="6"/>
      <c r="CD4" s="9"/>
      <c r="CF4" s="8"/>
      <c r="CI4" s="1" t="s">
        <v>269</v>
      </c>
      <c r="CM4" s="100" t="s">
        <v>508</v>
      </c>
      <c r="CN4" s="2" t="s">
        <v>663</v>
      </c>
      <c r="CO4" s="2" t="s">
        <v>664</v>
      </c>
      <c r="CP4" s="2" t="s">
        <v>674</v>
      </c>
      <c r="CQ4" s="2" t="s">
        <v>678</v>
      </c>
      <c r="CR4" s="2" t="s">
        <v>679</v>
      </c>
      <c r="CU4" s="155" t="s">
        <v>674</v>
      </c>
      <c r="CV4" s="155" t="s">
        <v>499</v>
      </c>
      <c r="CW4" s="155" t="s">
        <v>680</v>
      </c>
      <c r="CX4" s="136"/>
      <c r="CY4" s="136"/>
      <c r="CZ4" s="136"/>
      <c r="DA4" s="136"/>
      <c r="DB4" s="136"/>
      <c r="DF4" s="100" t="s">
        <v>663</v>
      </c>
      <c r="DG4" s="2" t="s">
        <v>664</v>
      </c>
      <c r="DH4" s="2" t="s">
        <v>665</v>
      </c>
      <c r="DI4" s="2" t="s">
        <v>373</v>
      </c>
      <c r="DJ4" s="2" t="s">
        <v>667</v>
      </c>
      <c r="DK4" s="2" t="s">
        <v>668</v>
      </c>
      <c r="DL4" s="2" t="s">
        <v>669</v>
      </c>
      <c r="DM4" s="1" t="s">
        <v>670</v>
      </c>
      <c r="DN4" s="1" t="s">
        <v>671</v>
      </c>
      <c r="DO4" s="2" t="s">
        <v>268</v>
      </c>
      <c r="DP4" s="1" t="s">
        <v>37</v>
      </c>
      <c r="DQ4" s="1" t="s">
        <v>673</v>
      </c>
      <c r="DS4" s="155" t="s">
        <v>89</v>
      </c>
      <c r="DT4" s="155" t="s">
        <v>89</v>
      </c>
      <c r="DU4" s="155" t="s">
        <v>91</v>
      </c>
      <c r="DV4" s="140"/>
      <c r="DW4" s="140"/>
      <c r="DX4" s="140"/>
      <c r="DY4" s="140"/>
      <c r="DZ4" s="140"/>
      <c r="EA4" s="140"/>
      <c r="EB4" s="140"/>
    </row>
    <row r="5" spans="2:132" ht="18" customHeight="1" thickBot="1" x14ac:dyDescent="0.3">
      <c r="B5" s="6"/>
      <c r="AO5" s="9" t="s">
        <v>4</v>
      </c>
      <c r="AP5" s="8"/>
      <c r="AR5" s="6"/>
      <c r="AS5" s="10" t="str">
        <f>"Harmonic Filter Design - Notch Type | "&amp; H12 &amp; " | " &amp; AE13</f>
        <v>Harmonic Filter Design - Notch Type | Enter Customer PO #  | Stage 1</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1"/>
      <c r="CE5" s="10"/>
      <c r="CF5" s="8"/>
      <c r="CI5" s="1" t="s">
        <v>270</v>
      </c>
      <c r="CT5" s="1" t="s">
        <v>508</v>
      </c>
      <c r="CU5" s="155"/>
      <c r="CV5" s="155"/>
      <c r="CW5" s="155"/>
      <c r="CX5" s="137" t="s">
        <v>508</v>
      </c>
      <c r="CY5" s="137" t="s">
        <v>505</v>
      </c>
      <c r="CZ5" s="137"/>
      <c r="DA5" s="137"/>
      <c r="DB5" s="136"/>
      <c r="DD5" s="2" t="s">
        <v>115</v>
      </c>
      <c r="DE5" s="2" t="s">
        <v>39</v>
      </c>
      <c r="DS5" s="155"/>
      <c r="DT5" s="155"/>
      <c r="DU5" s="155"/>
      <c r="DV5" s="140"/>
      <c r="DW5" s="140" t="s">
        <v>587</v>
      </c>
      <c r="DX5" s="140" t="s">
        <v>681</v>
      </c>
      <c r="DY5" s="140"/>
      <c r="DZ5" s="140"/>
      <c r="EA5" s="140"/>
      <c r="EB5" s="140"/>
    </row>
    <row r="6" spans="2:132"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D6" s="9"/>
      <c r="CF6" s="8"/>
      <c r="CI6" s="1" t="s">
        <v>271</v>
      </c>
      <c r="CM6" s="2">
        <f>1</f>
        <v>1</v>
      </c>
      <c r="CN6" s="1" t="str">
        <f t="shared" ref="CN6:CN70" si="0">COMPLEX($AJ$34/$S$34,$AJ$34*CM6)</f>
        <v>0.0107986736111111+1.07986736111111i</v>
      </c>
      <c r="CO6" s="56" t="str">
        <f t="shared" ref="CO6:CO70" si="1">COMPLEX("0",-$AJ$30/CM6)</f>
        <v>-26.9966840277778i</v>
      </c>
      <c r="CP6" s="1" t="str">
        <f t="shared" ref="CP6:CP70" si="2">IMSUM(CO6,CN6)</f>
        <v>0.0107986736111111-25.9168166666667i</v>
      </c>
      <c r="CQ6" s="1" t="str">
        <f>COMPLEX($CV$1,$CV$2*CT6)</f>
        <v>0.0191834803010191+0.479587007525479i</v>
      </c>
      <c r="CR6" s="1" t="str">
        <f>IMDIV(IMPRODUCT(CQ6,CP6),IMSUM(CP6,CQ6))</f>
        <v>0.0199174806354322+0.488613685667579i</v>
      </c>
      <c r="CT6" s="1">
        <f>CM6</f>
        <v>1</v>
      </c>
      <c r="CU6" s="1">
        <f>ROUND(IMABS(CP6),1)</f>
        <v>25.9</v>
      </c>
      <c r="CV6" s="56">
        <f>IMABS(COMPLEX($CV$1,$CV$2*CT6))</f>
        <v>0.47997052378630867</v>
      </c>
      <c r="CW6" s="2">
        <f>IMABS(CR6)</f>
        <v>0.48901946776842992</v>
      </c>
      <c r="CX6" s="2">
        <f>CT6</f>
        <v>1</v>
      </c>
      <c r="CY6" s="2">
        <f>IMABS(IMDIV(CP6,IMSUM(CP6,CQ6)))</f>
        <v>1.0188531243767667</v>
      </c>
      <c r="CZ6" s="2">
        <f>CX6</f>
        <v>1</v>
      </c>
      <c r="DA6" s="2">
        <f>IMABS(IMDIV(CQ6,IMSUM(CP6,CQ6)))</f>
        <v>1.8868807524027056E-2</v>
      </c>
      <c r="DD6" s="2">
        <f>1</f>
        <v>1</v>
      </c>
      <c r="DE6" s="69">
        <f>J25</f>
        <v>278.12414534767834</v>
      </c>
      <c r="DF6" s="1" t="str">
        <f>COMPLEX($AJ$34/$S$34,$AJ$34*DD6)</f>
        <v>0.0107986736111111+1.07986736111111i</v>
      </c>
      <c r="DG6" s="56" t="str">
        <f>COMPLEX("0",-$AJ$30/DD6)</f>
        <v>-26.9966840277778i</v>
      </c>
      <c r="DH6" s="1" t="str">
        <f>IMSUM(DG6,DF6)</f>
        <v>0.0107986736111111-25.9168166666667i</v>
      </c>
      <c r="DI6" s="1" t="str">
        <f>IMPRODUCT(DH6,DE6)</f>
        <v>3.0033718689788-7208.09248554914i</v>
      </c>
      <c r="DJ6" s="2">
        <f>IMABS(DI6)</f>
        <v>7208.0931112515864</v>
      </c>
      <c r="DK6" s="15">
        <f>DE6*AJ30</f>
        <v>7508.429672447015</v>
      </c>
      <c r="DL6" s="1">
        <f>1.1*DK6</f>
        <v>8259.2726396917169</v>
      </c>
      <c r="DM6" s="1">
        <f>DK6*SQRT(2)</f>
        <v>10618.523074899145</v>
      </c>
      <c r="DN6" s="1">
        <f>DL6*SQRT(2)</f>
        <v>11680.37538238906</v>
      </c>
      <c r="DO6" s="1">
        <f>IMABS(DG6)</f>
        <v>26.9966840277778</v>
      </c>
      <c r="DP6" s="1">
        <f>((DE6^2)*DO6)/1000</f>
        <v>2088.2755855524756</v>
      </c>
      <c r="DQ6" s="1">
        <f>(((DE6*1.1)^2)*DO6)/1000</f>
        <v>2526.8134585184957</v>
      </c>
      <c r="DS6" s="69">
        <f>DE6</f>
        <v>278.12414534767834</v>
      </c>
      <c r="DT6" s="69">
        <f>DS6</f>
        <v>278.12414534767834</v>
      </c>
      <c r="DU6" s="15">
        <f t="shared" ref="DU6:DU21" si="3">H114</f>
        <v>417.1862180215175</v>
      </c>
      <c r="DW6" s="1">
        <f>COS(ATAN($S$34))*$AJ$34</f>
        <v>1.0798133717922102E-2</v>
      </c>
      <c r="DX6" s="1">
        <f>DS6^2*DW6</f>
        <v>835.26847184142275</v>
      </c>
    </row>
    <row r="7" spans="2:132" ht="18" customHeight="1" x14ac:dyDescent="0.25">
      <c r="B7" s="6"/>
      <c r="C7" s="262" t="s">
        <v>6</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c r="AR7" s="6"/>
      <c r="AS7" s="16" t="s">
        <v>7</v>
      </c>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8"/>
      <c r="CM7" s="2">
        <f>ROUND(CM6+0.2,1)</f>
        <v>1.2</v>
      </c>
      <c r="CN7" s="1" t="str">
        <f t="shared" si="0"/>
        <v>0.0107986736111111+1.29584083333333i</v>
      </c>
      <c r="CO7" s="56" t="str">
        <f t="shared" si="1"/>
        <v>-22.4972366898148i</v>
      </c>
      <c r="CP7" s="1" t="str">
        <f t="shared" si="2"/>
        <v>0.0107986736111111-21.2013958564815i</v>
      </c>
      <c r="CQ7" s="1" t="str">
        <f t="shared" ref="CQ7:CQ70" si="4">COMPLEX($CV$1,$CV$2*CT7)</f>
        <v>0.0191834803010191+0.575504409030575i</v>
      </c>
      <c r="CR7" s="1" t="str">
        <f t="shared" ref="CR7:CR70" si="5">IMDIV(IMPRODUCT(CQ7,CP7),IMSUM(CP7,CQ7))</f>
        <v>0.020277310269233+0.591542723028375i</v>
      </c>
      <c r="CT7" s="1">
        <f t="shared" ref="CT7:CT70" si="6">CM7</f>
        <v>1.2</v>
      </c>
      <c r="CU7" s="1">
        <f t="shared" ref="CU7:CU70" si="7">ROUND(IMABS(CP7),1)</f>
        <v>21.2</v>
      </c>
      <c r="CV7" s="56">
        <f t="shared" ref="CV7:CV70" si="8">IMABS(COMPLEX($CV$1,$CV$2*CT7))</f>
        <v>0.57582404493915584</v>
      </c>
      <c r="CW7" s="2">
        <f t="shared" ref="CW7:CW70" si="9">IMABS(CR7)</f>
        <v>0.5918901608234246</v>
      </c>
      <c r="CX7" s="2">
        <f t="shared" ref="CX7:CX70" si="10">CT7</f>
        <v>1.2</v>
      </c>
      <c r="CY7" s="2">
        <f t="shared" ref="CY7:CY70" si="11">IMABS(IMDIV(CP7,IMSUM(CP7,CQ7)))</f>
        <v>1.0279010854539166</v>
      </c>
      <c r="CZ7" s="2">
        <f t="shared" ref="CZ7:CZ70" si="12">CX7</f>
        <v>1.2</v>
      </c>
      <c r="DA7" s="2">
        <f t="shared" ref="DA7:DA70" si="13">IMABS(IMDIV(CQ7,IMSUM(CP7,CQ7)))</f>
        <v>2.7917505434762274E-2</v>
      </c>
      <c r="DD7" s="69">
        <f>L24</f>
        <v>2</v>
      </c>
      <c r="DE7" s="69">
        <f>L25</f>
        <v>0</v>
      </c>
      <c r="DF7" s="1" t="str">
        <f t="shared" ref="DF7:DF21" si="14">COMPLEX($AJ$34/$S$34,$AJ$34*DD7)</f>
        <v>0.0107986736111111+2.15973472222222i</v>
      </c>
      <c r="DG7" s="56" t="str">
        <f t="shared" ref="DG7:DG21" si="15">COMPLEX("0",-$AJ$30/DD7)</f>
        <v>-13.4983420138889i</v>
      </c>
      <c r="DH7" s="1" t="str">
        <f t="shared" ref="DH7:DH21" si="16">IMSUM(DG7,DF7)</f>
        <v>0.0107986736111111-11.3386072916667i</v>
      </c>
      <c r="DI7" s="1" t="str">
        <f t="shared" ref="DI7:DI21" si="17">IMPRODUCT(DH7,DE7)</f>
        <v>0</v>
      </c>
      <c r="DJ7" s="2">
        <f t="shared" ref="DJ7:DJ21" si="18">IMABS(DI7)</f>
        <v>0</v>
      </c>
      <c r="DK7" s="1">
        <f>DE7*$AJ$30/DD7</f>
        <v>0</v>
      </c>
      <c r="DL7" s="1">
        <f>DK7</f>
        <v>0</v>
      </c>
      <c r="DM7" s="1">
        <f t="shared" ref="DM7:DN21" si="19">DK7*SQRT(2)</f>
        <v>0</v>
      </c>
      <c r="DN7" s="1">
        <f t="shared" si="19"/>
        <v>0</v>
      </c>
      <c r="DO7" s="1">
        <f t="shared" ref="DO7:DO21" si="20">IMABS(DG7)</f>
        <v>13.4983420138889</v>
      </c>
      <c r="DP7" s="1">
        <f t="shared" ref="DP7:DP21" si="21">((DE7^2)*DO7)/1000</f>
        <v>0</v>
      </c>
      <c r="DQ7" s="1">
        <f>((DE7^2)*DO7)/1000</f>
        <v>0</v>
      </c>
      <c r="DS7" s="69">
        <f t="shared" ref="DS7:DS21" si="22">DE7</f>
        <v>0</v>
      </c>
      <c r="DT7" s="69">
        <f t="shared" ref="DT7:DT21" si="23">DS7</f>
        <v>0</v>
      </c>
      <c r="DU7" s="15">
        <f t="shared" si="3"/>
        <v>0</v>
      </c>
      <c r="DW7" s="1">
        <f t="shared" ref="DW7:DW21" si="24">COS(ATAN($S$34))*$AJ$34</f>
        <v>1.0798133717922102E-2</v>
      </c>
      <c r="DX7" s="1">
        <f t="shared" ref="DX7:DX21" si="25">DS7^2*DW7</f>
        <v>0</v>
      </c>
    </row>
    <row r="8" spans="2:132"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c r="AR8" s="6"/>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8"/>
      <c r="CI8" s="18"/>
      <c r="CM8" s="2">
        <f t="shared" ref="CM8:CM71" si="26">ROUND(CM7+0.2,1)</f>
        <v>1.4</v>
      </c>
      <c r="CN8" s="1" t="str">
        <f t="shared" si="0"/>
        <v>0.0107986736111111+1.51181430555556i</v>
      </c>
      <c r="CO8" s="56" t="str">
        <f t="shared" si="1"/>
        <v>-19.283345734127i</v>
      </c>
      <c r="CP8" s="1" t="str">
        <f t="shared" si="2"/>
        <v>0.0107986736111111-17.7715314285714i</v>
      </c>
      <c r="CQ8" s="1" t="str">
        <f t="shared" si="4"/>
        <v>0.0191834803010191+0.671421810535671i</v>
      </c>
      <c r="CR8" s="1" t="str">
        <f t="shared" si="5"/>
        <v>0.0207361078720943+0.697760395532386i</v>
      </c>
      <c r="CT8" s="1">
        <f t="shared" si="6"/>
        <v>1.4</v>
      </c>
      <c r="CU8" s="1">
        <f t="shared" si="7"/>
        <v>17.8</v>
      </c>
      <c r="CV8" s="56">
        <f t="shared" si="8"/>
        <v>0.67169580434855936</v>
      </c>
      <c r="CW8" s="2">
        <f t="shared" si="9"/>
        <v>0.6980684463168314</v>
      </c>
      <c r="CX8" s="2">
        <f t="shared" si="10"/>
        <v>1.4</v>
      </c>
      <c r="CY8" s="2">
        <f t="shared" si="11"/>
        <v>1.0392627760922988</v>
      </c>
      <c r="CZ8" s="2">
        <f t="shared" si="12"/>
        <v>1.4</v>
      </c>
      <c r="DA8" s="2">
        <f t="shared" si="13"/>
        <v>3.9280144215506872E-2</v>
      </c>
      <c r="DD8" s="69">
        <f>N24</f>
        <v>3</v>
      </c>
      <c r="DE8" s="69">
        <f>N25</f>
        <v>0</v>
      </c>
      <c r="DF8" s="1" t="str">
        <f t="shared" si="14"/>
        <v>0.0107986736111111+3.23960208333333i</v>
      </c>
      <c r="DG8" s="56" t="str">
        <f t="shared" si="15"/>
        <v>-8.99889467592593i</v>
      </c>
      <c r="DH8" s="1" t="str">
        <f t="shared" si="16"/>
        <v>0.0107986736111111-5.7592925925926i</v>
      </c>
      <c r="DI8" s="1" t="str">
        <f t="shared" si="17"/>
        <v>0</v>
      </c>
      <c r="DJ8" s="2">
        <f t="shared" si="18"/>
        <v>0</v>
      </c>
      <c r="DK8" s="1">
        <f t="shared" ref="DK8:DK21" si="27">DE8*$AJ$30/DD8</f>
        <v>0</v>
      </c>
      <c r="DL8" s="1">
        <f t="shared" ref="DL8:DL21" si="28">DK8</f>
        <v>0</v>
      </c>
      <c r="DM8" s="1">
        <f t="shared" si="19"/>
        <v>0</v>
      </c>
      <c r="DN8" s="1">
        <f t="shared" si="19"/>
        <v>0</v>
      </c>
      <c r="DO8" s="1">
        <f t="shared" si="20"/>
        <v>8.9988946759259303</v>
      </c>
      <c r="DP8" s="1">
        <f t="shared" si="21"/>
        <v>0</v>
      </c>
      <c r="DQ8" s="1">
        <f t="shared" ref="DQ8:DQ21" si="29">((DE8^2)*DO8)/1000</f>
        <v>0</v>
      </c>
      <c r="DS8" s="69">
        <f t="shared" si="22"/>
        <v>0</v>
      </c>
      <c r="DT8" s="69">
        <f t="shared" si="23"/>
        <v>0</v>
      </c>
      <c r="DU8" s="15">
        <f t="shared" si="3"/>
        <v>0</v>
      </c>
      <c r="DW8" s="1">
        <f t="shared" si="24"/>
        <v>1.0798133717922102E-2</v>
      </c>
      <c r="DX8" s="1">
        <f t="shared" si="25"/>
        <v>0</v>
      </c>
    </row>
    <row r="9" spans="2:132" ht="18" customHeight="1" x14ac:dyDescent="0.25">
      <c r="B9" s="20"/>
      <c r="C9" s="16" t="s">
        <v>8</v>
      </c>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c r="AR9" s="6"/>
      <c r="AS9" s="178" t="s">
        <v>9</v>
      </c>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27"/>
      <c r="CM9" s="2">
        <f t="shared" si="26"/>
        <v>1.6</v>
      </c>
      <c r="CN9" s="1" t="str">
        <f t="shared" si="0"/>
        <v>0.0107986736111111+1.72778777777778i</v>
      </c>
      <c r="CO9" s="56" t="str">
        <f t="shared" si="1"/>
        <v>-16.8729275173611i</v>
      </c>
      <c r="CP9" s="1" t="str">
        <f t="shared" si="2"/>
        <v>0.0107986736111111-15.1451397395833i</v>
      </c>
      <c r="CQ9" s="1" t="str">
        <f t="shared" si="4"/>
        <v>0.0191834803010191+0.767339212040767i</v>
      </c>
      <c r="CR9" s="1" t="str">
        <f t="shared" si="5"/>
        <v>0.0213164506433108+0.808261848868754i</v>
      </c>
      <c r="CT9" s="1">
        <f t="shared" si="6"/>
        <v>1.6</v>
      </c>
      <c r="CU9" s="1">
        <f t="shared" si="7"/>
        <v>15.1</v>
      </c>
      <c r="CV9" s="56">
        <f t="shared" si="8"/>
        <v>0.76757896808849901</v>
      </c>
      <c r="CW9" s="2">
        <f t="shared" si="9"/>
        <v>0.80854289150592706</v>
      </c>
      <c r="CX9" s="2">
        <f t="shared" si="10"/>
        <v>1.6</v>
      </c>
      <c r="CY9" s="2">
        <f t="shared" si="11"/>
        <v>1.0533676991169232</v>
      </c>
      <c r="CZ9" s="2">
        <f t="shared" si="12"/>
        <v>1.6</v>
      </c>
      <c r="DA9" s="2">
        <f t="shared" si="13"/>
        <v>5.3386281003834718E-2</v>
      </c>
      <c r="DD9" s="69">
        <f>P24</f>
        <v>4</v>
      </c>
      <c r="DE9" s="69">
        <f>P25</f>
        <v>0</v>
      </c>
      <c r="DF9" s="1" t="str">
        <f t="shared" si="14"/>
        <v>0.0107986736111111+4.31946944444445i</v>
      </c>
      <c r="DG9" s="56" t="str">
        <f t="shared" si="15"/>
        <v>-6.74917100694445i</v>
      </c>
      <c r="DH9" s="1" t="str">
        <f t="shared" si="16"/>
        <v>0.0107986736111111-2.4297015625i</v>
      </c>
      <c r="DI9" s="1" t="str">
        <f t="shared" si="17"/>
        <v>0</v>
      </c>
      <c r="DJ9" s="2">
        <f t="shared" si="18"/>
        <v>0</v>
      </c>
      <c r="DK9" s="1">
        <f t="shared" si="27"/>
        <v>0</v>
      </c>
      <c r="DL9" s="1">
        <f t="shared" si="28"/>
        <v>0</v>
      </c>
      <c r="DM9" s="1">
        <f t="shared" si="19"/>
        <v>0</v>
      </c>
      <c r="DN9" s="1">
        <f t="shared" si="19"/>
        <v>0</v>
      </c>
      <c r="DO9" s="1">
        <f t="shared" si="20"/>
        <v>6.7491710069444499</v>
      </c>
      <c r="DP9" s="1">
        <f t="shared" si="21"/>
        <v>0</v>
      </c>
      <c r="DQ9" s="1">
        <f t="shared" si="29"/>
        <v>0</v>
      </c>
      <c r="DS9" s="69">
        <f t="shared" si="22"/>
        <v>0</v>
      </c>
      <c r="DT9" s="69">
        <f t="shared" si="23"/>
        <v>0</v>
      </c>
      <c r="DU9" s="15">
        <f t="shared" si="3"/>
        <v>0</v>
      </c>
      <c r="DW9" s="1">
        <f t="shared" si="24"/>
        <v>1.0798133717922102E-2</v>
      </c>
      <c r="DX9" s="1">
        <f t="shared" si="25"/>
        <v>0</v>
      </c>
    </row>
    <row r="10" spans="2:132" ht="18" customHeight="1" x14ac:dyDescent="0.25">
      <c r="B10" s="6"/>
      <c r="AP10" s="8"/>
      <c r="AR10" s="6"/>
      <c r="BF10" s="172" t="s">
        <v>10</v>
      </c>
      <c r="BG10" s="172"/>
      <c r="BH10" s="172"/>
      <c r="BI10" s="172"/>
      <c r="BJ10" s="172"/>
      <c r="BK10" s="172"/>
      <c r="BL10" s="172"/>
      <c r="BM10" s="172"/>
      <c r="BN10" s="172"/>
      <c r="BO10" s="172"/>
      <c r="BP10" s="172"/>
      <c r="BQ10" s="172"/>
      <c r="BR10" s="172"/>
      <c r="BS10" s="172"/>
      <c r="BT10" s="172"/>
      <c r="CE10" s="24"/>
      <c r="CF10" s="8"/>
      <c r="CM10" s="2">
        <f t="shared" si="26"/>
        <v>1.8</v>
      </c>
      <c r="CN10" s="1" t="str">
        <f t="shared" si="0"/>
        <v>0.0107986736111111+1.94376125i</v>
      </c>
      <c r="CO10" s="56" t="str">
        <f t="shared" si="1"/>
        <v>-14.9981577932099i</v>
      </c>
      <c r="CP10" s="1" t="str">
        <f t="shared" si="2"/>
        <v>0.0107986736111111-13.0543965432099i</v>
      </c>
      <c r="CQ10" s="1" t="str">
        <f t="shared" si="4"/>
        <v>0.0191834803010191+0.863256613545863i</v>
      </c>
      <c r="CR10" s="1" t="str">
        <f t="shared" si="5"/>
        <v>0.0220504923775849+0.924346718328003i</v>
      </c>
      <c r="CT10" s="1">
        <f t="shared" si="6"/>
        <v>1.8</v>
      </c>
      <c r="CU10" s="1">
        <f t="shared" si="7"/>
        <v>13.1</v>
      </c>
      <c r="CV10" s="56">
        <f t="shared" si="8"/>
        <v>0.86346973701869312</v>
      </c>
      <c r="CW10" s="2">
        <f t="shared" si="9"/>
        <v>0.92460969057102271</v>
      </c>
      <c r="CX10" s="2">
        <f t="shared" si="10"/>
        <v>1.8</v>
      </c>
      <c r="CY10" s="2">
        <f t="shared" si="11"/>
        <v>1.0708072917105689</v>
      </c>
      <c r="CZ10" s="2">
        <f t="shared" si="12"/>
        <v>1.8</v>
      </c>
      <c r="DA10" s="2">
        <f t="shared" si="13"/>
        <v>7.0827431292561055E-2</v>
      </c>
      <c r="DD10" s="69">
        <f>R24</f>
        <v>5</v>
      </c>
      <c r="DE10" s="69">
        <f>R25</f>
        <v>136</v>
      </c>
      <c r="DF10" s="1" t="str">
        <f t="shared" si="14"/>
        <v>0.0107986736111111+5.39933680555556i</v>
      </c>
      <c r="DG10" s="56" t="str">
        <f t="shared" si="15"/>
        <v>-5.39933680555556i</v>
      </c>
      <c r="DH10" s="1" t="str">
        <f t="shared" si="16"/>
        <v>0.0107986736111111</v>
      </c>
      <c r="DI10" s="1" t="str">
        <f t="shared" si="17"/>
        <v>1.46861961111111</v>
      </c>
      <c r="DJ10" s="2">
        <f t="shared" si="18"/>
        <v>1.4686196111111101</v>
      </c>
      <c r="DK10" s="1">
        <f t="shared" si="27"/>
        <v>734.30980555555584</v>
      </c>
      <c r="DL10" s="1">
        <f t="shared" si="28"/>
        <v>734.30980555555584</v>
      </c>
      <c r="DM10" s="1">
        <f t="shared" si="19"/>
        <v>1038.4708860002174</v>
      </c>
      <c r="DN10" s="1">
        <f t="shared" si="19"/>
        <v>1038.4708860002174</v>
      </c>
      <c r="DO10" s="1">
        <f t="shared" si="20"/>
        <v>5.3993368055555599</v>
      </c>
      <c r="DP10" s="1">
        <f t="shared" si="21"/>
        <v>99.866133555555649</v>
      </c>
      <c r="DQ10" s="1">
        <f t="shared" si="29"/>
        <v>99.866133555555649</v>
      </c>
      <c r="DS10" s="69">
        <f t="shared" si="22"/>
        <v>136</v>
      </c>
      <c r="DT10" s="69">
        <f t="shared" si="23"/>
        <v>136</v>
      </c>
      <c r="DU10" s="15">
        <f t="shared" si="3"/>
        <v>204</v>
      </c>
      <c r="DW10" s="1">
        <f t="shared" si="24"/>
        <v>1.0798133717922102E-2</v>
      </c>
      <c r="DX10" s="1">
        <f t="shared" si="25"/>
        <v>199.7222812466872</v>
      </c>
    </row>
    <row r="11" spans="2:132" ht="18" customHeight="1" x14ac:dyDescent="0.25">
      <c r="B11" s="28"/>
      <c r="C11" s="24"/>
      <c r="D11" s="24"/>
      <c r="E11" s="24"/>
      <c r="F11" s="24"/>
      <c r="G11" s="9" t="s">
        <v>11</v>
      </c>
      <c r="H11" s="234" t="s">
        <v>12</v>
      </c>
      <c r="I11" s="234"/>
      <c r="J11" s="234"/>
      <c r="K11" s="234"/>
      <c r="L11" s="234"/>
      <c r="M11" s="234"/>
      <c r="N11" s="234"/>
      <c r="O11" s="234"/>
      <c r="P11" s="234"/>
      <c r="Q11" s="234"/>
      <c r="R11" s="234"/>
      <c r="S11" s="234"/>
      <c r="T11" s="234"/>
      <c r="U11" s="234"/>
      <c r="V11" s="234"/>
      <c r="W11" s="234"/>
      <c r="X11" s="24"/>
      <c r="Y11" s="24"/>
      <c r="Z11" s="24"/>
      <c r="AA11" s="24"/>
      <c r="AC11" s="9" t="s">
        <v>13</v>
      </c>
      <c r="AD11" s="24"/>
      <c r="AE11" s="263" t="s">
        <v>14</v>
      </c>
      <c r="AF11" s="263"/>
      <c r="AG11" s="263"/>
      <c r="AH11" s="263"/>
      <c r="AI11" s="263"/>
      <c r="AJ11" s="263"/>
      <c r="AK11" s="263"/>
      <c r="AL11" s="263"/>
      <c r="AM11" s="263"/>
      <c r="AN11" s="263"/>
      <c r="AO11" s="24"/>
      <c r="AP11" s="8"/>
      <c r="AR11" s="6"/>
      <c r="BF11" s="257" t="s">
        <v>15</v>
      </c>
      <c r="BG11" s="359"/>
      <c r="BH11" s="359"/>
      <c r="BI11" s="359"/>
      <c r="BJ11" s="359"/>
      <c r="BK11" s="359"/>
      <c r="BL11" s="359"/>
      <c r="BN11" s="257" t="s">
        <v>413</v>
      </c>
      <c r="BO11" s="257"/>
      <c r="BP11" s="257"/>
      <c r="BQ11" s="257"/>
      <c r="BR11" s="257"/>
      <c r="BS11" s="257"/>
      <c r="BT11" s="257"/>
      <c r="CE11" s="24"/>
      <c r="CF11" s="8"/>
      <c r="CM11" s="2">
        <f t="shared" si="26"/>
        <v>2</v>
      </c>
      <c r="CN11" s="1" t="str">
        <f t="shared" si="0"/>
        <v>0.0107986736111111+2.15973472222222i</v>
      </c>
      <c r="CO11" s="56" t="str">
        <f t="shared" si="1"/>
        <v>-13.4983420138889i</v>
      </c>
      <c r="CP11" s="1" t="str">
        <f t="shared" si="2"/>
        <v>0.0107986736111111-11.3386072916667i</v>
      </c>
      <c r="CQ11" s="1" t="str">
        <f t="shared" si="4"/>
        <v>0.0191834803010191+0.959174015050959i</v>
      </c>
      <c r="CR11" s="1" t="str">
        <f t="shared" si="5"/>
        <v>0.0229849176205293+1.04776582786461i</v>
      </c>
      <c r="CT11" s="1">
        <f t="shared" si="6"/>
        <v>2</v>
      </c>
      <c r="CU11" s="1">
        <f t="shared" si="7"/>
        <v>11.3</v>
      </c>
      <c r="CV11" s="56">
        <f t="shared" si="8"/>
        <v>0.95936583067432457</v>
      </c>
      <c r="CW11" s="2">
        <f t="shared" si="9"/>
        <v>1.0480179084723857</v>
      </c>
      <c r="CX11" s="2">
        <f t="shared" si="10"/>
        <v>2</v>
      </c>
      <c r="CY11" s="2">
        <f t="shared" si="11"/>
        <v>1.0924069577668349</v>
      </c>
      <c r="CZ11" s="2">
        <f t="shared" si="12"/>
        <v>2</v>
      </c>
      <c r="DA11" s="2">
        <f t="shared" si="13"/>
        <v>9.2429114636625953E-2</v>
      </c>
      <c r="DD11" s="69">
        <f>T24</f>
        <v>7</v>
      </c>
      <c r="DE11" s="69">
        <f>T25</f>
        <v>60</v>
      </c>
      <c r="DF11" s="1" t="str">
        <f t="shared" si="14"/>
        <v>0.0107986736111111+7.55907152777778i</v>
      </c>
      <c r="DG11" s="56" t="str">
        <f t="shared" si="15"/>
        <v>-3.8566691468254i</v>
      </c>
      <c r="DH11" s="1" t="str">
        <f t="shared" si="16"/>
        <v>0.0107986736111111+3.70240238095238i</v>
      </c>
      <c r="DI11" s="1" t="str">
        <f t="shared" si="17"/>
        <v>0.647920416666666+222.144142857143i</v>
      </c>
      <c r="DJ11" s="2">
        <f t="shared" si="18"/>
        <v>222.14508773907448</v>
      </c>
      <c r="DK11" s="1">
        <f t="shared" si="27"/>
        <v>231.40014880952387</v>
      </c>
      <c r="DL11" s="1">
        <f t="shared" si="28"/>
        <v>231.40014880952387</v>
      </c>
      <c r="DM11" s="1">
        <f t="shared" si="19"/>
        <v>327.24922878158111</v>
      </c>
      <c r="DN11" s="1">
        <f t="shared" si="19"/>
        <v>327.24922878158111</v>
      </c>
      <c r="DO11" s="1">
        <f t="shared" si="20"/>
        <v>3.8566691468254</v>
      </c>
      <c r="DP11" s="1">
        <f t="shared" si="21"/>
        <v>13.88400892857144</v>
      </c>
      <c r="DQ11" s="1">
        <f t="shared" si="29"/>
        <v>13.88400892857144</v>
      </c>
      <c r="DS11" s="69">
        <f t="shared" si="22"/>
        <v>60</v>
      </c>
      <c r="DT11" s="69">
        <f t="shared" si="23"/>
        <v>60</v>
      </c>
      <c r="DU11" s="15">
        <f t="shared" si="3"/>
        <v>90</v>
      </c>
      <c r="DW11" s="1">
        <f t="shared" si="24"/>
        <v>1.0798133717922102E-2</v>
      </c>
      <c r="DX11" s="1">
        <f t="shared" si="25"/>
        <v>38.873281384519565</v>
      </c>
    </row>
    <row r="12" spans="2:132" ht="18" customHeight="1" x14ac:dyDescent="0.25">
      <c r="B12" s="28"/>
      <c r="C12" s="24"/>
      <c r="D12" s="24"/>
      <c r="E12" s="24"/>
      <c r="F12" s="24"/>
      <c r="G12" s="9" t="s">
        <v>16</v>
      </c>
      <c r="H12" s="234" t="s">
        <v>17</v>
      </c>
      <c r="I12" s="234"/>
      <c r="J12" s="234"/>
      <c r="K12" s="234"/>
      <c r="L12" s="234"/>
      <c r="M12" s="234"/>
      <c r="N12" s="234"/>
      <c r="O12" s="234"/>
      <c r="P12" s="234"/>
      <c r="Q12" s="234"/>
      <c r="R12" s="234"/>
      <c r="S12" s="234"/>
      <c r="T12" s="234"/>
      <c r="U12" s="234"/>
      <c r="V12" s="234"/>
      <c r="W12" s="234"/>
      <c r="X12" s="24"/>
      <c r="Y12" s="24"/>
      <c r="Z12" s="24"/>
      <c r="AA12" s="24"/>
      <c r="AB12" s="24"/>
      <c r="AC12" s="9" t="s">
        <v>18</v>
      </c>
      <c r="AD12" s="24"/>
      <c r="AE12" s="269" t="s">
        <v>267</v>
      </c>
      <c r="AF12" s="270"/>
      <c r="AG12" s="270"/>
      <c r="AH12" s="270"/>
      <c r="AI12" s="270"/>
      <c r="AJ12" s="270"/>
      <c r="AK12" s="270"/>
      <c r="AL12" s="270"/>
      <c r="AM12" s="270"/>
      <c r="AN12" s="271"/>
      <c r="AO12" s="24"/>
      <c r="AP12" s="8"/>
      <c r="AR12" s="6"/>
      <c r="AT12" s="172" t="s">
        <v>20</v>
      </c>
      <c r="AU12" s="172"/>
      <c r="AV12" s="172"/>
      <c r="AW12" s="172"/>
      <c r="AX12" s="172"/>
      <c r="AY12" s="172"/>
      <c r="AZ12" s="172"/>
      <c r="BA12" s="172"/>
      <c r="BB12" s="172"/>
      <c r="BC12" s="172"/>
      <c r="BD12" s="172"/>
      <c r="BF12" s="172"/>
      <c r="BG12" s="172"/>
      <c r="BH12" s="172"/>
      <c r="BI12" s="172"/>
      <c r="BJ12" s="172"/>
      <c r="BK12" s="172"/>
      <c r="BL12" s="172"/>
      <c r="BN12" s="201"/>
      <c r="BO12" s="201"/>
      <c r="BP12" s="201"/>
      <c r="BQ12" s="201"/>
      <c r="BR12" s="201"/>
      <c r="BS12" s="201"/>
      <c r="BT12" s="201"/>
      <c r="BV12" s="172" t="s">
        <v>21</v>
      </c>
      <c r="BW12" s="172"/>
      <c r="BX12" s="172"/>
      <c r="BY12" s="172"/>
      <c r="BZ12" s="172"/>
      <c r="CE12" s="24"/>
      <c r="CF12" s="8"/>
      <c r="CM12" s="2">
        <f t="shared" si="26"/>
        <v>2.2000000000000002</v>
      </c>
      <c r="CN12" s="1" t="str">
        <f t="shared" si="0"/>
        <v>0.0107986736111111+2.37570819444445i</v>
      </c>
      <c r="CO12" s="56" t="str">
        <f t="shared" si="1"/>
        <v>-12.2712200126263i</v>
      </c>
      <c r="CP12" s="1" t="str">
        <f t="shared" si="2"/>
        <v>0.0107986736111111-9.89551181818185i</v>
      </c>
      <c r="CQ12" s="1" t="str">
        <f t="shared" si="4"/>
        <v>0.0191834803010191+1.05509141655605i</v>
      </c>
      <c r="CR12" s="1" t="str">
        <f t="shared" si="5"/>
        <v>0.0241893910591234+1.18095644930747i</v>
      </c>
      <c r="CT12" s="1">
        <f t="shared" si="6"/>
        <v>2.2000000000000002</v>
      </c>
      <c r="CU12" s="1">
        <f t="shared" si="7"/>
        <v>9.9</v>
      </c>
      <c r="CV12" s="56">
        <f t="shared" si="8"/>
        <v>1.0552657974210631</v>
      </c>
      <c r="CW12" s="2">
        <f t="shared" si="9"/>
        <v>1.1812041575446295</v>
      </c>
      <c r="CX12" s="2">
        <f t="shared" si="10"/>
        <v>2.2000000000000002</v>
      </c>
      <c r="CY12" s="2">
        <f t="shared" si="11"/>
        <v>1.1193427858946501</v>
      </c>
      <c r="CZ12" s="2">
        <f t="shared" si="12"/>
        <v>2.2000000000000002</v>
      </c>
      <c r="DA12" s="2">
        <f t="shared" si="13"/>
        <v>0.11936759572604631</v>
      </c>
      <c r="DD12" s="69">
        <f>V24</f>
        <v>11</v>
      </c>
      <c r="DE12" s="69">
        <f>V25</f>
        <v>50</v>
      </c>
      <c r="DF12" s="1" t="str">
        <f t="shared" si="14"/>
        <v>0.0107986736111111+11.8785409722222i</v>
      </c>
      <c r="DG12" s="56" t="str">
        <f t="shared" si="15"/>
        <v>-2.45424400252525i</v>
      </c>
      <c r="DH12" s="1" t="str">
        <f t="shared" si="16"/>
        <v>0.0107986736111111+9.42429696969695i</v>
      </c>
      <c r="DI12" s="1" t="str">
        <f t="shared" si="17"/>
        <v>0.539933680555555+471.214848484847i</v>
      </c>
      <c r="DJ12" s="2">
        <f t="shared" si="18"/>
        <v>471.21515782174998</v>
      </c>
      <c r="DK12" s="1">
        <f t="shared" si="27"/>
        <v>122.71220012626267</v>
      </c>
      <c r="DL12" s="1">
        <f t="shared" si="28"/>
        <v>122.71220012626267</v>
      </c>
      <c r="DM12" s="1">
        <f t="shared" si="19"/>
        <v>173.54125768720212</v>
      </c>
      <c r="DN12" s="1">
        <f t="shared" si="19"/>
        <v>173.54125768720212</v>
      </c>
      <c r="DO12" s="1">
        <f t="shared" si="20"/>
        <v>2.4542440025252499</v>
      </c>
      <c r="DP12" s="1">
        <f t="shared" si="21"/>
        <v>6.135610006313124</v>
      </c>
      <c r="DQ12" s="1">
        <f t="shared" si="29"/>
        <v>6.135610006313124</v>
      </c>
      <c r="DS12" s="69">
        <f t="shared" si="22"/>
        <v>50</v>
      </c>
      <c r="DT12" s="69">
        <f t="shared" si="23"/>
        <v>50</v>
      </c>
      <c r="DU12" s="15">
        <f t="shared" si="3"/>
        <v>75</v>
      </c>
      <c r="DW12" s="1">
        <f t="shared" si="24"/>
        <v>1.0798133717922102E-2</v>
      </c>
      <c r="DX12" s="1">
        <f t="shared" si="25"/>
        <v>26.995334294805254</v>
      </c>
    </row>
    <row r="13" spans="2:132" ht="18" customHeight="1" x14ac:dyDescent="0.25">
      <c r="B13" s="28"/>
      <c r="C13" s="24"/>
      <c r="D13" s="24"/>
      <c r="E13" s="24"/>
      <c r="F13" s="24"/>
      <c r="G13" s="9" t="s">
        <v>22</v>
      </c>
      <c r="H13" s="234" t="s">
        <v>23</v>
      </c>
      <c r="I13" s="234"/>
      <c r="J13" s="234"/>
      <c r="K13" s="234"/>
      <c r="L13" s="234"/>
      <c r="M13" s="234"/>
      <c r="N13" s="234"/>
      <c r="O13" s="234"/>
      <c r="P13" s="234"/>
      <c r="Q13" s="234"/>
      <c r="R13" s="234"/>
      <c r="S13" s="234"/>
      <c r="T13" s="234"/>
      <c r="U13" s="234"/>
      <c r="V13" s="234"/>
      <c r="W13" s="234"/>
      <c r="X13" s="24"/>
      <c r="Y13" s="24"/>
      <c r="Z13" s="24"/>
      <c r="AA13" s="24"/>
      <c r="AB13" s="24"/>
      <c r="AC13" s="9" t="s">
        <v>24</v>
      </c>
      <c r="AD13" s="24"/>
      <c r="AE13" s="269" t="s">
        <v>25</v>
      </c>
      <c r="AF13" s="270"/>
      <c r="AG13" s="270"/>
      <c r="AH13" s="270"/>
      <c r="AI13" s="270"/>
      <c r="AJ13" s="270"/>
      <c r="AK13" s="270"/>
      <c r="AL13" s="270"/>
      <c r="AM13" s="270"/>
      <c r="AN13" s="271"/>
      <c r="AO13" s="24"/>
      <c r="AP13" s="8"/>
      <c r="AR13" s="6"/>
      <c r="BD13" s="29" t="s">
        <v>26</v>
      </c>
      <c r="BF13" s="209">
        <f>BJ21/(S28)</f>
        <v>0.75791131347624308</v>
      </c>
      <c r="BG13" s="209"/>
      <c r="BH13" s="209"/>
      <c r="BI13" s="209"/>
      <c r="BJ13" s="209"/>
      <c r="BK13" s="209"/>
      <c r="BL13" s="209"/>
      <c r="BN13" s="357">
        <f>(DL23/1000)/S28</f>
        <v>0.83293041827419512</v>
      </c>
      <c r="BO13" s="357"/>
      <c r="BP13" s="357"/>
      <c r="BQ13" s="357"/>
      <c r="BR13" s="357"/>
      <c r="BS13" s="357"/>
      <c r="BT13" s="357"/>
      <c r="BV13" s="210">
        <f>IF(LEFT(J30,2)="SD",1.1,1.25)</f>
        <v>1.25</v>
      </c>
      <c r="BW13" s="210"/>
      <c r="BX13" s="210"/>
      <c r="BY13" s="210"/>
      <c r="BZ13" s="210"/>
      <c r="CE13" s="24"/>
      <c r="CF13" s="8"/>
      <c r="CM13" s="2">
        <f t="shared" si="26"/>
        <v>2.4</v>
      </c>
      <c r="CN13" s="1" t="str">
        <f t="shared" si="0"/>
        <v>0.0107986736111111+2.59168166666667i</v>
      </c>
      <c r="CO13" s="56" t="str">
        <f t="shared" si="1"/>
        <v>-11.2486183449074i</v>
      </c>
      <c r="CP13" s="1" t="str">
        <f t="shared" si="2"/>
        <v>0.0107986736111111-8.65693667824073i</v>
      </c>
      <c r="CQ13" s="1" t="str">
        <f t="shared" si="4"/>
        <v>0.0191834803010191+1.15100881806115i</v>
      </c>
      <c r="CR13" s="1" t="str">
        <f t="shared" si="5"/>
        <v>0.0257716599434514+1.32743680806988i</v>
      </c>
      <c r="CT13" s="1">
        <f t="shared" si="6"/>
        <v>2.4</v>
      </c>
      <c r="CU13" s="1">
        <f t="shared" si="7"/>
        <v>8.6999999999999993</v>
      </c>
      <c r="CV13" s="56">
        <f t="shared" si="8"/>
        <v>1.1511686692969825</v>
      </c>
      <c r="CW13" s="2">
        <f t="shared" si="9"/>
        <v>1.3276869577859807</v>
      </c>
      <c r="CX13" s="2">
        <f t="shared" si="10"/>
        <v>2.4</v>
      </c>
      <c r="CY13" s="2">
        <f t="shared" si="11"/>
        <v>1.1533383362464142</v>
      </c>
      <c r="CZ13" s="2">
        <f t="shared" si="12"/>
        <v>2.4</v>
      </c>
      <c r="DA13" s="2">
        <f t="shared" si="13"/>
        <v>0.15336671321361622</v>
      </c>
      <c r="DD13" s="69">
        <f>X24</f>
        <v>13</v>
      </c>
      <c r="DE13" s="69">
        <f>X25</f>
        <v>0</v>
      </c>
      <c r="DF13" s="1" t="str">
        <f t="shared" si="14"/>
        <v>0.0107986736111111+14.0382756944444i</v>
      </c>
      <c r="DG13" s="56" t="str">
        <f t="shared" si="15"/>
        <v>-2.07666800213675i</v>
      </c>
      <c r="DH13" s="1" t="str">
        <f t="shared" si="16"/>
        <v>0.0107986736111111+11.9616076923076i</v>
      </c>
      <c r="DI13" s="1" t="str">
        <f t="shared" si="17"/>
        <v>0</v>
      </c>
      <c r="DJ13" s="2">
        <f t="shared" si="18"/>
        <v>0</v>
      </c>
      <c r="DK13" s="1">
        <f t="shared" si="27"/>
        <v>0</v>
      </c>
      <c r="DL13" s="1">
        <f t="shared" si="28"/>
        <v>0</v>
      </c>
      <c r="DM13" s="1">
        <f t="shared" si="19"/>
        <v>0</v>
      </c>
      <c r="DN13" s="1">
        <f t="shared" si="19"/>
        <v>0</v>
      </c>
      <c r="DO13" s="1">
        <f t="shared" si="20"/>
        <v>2.0766680021367501</v>
      </c>
      <c r="DP13" s="1">
        <f t="shared" si="21"/>
        <v>0</v>
      </c>
      <c r="DQ13" s="1">
        <f t="shared" si="29"/>
        <v>0</v>
      </c>
      <c r="DS13" s="69">
        <f t="shared" si="22"/>
        <v>0</v>
      </c>
      <c r="DT13" s="69">
        <f t="shared" si="23"/>
        <v>0</v>
      </c>
      <c r="DU13" s="15">
        <f t="shared" si="3"/>
        <v>0</v>
      </c>
      <c r="DW13" s="1">
        <f t="shared" si="24"/>
        <v>1.0798133717922102E-2</v>
      </c>
      <c r="DX13" s="1">
        <f t="shared" si="25"/>
        <v>0</v>
      </c>
    </row>
    <row r="14" spans="2:132" ht="18" customHeight="1" x14ac:dyDescent="0.25">
      <c r="B14" s="28"/>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8"/>
      <c r="AR14" s="6"/>
      <c r="BD14" s="29" t="s">
        <v>27</v>
      </c>
      <c r="BF14" s="204">
        <f>BJ22/(S28*SQRT(2))</f>
        <v>0.86313773362834911</v>
      </c>
      <c r="BG14" s="204"/>
      <c r="BH14" s="204"/>
      <c r="BI14" s="204"/>
      <c r="BJ14" s="204"/>
      <c r="BK14" s="204"/>
      <c r="BL14" s="204"/>
      <c r="BN14" s="360">
        <f>(DN23/1000)/(SQRT(2)*S28)</f>
        <v>0.93852357371315842</v>
      </c>
      <c r="BO14" s="360"/>
      <c r="BP14" s="360"/>
      <c r="BQ14" s="360"/>
      <c r="BR14" s="360"/>
      <c r="BS14" s="360"/>
      <c r="BT14" s="360"/>
      <c r="BV14" s="203">
        <f>IF(LEFT(J30,2)="SD",1.2,1.35)</f>
        <v>1.35</v>
      </c>
      <c r="BW14" s="203"/>
      <c r="BX14" s="203"/>
      <c r="BY14" s="203"/>
      <c r="BZ14" s="203"/>
      <c r="CF14" s="8"/>
      <c r="CM14" s="2">
        <f t="shared" si="26"/>
        <v>2.6</v>
      </c>
      <c r="CN14" s="1" t="str">
        <f t="shared" si="0"/>
        <v>0.0107986736111111+2.80765513888889i</v>
      </c>
      <c r="CO14" s="56" t="str">
        <f t="shared" si="1"/>
        <v>-10.3833400106838i</v>
      </c>
      <c r="CP14" s="1" t="str">
        <f t="shared" si="2"/>
        <v>0.0107986736111111-7.57568487179491i</v>
      </c>
      <c r="CQ14" s="1" t="str">
        <f t="shared" si="4"/>
        <v>0.0191834803010191+1.24692621956625i</v>
      </c>
      <c r="CR14" s="1" t="str">
        <f t="shared" si="5"/>
        <v>0.0279061524158078+1.49250288823573i</v>
      </c>
      <c r="CT14" s="1">
        <f t="shared" si="6"/>
        <v>2.6</v>
      </c>
      <c r="CU14" s="1">
        <f t="shared" si="7"/>
        <v>7.6</v>
      </c>
      <c r="CV14" s="56">
        <f t="shared" si="8"/>
        <v>1.2470737760686974</v>
      </c>
      <c r="CW14" s="2">
        <f t="shared" si="9"/>
        <v>1.4927637538253167</v>
      </c>
      <c r="CX14" s="2">
        <f t="shared" si="10"/>
        <v>2.6</v>
      </c>
      <c r="CY14" s="2">
        <f t="shared" si="11"/>
        <v>1.1970131859649376</v>
      </c>
      <c r="CZ14" s="2">
        <f t="shared" si="12"/>
        <v>2.6</v>
      </c>
      <c r="DA14" s="2">
        <f t="shared" si="13"/>
        <v>0.19704650636017326</v>
      </c>
      <c r="DD14" s="69">
        <f>Z24</f>
        <v>17</v>
      </c>
      <c r="DE14" s="69">
        <f>Z25</f>
        <v>0</v>
      </c>
      <c r="DF14" s="1" t="str">
        <f t="shared" si="14"/>
        <v>0.0107986736111111+18.3577451388889i</v>
      </c>
      <c r="DG14" s="56" t="str">
        <f t="shared" si="15"/>
        <v>-1.58804023692811i</v>
      </c>
      <c r="DH14" s="1" t="str">
        <f t="shared" si="16"/>
        <v>0.0107986736111111+16.7697049019608i</v>
      </c>
      <c r="DI14" s="1" t="str">
        <f t="shared" si="17"/>
        <v>0</v>
      </c>
      <c r="DJ14" s="2">
        <f t="shared" si="18"/>
        <v>0</v>
      </c>
      <c r="DK14" s="1">
        <f t="shared" si="27"/>
        <v>0</v>
      </c>
      <c r="DL14" s="1">
        <f t="shared" si="28"/>
        <v>0</v>
      </c>
      <c r="DM14" s="1">
        <f t="shared" si="19"/>
        <v>0</v>
      </c>
      <c r="DN14" s="1">
        <f t="shared" si="19"/>
        <v>0</v>
      </c>
      <c r="DO14" s="1">
        <f t="shared" si="20"/>
        <v>1.5880402369281099</v>
      </c>
      <c r="DP14" s="1">
        <f t="shared" si="21"/>
        <v>0</v>
      </c>
      <c r="DQ14" s="1">
        <f t="shared" si="29"/>
        <v>0</v>
      </c>
      <c r="DS14" s="69">
        <f t="shared" si="22"/>
        <v>0</v>
      </c>
      <c r="DT14" s="69">
        <f t="shared" si="23"/>
        <v>0</v>
      </c>
      <c r="DU14" s="15">
        <f t="shared" si="3"/>
        <v>0</v>
      </c>
      <c r="DW14" s="1">
        <f t="shared" si="24"/>
        <v>1.0798133717922102E-2</v>
      </c>
      <c r="DX14" s="1">
        <f t="shared" si="25"/>
        <v>0</v>
      </c>
    </row>
    <row r="15" spans="2:132" ht="18" customHeight="1" x14ac:dyDescent="0.3">
      <c r="B15" s="6"/>
      <c r="C15" s="30" t="s">
        <v>28</v>
      </c>
      <c r="D15" s="31"/>
      <c r="E15" s="31"/>
      <c r="F15" s="31"/>
      <c r="G15" s="31"/>
      <c r="H15" s="31"/>
      <c r="I15" s="31"/>
      <c r="J15" s="31"/>
      <c r="K15" s="31"/>
      <c r="AP15" s="8"/>
      <c r="AR15" s="6"/>
      <c r="BD15" s="29" t="str">
        <f>"% "&amp;$S$20&amp;"HZ AMPS:"</f>
        <v>% 60HZ AMPS:</v>
      </c>
      <c r="BF15" s="212">
        <f>BJ23/(AJ29/S28)</f>
        <v>0.86545134240171218</v>
      </c>
      <c r="BG15" s="212"/>
      <c r="BH15" s="212"/>
      <c r="BI15" s="212"/>
      <c r="BJ15" s="212"/>
      <c r="BK15" s="212"/>
      <c r="BL15" s="212"/>
      <c r="BN15" s="356">
        <f>DE24/(AJ29/S28)</f>
        <v>0.93185275052234906</v>
      </c>
      <c r="BO15" s="356"/>
      <c r="BP15" s="356"/>
      <c r="BQ15" s="356"/>
      <c r="BR15" s="356"/>
      <c r="BS15" s="356"/>
      <c r="BT15" s="356"/>
      <c r="BV15" s="213">
        <v>1.35</v>
      </c>
      <c r="BW15" s="213"/>
      <c r="BX15" s="213"/>
      <c r="BY15" s="213"/>
      <c r="BZ15" s="213"/>
      <c r="CF15" s="8"/>
      <c r="CM15" s="2">
        <f t="shared" si="26"/>
        <v>2.8</v>
      </c>
      <c r="CN15" s="1" t="str">
        <f t="shared" si="0"/>
        <v>0.0107986736111111+3.02362861111111i</v>
      </c>
      <c r="CO15" s="56" t="str">
        <f t="shared" si="1"/>
        <v>-9.64167286706349i</v>
      </c>
      <c r="CP15" s="1" t="str">
        <f t="shared" si="2"/>
        <v>0.0107986736111111-6.61804425595238i</v>
      </c>
      <c r="CQ15" s="1" t="str">
        <f t="shared" si="4"/>
        <v>0.0191834803010191+1.34284362107134i</v>
      </c>
      <c r="CR15" s="1" t="str">
        <f t="shared" si="5"/>
        <v>0.0308921499984279+1.68453866896769i</v>
      </c>
      <c r="CT15" s="1">
        <f t="shared" si="6"/>
        <v>2.8</v>
      </c>
      <c r="CU15" s="1">
        <f t="shared" si="7"/>
        <v>6.6</v>
      </c>
      <c r="CV15" s="56">
        <f t="shared" si="8"/>
        <v>1.3429806389402819</v>
      </c>
      <c r="CW15" s="2">
        <f t="shared" si="9"/>
        <v>1.684821905181364</v>
      </c>
      <c r="CX15" s="2">
        <f t="shared" si="10"/>
        <v>2.8</v>
      </c>
      <c r="CY15" s="2">
        <f t="shared" si="11"/>
        <v>1.2545392363294419</v>
      </c>
      <c r="CZ15" s="2">
        <f t="shared" si="12"/>
        <v>2.8</v>
      </c>
      <c r="DA15" s="2">
        <f t="shared" si="13"/>
        <v>0.25457969109125733</v>
      </c>
      <c r="DD15" s="69">
        <f>AB24</f>
        <v>19</v>
      </c>
      <c r="DE15" s="69">
        <f>AB25</f>
        <v>0</v>
      </c>
      <c r="DF15" s="1" t="str">
        <f t="shared" si="14"/>
        <v>0.0107986736111111+20.5174798611111i</v>
      </c>
      <c r="DG15" s="56" t="str">
        <f t="shared" si="15"/>
        <v>-1.42087810672515i</v>
      </c>
      <c r="DH15" s="1" t="str">
        <f t="shared" si="16"/>
        <v>0.0107986736111111+19.0966017543859i</v>
      </c>
      <c r="DI15" s="1" t="str">
        <f t="shared" si="17"/>
        <v>0</v>
      </c>
      <c r="DJ15" s="2">
        <f t="shared" si="18"/>
        <v>0</v>
      </c>
      <c r="DK15" s="1">
        <f t="shared" si="27"/>
        <v>0</v>
      </c>
      <c r="DL15" s="1">
        <f t="shared" si="28"/>
        <v>0</v>
      </c>
      <c r="DM15" s="1">
        <f t="shared" si="19"/>
        <v>0</v>
      </c>
      <c r="DN15" s="1">
        <f t="shared" si="19"/>
        <v>0</v>
      </c>
      <c r="DO15" s="1">
        <f t="shared" si="20"/>
        <v>1.4208781067251499</v>
      </c>
      <c r="DP15" s="1">
        <f t="shared" si="21"/>
        <v>0</v>
      </c>
      <c r="DQ15" s="1">
        <f t="shared" si="29"/>
        <v>0</v>
      </c>
      <c r="DS15" s="69">
        <f t="shared" si="22"/>
        <v>0</v>
      </c>
      <c r="DT15" s="69">
        <f t="shared" si="23"/>
        <v>0</v>
      </c>
      <c r="DU15" s="15">
        <f t="shared" si="3"/>
        <v>0</v>
      </c>
      <c r="DW15" s="1">
        <f t="shared" si="24"/>
        <v>1.0798133717922102E-2</v>
      </c>
      <c r="DX15" s="1">
        <f t="shared" si="25"/>
        <v>0</v>
      </c>
    </row>
    <row r="16" spans="2:132" ht="18" customHeight="1" x14ac:dyDescent="0.25">
      <c r="B16" s="6"/>
      <c r="D16" s="162" t="s">
        <v>29</v>
      </c>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8"/>
      <c r="AR16" s="6"/>
      <c r="BD16" s="29" t="str">
        <f>"% "&amp;$S$20&amp;"HZ KVAR:"</f>
        <v>% 60HZ KVAR:</v>
      </c>
      <c r="BF16" s="202">
        <f>DP23/(S29*AJ28)</f>
        <v>0.60092814960141361</v>
      </c>
      <c r="BG16" s="202"/>
      <c r="BH16" s="202"/>
      <c r="BI16" s="202"/>
      <c r="BJ16" s="202"/>
      <c r="BK16" s="202"/>
      <c r="BL16" s="202"/>
      <c r="BN16" s="204">
        <f>DQ23/(S29*AJ28)</f>
        <v>0.72027167219255528</v>
      </c>
      <c r="BO16" s="204"/>
      <c r="BP16" s="204"/>
      <c r="BQ16" s="204"/>
      <c r="BR16" s="204"/>
      <c r="BS16" s="204"/>
      <c r="BT16" s="204"/>
      <c r="BV16" s="203">
        <v>1.35</v>
      </c>
      <c r="BW16" s="203"/>
      <c r="BX16" s="203"/>
      <c r="BY16" s="203"/>
      <c r="BZ16" s="203"/>
      <c r="CF16" s="8"/>
      <c r="CM16" s="2">
        <f t="shared" si="26"/>
        <v>3</v>
      </c>
      <c r="CN16" s="1" t="str">
        <f t="shared" si="0"/>
        <v>0.0107986736111111+3.23960208333333i</v>
      </c>
      <c r="CO16" s="56" t="str">
        <f t="shared" si="1"/>
        <v>-8.99889467592593i</v>
      </c>
      <c r="CP16" s="1" t="str">
        <f t="shared" si="2"/>
        <v>0.0107986736111111-5.7592925925926i</v>
      </c>
      <c r="CQ16" s="1" t="str">
        <f t="shared" si="4"/>
        <v>0.0191834803010191+1.43876102257644i</v>
      </c>
      <c r="CR16" s="1" t="str">
        <f t="shared" si="5"/>
        <v>0.0352833270415356+1.91767953816966i</v>
      </c>
      <c r="CT16" s="1">
        <f t="shared" si="6"/>
        <v>3</v>
      </c>
      <c r="CU16" s="1">
        <f t="shared" si="7"/>
        <v>5.8</v>
      </c>
      <c r="CV16" s="56">
        <f t="shared" si="8"/>
        <v>1.4388889067616244</v>
      </c>
      <c r="CW16" s="2">
        <f t="shared" si="9"/>
        <v>1.9180040991305833</v>
      </c>
      <c r="CX16" s="2">
        <f t="shared" si="10"/>
        <v>3</v>
      </c>
      <c r="CY16" s="2">
        <f t="shared" si="11"/>
        <v>1.3329758052324296</v>
      </c>
      <c r="CZ16" s="2">
        <f t="shared" si="12"/>
        <v>3</v>
      </c>
      <c r="DA16" s="2">
        <f t="shared" si="13"/>
        <v>0.33302713776250331</v>
      </c>
      <c r="DD16" s="69">
        <f>AD24</f>
        <v>23</v>
      </c>
      <c r="DE16" s="69">
        <f>AD25</f>
        <v>0</v>
      </c>
      <c r="DF16" s="1" t="str">
        <f t="shared" si="14"/>
        <v>0.0107986736111111+24.8369493055556i</v>
      </c>
      <c r="DG16" s="56" t="str">
        <f t="shared" si="15"/>
        <v>-1.17376887077295i</v>
      </c>
      <c r="DH16" s="1" t="str">
        <f t="shared" si="16"/>
        <v>0.0107986736111111+23.6631804347826i</v>
      </c>
      <c r="DI16" s="1" t="str">
        <f t="shared" si="17"/>
        <v>0</v>
      </c>
      <c r="DJ16" s="2">
        <f t="shared" si="18"/>
        <v>0</v>
      </c>
      <c r="DK16" s="1">
        <f t="shared" si="27"/>
        <v>0</v>
      </c>
      <c r="DL16" s="1">
        <f t="shared" si="28"/>
        <v>0</v>
      </c>
      <c r="DM16" s="1">
        <f t="shared" si="19"/>
        <v>0</v>
      </c>
      <c r="DN16" s="1">
        <f t="shared" si="19"/>
        <v>0</v>
      </c>
      <c r="DO16" s="1">
        <f t="shared" si="20"/>
        <v>1.1737688707729499</v>
      </c>
      <c r="DP16" s="1">
        <f t="shared" si="21"/>
        <v>0</v>
      </c>
      <c r="DQ16" s="1">
        <f t="shared" si="29"/>
        <v>0</v>
      </c>
      <c r="DS16" s="69">
        <f t="shared" si="22"/>
        <v>0</v>
      </c>
      <c r="DT16" s="69">
        <f t="shared" si="23"/>
        <v>0</v>
      </c>
      <c r="DU16" s="15">
        <f t="shared" si="3"/>
        <v>0</v>
      </c>
      <c r="DW16" s="1">
        <f t="shared" si="24"/>
        <v>1.0798133717922102E-2</v>
      </c>
      <c r="DX16" s="1">
        <f t="shared" si="25"/>
        <v>0</v>
      </c>
    </row>
    <row r="17" spans="2:128" ht="18" customHeight="1" x14ac:dyDescent="0.25">
      <c r="B17" s="28"/>
      <c r="C17" s="24"/>
      <c r="D17" s="24"/>
      <c r="E17" s="24"/>
      <c r="F17" s="24"/>
      <c r="G17" s="24"/>
      <c r="H17" s="24"/>
      <c r="I17" s="24"/>
      <c r="J17" s="24"/>
      <c r="K17" s="24"/>
      <c r="L17" s="24"/>
      <c r="M17" s="24"/>
      <c r="N17" s="24"/>
      <c r="O17" s="24"/>
      <c r="P17" s="24"/>
      <c r="Q17" s="24"/>
      <c r="R17" s="32" t="s">
        <v>31</v>
      </c>
      <c r="S17" s="247">
        <v>12.47</v>
      </c>
      <c r="T17" s="247"/>
      <c r="U17" s="247"/>
      <c r="V17" s="33" t="s">
        <v>32</v>
      </c>
      <c r="W17" s="24"/>
      <c r="X17" s="24"/>
      <c r="Y17" s="24"/>
      <c r="Z17" s="24"/>
      <c r="AA17" s="24"/>
      <c r="AB17" s="24"/>
      <c r="AC17" s="24"/>
      <c r="AD17" s="24"/>
      <c r="AE17" s="24"/>
      <c r="AF17" s="24"/>
      <c r="AG17" s="24"/>
      <c r="AH17" s="24"/>
      <c r="AI17" s="24"/>
      <c r="AJ17" s="32" t="s">
        <v>33</v>
      </c>
      <c r="AK17" s="249">
        <f>S17*S17/(S18*0.001)</f>
        <v>25.916816666666673</v>
      </c>
      <c r="AL17" s="249"/>
      <c r="AM17" s="249"/>
      <c r="AN17" s="24" t="s">
        <v>34</v>
      </c>
      <c r="AO17" s="24"/>
      <c r="AP17" s="8"/>
      <c r="AR17" s="6"/>
      <c r="CF17" s="8"/>
      <c r="CM17" s="2">
        <f t="shared" si="26"/>
        <v>3.2</v>
      </c>
      <c r="CN17" s="1" t="str">
        <f t="shared" si="0"/>
        <v>0.0107986736111111+3.45557555555556i</v>
      </c>
      <c r="CO17" s="56" t="str">
        <f t="shared" si="1"/>
        <v>-8.43646375868056i</v>
      </c>
      <c r="CP17" s="1" t="str">
        <f t="shared" si="2"/>
        <v>0.0107986736111111-4.980888203125i</v>
      </c>
      <c r="CQ17" s="1" t="str">
        <f t="shared" si="4"/>
        <v>0.0191834803010191+1.53467842408153i</v>
      </c>
      <c r="CR17" s="1" t="str">
        <f t="shared" si="5"/>
        <v>0.0422123730681322+2.21779975289134i</v>
      </c>
      <c r="CT17" s="1">
        <f t="shared" si="6"/>
        <v>3.2</v>
      </c>
      <c r="CU17" s="1">
        <f t="shared" si="7"/>
        <v>5</v>
      </c>
      <c r="CV17" s="56">
        <f t="shared" si="8"/>
        <v>1.5347983161503107</v>
      </c>
      <c r="CW17" s="2">
        <f t="shared" si="9"/>
        <v>2.2182014399880212</v>
      </c>
      <c r="CX17" s="2">
        <f t="shared" si="10"/>
        <v>3.2</v>
      </c>
      <c r="CY17" s="2">
        <f t="shared" si="11"/>
        <v>1.445272265838728</v>
      </c>
      <c r="CZ17" s="2">
        <f t="shared" si="12"/>
        <v>3.2</v>
      </c>
      <c r="DA17" s="2">
        <f t="shared" si="13"/>
        <v>0.44534150063609573</v>
      </c>
      <c r="DD17" s="69">
        <f>AF24</f>
        <v>25</v>
      </c>
      <c r="DE17" s="69">
        <f>AF25</f>
        <v>0</v>
      </c>
      <c r="DF17" s="1" t="str">
        <f t="shared" si="14"/>
        <v>0.0107986736111111+26.9966840277778i</v>
      </c>
      <c r="DG17" s="56" t="str">
        <f t="shared" si="15"/>
        <v>-1.07986736111111i</v>
      </c>
      <c r="DH17" s="1" t="str">
        <f t="shared" si="16"/>
        <v>0.0107986736111111+25.9168166666667i</v>
      </c>
      <c r="DI17" s="1" t="str">
        <f t="shared" si="17"/>
        <v>0</v>
      </c>
      <c r="DJ17" s="2">
        <f t="shared" si="18"/>
        <v>0</v>
      </c>
      <c r="DK17" s="1">
        <f t="shared" si="27"/>
        <v>0</v>
      </c>
      <c r="DL17" s="1">
        <f t="shared" si="28"/>
        <v>0</v>
      </c>
      <c r="DM17" s="1">
        <f t="shared" si="19"/>
        <v>0</v>
      </c>
      <c r="DN17" s="1">
        <f t="shared" si="19"/>
        <v>0</v>
      </c>
      <c r="DO17" s="1">
        <f t="shared" si="20"/>
        <v>1.07986736111111</v>
      </c>
      <c r="DP17" s="1">
        <f t="shared" si="21"/>
        <v>0</v>
      </c>
      <c r="DQ17" s="1">
        <f t="shared" si="29"/>
        <v>0</v>
      </c>
      <c r="DS17" s="69">
        <f t="shared" si="22"/>
        <v>0</v>
      </c>
      <c r="DT17" s="69">
        <f t="shared" si="23"/>
        <v>0</v>
      </c>
      <c r="DU17" s="15">
        <f t="shared" si="3"/>
        <v>0</v>
      </c>
      <c r="DW17" s="1">
        <f t="shared" si="24"/>
        <v>1.0798133717922102E-2</v>
      </c>
      <c r="DX17" s="1">
        <f t="shared" si="25"/>
        <v>0</v>
      </c>
    </row>
    <row r="18" spans="2:128" ht="18" customHeight="1" x14ac:dyDescent="0.25">
      <c r="B18" s="28"/>
      <c r="C18" s="24"/>
      <c r="D18" s="24"/>
      <c r="E18" s="177" t="s">
        <v>36</v>
      </c>
      <c r="F18" s="177"/>
      <c r="G18" s="177"/>
      <c r="H18" s="177"/>
      <c r="I18" s="177"/>
      <c r="J18" s="177"/>
      <c r="K18" s="177"/>
      <c r="L18" s="177"/>
      <c r="M18" s="177"/>
      <c r="N18" s="177"/>
      <c r="O18" s="177"/>
      <c r="P18" s="177"/>
      <c r="Q18" s="177"/>
      <c r="R18" s="272"/>
      <c r="S18" s="247">
        <v>6000</v>
      </c>
      <c r="T18" s="247"/>
      <c r="U18" s="247"/>
      <c r="V18" s="36" t="s">
        <v>37</v>
      </c>
      <c r="W18" s="24"/>
      <c r="X18" s="37"/>
      <c r="Y18" s="37"/>
      <c r="Z18" s="37"/>
      <c r="AA18" s="37"/>
      <c r="AB18" s="37"/>
      <c r="AC18" s="37"/>
      <c r="AD18" s="24"/>
      <c r="AE18" s="37"/>
      <c r="AF18" s="37"/>
      <c r="AG18" s="24"/>
      <c r="AH18" s="24"/>
      <c r="AI18" s="24"/>
      <c r="AJ18" s="24"/>
      <c r="AK18" s="24"/>
      <c r="AL18" s="24"/>
      <c r="AM18" s="24"/>
      <c r="AN18" s="24"/>
      <c r="AO18" s="24"/>
      <c r="AP18" s="8"/>
      <c r="AR18" s="6"/>
      <c r="AS18" s="208" t="s">
        <v>38</v>
      </c>
      <c r="AT18" s="208"/>
      <c r="AU18" s="208"/>
      <c r="AV18" s="208"/>
      <c r="AW18" s="208"/>
      <c r="AX18" s="208"/>
      <c r="AY18" s="208"/>
      <c r="AZ18" s="208"/>
      <c r="BA18" s="208"/>
      <c r="BB18" s="208"/>
      <c r="BC18" s="208"/>
      <c r="BD18" s="208"/>
      <c r="BE18" s="208"/>
      <c r="BF18" s="208"/>
      <c r="BG18" s="208"/>
      <c r="BH18" s="208"/>
      <c r="BI18" s="208"/>
      <c r="BJ18" s="248">
        <f>AK20/S29</f>
        <v>46.354024224613056</v>
      </c>
      <c r="BK18" s="248"/>
      <c r="BL18" s="248"/>
      <c r="BM18" s="33" t="s">
        <v>39</v>
      </c>
      <c r="BN18" s="38"/>
      <c r="BO18" s="38"/>
      <c r="BZ18" s="35" t="s">
        <v>40</v>
      </c>
      <c r="CA18" s="249">
        <f>(S28*S28)/AJ28*1000</f>
        <v>161.98010416666671</v>
      </c>
      <c r="CB18" s="249"/>
      <c r="CC18" s="249"/>
      <c r="CD18" s="1" t="s">
        <v>34</v>
      </c>
      <c r="CF18" s="8"/>
      <c r="CM18" s="2">
        <f t="shared" si="26"/>
        <v>3.4</v>
      </c>
      <c r="CN18" s="1" t="str">
        <f t="shared" si="0"/>
        <v>0.0107986736111111+3.67154902777778i</v>
      </c>
      <c r="CO18" s="56" t="str">
        <f t="shared" si="1"/>
        <v>-7.94020118464053i</v>
      </c>
      <c r="CP18" s="1" t="str">
        <f t="shared" si="2"/>
        <v>0.0107986736111111-4.26865215686275i</v>
      </c>
      <c r="CQ18" s="1" t="str">
        <f t="shared" si="4"/>
        <v>0.0191834803010191+1.63059582558663i</v>
      </c>
      <c r="CR18" s="1" t="str">
        <f t="shared" si="5"/>
        <v>0.0543469590714162+2.63793612843225i</v>
      </c>
      <c r="CT18" s="1">
        <f t="shared" si="6"/>
        <v>3.4</v>
      </c>
      <c r="CU18" s="1">
        <f t="shared" si="7"/>
        <v>4.3</v>
      </c>
      <c r="CV18" s="56">
        <f t="shared" si="8"/>
        <v>1.6307086656840339</v>
      </c>
      <c r="CW18" s="2">
        <f t="shared" si="9"/>
        <v>2.6384958991153349</v>
      </c>
      <c r="CX18" s="2">
        <f t="shared" si="10"/>
        <v>3.4</v>
      </c>
      <c r="CY18" s="2">
        <f t="shared" si="11"/>
        <v>1.6180056895745842</v>
      </c>
      <c r="CZ18" s="2">
        <f t="shared" si="12"/>
        <v>3.4</v>
      </c>
      <c r="DA18" s="2">
        <f t="shared" si="13"/>
        <v>0.61810786154806463</v>
      </c>
      <c r="DD18" s="69">
        <f>AH24</f>
        <v>29</v>
      </c>
      <c r="DE18" s="69">
        <f>AH25</f>
        <v>0</v>
      </c>
      <c r="DF18" s="1" t="str">
        <f t="shared" si="14"/>
        <v>0.0107986736111111+31.3161534722222i</v>
      </c>
      <c r="DG18" s="56" t="str">
        <f t="shared" si="15"/>
        <v>-0.930920138888889i</v>
      </c>
      <c r="DH18" s="1" t="str">
        <f t="shared" si="16"/>
        <v>0.0107986736111111+30.3852333333333i</v>
      </c>
      <c r="DI18" s="1" t="str">
        <f t="shared" si="17"/>
        <v>0</v>
      </c>
      <c r="DJ18" s="2">
        <f t="shared" si="18"/>
        <v>0</v>
      </c>
      <c r="DK18" s="1">
        <f t="shared" si="27"/>
        <v>0</v>
      </c>
      <c r="DL18" s="1">
        <f t="shared" si="28"/>
        <v>0</v>
      </c>
      <c r="DM18" s="1">
        <f t="shared" si="19"/>
        <v>0</v>
      </c>
      <c r="DN18" s="1">
        <f t="shared" si="19"/>
        <v>0</v>
      </c>
      <c r="DO18" s="1">
        <f t="shared" si="20"/>
        <v>0.93092013888888903</v>
      </c>
      <c r="DP18" s="1">
        <f t="shared" si="21"/>
        <v>0</v>
      </c>
      <c r="DQ18" s="1">
        <f t="shared" si="29"/>
        <v>0</v>
      </c>
      <c r="DS18" s="69">
        <f t="shared" si="22"/>
        <v>0</v>
      </c>
      <c r="DT18" s="69">
        <f t="shared" si="23"/>
        <v>0</v>
      </c>
      <c r="DU18" s="15">
        <f t="shared" si="3"/>
        <v>0</v>
      </c>
      <c r="DW18" s="1">
        <f t="shared" si="24"/>
        <v>1.0798133717922102E-2</v>
      </c>
      <c r="DX18" s="1">
        <f t="shared" si="25"/>
        <v>0</v>
      </c>
    </row>
    <row r="19" spans="2:128" ht="18" customHeight="1" x14ac:dyDescent="0.25">
      <c r="B19" s="28"/>
      <c r="C19" s="24"/>
      <c r="D19" s="24"/>
      <c r="E19" s="177" t="s">
        <v>41</v>
      </c>
      <c r="F19" s="177"/>
      <c r="G19" s="177"/>
      <c r="H19" s="177"/>
      <c r="I19" s="177"/>
      <c r="J19" s="177"/>
      <c r="K19" s="177"/>
      <c r="L19" s="177"/>
      <c r="M19" s="177"/>
      <c r="N19" s="177"/>
      <c r="O19" s="177"/>
      <c r="P19" s="177"/>
      <c r="Q19" s="177"/>
      <c r="R19" s="272"/>
      <c r="S19" s="358">
        <v>5</v>
      </c>
      <c r="T19" s="358"/>
      <c r="U19" s="358"/>
      <c r="V19" s="33" t="s">
        <v>42</v>
      </c>
      <c r="W19" s="24"/>
      <c r="X19" s="24"/>
      <c r="Y19" s="24"/>
      <c r="Z19" s="24"/>
      <c r="AA19" s="24"/>
      <c r="AB19" s="24"/>
      <c r="AC19" s="24"/>
      <c r="AD19" s="24"/>
      <c r="AE19" s="24"/>
      <c r="AF19" s="24"/>
      <c r="AG19" s="24"/>
      <c r="AH19" s="24"/>
      <c r="AI19" s="24"/>
      <c r="AJ19" s="32" t="s">
        <v>43</v>
      </c>
      <c r="AK19" s="158">
        <f>S20*S19</f>
        <v>300</v>
      </c>
      <c r="AL19" s="158"/>
      <c r="AM19" s="158"/>
      <c r="AN19" s="24" t="s">
        <v>44</v>
      </c>
      <c r="AO19" s="24"/>
      <c r="AP19" s="8"/>
      <c r="AR19" s="6"/>
      <c r="AS19" s="208" t="s">
        <v>45</v>
      </c>
      <c r="AT19" s="208"/>
      <c r="AU19" s="208"/>
      <c r="AV19" s="208"/>
      <c r="AW19" s="208"/>
      <c r="AX19" s="208"/>
      <c r="AY19" s="208"/>
      <c r="AZ19" s="208"/>
      <c r="BA19" s="208"/>
      <c r="BB19" s="208"/>
      <c r="BC19" s="208"/>
      <c r="BD19" s="208"/>
      <c r="BE19" s="208"/>
      <c r="BF19" s="208"/>
      <c r="BG19" s="208"/>
      <c r="BH19" s="208"/>
      <c r="BI19" s="208"/>
      <c r="BJ19" s="185">
        <f>1.8*BJ18</f>
        <v>83.437243604303504</v>
      </c>
      <c r="BK19" s="185"/>
      <c r="BL19" s="185"/>
      <c r="BM19" s="33" t="s">
        <v>39</v>
      </c>
      <c r="BN19" s="38"/>
      <c r="BO19" s="38"/>
      <c r="BZ19" s="35" t="s">
        <v>46</v>
      </c>
      <c r="CA19" s="249">
        <f>1000*1000/(2*3.1415*S20*CA18)</f>
        <v>16.376459517960587</v>
      </c>
      <c r="CB19" s="249"/>
      <c r="CC19" s="249"/>
      <c r="CD19" s="1" t="s">
        <v>47</v>
      </c>
      <c r="CF19" s="8"/>
      <c r="CM19" s="2">
        <f t="shared" si="26"/>
        <v>3.6</v>
      </c>
      <c r="CN19" s="1" t="str">
        <f t="shared" si="0"/>
        <v>0.0107986736111111+3.8875225i</v>
      </c>
      <c r="CO19" s="56" t="str">
        <f t="shared" si="1"/>
        <v>-7.49907889660494i</v>
      </c>
      <c r="CP19" s="1" t="str">
        <f t="shared" si="2"/>
        <v>0.0107986736111111-3.61155639660494i</v>
      </c>
      <c r="CQ19" s="1" t="str">
        <f t="shared" si="4"/>
        <v>0.0191834803010191+1.72651322709173i</v>
      </c>
      <c r="CR19" s="1" t="str">
        <f t="shared" si="5"/>
        <v>0.0794567485889688+3.30667480809618i</v>
      </c>
      <c r="CT19" s="1">
        <f t="shared" si="6"/>
        <v>3.6</v>
      </c>
      <c r="CU19" s="1">
        <f t="shared" si="7"/>
        <v>3.6</v>
      </c>
      <c r="CV19" s="56">
        <f t="shared" si="8"/>
        <v>1.7266197986931455</v>
      </c>
      <c r="CW19" s="2">
        <f t="shared" si="9"/>
        <v>3.3076293113639923</v>
      </c>
      <c r="CX19" s="2">
        <f t="shared" si="10"/>
        <v>3.6</v>
      </c>
      <c r="CY19" s="2">
        <f t="shared" si="11"/>
        <v>1.9156674294291667</v>
      </c>
      <c r="CZ19" s="2">
        <f t="shared" si="12"/>
        <v>3.6</v>
      </c>
      <c r="DA19" s="2">
        <f t="shared" si="13"/>
        <v>0.91584185947518559</v>
      </c>
      <c r="DD19" s="69">
        <f>AJ24</f>
        <v>31</v>
      </c>
      <c r="DE19" s="69">
        <f>AJ25</f>
        <v>0</v>
      </c>
      <c r="DF19" s="1" t="str">
        <f t="shared" si="14"/>
        <v>0.0107986736111111+33.4758881944445i</v>
      </c>
      <c r="DG19" s="56" t="str">
        <f t="shared" si="15"/>
        <v>-0.870860775089606i</v>
      </c>
      <c r="DH19" s="1" t="str">
        <f t="shared" si="16"/>
        <v>0.0107986736111111+32.6050274193549i</v>
      </c>
      <c r="DI19" s="1" t="str">
        <f t="shared" si="17"/>
        <v>0</v>
      </c>
      <c r="DJ19" s="2">
        <f t="shared" si="18"/>
        <v>0</v>
      </c>
      <c r="DK19" s="1">
        <f t="shared" si="27"/>
        <v>0</v>
      </c>
      <c r="DL19" s="1">
        <f t="shared" si="28"/>
        <v>0</v>
      </c>
      <c r="DM19" s="1">
        <f t="shared" si="19"/>
        <v>0</v>
      </c>
      <c r="DN19" s="1">
        <f t="shared" si="19"/>
        <v>0</v>
      </c>
      <c r="DO19" s="1">
        <f t="shared" si="20"/>
        <v>0.87086077508960602</v>
      </c>
      <c r="DP19" s="1">
        <f t="shared" si="21"/>
        <v>0</v>
      </c>
      <c r="DQ19" s="1">
        <f t="shared" si="29"/>
        <v>0</v>
      </c>
      <c r="DS19" s="69">
        <f t="shared" si="22"/>
        <v>0</v>
      </c>
      <c r="DT19" s="69">
        <f t="shared" si="23"/>
        <v>0</v>
      </c>
      <c r="DU19" s="15">
        <f t="shared" si="3"/>
        <v>0</v>
      </c>
      <c r="DW19" s="1">
        <f t="shared" si="24"/>
        <v>1.0798133717922102E-2</v>
      </c>
      <c r="DX19" s="1">
        <f t="shared" si="25"/>
        <v>0</v>
      </c>
    </row>
    <row r="20" spans="2:128" ht="18" customHeight="1" x14ac:dyDescent="0.25">
      <c r="B20" s="28"/>
      <c r="C20" s="24"/>
      <c r="D20" s="24"/>
      <c r="E20" s="177" t="s">
        <v>48</v>
      </c>
      <c r="F20" s="177"/>
      <c r="G20" s="177"/>
      <c r="H20" s="177"/>
      <c r="I20" s="177"/>
      <c r="J20" s="177"/>
      <c r="K20" s="177"/>
      <c r="L20" s="177"/>
      <c r="M20" s="177"/>
      <c r="N20" s="177"/>
      <c r="O20" s="177"/>
      <c r="P20" s="177"/>
      <c r="Q20" s="177"/>
      <c r="R20" s="272"/>
      <c r="S20" s="247">
        <v>60</v>
      </c>
      <c r="T20" s="247"/>
      <c r="U20" s="247"/>
      <c r="V20" s="33" t="s">
        <v>49</v>
      </c>
      <c r="W20" s="24"/>
      <c r="X20" s="24"/>
      <c r="Y20" s="24"/>
      <c r="Z20" s="24"/>
      <c r="AA20" s="24"/>
      <c r="AB20" s="24"/>
      <c r="AC20" s="24"/>
      <c r="AD20" s="24"/>
      <c r="AE20" s="24"/>
      <c r="AF20" s="24"/>
      <c r="AG20" s="24"/>
      <c r="AH20" s="24"/>
      <c r="AI20" s="24"/>
      <c r="AJ20" s="32" t="s">
        <v>50</v>
      </c>
      <c r="AK20" s="199">
        <f>1000*0.001*S18/(S17*1.73)</f>
        <v>278.12414534767834</v>
      </c>
      <c r="AL20" s="199"/>
      <c r="AM20" s="199"/>
      <c r="AN20" s="24" t="s">
        <v>39</v>
      </c>
      <c r="AO20" s="24"/>
      <c r="AP20" s="8"/>
      <c r="AR20" s="6"/>
      <c r="AS20" s="177" t="s">
        <v>51</v>
      </c>
      <c r="AT20" s="177"/>
      <c r="AU20" s="177"/>
      <c r="AV20" s="177"/>
      <c r="AW20" s="177"/>
      <c r="AX20" s="177"/>
      <c r="AY20" s="177"/>
      <c r="AZ20" s="177"/>
      <c r="BA20" s="177"/>
      <c r="BB20" s="177"/>
      <c r="BC20" s="177"/>
      <c r="BD20" s="177"/>
      <c r="BE20" s="177"/>
      <c r="BF20" s="177"/>
      <c r="BG20" s="177"/>
      <c r="BH20" s="177"/>
      <c r="BI20" s="177"/>
      <c r="BJ20" s="211">
        <f>AK20*AJ30/1000</f>
        <v>7.508429672447015</v>
      </c>
      <c r="BK20" s="211"/>
      <c r="BL20" s="211"/>
      <c r="BM20" s="354" t="s">
        <v>32</v>
      </c>
      <c r="BN20" s="354"/>
      <c r="BO20" s="354"/>
      <c r="CF20" s="8"/>
      <c r="CM20" s="2">
        <f t="shared" si="26"/>
        <v>3.8</v>
      </c>
      <c r="CN20" s="1" t="str">
        <f t="shared" si="0"/>
        <v>0.0107986736111111+4.10349597222222i</v>
      </c>
      <c r="CO20" s="56" t="str">
        <f t="shared" si="1"/>
        <v>-7.10439053362573i</v>
      </c>
      <c r="CP20" s="1" t="str">
        <f t="shared" si="2"/>
        <v>0.0107986736111111-3.00089456140351i</v>
      </c>
      <c r="CQ20" s="1" t="str">
        <f t="shared" si="4"/>
        <v>0.0191834803010191+1.82243062859682i</v>
      </c>
      <c r="CR20" s="1" t="str">
        <f t="shared" si="5"/>
        <v>0.150125367110544+4.63707720197784i</v>
      </c>
      <c r="CT20" s="1">
        <f t="shared" si="6"/>
        <v>3.8</v>
      </c>
      <c r="CU20" s="1">
        <f t="shared" si="7"/>
        <v>3</v>
      </c>
      <c r="CV20" s="56">
        <f t="shared" si="8"/>
        <v>1.8225315914859364</v>
      </c>
      <c r="CW20" s="2">
        <f t="shared" si="9"/>
        <v>4.6395067197874296</v>
      </c>
      <c r="CX20" s="2">
        <f t="shared" si="10"/>
        <v>3.8</v>
      </c>
      <c r="CY20" s="2">
        <f t="shared" si="11"/>
        <v>2.5456385729943825</v>
      </c>
      <c r="CZ20" s="2">
        <f t="shared" si="12"/>
        <v>3.8</v>
      </c>
      <c r="DA20" s="2">
        <f t="shared" si="13"/>
        <v>1.5460312205060727</v>
      </c>
      <c r="DD20" s="69">
        <f>AL24</f>
        <v>35</v>
      </c>
      <c r="DE20" s="69">
        <f>AL25</f>
        <v>0</v>
      </c>
      <c r="DF20" s="1" t="str">
        <f t="shared" si="14"/>
        <v>0.0107986736111111+37.7953576388889i</v>
      </c>
      <c r="DG20" s="56" t="str">
        <f t="shared" si="15"/>
        <v>-0.77133382936508i</v>
      </c>
      <c r="DH20" s="1" t="str">
        <f t="shared" si="16"/>
        <v>0.0107986736111111+37.0240238095238i</v>
      </c>
      <c r="DI20" s="1" t="str">
        <f t="shared" si="17"/>
        <v>0</v>
      </c>
      <c r="DJ20" s="2">
        <f t="shared" si="18"/>
        <v>0</v>
      </c>
      <c r="DK20" s="1">
        <f t="shared" si="27"/>
        <v>0</v>
      </c>
      <c r="DL20" s="1">
        <f t="shared" si="28"/>
        <v>0</v>
      </c>
      <c r="DM20" s="1">
        <f t="shared" si="19"/>
        <v>0</v>
      </c>
      <c r="DN20" s="1">
        <f t="shared" si="19"/>
        <v>0</v>
      </c>
      <c r="DO20" s="1">
        <f t="shared" si="20"/>
        <v>0.77133382936507999</v>
      </c>
      <c r="DP20" s="1">
        <f t="shared" si="21"/>
        <v>0</v>
      </c>
      <c r="DQ20" s="1">
        <f t="shared" si="29"/>
        <v>0</v>
      </c>
      <c r="DS20" s="69">
        <f t="shared" si="22"/>
        <v>0</v>
      </c>
      <c r="DT20" s="69">
        <f t="shared" si="23"/>
        <v>0</v>
      </c>
      <c r="DU20" s="15">
        <f t="shared" si="3"/>
        <v>0</v>
      </c>
      <c r="DW20" s="1">
        <f t="shared" si="24"/>
        <v>1.0798133717922102E-2</v>
      </c>
      <c r="DX20" s="1">
        <f t="shared" si="25"/>
        <v>0</v>
      </c>
    </row>
    <row r="21" spans="2:128" ht="18" customHeight="1" x14ac:dyDescent="0.25">
      <c r="B21" s="28"/>
      <c r="V21" s="24"/>
      <c r="W21" s="24"/>
      <c r="X21" s="24"/>
      <c r="Y21" s="24"/>
      <c r="Z21" s="24"/>
      <c r="AA21" s="24"/>
      <c r="AB21" s="24"/>
      <c r="AC21" s="24"/>
      <c r="AD21" s="24"/>
      <c r="AE21" s="24"/>
      <c r="AF21" s="24"/>
      <c r="AG21" s="24"/>
      <c r="AH21" s="24"/>
      <c r="AI21" s="24"/>
      <c r="AJ21" s="32" t="s">
        <v>52</v>
      </c>
      <c r="AK21" s="355">
        <f>DE23</f>
        <v>319.29459786438059</v>
      </c>
      <c r="AL21" s="355"/>
      <c r="AM21" s="355"/>
      <c r="AN21" s="39" t="s">
        <v>39</v>
      </c>
      <c r="AO21" s="24"/>
      <c r="AP21" s="8"/>
      <c r="AR21" s="6"/>
      <c r="AS21" s="177" t="s">
        <v>53</v>
      </c>
      <c r="AT21" s="177"/>
      <c r="AU21" s="177"/>
      <c r="AV21" s="177"/>
      <c r="AW21" s="177"/>
      <c r="AX21" s="177"/>
      <c r="AY21" s="177"/>
      <c r="AZ21" s="177"/>
      <c r="BA21" s="177"/>
      <c r="BB21" s="177"/>
      <c r="BC21" s="177"/>
      <c r="BD21" s="177"/>
      <c r="BE21" s="177"/>
      <c r="BF21" s="177"/>
      <c r="BG21" s="177"/>
      <c r="BH21" s="177"/>
      <c r="BI21" s="177"/>
      <c r="BJ21" s="211">
        <f>DK23/1000</f>
        <v>7.5487966822233812</v>
      </c>
      <c r="BK21" s="211"/>
      <c r="BL21" s="211"/>
      <c r="BM21" s="354" t="s">
        <v>32</v>
      </c>
      <c r="BN21" s="354"/>
      <c r="BO21" s="354"/>
      <c r="CF21" s="8"/>
      <c r="CM21" s="2">
        <f t="shared" si="26"/>
        <v>4</v>
      </c>
      <c r="CN21" s="1" t="str">
        <f t="shared" si="0"/>
        <v>0.0107986736111111+4.31946944444445i</v>
      </c>
      <c r="CO21" s="56" t="str">
        <f t="shared" si="1"/>
        <v>-6.74917100694445i</v>
      </c>
      <c r="CP21" s="1" t="str">
        <f t="shared" si="2"/>
        <v>0.0107986736111111-2.4297015625i</v>
      </c>
      <c r="CQ21" s="1" t="str">
        <f t="shared" si="4"/>
        <v>0.0191834803010191+1.91834803010192i</v>
      </c>
      <c r="CR21" s="1" t="str">
        <f t="shared" si="5"/>
        <v>0.583100403027038+9.08126660334689i</v>
      </c>
      <c r="CT21" s="1">
        <f t="shared" si="6"/>
        <v>4</v>
      </c>
      <c r="CU21" s="1">
        <f t="shared" si="7"/>
        <v>2.4</v>
      </c>
      <c r="CV21" s="56">
        <f t="shared" si="8"/>
        <v>1.9184439451056097</v>
      </c>
      <c r="CW21" s="2">
        <f t="shared" si="9"/>
        <v>9.0999675384626446</v>
      </c>
      <c r="CX21" s="2">
        <f t="shared" si="10"/>
        <v>4</v>
      </c>
      <c r="CY21" s="2">
        <f t="shared" si="11"/>
        <v>4.7434107009895907</v>
      </c>
      <c r="CZ21" s="2">
        <f t="shared" si="12"/>
        <v>4</v>
      </c>
      <c r="DA21" s="2">
        <f t="shared" si="13"/>
        <v>3.7452655931160304</v>
      </c>
      <c r="DD21" s="69">
        <f>AN24</f>
        <v>37</v>
      </c>
      <c r="DE21" s="69">
        <f>AN25</f>
        <v>0</v>
      </c>
      <c r="DF21" s="1" t="str">
        <f t="shared" si="14"/>
        <v>0.0107986736111111+39.9550923611111i</v>
      </c>
      <c r="DG21" s="56" t="str">
        <f t="shared" si="15"/>
        <v>-0.729640108858859i</v>
      </c>
      <c r="DH21" s="1" t="str">
        <f t="shared" si="16"/>
        <v>0.0107986736111111+39.2254522522522i</v>
      </c>
      <c r="DI21" s="1" t="str">
        <f t="shared" si="17"/>
        <v>0</v>
      </c>
      <c r="DJ21" s="2">
        <f t="shared" si="18"/>
        <v>0</v>
      </c>
      <c r="DK21" s="1">
        <f t="shared" si="27"/>
        <v>0</v>
      </c>
      <c r="DL21" s="1">
        <f t="shared" si="28"/>
        <v>0</v>
      </c>
      <c r="DM21" s="1">
        <f t="shared" si="19"/>
        <v>0</v>
      </c>
      <c r="DN21" s="1">
        <f t="shared" si="19"/>
        <v>0</v>
      </c>
      <c r="DO21" s="1">
        <f t="shared" si="20"/>
        <v>0.72964010885885899</v>
      </c>
      <c r="DP21" s="1">
        <f t="shared" si="21"/>
        <v>0</v>
      </c>
      <c r="DQ21" s="1">
        <f t="shared" si="29"/>
        <v>0</v>
      </c>
      <c r="DS21" s="69">
        <f t="shared" si="22"/>
        <v>0</v>
      </c>
      <c r="DT21" s="69">
        <f t="shared" si="23"/>
        <v>0</v>
      </c>
      <c r="DU21" s="15">
        <f t="shared" si="3"/>
        <v>0</v>
      </c>
      <c r="DW21" s="1">
        <f t="shared" si="24"/>
        <v>1.0798133717922102E-2</v>
      </c>
      <c r="DX21" s="1">
        <f t="shared" si="25"/>
        <v>0</v>
      </c>
    </row>
    <row r="22" spans="2:128" ht="18" customHeight="1" x14ac:dyDescent="0.25">
      <c r="B22" s="6"/>
      <c r="AP22" s="8"/>
      <c r="AR22" s="6"/>
      <c r="AS22" s="177" t="s">
        <v>54</v>
      </c>
      <c r="AT22" s="177"/>
      <c r="AU22" s="177"/>
      <c r="AV22" s="177"/>
      <c r="AW22" s="177"/>
      <c r="AX22" s="177"/>
      <c r="AY22" s="177"/>
      <c r="AZ22" s="177"/>
      <c r="BA22" s="177"/>
      <c r="BB22" s="177"/>
      <c r="BC22" s="177"/>
      <c r="BD22" s="177"/>
      <c r="BE22" s="177"/>
      <c r="BF22" s="177"/>
      <c r="BG22" s="177"/>
      <c r="BH22" s="177"/>
      <c r="BI22" s="177"/>
      <c r="BJ22" s="211">
        <f>DM23/1000</f>
        <v>12.157784447368146</v>
      </c>
      <c r="BK22" s="211"/>
      <c r="BL22" s="211"/>
      <c r="BM22" s="354" t="s">
        <v>32</v>
      </c>
      <c r="BN22" s="354"/>
      <c r="BO22" s="354"/>
      <c r="CF22" s="8"/>
      <c r="CM22" s="2">
        <f t="shared" si="26"/>
        <v>4.2</v>
      </c>
      <c r="CN22" s="1" t="str">
        <f t="shared" si="0"/>
        <v>0.0107986736111111+4.53544291666667i</v>
      </c>
      <c r="CO22" s="56" t="str">
        <f t="shared" si="1"/>
        <v>-6.42778191137566i</v>
      </c>
      <c r="CP22" s="1" t="str">
        <f t="shared" si="2"/>
        <v>0.0107986736111111-1.89233899470899i</v>
      </c>
      <c r="CQ22" s="1" t="str">
        <f t="shared" si="4"/>
        <v>0.0191834803010191+2.01426543160701i</v>
      </c>
      <c r="CR22" s="1" t="str">
        <f t="shared" si="5"/>
        <v>7.13697562368256-29.5087625619677i</v>
      </c>
      <c r="CT22" s="1">
        <f t="shared" si="6"/>
        <v>4.2</v>
      </c>
      <c r="CU22" s="1">
        <f t="shared" si="7"/>
        <v>1.9</v>
      </c>
      <c r="CV22" s="56">
        <f t="shared" si="8"/>
        <v>2.0143567794418731</v>
      </c>
      <c r="CW22" s="2">
        <f t="shared" si="9"/>
        <v>30.359569973759932</v>
      </c>
      <c r="CX22" s="2">
        <f t="shared" si="10"/>
        <v>4.2</v>
      </c>
      <c r="CY22" s="2">
        <f t="shared" si="11"/>
        <v>15.071595202798015</v>
      </c>
      <c r="CZ22" s="2">
        <f t="shared" si="12"/>
        <v>4.2</v>
      </c>
      <c r="DA22" s="2">
        <f t="shared" si="13"/>
        <v>16.043148585043685</v>
      </c>
      <c r="DU22" s="15"/>
    </row>
    <row r="23" spans="2:128" ht="18" customHeight="1" x14ac:dyDescent="0.25">
      <c r="B23" s="6"/>
      <c r="C23" s="162" t="s">
        <v>55</v>
      </c>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8"/>
      <c r="AR23" s="6"/>
      <c r="AS23" s="177" t="s">
        <v>56</v>
      </c>
      <c r="AT23" s="177"/>
      <c r="AU23" s="177"/>
      <c r="AV23" s="177"/>
      <c r="AW23" s="177"/>
      <c r="AX23" s="177"/>
      <c r="AY23" s="177"/>
      <c r="AZ23" s="177"/>
      <c r="BA23" s="177"/>
      <c r="BB23" s="177"/>
      <c r="BC23" s="177"/>
      <c r="BD23" s="177"/>
      <c r="BE23" s="177"/>
      <c r="BF23" s="177"/>
      <c r="BG23" s="177"/>
      <c r="BH23" s="177"/>
      <c r="BI23" s="177"/>
      <c r="BJ23" s="185">
        <f>DE23</f>
        <v>319.29459786438059</v>
      </c>
      <c r="BK23" s="185"/>
      <c r="BL23" s="185"/>
      <c r="BM23" s="354" t="s">
        <v>39</v>
      </c>
      <c r="BN23" s="354"/>
      <c r="BO23" s="354"/>
      <c r="CF23" s="8"/>
      <c r="CM23" s="2">
        <f t="shared" si="26"/>
        <v>4.4000000000000004</v>
      </c>
      <c r="CN23" s="1" t="str">
        <f t="shared" si="0"/>
        <v>0.0107986736111111+4.75141638888889i</v>
      </c>
      <c r="CO23" s="56" t="str">
        <f t="shared" si="1"/>
        <v>-6.13561000631313i</v>
      </c>
      <c r="CP23" s="1" t="str">
        <f t="shared" si="2"/>
        <v>0.0107986736111111-1.38419361742424i</v>
      </c>
      <c r="CQ23" s="1" t="str">
        <f t="shared" si="4"/>
        <v>0.0191834803010191+2.11018283311211i</v>
      </c>
      <c r="CR23" s="1" t="str">
        <f t="shared" si="5"/>
        <v>0.160706927255777-4.01698863080712i</v>
      </c>
      <c r="CT23" s="1">
        <f t="shared" si="6"/>
        <v>4.4000000000000004</v>
      </c>
      <c r="CU23" s="1">
        <f t="shared" si="7"/>
        <v>1.4</v>
      </c>
      <c r="CV23" s="56">
        <f t="shared" si="8"/>
        <v>2.1102700289483125</v>
      </c>
      <c r="CW23" s="2">
        <f t="shared" si="9"/>
        <v>4.0202020318015927</v>
      </c>
      <c r="CX23" s="2">
        <f t="shared" si="10"/>
        <v>4.4000000000000004</v>
      </c>
      <c r="CY23" s="2">
        <f t="shared" si="11"/>
        <v>1.9050652175566023</v>
      </c>
      <c r="CZ23" s="2">
        <f t="shared" si="12"/>
        <v>4.4000000000000004</v>
      </c>
      <c r="DA23" s="2">
        <f t="shared" si="13"/>
        <v>2.9042755635860424</v>
      </c>
      <c r="DD23" s="1" t="s">
        <v>144</v>
      </c>
      <c r="DE23" s="15">
        <f>SQRT(SUM(DE6^2,DE7^2,DE8^2,DE9^2,DE10^2,DE11^2,DE12^2,DE13^2,DE14^2,DE15^2,DE16^2,DE17^2,DE18^2,DE19^2,DE20^2,DE21^2))</f>
        <v>319.29459786438059</v>
      </c>
      <c r="DK23" s="15">
        <f>SQRT(SUM(DK6^2,DK7^2,DK8^2,DK9^2,DK10^2,DK11^2,DK12^2,DK13^2,DK14^2,DK15^2,DK16^2,DK17^2,DK18^2,DK19^2,DK20^2,DK21^2))</f>
        <v>7548.7966822233811</v>
      </c>
      <c r="DL23" s="15">
        <f>SQRT(SUM(DL6^2,DL7^2,DL8^2,DL9^2,DL10^2,DL11^2,DL12^2,DL13^2,DL14^2,DL15^2,DL16^2,DL17^2,DL18^2,DL19^2,DL20^2,DL21^2))</f>
        <v>8295.9869660109835</v>
      </c>
      <c r="DM23" s="1">
        <f>SUM(DM6:DM21)</f>
        <v>12157.784447368145</v>
      </c>
      <c r="DN23" s="1">
        <f>SUM(DN6:DN21)</f>
        <v>13219.63675485806</v>
      </c>
      <c r="DP23" s="1">
        <f>SUM(DP6:DP21)</f>
        <v>2208.1613380429158</v>
      </c>
      <c r="DQ23" s="1">
        <f>SUM(DQ6:DQ21)</f>
        <v>2646.6992110089359</v>
      </c>
      <c r="DX23" s="1">
        <f>SUM(DX6:DX21)</f>
        <v>1100.8593687674347</v>
      </c>
    </row>
    <row r="24" spans="2:128" ht="18" customHeight="1" x14ac:dyDescent="0.25">
      <c r="B24" s="6"/>
      <c r="C24" s="159" t="s">
        <v>57</v>
      </c>
      <c r="D24" s="159"/>
      <c r="E24" s="159"/>
      <c r="F24" s="159"/>
      <c r="G24" s="159"/>
      <c r="H24" s="159"/>
      <c r="I24" s="160"/>
      <c r="J24" s="165">
        <v>1</v>
      </c>
      <c r="K24" s="166"/>
      <c r="L24" s="169">
        <v>2</v>
      </c>
      <c r="M24" s="170"/>
      <c r="N24" s="169">
        <v>3</v>
      </c>
      <c r="O24" s="170"/>
      <c r="P24" s="169">
        <v>4</v>
      </c>
      <c r="Q24" s="170"/>
      <c r="R24" s="169">
        <v>5</v>
      </c>
      <c r="S24" s="170"/>
      <c r="T24" s="169">
        <v>7</v>
      </c>
      <c r="U24" s="170"/>
      <c r="V24" s="169">
        <v>11</v>
      </c>
      <c r="W24" s="170"/>
      <c r="X24" s="169">
        <v>13</v>
      </c>
      <c r="Y24" s="170"/>
      <c r="Z24" s="169">
        <v>17</v>
      </c>
      <c r="AA24" s="170"/>
      <c r="AB24" s="169">
        <v>19</v>
      </c>
      <c r="AC24" s="170"/>
      <c r="AD24" s="169">
        <v>23</v>
      </c>
      <c r="AE24" s="170"/>
      <c r="AF24" s="169">
        <v>25</v>
      </c>
      <c r="AG24" s="170"/>
      <c r="AH24" s="169">
        <v>29</v>
      </c>
      <c r="AI24" s="170"/>
      <c r="AJ24" s="169">
        <v>31</v>
      </c>
      <c r="AK24" s="170"/>
      <c r="AL24" s="169">
        <v>35</v>
      </c>
      <c r="AM24" s="170"/>
      <c r="AN24" s="169">
        <v>37</v>
      </c>
      <c r="AO24" s="171"/>
      <c r="AP24" s="8"/>
      <c r="AR24" s="6"/>
      <c r="AS24" s="177" t="s">
        <v>58</v>
      </c>
      <c r="AT24" s="177"/>
      <c r="AU24" s="177"/>
      <c r="AV24" s="177"/>
      <c r="AW24" s="177"/>
      <c r="AX24" s="177"/>
      <c r="AY24" s="177"/>
      <c r="AZ24" s="177"/>
      <c r="BA24" s="177"/>
      <c r="BB24" s="177"/>
      <c r="BC24" s="177"/>
      <c r="BD24" s="177"/>
      <c r="BE24" s="177"/>
      <c r="BF24" s="177"/>
      <c r="BG24" s="177"/>
      <c r="BH24" s="177"/>
      <c r="BI24" s="177"/>
      <c r="BJ24" s="185">
        <f>DP23</f>
        <v>2208.1613380429158</v>
      </c>
      <c r="BK24" s="185"/>
      <c r="BL24" s="185"/>
      <c r="BM24" s="354" t="s">
        <v>37</v>
      </c>
      <c r="BN24" s="354"/>
      <c r="BO24" s="354"/>
      <c r="CF24" s="8"/>
      <c r="CM24" s="2">
        <f t="shared" si="26"/>
        <v>4.5999999999999996</v>
      </c>
      <c r="CN24" s="1" t="str">
        <f t="shared" si="0"/>
        <v>0.0107986736111111+4.96738986111111i</v>
      </c>
      <c r="CO24" s="56" t="str">
        <f t="shared" si="1"/>
        <v>-5.86884435386474i</v>
      </c>
      <c r="CP24" s="1" t="str">
        <f t="shared" si="2"/>
        <v>0.0107986736111111-0.90145449275363i</v>
      </c>
      <c r="CQ24" s="1" t="str">
        <f t="shared" si="4"/>
        <v>0.0191834803010191+2.2061002346172i</v>
      </c>
      <c r="CR24" s="1" t="str">
        <f t="shared" si="5"/>
        <v>0.0400181718535148-1.52356017371885i</v>
      </c>
      <c r="CT24" s="1">
        <f t="shared" si="6"/>
        <v>4.5999999999999996</v>
      </c>
      <c r="CU24" s="1">
        <f t="shared" si="7"/>
        <v>0.9</v>
      </c>
      <c r="CV24" s="56">
        <f t="shared" si="8"/>
        <v>2.2061836394766701</v>
      </c>
      <c r="CW24" s="2">
        <f t="shared" si="9"/>
        <v>1.5240856462222556</v>
      </c>
      <c r="CX24" s="2">
        <f t="shared" si="10"/>
        <v>4.5999999999999996</v>
      </c>
      <c r="CY24" s="2">
        <f t="shared" si="11"/>
        <v>0.69082447125017221</v>
      </c>
      <c r="CZ24" s="2">
        <f t="shared" si="12"/>
        <v>4.5999999999999996</v>
      </c>
      <c r="DA24" s="2">
        <f t="shared" si="13"/>
        <v>1.6905748618091234</v>
      </c>
      <c r="DD24" s="1" t="s">
        <v>672</v>
      </c>
      <c r="DE24" s="1">
        <f>SQRT(SUM((DE6*1.1)^2,DE7^2,DE8^2,DE9^2,DE10^2,DE11^2,DE12^2,DE13^2,DE14^2,DE15^2,DE16^2,DE17^2,DE18^2,DE19^2,DE20^2,DE21^2))</f>
        <v>343.79234818812591</v>
      </c>
    </row>
    <row r="25" spans="2:128" ht="18" customHeight="1" x14ac:dyDescent="0.35">
      <c r="B25" s="6"/>
      <c r="C25" s="159" t="s">
        <v>59</v>
      </c>
      <c r="D25" s="159"/>
      <c r="E25" s="159"/>
      <c r="F25" s="159"/>
      <c r="G25" s="159"/>
      <c r="H25" s="159"/>
      <c r="I25" s="160"/>
      <c r="J25" s="165">
        <f>AK20</f>
        <v>278.12414534767834</v>
      </c>
      <c r="K25" s="166"/>
      <c r="L25" s="169">
        <v>0</v>
      </c>
      <c r="M25" s="170"/>
      <c r="N25" s="169">
        <v>0</v>
      </c>
      <c r="O25" s="170"/>
      <c r="P25" s="169">
        <v>0</v>
      </c>
      <c r="Q25" s="170"/>
      <c r="R25" s="169">
        <v>136</v>
      </c>
      <c r="S25" s="170"/>
      <c r="T25" s="169">
        <v>60</v>
      </c>
      <c r="U25" s="170"/>
      <c r="V25" s="169">
        <v>50</v>
      </c>
      <c r="W25" s="170"/>
      <c r="X25" s="169">
        <v>0</v>
      </c>
      <c r="Y25" s="170"/>
      <c r="Z25" s="169">
        <v>0</v>
      </c>
      <c r="AA25" s="170"/>
      <c r="AB25" s="169">
        <v>0</v>
      </c>
      <c r="AC25" s="170"/>
      <c r="AD25" s="169">
        <v>0</v>
      </c>
      <c r="AE25" s="170"/>
      <c r="AF25" s="169">
        <v>0</v>
      </c>
      <c r="AG25" s="170"/>
      <c r="AH25" s="169">
        <v>0</v>
      </c>
      <c r="AI25" s="170"/>
      <c r="AJ25" s="169">
        <v>0</v>
      </c>
      <c r="AK25" s="170"/>
      <c r="AL25" s="169">
        <v>0</v>
      </c>
      <c r="AM25" s="170"/>
      <c r="AN25" s="169">
        <v>0</v>
      </c>
      <c r="AO25" s="171"/>
      <c r="AP25" s="8"/>
      <c r="AR25" s="6"/>
      <c r="CF25" s="8"/>
      <c r="CM25" s="2">
        <f t="shared" si="26"/>
        <v>4.8</v>
      </c>
      <c r="CN25" s="1" t="str">
        <f t="shared" si="0"/>
        <v>0.0107986736111111+5.18336333333333i</v>
      </c>
      <c r="CO25" s="56" t="str">
        <f t="shared" si="1"/>
        <v>-5.62430917245371i</v>
      </c>
      <c r="CP25" s="1" t="str">
        <f t="shared" si="2"/>
        <v>0.0107986736111111-0.44094583912038i</v>
      </c>
      <c r="CQ25" s="1" t="str">
        <f t="shared" si="4"/>
        <v>0.0191834803010191+2.3020176361223i</v>
      </c>
      <c r="CR25" s="1" t="str">
        <f t="shared" si="5"/>
        <v>0.0175960727886104-0.54524746860624i</v>
      </c>
      <c r="CT25" s="1">
        <f t="shared" si="6"/>
        <v>4.8</v>
      </c>
      <c r="CU25" s="1">
        <f t="shared" si="7"/>
        <v>0.4</v>
      </c>
      <c r="CV25" s="56">
        <f t="shared" si="8"/>
        <v>2.3020975659025749</v>
      </c>
      <c r="CW25" s="2">
        <f t="shared" si="9"/>
        <v>0.54553132247295821</v>
      </c>
      <c r="CX25" s="2">
        <f t="shared" si="10"/>
        <v>4.8</v>
      </c>
      <c r="CY25" s="2">
        <f t="shared" si="11"/>
        <v>0.236971417090688</v>
      </c>
      <c r="CZ25" s="2">
        <f t="shared" si="12"/>
        <v>4.8</v>
      </c>
      <c r="DA25" s="2">
        <f t="shared" si="13"/>
        <v>1.2368135866205006</v>
      </c>
    </row>
    <row r="26" spans="2:128" ht="18" customHeight="1" x14ac:dyDescent="0.25">
      <c r="B26" s="6"/>
      <c r="AP26" s="8"/>
      <c r="AR26" s="6"/>
      <c r="CF26" s="27"/>
      <c r="CM26" s="2">
        <f t="shared" si="26"/>
        <v>5</v>
      </c>
      <c r="CN26" s="1" t="str">
        <f t="shared" si="0"/>
        <v>0.0107986736111111+5.39933680555556i</v>
      </c>
      <c r="CO26" s="56" t="str">
        <f t="shared" si="1"/>
        <v>-5.39933680555556i</v>
      </c>
      <c r="CP26" s="1" t="str">
        <f t="shared" si="2"/>
        <v>0.0107986736111111</v>
      </c>
      <c r="CQ26" s="1" t="str">
        <f t="shared" si="4"/>
        <v>0.0191834803010191+2.3979350376274i</v>
      </c>
      <c r="CR26" s="1" t="str">
        <f t="shared" si="5"/>
        <v>0.0107980656707981+0.0000486223031774176i</v>
      </c>
      <c r="CT26" s="1">
        <f t="shared" si="6"/>
        <v>5</v>
      </c>
      <c r="CU26" s="1">
        <f t="shared" si="7"/>
        <v>0</v>
      </c>
      <c r="CV26" s="56">
        <f t="shared" si="8"/>
        <v>2.3980117703209007</v>
      </c>
      <c r="CW26" s="2">
        <f t="shared" si="9"/>
        <v>1.079817514023711E-2</v>
      </c>
      <c r="CX26" s="2">
        <f t="shared" si="10"/>
        <v>5</v>
      </c>
      <c r="CY26" s="2">
        <f t="shared" si="11"/>
        <v>4.5029700328752149E-3</v>
      </c>
      <c r="CZ26" s="2">
        <f t="shared" si="12"/>
        <v>5</v>
      </c>
      <c r="DA26" s="2">
        <f t="shared" si="13"/>
        <v>0.99995383962031026</v>
      </c>
    </row>
    <row r="27" spans="2:128" ht="18" customHeight="1" x14ac:dyDescent="0.25">
      <c r="B27" s="6"/>
      <c r="C27" s="178" t="s">
        <v>60</v>
      </c>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8"/>
      <c r="AR27" s="6"/>
      <c r="CF27" s="8"/>
      <c r="CM27" s="2">
        <f t="shared" si="26"/>
        <v>5.2</v>
      </c>
      <c r="CN27" s="1" t="str">
        <f t="shared" si="0"/>
        <v>0.0107986736111111+5.61531027777778i</v>
      </c>
      <c r="CO27" s="56" t="str">
        <f t="shared" si="1"/>
        <v>-5.19167000534188i</v>
      </c>
      <c r="CP27" s="1" t="str">
        <f t="shared" si="2"/>
        <v>0.0107986736111111+0.4236402724359i</v>
      </c>
      <c r="CQ27" s="1" t="str">
        <f t="shared" si="4"/>
        <v>0.0191834803010191+2.49385243913249i</v>
      </c>
      <c r="CR27" s="1" t="str">
        <f t="shared" si="5"/>
        <v>0.00829461761553979+0.362138989036427i</v>
      </c>
      <c r="CT27" s="1">
        <f t="shared" si="6"/>
        <v>5.2</v>
      </c>
      <c r="CU27" s="1">
        <f t="shared" si="7"/>
        <v>0.4</v>
      </c>
      <c r="CV27" s="56">
        <f t="shared" si="8"/>
        <v>2.4939262206576061</v>
      </c>
      <c r="CW27" s="2">
        <f t="shared" si="9"/>
        <v>0.36223396867454799</v>
      </c>
      <c r="CX27" s="2">
        <f t="shared" si="10"/>
        <v>5.2</v>
      </c>
      <c r="CY27" s="2">
        <f t="shared" si="11"/>
        <v>0.14524646546241129</v>
      </c>
      <c r="CZ27" s="2">
        <f t="shared" si="12"/>
        <v>5.2</v>
      </c>
      <c r="DA27" s="2">
        <f t="shared" si="13"/>
        <v>0.85477318558670612</v>
      </c>
    </row>
    <row r="28" spans="2:128" ht="18" customHeight="1" x14ac:dyDescent="0.35">
      <c r="B28" s="218" t="s">
        <v>61</v>
      </c>
      <c r="C28" s="180"/>
      <c r="D28" s="180"/>
      <c r="E28" s="180"/>
      <c r="F28" s="180"/>
      <c r="G28" s="180"/>
      <c r="H28" s="180"/>
      <c r="I28" s="180"/>
      <c r="J28" s="180"/>
      <c r="K28" s="180"/>
      <c r="L28" s="180"/>
      <c r="M28" s="180"/>
      <c r="N28" s="180"/>
      <c r="O28" s="180"/>
      <c r="P28" s="180"/>
      <c r="Q28" s="180"/>
      <c r="R28" s="350"/>
      <c r="S28" s="351">
        <v>9.9600000000000009</v>
      </c>
      <c r="T28" s="352"/>
      <c r="U28" s="353"/>
      <c r="V28" s="1" t="s">
        <v>32</v>
      </c>
      <c r="AI28" s="29" t="s">
        <v>62</v>
      </c>
      <c r="AJ28" s="226">
        <f>AJ29/S29</f>
        <v>612.43077049714827</v>
      </c>
      <c r="AK28" s="226"/>
      <c r="AL28" s="226"/>
      <c r="AM28" s="1" t="s">
        <v>37</v>
      </c>
      <c r="AP28" s="8"/>
      <c r="AR28" s="6"/>
      <c r="CF28" s="8"/>
      <c r="CM28" s="2">
        <f t="shared" si="26"/>
        <v>5.4</v>
      </c>
      <c r="CN28" s="1" t="str">
        <f t="shared" si="0"/>
        <v>0.0107986736111111+5.83128375i</v>
      </c>
      <c r="CO28" s="56" t="str">
        <f t="shared" si="1"/>
        <v>-4.99938593106996i</v>
      </c>
      <c r="CP28" s="1" t="str">
        <f t="shared" si="2"/>
        <v>0.0107986736111111+0.83189781893004i</v>
      </c>
      <c r="CQ28" s="1" t="str">
        <f t="shared" si="4"/>
        <v>0.0191834803010191+2.58976984063759i</v>
      </c>
      <c r="CR28" s="1" t="str">
        <f t="shared" si="5"/>
        <v>0.00732001513704636+0.629645076607886i</v>
      </c>
      <c r="CT28" s="1">
        <f t="shared" si="6"/>
        <v>5.4</v>
      </c>
      <c r="CU28" s="1">
        <f t="shared" si="7"/>
        <v>0.8</v>
      </c>
      <c r="CV28" s="56">
        <f t="shared" si="8"/>
        <v>2.589840889590036</v>
      </c>
      <c r="CW28" s="2">
        <f t="shared" si="9"/>
        <v>0.629687625031775</v>
      </c>
      <c r="CX28" s="2">
        <f t="shared" si="10"/>
        <v>5.4</v>
      </c>
      <c r="CY28" s="2">
        <f t="shared" si="11"/>
        <v>0.24313757171833553</v>
      </c>
      <c r="CZ28" s="2">
        <f t="shared" si="12"/>
        <v>5.4</v>
      </c>
      <c r="DA28" s="2">
        <f t="shared" si="13"/>
        <v>0.75686528574648526</v>
      </c>
    </row>
    <row r="29" spans="2:128" ht="18" customHeight="1" x14ac:dyDescent="0.35">
      <c r="B29" s="344" t="s">
        <v>63</v>
      </c>
      <c r="C29" s="232"/>
      <c r="D29" s="232"/>
      <c r="E29" s="232"/>
      <c r="F29" s="232"/>
      <c r="G29" s="232"/>
      <c r="H29" s="232"/>
      <c r="I29" s="232"/>
      <c r="J29" s="232"/>
      <c r="K29" s="232"/>
      <c r="L29" s="232"/>
      <c r="M29" s="232"/>
      <c r="N29" s="232"/>
      <c r="O29" s="232"/>
      <c r="P29" s="232"/>
      <c r="Q29" s="232"/>
      <c r="R29" s="345"/>
      <c r="S29" s="346">
        <v>6</v>
      </c>
      <c r="T29" s="347"/>
      <c r="U29" s="348"/>
      <c r="AI29" s="35" t="s">
        <v>64</v>
      </c>
      <c r="AJ29" s="199">
        <f>1000*(S28*S28)/AJ30</f>
        <v>3674.5846229828894</v>
      </c>
      <c r="AK29" s="199"/>
      <c r="AL29" s="199"/>
      <c r="AM29" s="1" t="s">
        <v>37</v>
      </c>
      <c r="AP29" s="8"/>
      <c r="AR29" s="6"/>
      <c r="CF29" s="8"/>
      <c r="CM29" s="2">
        <f t="shared" si="26"/>
        <v>5.6</v>
      </c>
      <c r="CN29" s="1" t="str">
        <f t="shared" si="0"/>
        <v>0.0107986736111111+6.04725722222222i</v>
      </c>
      <c r="CO29" s="56" t="str">
        <f t="shared" si="1"/>
        <v>-4.82083643353175i</v>
      </c>
      <c r="CP29" s="1" t="str">
        <f t="shared" si="2"/>
        <v>0.0107986736111111+1.22642078869047i</v>
      </c>
      <c r="CQ29" s="1" t="str">
        <f t="shared" si="4"/>
        <v>0.0191834803010191+2.68568724214268i</v>
      </c>
      <c r="CR29" s="1" t="str">
        <f t="shared" si="5"/>
        <v>0.00697463290830232+0.841946234127366i</v>
      </c>
      <c r="CT29" s="1">
        <f t="shared" si="6"/>
        <v>5.6</v>
      </c>
      <c r="CU29" s="1">
        <f t="shared" si="7"/>
        <v>1.2</v>
      </c>
      <c r="CV29" s="56">
        <f t="shared" si="8"/>
        <v>2.6857557536984653</v>
      </c>
      <c r="CW29" s="2">
        <f t="shared" si="9"/>
        <v>0.84197512235544048</v>
      </c>
      <c r="CX29" s="2">
        <f t="shared" si="10"/>
        <v>5.6</v>
      </c>
      <c r="CY29" s="2">
        <f t="shared" si="11"/>
        <v>0.31349653489375789</v>
      </c>
      <c r="CZ29" s="2">
        <f t="shared" si="12"/>
        <v>5.6</v>
      </c>
      <c r="DA29" s="2">
        <f t="shared" si="13"/>
        <v>0.68650376237085198</v>
      </c>
    </row>
    <row r="30" spans="2:128" ht="18" customHeight="1" x14ac:dyDescent="0.35">
      <c r="B30" s="6"/>
      <c r="J30" s="293" t="s">
        <v>270</v>
      </c>
      <c r="K30" s="293"/>
      <c r="L30" s="293"/>
      <c r="M30" s="293"/>
      <c r="N30" s="293"/>
      <c r="O30" s="293"/>
      <c r="P30" s="293"/>
      <c r="Q30" s="293"/>
      <c r="R30" s="293"/>
      <c r="S30" s="293"/>
      <c r="T30" s="293"/>
      <c r="U30" s="293"/>
      <c r="AI30" s="35" t="s">
        <v>65</v>
      </c>
      <c r="AJ30" s="249">
        <f>(S19*S19/(S19*S19-1))*AK17</f>
        <v>26.996684027777786</v>
      </c>
      <c r="AK30" s="249"/>
      <c r="AL30" s="249"/>
      <c r="AM30" s="1" t="s">
        <v>34</v>
      </c>
      <c r="AP30" s="8"/>
      <c r="AR30" s="6"/>
      <c r="CF30" s="8"/>
      <c r="CM30" s="2">
        <f t="shared" si="26"/>
        <v>5.8</v>
      </c>
      <c r="CN30" s="1" t="str">
        <f t="shared" si="0"/>
        <v>0.0107986736111111+6.26323069444445i</v>
      </c>
      <c r="CO30" s="56" t="str">
        <f t="shared" si="1"/>
        <v>-4.65460069444445i</v>
      </c>
      <c r="CP30" s="1" t="str">
        <f t="shared" si="2"/>
        <v>0.0107986736111111+1.60863i</v>
      </c>
      <c r="CQ30" s="1" t="str">
        <f t="shared" si="4"/>
        <v>0.0191834803010191+2.78160464364778i</v>
      </c>
      <c r="CR30" s="1" t="str">
        <f t="shared" si="5"/>
        <v>0.00691048260597021+1.01921037851496i</v>
      </c>
      <c r="CT30" s="1">
        <f t="shared" si="6"/>
        <v>5.8</v>
      </c>
      <c r="CU30" s="1">
        <f t="shared" si="7"/>
        <v>1.6</v>
      </c>
      <c r="CV30" s="56">
        <f t="shared" si="8"/>
        <v>2.7816707927933089</v>
      </c>
      <c r="CW30" s="2">
        <f t="shared" si="9"/>
        <v>1.0192338055826324</v>
      </c>
      <c r="CX30" s="2">
        <f t="shared" si="10"/>
        <v>5.8</v>
      </c>
      <c r="CY30" s="2">
        <f t="shared" si="11"/>
        <v>0.36641065083015528</v>
      </c>
      <c r="CZ30" s="2">
        <f t="shared" si="12"/>
        <v>5.8</v>
      </c>
      <c r="DA30" s="2">
        <f t="shared" si="13"/>
        <v>0.63358935308183639</v>
      </c>
    </row>
    <row r="31" spans="2:128" ht="18" customHeight="1" x14ac:dyDescent="0.25">
      <c r="B31" s="6"/>
      <c r="AI31" s="29" t="s">
        <v>66</v>
      </c>
      <c r="AJ31" s="349">
        <f>ROUND(1000*1000/(2*3.1415*S20*AJ30),2)</f>
        <v>98.26</v>
      </c>
      <c r="AK31" s="349"/>
      <c r="AL31" s="349"/>
      <c r="AM31" s="1" t="s">
        <v>67</v>
      </c>
      <c r="AO31" s="40"/>
      <c r="AP31" s="8"/>
      <c r="AR31" s="6"/>
      <c r="CF31" s="8"/>
      <c r="CM31" s="2">
        <f t="shared" si="26"/>
        <v>6</v>
      </c>
      <c r="CN31" s="1" t="str">
        <f t="shared" si="0"/>
        <v>0.0107986736111111+6.47920416666667i</v>
      </c>
      <c r="CO31" s="56" t="str">
        <f t="shared" si="1"/>
        <v>-4.49944733796296i</v>
      </c>
      <c r="CP31" s="1" t="str">
        <f t="shared" si="2"/>
        <v>0.0107986736111111+1.97975682870371i</v>
      </c>
      <c r="CQ31" s="1" t="str">
        <f t="shared" si="4"/>
        <v>0.0191834803010191+2.87752204515288i</v>
      </c>
      <c r="CR31" s="1" t="str">
        <f t="shared" si="5"/>
        <v>0.00697671920130873+1.17283690879378i</v>
      </c>
      <c r="CT31" s="1">
        <f t="shared" si="6"/>
        <v>6</v>
      </c>
      <c r="CU31" s="1">
        <f t="shared" si="7"/>
        <v>2</v>
      </c>
      <c r="CV31" s="56">
        <f t="shared" si="8"/>
        <v>2.8775859893767333</v>
      </c>
      <c r="CW31" s="2">
        <f t="shared" si="9"/>
        <v>1.1728576594113045</v>
      </c>
      <c r="CX31" s="2">
        <f t="shared" si="10"/>
        <v>6</v>
      </c>
      <c r="CY31" s="2">
        <f t="shared" si="11"/>
        <v>0.40758387889751074</v>
      </c>
      <c r="CZ31" s="2">
        <f t="shared" si="12"/>
        <v>6</v>
      </c>
      <c r="DA31" s="2">
        <f t="shared" si="13"/>
        <v>0.5924162984699719</v>
      </c>
    </row>
    <row r="32" spans="2:128" ht="18" customHeight="1" x14ac:dyDescent="0.25">
      <c r="B32" s="6"/>
      <c r="AP32" s="8"/>
      <c r="AR32" s="6"/>
      <c r="CF32" s="8"/>
      <c r="CM32" s="2">
        <f t="shared" si="26"/>
        <v>6.2</v>
      </c>
      <c r="CN32" s="1" t="str">
        <f t="shared" si="0"/>
        <v>0.0107986736111111+6.69517763888889i</v>
      </c>
      <c r="CO32" s="56" t="str">
        <f t="shared" si="1"/>
        <v>-4.35430387544803i</v>
      </c>
      <c r="CP32" s="1" t="str">
        <f t="shared" si="2"/>
        <v>0.0107986736111111+2.34087376344086i</v>
      </c>
      <c r="CQ32" s="1" t="str">
        <f t="shared" si="4"/>
        <v>0.0191834803010191+2.97343944665797i</v>
      </c>
      <c r="CR32" s="1" t="str">
        <f t="shared" si="5"/>
        <v>0.00710270704644723+1.3097557315493i</v>
      </c>
      <c r="CT32" s="1">
        <f t="shared" si="6"/>
        <v>6.2</v>
      </c>
      <c r="CU32" s="1">
        <f t="shared" si="7"/>
        <v>2.2999999999999998</v>
      </c>
      <c r="CV32" s="56">
        <f t="shared" si="8"/>
        <v>2.9735013282085672</v>
      </c>
      <c r="CW32" s="2">
        <f t="shared" si="9"/>
        <v>1.3097749901313698</v>
      </c>
      <c r="CX32" s="2">
        <f t="shared" si="10"/>
        <v>6.2</v>
      </c>
      <c r="CY32" s="2">
        <f t="shared" si="11"/>
        <v>0.44048239619266177</v>
      </c>
      <c r="CZ32" s="2">
        <f t="shared" si="12"/>
        <v>6.2</v>
      </c>
      <c r="DA32" s="2">
        <f t="shared" si="13"/>
        <v>0.5595180203132899</v>
      </c>
    </row>
    <row r="33" spans="2:105" ht="18" customHeight="1" x14ac:dyDescent="0.25">
      <c r="B33" s="6"/>
      <c r="C33" s="178" t="s">
        <v>68</v>
      </c>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8"/>
      <c r="AR33" s="6"/>
      <c r="CF33" s="8"/>
      <c r="CM33" s="2">
        <f t="shared" si="26"/>
        <v>6.4</v>
      </c>
      <c r="CN33" s="1" t="str">
        <f t="shared" si="0"/>
        <v>0.0107986736111111+6.91115111111111i</v>
      </c>
      <c r="CO33" s="56" t="str">
        <f t="shared" si="1"/>
        <v>-4.21823187934028i</v>
      </c>
      <c r="CP33" s="1" t="str">
        <f t="shared" si="2"/>
        <v>0.0107986736111111+2.69291923177083i</v>
      </c>
      <c r="CQ33" s="1" t="str">
        <f t="shared" si="4"/>
        <v>0.0191834803010191+3.06935684816307i</v>
      </c>
      <c r="CR33" s="1" t="str">
        <f t="shared" si="5"/>
        <v>0.00725363709483286+1.43442283820631i</v>
      </c>
      <c r="CT33" s="1">
        <f t="shared" si="6"/>
        <v>6.4</v>
      </c>
      <c r="CU33" s="1">
        <f t="shared" si="7"/>
        <v>2.7</v>
      </c>
      <c r="CV33" s="56">
        <f t="shared" si="8"/>
        <v>3.0694167959535883</v>
      </c>
      <c r="CW33" s="2">
        <f t="shared" si="9"/>
        <v>1.4344411783056668</v>
      </c>
      <c r="CX33" s="2">
        <f t="shared" si="10"/>
        <v>6.4</v>
      </c>
      <c r="CY33" s="2">
        <f t="shared" si="11"/>
        <v>0.46733346223839428</v>
      </c>
      <c r="CZ33" s="2">
        <f t="shared" si="12"/>
        <v>6.4</v>
      </c>
      <c r="DA33" s="2">
        <f t="shared" si="13"/>
        <v>0.5326671622373681</v>
      </c>
    </row>
    <row r="34" spans="2:105" ht="18" customHeight="1" x14ac:dyDescent="0.25">
      <c r="B34" s="6"/>
      <c r="C34" s="338" t="s">
        <v>69</v>
      </c>
      <c r="D34" s="338"/>
      <c r="E34" s="338"/>
      <c r="F34" s="338"/>
      <c r="G34" s="338"/>
      <c r="H34" s="338"/>
      <c r="I34" s="338"/>
      <c r="J34" s="338"/>
      <c r="K34" s="338"/>
      <c r="L34" s="338"/>
      <c r="M34" s="338"/>
      <c r="N34" s="338"/>
      <c r="O34" s="338"/>
      <c r="P34" s="338"/>
      <c r="Q34" s="338"/>
      <c r="R34" s="339"/>
      <c r="S34" s="340">
        <v>100</v>
      </c>
      <c r="T34" s="340"/>
      <c r="U34" s="340"/>
      <c r="V34" s="24"/>
      <c r="W34" s="341" t="s">
        <v>70</v>
      </c>
      <c r="X34" s="341"/>
      <c r="Y34" s="341"/>
      <c r="Z34" s="341"/>
      <c r="AA34" s="341"/>
      <c r="AB34" s="341"/>
      <c r="AC34" s="341"/>
      <c r="AD34" s="341"/>
      <c r="AE34" s="341"/>
      <c r="AF34" s="341"/>
      <c r="AG34" s="341"/>
      <c r="AH34" s="341"/>
      <c r="AI34" s="341"/>
      <c r="AJ34" s="342">
        <f>AJ30/(S19*S19)</f>
        <v>1.0798673611111114</v>
      </c>
      <c r="AK34" s="342"/>
      <c r="AL34" s="342"/>
      <c r="AM34" s="24" t="s">
        <v>71</v>
      </c>
      <c r="AN34" s="24"/>
      <c r="AO34" s="24"/>
      <c r="AP34" s="8"/>
      <c r="AR34" s="6"/>
      <c r="CF34" s="8"/>
      <c r="CM34" s="2">
        <f t="shared" si="26"/>
        <v>6.6</v>
      </c>
      <c r="CN34" s="1" t="str">
        <f t="shared" si="0"/>
        <v>0.0107986736111111+7.12712458333333i</v>
      </c>
      <c r="CO34" s="56" t="str">
        <f t="shared" si="1"/>
        <v>-4.09040667087542i</v>
      </c>
      <c r="CP34" s="1" t="str">
        <f t="shared" si="2"/>
        <v>0.0107986736111111+3.03671791245791i</v>
      </c>
      <c r="CQ34" s="1" t="str">
        <f t="shared" si="4"/>
        <v>0.0191834803010191+3.16527424966816i</v>
      </c>
      <c r="CR34" s="1" t="str">
        <f t="shared" si="5"/>
        <v>0.00741184615164966+1.54983428348668i</v>
      </c>
      <c r="CT34" s="1">
        <f t="shared" si="6"/>
        <v>6.6</v>
      </c>
      <c r="CU34" s="1">
        <f t="shared" si="7"/>
        <v>3</v>
      </c>
      <c r="CV34" s="56">
        <f t="shared" si="8"/>
        <v>3.1653323808928491</v>
      </c>
      <c r="CW34" s="2">
        <f t="shared" si="9"/>
        <v>1.5498520063974002</v>
      </c>
      <c r="CX34" s="2">
        <f t="shared" si="10"/>
        <v>6.6</v>
      </c>
      <c r="CY34" s="2">
        <f t="shared" si="11"/>
        <v>0.48963325802778151</v>
      </c>
      <c r="CZ34" s="2">
        <f t="shared" si="12"/>
        <v>6.6</v>
      </c>
      <c r="DA34" s="2">
        <f t="shared" si="13"/>
        <v>0.51036752570842314</v>
      </c>
    </row>
    <row r="35" spans="2:105" ht="18" customHeight="1" x14ac:dyDescent="0.25">
      <c r="B35" s="6"/>
      <c r="C35" s="24"/>
      <c r="D35" s="24"/>
      <c r="E35" s="24"/>
      <c r="F35" s="24"/>
      <c r="G35" s="24"/>
      <c r="H35" s="24"/>
      <c r="I35" s="24"/>
      <c r="J35" s="24"/>
      <c r="K35" s="24"/>
      <c r="L35" s="24"/>
      <c r="M35" s="24"/>
      <c r="N35" s="24"/>
      <c r="O35" s="24"/>
      <c r="P35" s="24"/>
      <c r="Q35" s="41"/>
      <c r="R35" s="32" t="s">
        <v>72</v>
      </c>
      <c r="S35" s="343">
        <v>1.5</v>
      </c>
      <c r="T35" s="343"/>
      <c r="U35" s="343"/>
      <c r="V35" s="177" t="s">
        <v>73</v>
      </c>
      <c r="W35" s="177"/>
      <c r="X35" s="177"/>
      <c r="Y35" s="177"/>
      <c r="Z35" s="177"/>
      <c r="AA35" s="177"/>
      <c r="AB35" s="177"/>
      <c r="AC35" s="177"/>
      <c r="AD35" s="177"/>
      <c r="AE35" s="177"/>
      <c r="AF35" s="177"/>
      <c r="AG35" s="177"/>
      <c r="AH35" s="177"/>
      <c r="AI35" s="177"/>
      <c r="AJ35" s="249">
        <f>1000*AJ34/(2*3.1415*S20)</f>
        <v>2.8645216221314431</v>
      </c>
      <c r="AK35" s="249"/>
      <c r="AL35" s="249"/>
      <c r="AM35" s="24" t="s">
        <v>74</v>
      </c>
      <c r="AN35" s="24"/>
      <c r="AO35" s="24"/>
      <c r="AP35" s="8"/>
      <c r="AR35" s="6"/>
      <c r="CF35" s="8"/>
      <c r="CM35" s="2">
        <f t="shared" si="26"/>
        <v>6.8</v>
      </c>
      <c r="CN35" s="1" t="str">
        <f t="shared" si="0"/>
        <v>0.0107986736111111+7.34309805555556i</v>
      </c>
      <c r="CO35" s="56" t="str">
        <f t="shared" si="1"/>
        <v>-3.97010059232026i</v>
      </c>
      <c r="CP35" s="1" t="str">
        <f t="shared" si="2"/>
        <v>0.0107986736111111+3.3729974632353i</v>
      </c>
      <c r="CQ35" s="1" t="str">
        <f t="shared" si="4"/>
        <v>0.0191834803010191+3.26119165117326i</v>
      </c>
      <c r="CR35" s="1" t="str">
        <f t="shared" si="5"/>
        <v>0.00756830838327856+1.65807919172597i</v>
      </c>
      <c r="CT35" s="1">
        <f t="shared" si="6"/>
        <v>6.8</v>
      </c>
      <c r="CU35" s="1">
        <f t="shared" si="7"/>
        <v>3.4</v>
      </c>
      <c r="CV35" s="56">
        <f t="shared" si="8"/>
        <v>3.2612480726860742</v>
      </c>
      <c r="CW35" s="2">
        <f t="shared" si="9"/>
        <v>1.6580964644213045</v>
      </c>
      <c r="CX35" s="2">
        <f t="shared" si="10"/>
        <v>6.8</v>
      </c>
      <c r="CY35" s="2">
        <f t="shared" si="11"/>
        <v>0.50842390013454275</v>
      </c>
      <c r="CZ35" s="2">
        <f t="shared" si="12"/>
        <v>6.8</v>
      </c>
      <c r="DA35" s="2">
        <f t="shared" si="13"/>
        <v>0.49157699794017162</v>
      </c>
    </row>
    <row r="36" spans="2:105" ht="18" customHeight="1" x14ac:dyDescent="0.25">
      <c r="B36" s="6"/>
      <c r="C36" s="24"/>
      <c r="D36" s="24"/>
      <c r="E36" s="24"/>
      <c r="F36" s="24"/>
      <c r="G36" s="24"/>
      <c r="H36" s="24"/>
      <c r="I36" s="24"/>
      <c r="J36" s="24"/>
      <c r="K36" s="24"/>
      <c r="L36" s="24"/>
      <c r="M36" s="24"/>
      <c r="N36" s="24"/>
      <c r="O36" s="24"/>
      <c r="P36" s="24"/>
      <c r="Q36" s="24"/>
      <c r="R36" s="32" t="s">
        <v>76</v>
      </c>
      <c r="S36" s="247">
        <v>1.5</v>
      </c>
      <c r="T36" s="247"/>
      <c r="U36" s="247"/>
      <c r="V36" s="24"/>
      <c r="W36" s="24"/>
      <c r="X36" s="24"/>
      <c r="Y36" s="24"/>
      <c r="Z36" s="24"/>
      <c r="AA36" s="24"/>
      <c r="AB36" s="24"/>
      <c r="AC36" s="24"/>
      <c r="AD36" s="24"/>
      <c r="AE36" s="24"/>
      <c r="AF36" s="24"/>
      <c r="AG36" s="24"/>
      <c r="AH36" s="24"/>
      <c r="AI36" s="24"/>
      <c r="AJ36" s="24"/>
      <c r="AK36" s="24"/>
      <c r="AL36" s="24"/>
      <c r="AM36" s="24"/>
      <c r="AN36" s="24"/>
      <c r="AO36" s="24"/>
      <c r="AP36" s="8"/>
      <c r="AR36" s="6"/>
      <c r="CF36" s="8"/>
      <c r="CM36" s="2">
        <f t="shared" si="26"/>
        <v>7</v>
      </c>
      <c r="CN36" s="1" t="str">
        <f t="shared" si="0"/>
        <v>0.0107986736111111+7.55907152777778i</v>
      </c>
      <c r="CO36" s="56" t="str">
        <f t="shared" si="1"/>
        <v>-3.8566691468254i</v>
      </c>
      <c r="CP36" s="1" t="str">
        <f t="shared" si="2"/>
        <v>0.0107986736111111+3.70240238095238i</v>
      </c>
      <c r="CQ36" s="1" t="str">
        <f t="shared" si="4"/>
        <v>0.0191834803010191+3.35710905267836i</v>
      </c>
      <c r="CR36" s="1" t="str">
        <f t="shared" si="5"/>
        <v>0.00771851387583436+1.7606590665849i</v>
      </c>
      <c r="CT36" s="1">
        <f t="shared" si="6"/>
        <v>7</v>
      </c>
      <c r="CU36" s="1">
        <f t="shared" si="7"/>
        <v>3.7</v>
      </c>
      <c r="CV36" s="56">
        <f t="shared" si="8"/>
        <v>3.357163862174656</v>
      </c>
      <c r="CW36" s="2">
        <f t="shared" si="9"/>
        <v>1.7606759850137284</v>
      </c>
      <c r="CX36" s="2">
        <f t="shared" si="10"/>
        <v>7</v>
      </c>
      <c r="CY36" s="2">
        <f t="shared" si="11"/>
        <v>0.52445339497763199</v>
      </c>
      <c r="CZ36" s="2">
        <f t="shared" si="12"/>
        <v>7</v>
      </c>
      <c r="DA36" s="2">
        <f t="shared" si="13"/>
        <v>0.47554758097962385</v>
      </c>
    </row>
    <row r="37" spans="2:105" ht="18" customHeight="1" x14ac:dyDescent="0.25">
      <c r="B37" s="6"/>
      <c r="AI37" s="29"/>
      <c r="AJ37" s="29"/>
      <c r="AK37" s="29"/>
      <c r="AL37" s="29"/>
      <c r="AP37" s="8"/>
      <c r="AR37" s="6"/>
      <c r="CF37" s="8"/>
      <c r="CM37" s="2">
        <f t="shared" si="26"/>
        <v>7.2</v>
      </c>
      <c r="CN37" s="1" t="str">
        <f t="shared" si="0"/>
        <v>0.0107986736111111+7.775045i</v>
      </c>
      <c r="CO37" s="56" t="str">
        <f t="shared" si="1"/>
        <v>-3.74953944830247i</v>
      </c>
      <c r="CP37" s="1" t="str">
        <f t="shared" si="2"/>
        <v>0.0107986736111111+4.02550555169753i</v>
      </c>
      <c r="CQ37" s="1" t="str">
        <f t="shared" si="4"/>
        <v>0.0191834803010191+3.45302645418345i</v>
      </c>
      <c r="CR37" s="1" t="str">
        <f t="shared" si="5"/>
        <v>0.00786037298777826+1.85868104399543i</v>
      </c>
      <c r="CT37" s="1">
        <f t="shared" si="6"/>
        <v>7.2</v>
      </c>
      <c r="CU37" s="1">
        <f t="shared" si="7"/>
        <v>4</v>
      </c>
      <c r="CV37" s="56">
        <f t="shared" si="8"/>
        <v>3.453079741217568</v>
      </c>
      <c r="CW37" s="2">
        <f t="shared" si="9"/>
        <v>1.858697664702748</v>
      </c>
      <c r="CX37" s="2">
        <f t="shared" si="10"/>
        <v>7.2</v>
      </c>
      <c r="CY37" s="2">
        <f t="shared" si="11"/>
        <v>0.5382724419932946</v>
      </c>
      <c r="CZ37" s="2">
        <f t="shared" si="12"/>
        <v>7.2</v>
      </c>
      <c r="DA37" s="2">
        <f t="shared" si="13"/>
        <v>0.46172858368686337</v>
      </c>
    </row>
    <row r="38" spans="2:105" ht="18" customHeight="1" x14ac:dyDescent="0.25">
      <c r="B38" s="6"/>
      <c r="AP38" s="8"/>
      <c r="AR38" s="6"/>
      <c r="CF38" s="8"/>
      <c r="CM38" s="2">
        <f t="shared" si="26"/>
        <v>7.4</v>
      </c>
      <c r="CN38" s="1" t="str">
        <f t="shared" si="0"/>
        <v>0.0107986736111111+7.99101847222222i</v>
      </c>
      <c r="CO38" s="56" t="str">
        <f t="shared" si="1"/>
        <v>-3.6482005442943i</v>
      </c>
      <c r="CP38" s="1" t="str">
        <f t="shared" si="2"/>
        <v>0.0107986736111111+4.34281792792792i</v>
      </c>
      <c r="CQ38" s="1" t="str">
        <f t="shared" si="4"/>
        <v>0.0191834803010191+3.54894385568855i</v>
      </c>
      <c r="CR38" s="1" t="str">
        <f t="shared" si="5"/>
        <v>0.00799310931500594+1.95297956511838i</v>
      </c>
      <c r="CT38" s="1">
        <f t="shared" si="6"/>
        <v>7.4</v>
      </c>
      <c r="CU38" s="1">
        <f t="shared" si="7"/>
        <v>4.3</v>
      </c>
      <c r="CV38" s="56">
        <f t="shared" si="8"/>
        <v>3.5489957025538894</v>
      </c>
      <c r="CW38" s="2">
        <f t="shared" si="9"/>
        <v>1.952995922055778</v>
      </c>
      <c r="CX38" s="2">
        <f t="shared" si="10"/>
        <v>7.4</v>
      </c>
      <c r="CY38" s="2">
        <f t="shared" si="11"/>
        <v>0.55029537529458794</v>
      </c>
      <c r="CZ38" s="2">
        <f t="shared" si="12"/>
        <v>7.4</v>
      </c>
      <c r="DA38" s="2">
        <f t="shared" si="13"/>
        <v>0.44970567885441848</v>
      </c>
    </row>
    <row r="39" spans="2:105" ht="18" customHeight="1" x14ac:dyDescent="0.25">
      <c r="B39" s="6"/>
      <c r="AP39" s="8"/>
      <c r="AR39" s="6"/>
      <c r="CF39" s="8"/>
      <c r="CM39" s="2">
        <f t="shared" si="26"/>
        <v>7.6</v>
      </c>
      <c r="CN39" s="1" t="str">
        <f t="shared" si="0"/>
        <v>0.0107986736111111+8.20699194444445i</v>
      </c>
      <c r="CO39" s="56" t="str">
        <f t="shared" si="1"/>
        <v>-3.55219526681287i</v>
      </c>
      <c r="CP39" s="1" t="str">
        <f t="shared" si="2"/>
        <v>0.0107986736111111+4.65479667763158i</v>
      </c>
      <c r="CQ39" s="1" t="str">
        <f t="shared" si="4"/>
        <v>0.0191834803010191+3.64486125719364i</v>
      </c>
      <c r="CR39" s="1" t="str">
        <f t="shared" si="5"/>
        <v>0.00811665742534047+2.04419560449029i</v>
      </c>
      <c r="CT39" s="1">
        <f t="shared" si="6"/>
        <v>7.6</v>
      </c>
      <c r="CU39" s="1">
        <f t="shared" si="7"/>
        <v>4.7</v>
      </c>
      <c r="CV39" s="56">
        <f t="shared" si="8"/>
        <v>3.6449117396869379</v>
      </c>
      <c r="CW39" s="2">
        <f t="shared" si="9"/>
        <v>2.044211718375859</v>
      </c>
      <c r="CX39" s="2">
        <f t="shared" si="10"/>
        <v>7.6</v>
      </c>
      <c r="CY39" s="2">
        <f t="shared" si="11"/>
        <v>0.56083984040487056</v>
      </c>
      <c r="CZ39" s="2">
        <f t="shared" si="12"/>
        <v>7.6</v>
      </c>
      <c r="DA39" s="2">
        <f t="shared" si="13"/>
        <v>0.4391612263758114</v>
      </c>
    </row>
    <row r="40" spans="2:105" ht="18" customHeight="1" x14ac:dyDescent="0.25">
      <c r="B40" s="6"/>
      <c r="AP40" s="8"/>
      <c r="AR40" s="6"/>
      <c r="CF40" s="8"/>
      <c r="CM40" s="2">
        <f t="shared" si="26"/>
        <v>7.8</v>
      </c>
      <c r="CN40" s="1" t="str">
        <f t="shared" si="0"/>
        <v>0.0107986736111111+8.42296541666667i</v>
      </c>
      <c r="CO40" s="56" t="str">
        <f t="shared" si="1"/>
        <v>-3.46111333689459i</v>
      </c>
      <c r="CP40" s="1" t="str">
        <f t="shared" si="2"/>
        <v>0.0107986736111111+4.96185207977208i</v>
      </c>
      <c r="CQ40" s="1" t="str">
        <f t="shared" si="4"/>
        <v>0.0191834803010191+3.74077865869874i</v>
      </c>
      <c r="CR40" s="1" t="str">
        <f t="shared" si="5"/>
        <v>0.00823132806989665+2.1328297801241i</v>
      </c>
      <c r="CT40" s="1">
        <f t="shared" si="6"/>
        <v>7.8</v>
      </c>
      <c r="CU40" s="1">
        <f t="shared" si="7"/>
        <v>5</v>
      </c>
      <c r="CV40" s="56">
        <f t="shared" si="8"/>
        <v>3.7408278467863778</v>
      </c>
      <c r="CW40" s="2">
        <f t="shared" si="9"/>
        <v>2.1328456638364655</v>
      </c>
      <c r="CX40" s="2">
        <f t="shared" si="10"/>
        <v>7.8</v>
      </c>
      <c r="CY40" s="2">
        <f t="shared" si="11"/>
        <v>0.57015338614652444</v>
      </c>
      <c r="CZ40" s="2">
        <f t="shared" si="12"/>
        <v>7.8</v>
      </c>
      <c r="DA40" s="2">
        <f t="shared" si="13"/>
        <v>0.42984768157197706</v>
      </c>
    </row>
    <row r="41" spans="2:105" ht="18" customHeight="1" x14ac:dyDescent="0.25">
      <c r="B41" s="6"/>
      <c r="AP41" s="8"/>
      <c r="AR41" s="6"/>
      <c r="CF41" s="8"/>
      <c r="CM41" s="2">
        <f t="shared" si="26"/>
        <v>8</v>
      </c>
      <c r="CN41" s="1" t="str">
        <f t="shared" si="0"/>
        <v>0.0107986736111111+8.63893888888889i</v>
      </c>
      <c r="CO41" s="56" t="str">
        <f t="shared" si="1"/>
        <v>-3.37458550347222i</v>
      </c>
      <c r="CP41" s="1" t="str">
        <f t="shared" si="2"/>
        <v>0.0107986736111111+5.26435338541667i</v>
      </c>
      <c r="CQ41" s="1" t="str">
        <f t="shared" si="4"/>
        <v>0.0191834803010191+3.83669606020383i</v>
      </c>
      <c r="CR41" s="1" t="str">
        <f t="shared" si="5"/>
        <v>0.00833761950269534+2.21927886862727i</v>
      </c>
      <c r="CT41" s="1">
        <f t="shared" si="6"/>
        <v>8</v>
      </c>
      <c r="CU41" s="1">
        <f t="shared" si="7"/>
        <v>5.3</v>
      </c>
      <c r="CV41" s="56">
        <f t="shared" si="8"/>
        <v>3.8367440186048443</v>
      </c>
      <c r="CW41" s="2">
        <f t="shared" si="9"/>
        <v>2.2192945303935008</v>
      </c>
      <c r="CX41" s="2">
        <f t="shared" si="10"/>
        <v>8</v>
      </c>
      <c r="CY41" s="2">
        <f t="shared" si="11"/>
        <v>0.57843174306961054</v>
      </c>
      <c r="CZ41" s="2">
        <f t="shared" si="12"/>
        <v>8</v>
      </c>
      <c r="DA41" s="2">
        <f t="shared" si="13"/>
        <v>0.42156931702740641</v>
      </c>
    </row>
    <row r="42" spans="2:105" ht="18" customHeight="1" x14ac:dyDescent="0.25">
      <c r="B42" s="6"/>
      <c r="AP42" s="8"/>
      <c r="AR42" s="6"/>
      <c r="CF42" s="8"/>
      <c r="CM42" s="2">
        <f t="shared" si="26"/>
        <v>8.1999999999999993</v>
      </c>
      <c r="CN42" s="1" t="str">
        <f t="shared" si="0"/>
        <v>0.0107986736111111+8.85491236111111i</v>
      </c>
      <c r="CO42" s="56" t="str">
        <f t="shared" si="1"/>
        <v>-3.2922785399729i</v>
      </c>
      <c r="CP42" s="1" t="str">
        <f t="shared" si="2"/>
        <v>0.0107986736111111+5.56263382113821i</v>
      </c>
      <c r="CQ42" s="1" t="str">
        <f t="shared" si="4"/>
        <v>0.0191834803010191+3.93261346170893i</v>
      </c>
      <c r="CR42" s="1" t="str">
        <f t="shared" si="5"/>
        <v>0.00843611059052702+2.30386147643642i</v>
      </c>
      <c r="CT42" s="1">
        <f t="shared" si="6"/>
        <v>8.1999999999999993</v>
      </c>
      <c r="CU42" s="1">
        <f t="shared" si="7"/>
        <v>5.6</v>
      </c>
      <c r="CV42" s="56">
        <f t="shared" si="8"/>
        <v>3.9326602504069372</v>
      </c>
      <c r="CW42" s="2">
        <f t="shared" si="9"/>
        <v>2.3038769217494446</v>
      </c>
      <c r="CX42" s="2">
        <f t="shared" si="10"/>
        <v>8.1999999999999993</v>
      </c>
      <c r="CY42" s="2">
        <f t="shared" si="11"/>
        <v>0.58583166992649649</v>
      </c>
      <c r="CZ42" s="2">
        <f t="shared" si="12"/>
        <v>8.1999999999999993</v>
      </c>
      <c r="DA42" s="2">
        <f t="shared" si="13"/>
        <v>0.4141693763506803</v>
      </c>
    </row>
    <row r="43" spans="2:105" ht="18" customHeight="1" x14ac:dyDescent="0.25">
      <c r="B43" s="6"/>
      <c r="AP43" s="8"/>
      <c r="AR43" s="6"/>
      <c r="CF43" s="8"/>
      <c r="CM43" s="2">
        <f t="shared" si="26"/>
        <v>8.4</v>
      </c>
      <c r="CN43" s="1" t="str">
        <f t="shared" si="0"/>
        <v>0.0107986736111111+9.07088583333334i</v>
      </c>
      <c r="CO43" s="56" t="str">
        <f t="shared" si="1"/>
        <v>-3.21389095568783i</v>
      </c>
      <c r="CP43" s="1" t="str">
        <f t="shared" si="2"/>
        <v>0.0107986736111111+5.85699487764551i</v>
      </c>
      <c r="CQ43" s="1" t="str">
        <f t="shared" si="4"/>
        <v>0.0191834803010191+4.02853086321403i</v>
      </c>
      <c r="CR43" s="1" t="str">
        <f t="shared" si="5"/>
        <v>0.00852740059065225+2.38683644780276i</v>
      </c>
      <c r="CT43" s="1">
        <f t="shared" si="6"/>
        <v>8.4</v>
      </c>
      <c r="CU43" s="1">
        <f t="shared" si="7"/>
        <v>5.9</v>
      </c>
      <c r="CV43" s="56">
        <f t="shared" si="8"/>
        <v>4.0285765379082026</v>
      </c>
      <c r="CW43" s="2">
        <f t="shared" si="9"/>
        <v>2.3868516805869042</v>
      </c>
      <c r="CX43" s="2">
        <f t="shared" si="10"/>
        <v>8.4</v>
      </c>
      <c r="CY43" s="2">
        <f t="shared" si="11"/>
        <v>0.5924801621930339</v>
      </c>
      <c r="CZ43" s="2">
        <f t="shared" si="12"/>
        <v>8.4</v>
      </c>
      <c r="DA43" s="2">
        <f t="shared" si="13"/>
        <v>0.40752086584185337</v>
      </c>
    </row>
    <row r="44" spans="2:105" ht="18" customHeight="1" x14ac:dyDescent="0.25">
      <c r="B44" s="28"/>
      <c r="AP44" s="42"/>
      <c r="AR44" s="6"/>
      <c r="CF44" s="8"/>
      <c r="CM44" s="2">
        <f t="shared" si="26"/>
        <v>8.6</v>
      </c>
      <c r="CN44" s="1" t="str">
        <f t="shared" si="0"/>
        <v>0.0107986736111111+9.28685930555556i</v>
      </c>
      <c r="CO44" s="56" t="str">
        <f t="shared" si="1"/>
        <v>-3.13914930555556i</v>
      </c>
      <c r="CP44" s="1" t="str">
        <f t="shared" si="2"/>
        <v>0.0107986736111111+6.14771i</v>
      </c>
      <c r="CQ44" s="1" t="str">
        <f t="shared" si="4"/>
        <v>0.0191834803010191+4.12444826471912i</v>
      </c>
      <c r="CR44" s="1" t="str">
        <f t="shared" si="5"/>
        <v>0.00861207592608927+2.46841629972036i</v>
      </c>
      <c r="CT44" s="1">
        <f t="shared" si="6"/>
        <v>8.6</v>
      </c>
      <c r="CU44" s="1">
        <f t="shared" si="7"/>
        <v>6.1</v>
      </c>
      <c r="CV44" s="56">
        <f t="shared" si="8"/>
        <v>4.1244928772227283</v>
      </c>
      <c r="CW44" s="2">
        <f t="shared" si="9"/>
        <v>2.4684313230424113</v>
      </c>
      <c r="CX44" s="2">
        <f t="shared" si="10"/>
        <v>8.6</v>
      </c>
      <c r="CY44" s="2">
        <f t="shared" si="11"/>
        <v>0.5984811700546695</v>
      </c>
      <c r="CZ44" s="2">
        <f t="shared" si="12"/>
        <v>8.6</v>
      </c>
      <c r="DA44" s="2">
        <f t="shared" si="13"/>
        <v>0.40151983665126406</v>
      </c>
    </row>
    <row r="45" spans="2:105" ht="18" customHeight="1" x14ac:dyDescent="0.25">
      <c r="B45" s="28"/>
      <c r="AP45" s="42"/>
      <c r="AR45" s="6"/>
      <c r="CF45" s="8"/>
      <c r="CM45" s="2">
        <f t="shared" si="26"/>
        <v>8.8000000000000007</v>
      </c>
      <c r="CN45" s="1" t="str">
        <f t="shared" si="0"/>
        <v>0.0107986736111111+9.50283277777778i</v>
      </c>
      <c r="CO45" s="56" t="str">
        <f t="shared" si="1"/>
        <v>-3.06780500315657i</v>
      </c>
      <c r="CP45" s="1" t="str">
        <f t="shared" si="2"/>
        <v>0.0107986736111111+6.43502777462121i</v>
      </c>
      <c r="CQ45" s="1" t="str">
        <f t="shared" si="4"/>
        <v>0.0191834803010191+4.22036566622422i</v>
      </c>
      <c r="CR45" s="1" t="str">
        <f t="shared" si="5"/>
        <v>0.00869069270783721+2.54877718420501i</v>
      </c>
      <c r="CT45" s="1">
        <f t="shared" si="6"/>
        <v>8.8000000000000007</v>
      </c>
      <c r="CU45" s="1">
        <f t="shared" si="7"/>
        <v>6.4</v>
      </c>
      <c r="CV45" s="56">
        <f t="shared" si="8"/>
        <v>4.2204092648178877</v>
      </c>
      <c r="CW45" s="2">
        <f t="shared" si="9"/>
        <v>2.5487920007061704</v>
      </c>
      <c r="CX45" s="2">
        <f t="shared" si="10"/>
        <v>8.8000000000000007</v>
      </c>
      <c r="CY45" s="2">
        <f t="shared" si="11"/>
        <v>0.60392057754999573</v>
      </c>
      <c r="CZ45" s="2">
        <f t="shared" si="12"/>
        <v>8.8000000000000007</v>
      </c>
      <c r="DA45" s="2">
        <f t="shared" si="13"/>
        <v>0.39608040574527142</v>
      </c>
    </row>
    <row r="46" spans="2:105" ht="18" customHeight="1" x14ac:dyDescent="0.25">
      <c r="B46" s="6"/>
      <c r="AP46" s="42"/>
      <c r="AR46" s="6"/>
      <c r="CF46" s="8"/>
      <c r="CM46" s="2">
        <f t="shared" si="26"/>
        <v>9</v>
      </c>
      <c r="CN46" s="1" t="str">
        <f t="shared" si="0"/>
        <v>0.0107986736111111+9.71880625i</v>
      </c>
      <c r="CO46" s="56" t="str">
        <f t="shared" si="1"/>
        <v>-2.99963155864198i</v>
      </c>
      <c r="CP46" s="1" t="str">
        <f t="shared" si="2"/>
        <v>0.0107986736111111+6.71917469135802i</v>
      </c>
      <c r="CQ46" s="1" t="str">
        <f t="shared" si="4"/>
        <v>0.0191834803010191+4.31628306772931i</v>
      </c>
      <c r="CR46" s="1" t="str">
        <f t="shared" si="5"/>
        <v>0.00876376845784482+2.62806638229883i</v>
      </c>
      <c r="CT46" s="1">
        <f t="shared" si="6"/>
        <v>9</v>
      </c>
      <c r="CU46" s="1">
        <f t="shared" si="7"/>
        <v>6.7</v>
      </c>
      <c r="CV46" s="56">
        <f t="shared" si="8"/>
        <v>4.3163256974750173</v>
      </c>
      <c r="CW46" s="2">
        <f t="shared" si="9"/>
        <v>2.6280809944533376</v>
      </c>
      <c r="CX46" s="2">
        <f t="shared" si="10"/>
        <v>9</v>
      </c>
      <c r="CY46" s="2">
        <f t="shared" si="11"/>
        <v>0.60886994602625355</v>
      </c>
      <c r="CZ46" s="2">
        <f t="shared" si="12"/>
        <v>9</v>
      </c>
      <c r="DA46" s="2">
        <f t="shared" si="13"/>
        <v>0.39113101253255683</v>
      </c>
    </row>
    <row r="47" spans="2:105"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CM47" s="2">
        <f t="shared" si="26"/>
        <v>9.1999999999999993</v>
      </c>
      <c r="CN47" s="1" t="str">
        <f t="shared" si="0"/>
        <v>0.0107986736111111+9.93477972222222i</v>
      </c>
      <c r="CO47" s="56" t="str">
        <f t="shared" si="1"/>
        <v>-2.93442217693237i</v>
      </c>
      <c r="CP47" s="1" t="str">
        <f t="shared" si="2"/>
        <v>0.0107986736111111+7.00035754528985i</v>
      </c>
      <c r="CQ47" s="1" t="str">
        <f t="shared" si="4"/>
        <v>0.0191834803010191+4.41220046923441i</v>
      </c>
      <c r="CR47" s="1" t="str">
        <f t="shared" si="5"/>
        <v>0.00883177917270942+2.70640801531504i</v>
      </c>
      <c r="CT47" s="1">
        <f t="shared" si="6"/>
        <v>9.1999999999999993</v>
      </c>
      <c r="CU47" s="1">
        <f t="shared" si="7"/>
        <v>7</v>
      </c>
      <c r="CV47" s="56">
        <f t="shared" si="8"/>
        <v>4.4122421722553726</v>
      </c>
      <c r="CW47" s="2">
        <f t="shared" si="9"/>
        <v>2.7064224255804654</v>
      </c>
      <c r="CX47" s="2">
        <f t="shared" si="10"/>
        <v>9.1999999999999993</v>
      </c>
      <c r="CY47" s="2">
        <f t="shared" si="11"/>
        <v>0.61338936529792709</v>
      </c>
      <c r="CZ47" s="2">
        <f t="shared" si="12"/>
        <v>9.1999999999999993</v>
      </c>
      <c r="DA47" s="2">
        <f t="shared" si="13"/>
        <v>0.38661156776660932</v>
      </c>
    </row>
    <row r="48" spans="2:105" ht="18" customHeight="1" x14ac:dyDescent="0.25">
      <c r="B48" s="6"/>
      <c r="D48" s="43" t="s">
        <v>84</v>
      </c>
      <c r="AO48" s="44" t="s">
        <v>746</v>
      </c>
      <c r="AP48" s="8"/>
      <c r="AR48" s="6"/>
      <c r="AT48" s="43" t="s">
        <v>84</v>
      </c>
      <c r="CE48" s="29" t="s">
        <v>86</v>
      </c>
      <c r="CF48" s="8"/>
      <c r="CM48" s="2">
        <f t="shared" si="26"/>
        <v>9.4</v>
      </c>
      <c r="CN48" s="1" t="str">
        <f t="shared" si="0"/>
        <v>0.0107986736111111+10.1507531944444i</v>
      </c>
      <c r="CO48" s="56" t="str">
        <f t="shared" si="1"/>
        <v>-2.87198766252955i</v>
      </c>
      <c r="CP48" s="1" t="str">
        <f t="shared" si="2"/>
        <v>0.0107986736111111+7.27876553191485i</v>
      </c>
      <c r="CQ48" s="1" t="str">
        <f t="shared" si="4"/>
        <v>0.0191834803010191+4.50811787073951i</v>
      </c>
      <c r="CR48" s="1" t="str">
        <f t="shared" si="5"/>
        <v>0.00889515943048904+2.78390744951758i</v>
      </c>
      <c r="CT48" s="1">
        <f t="shared" si="6"/>
        <v>9.4</v>
      </c>
      <c r="CU48" s="1">
        <f t="shared" si="7"/>
        <v>7.3</v>
      </c>
      <c r="CV48" s="56">
        <f t="shared" si="8"/>
        <v>4.5081586864702743</v>
      </c>
      <c r="CW48" s="2">
        <f t="shared" si="9"/>
        <v>2.7839216604173278</v>
      </c>
      <c r="CX48" s="2">
        <f t="shared" si="10"/>
        <v>9.4</v>
      </c>
      <c r="CY48" s="2">
        <f t="shared" si="11"/>
        <v>0.61752965102411705</v>
      </c>
      <c r="CZ48" s="2">
        <f t="shared" si="12"/>
        <v>9.4</v>
      </c>
      <c r="DA48" s="2">
        <f t="shared" si="13"/>
        <v>0.38247125621405259</v>
      </c>
    </row>
    <row r="49" spans="2:105"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CM49" s="2">
        <f t="shared" si="26"/>
        <v>9.6</v>
      </c>
      <c r="CN49" s="1" t="str">
        <f t="shared" si="0"/>
        <v>0.0107986736111111+10.3667266666667i</v>
      </c>
      <c r="CO49" s="56" t="str">
        <f t="shared" si="1"/>
        <v>-2.81215458622685i</v>
      </c>
      <c r="CP49" s="1" t="str">
        <f t="shared" si="2"/>
        <v>0.0107986736111111+7.55457208043985i</v>
      </c>
      <c r="CQ49" s="1" t="str">
        <f t="shared" si="4"/>
        <v>0.0191834803010191+4.6040352722446i</v>
      </c>
      <c r="CR49" s="1" t="str">
        <f t="shared" si="5"/>
        <v>0.00895430416602128+2.86065473037612i</v>
      </c>
      <c r="CT49" s="1">
        <f t="shared" si="6"/>
        <v>9.6</v>
      </c>
      <c r="CU49" s="1">
        <f t="shared" si="7"/>
        <v>7.6</v>
      </c>
      <c r="CV49" s="56">
        <f t="shared" si="8"/>
        <v>4.6040752376551</v>
      </c>
      <c r="CW49" s="2">
        <f t="shared" si="9"/>
        <v>2.8606687445397045</v>
      </c>
      <c r="CX49" s="2">
        <f t="shared" si="10"/>
        <v>9.6</v>
      </c>
      <c r="CY49" s="2">
        <f t="shared" si="11"/>
        <v>0.62133405665122765</v>
      </c>
      <c r="CZ49" s="2">
        <f t="shared" si="12"/>
        <v>9.6</v>
      </c>
      <c r="DA49" s="2">
        <f t="shared" si="13"/>
        <v>0.37866682474617697</v>
      </c>
    </row>
    <row r="50" spans="2:105" ht="18" customHeight="1" x14ac:dyDescent="0.25">
      <c r="CM50" s="2">
        <f t="shared" si="26"/>
        <v>9.8000000000000007</v>
      </c>
      <c r="CN50" s="1" t="str">
        <f t="shared" si="0"/>
        <v>0.0107986736111111+10.5827001388889i</v>
      </c>
      <c r="CO50" s="56" t="str">
        <f t="shared" si="1"/>
        <v>-2.75476367630386i</v>
      </c>
      <c r="CP50" s="1" t="str">
        <f t="shared" si="2"/>
        <v>0.0107986736111111+7.82793646258504i</v>
      </c>
      <c r="CQ50" s="1" t="str">
        <f t="shared" si="4"/>
        <v>0.0191834803010191+4.6999526737497i</v>
      </c>
      <c r="CR50" s="1" t="str">
        <f t="shared" si="5"/>
        <v>0.00900957129238013+2.93672728718319i</v>
      </c>
      <c r="CT50" s="1">
        <f t="shared" si="6"/>
        <v>9.8000000000000007</v>
      </c>
      <c r="CU50" s="1">
        <f t="shared" si="7"/>
        <v>7.8</v>
      </c>
      <c r="CV50" s="56">
        <f t="shared" si="8"/>
        <v>4.6999918235464433</v>
      </c>
      <c r="CW50" s="2">
        <f t="shared" si="9"/>
        <v>2.9367411073605401</v>
      </c>
      <c r="CX50" s="2">
        <f t="shared" si="10"/>
        <v>9.8000000000000007</v>
      </c>
      <c r="CY50" s="2">
        <f t="shared" si="11"/>
        <v>0.62483962049631547</v>
      </c>
      <c r="CZ50" s="2">
        <f t="shared" si="12"/>
        <v>9.8000000000000007</v>
      </c>
      <c r="DA50" s="2">
        <f t="shared" si="13"/>
        <v>0.37516123528135814</v>
      </c>
    </row>
    <row r="51" spans="2:105"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CM51" s="2">
        <f t="shared" si="26"/>
        <v>10</v>
      </c>
      <c r="CN51" s="1" t="str">
        <f t="shared" si="0"/>
        <v>0.0107986736111111+10.7986736111111i</v>
      </c>
      <c r="CO51" s="56" t="str">
        <f t="shared" si="1"/>
        <v>-2.69966840277778i</v>
      </c>
      <c r="CP51" s="1" t="str">
        <f t="shared" si="2"/>
        <v>0.0107986736111111+8.09900520833332i</v>
      </c>
      <c r="CQ51" s="1" t="str">
        <f t="shared" si="4"/>
        <v>0.0191834803010191+4.79587007525479i</v>
      </c>
      <c r="CR51" s="1" t="str">
        <f t="shared" si="5"/>
        <v>0.00906128467977068+3.0121920828582i</v>
      </c>
      <c r="CT51" s="1">
        <f t="shared" si="6"/>
        <v>10</v>
      </c>
      <c r="CU51" s="1">
        <f t="shared" si="7"/>
        <v>8.1</v>
      </c>
      <c r="CV51" s="56">
        <f t="shared" si="8"/>
        <v>4.7959084420619256</v>
      </c>
      <c r="CW51" s="2">
        <f t="shared" si="9"/>
        <v>3.0122057119183725</v>
      </c>
      <c r="CX51" s="2">
        <f t="shared" si="10"/>
        <v>10</v>
      </c>
      <c r="CY51" s="2">
        <f t="shared" si="11"/>
        <v>0.62807823550178465</v>
      </c>
      <c r="CZ51" s="2">
        <f t="shared" si="12"/>
        <v>10</v>
      </c>
      <c r="DA51" s="2">
        <f t="shared" si="13"/>
        <v>0.37192259504987057</v>
      </c>
    </row>
    <row r="52" spans="2:105" ht="18" customHeight="1" x14ac:dyDescent="0.25">
      <c r="B52" s="6"/>
      <c r="AN52" s="7"/>
      <c r="AP52" s="8"/>
      <c r="AR52" s="6"/>
      <c r="CD52" s="7"/>
      <c r="CF52" s="8"/>
      <c r="CM52" s="2">
        <f t="shared" si="26"/>
        <v>10.199999999999999</v>
      </c>
      <c r="CN52" s="1" t="str">
        <f t="shared" si="0"/>
        <v>0.0107986736111111+11.0146470833333i</v>
      </c>
      <c r="CO52" s="56" t="str">
        <f t="shared" si="1"/>
        <v>-2.64673372821351i</v>
      </c>
      <c r="CP52" s="1" t="str">
        <f t="shared" si="2"/>
        <v>0.0107986736111111+8.36791335511979i</v>
      </c>
      <c r="CQ52" s="1" t="str">
        <f t="shared" si="4"/>
        <v>0.0191834803010191+4.89178747675989i</v>
      </c>
      <c r="CR52" s="1" t="str">
        <f t="shared" si="5"/>
        <v>0.00910973720611348+3.08710733745751i</v>
      </c>
      <c r="CT52" s="1">
        <f t="shared" si="6"/>
        <v>10.199999999999999</v>
      </c>
      <c r="CU52" s="1">
        <f t="shared" si="7"/>
        <v>8.4</v>
      </c>
      <c r="CV52" s="56">
        <f t="shared" si="8"/>
        <v>4.8918250912825316</v>
      </c>
      <c r="CW52" s="2">
        <f t="shared" si="9"/>
        <v>3.0871207783784493</v>
      </c>
      <c r="CX52" s="2">
        <f t="shared" si="10"/>
        <v>10.199999999999999</v>
      </c>
      <c r="CY52" s="2">
        <f t="shared" si="11"/>
        <v>0.63107750599665791</v>
      </c>
      <c r="CZ52" s="2">
        <f t="shared" si="12"/>
        <v>10.199999999999999</v>
      </c>
      <c r="DA52" s="2">
        <f t="shared" si="13"/>
        <v>0.36892329984737249</v>
      </c>
    </row>
    <row r="53" spans="2:105" ht="18" customHeight="1" x14ac:dyDescent="0.25">
      <c r="B53" s="6"/>
      <c r="AN53" s="9"/>
      <c r="AP53" s="8"/>
      <c r="AR53" s="6"/>
      <c r="CD53" s="9"/>
      <c r="CF53" s="8"/>
      <c r="CM53" s="2">
        <f t="shared" si="26"/>
        <v>10.4</v>
      </c>
      <c r="CN53" s="1" t="str">
        <f t="shared" si="0"/>
        <v>0.0107986736111111+11.2306205555556i</v>
      </c>
      <c r="CO53" s="56" t="str">
        <f t="shared" si="1"/>
        <v>-2.59583500267094i</v>
      </c>
      <c r="CP53" s="1" t="str">
        <f t="shared" si="2"/>
        <v>0.0107986736111111+8.63478555288466i</v>
      </c>
      <c r="CQ53" s="1" t="str">
        <f t="shared" si="4"/>
        <v>0.0191834803010191+4.98770487826499i</v>
      </c>
      <c r="CR53" s="1" t="str">
        <f t="shared" si="5"/>
        <v>0.00915519371742916+3.16152392096375i</v>
      </c>
      <c r="CT53" s="1">
        <f t="shared" si="6"/>
        <v>10.4</v>
      </c>
      <c r="CU53" s="1">
        <f t="shared" si="7"/>
        <v>8.6</v>
      </c>
      <c r="CV53" s="56">
        <f t="shared" si="8"/>
        <v>4.9877417694368305</v>
      </c>
      <c r="CW53" s="2">
        <f t="shared" si="9"/>
        <v>3.1615371768173164</v>
      </c>
      <c r="CX53" s="2">
        <f t="shared" si="10"/>
        <v>10.4</v>
      </c>
      <c r="CY53" s="2">
        <f t="shared" si="11"/>
        <v>0.63386143929706407</v>
      </c>
      <c r="CZ53" s="2">
        <f t="shared" si="12"/>
        <v>10.4</v>
      </c>
      <c r="DA53" s="2">
        <f t="shared" si="13"/>
        <v>0.36613934244567803</v>
      </c>
    </row>
    <row r="54" spans="2:105" ht="18" customHeight="1" thickBot="1" x14ac:dyDescent="0.3">
      <c r="B54" s="6"/>
      <c r="C54" s="10" t="str">
        <f>"Harmonic Filter Design - Notch Type | "&amp; H12 &amp; " | " &amp; AE13</f>
        <v>Harmonic Filter Design - Notch Type | Enter Customer PO #  | Stage 1</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1"/>
      <c r="AO54" s="10"/>
      <c r="AP54" s="8"/>
      <c r="AR54" s="6"/>
      <c r="AS54" s="251" t="str">
        <f>"Harmonic Filter Design - Notch Type | "&amp; H12 &amp; " | " &amp; AE13</f>
        <v>Harmonic Filter Design - Notch Type | Enter Customer PO #  | Stage 1</v>
      </c>
      <c r="AT54" s="251"/>
      <c r="AU54" s="251"/>
      <c r="AV54" s="251"/>
      <c r="AW54" s="251"/>
      <c r="AX54" s="251"/>
      <c r="AY54" s="251"/>
      <c r="AZ54" s="251"/>
      <c r="BA54" s="251"/>
      <c r="BB54" s="251"/>
      <c r="BC54" s="251"/>
      <c r="BD54" s="251"/>
      <c r="BE54" s="251"/>
      <c r="BF54" s="251"/>
      <c r="BG54" s="251"/>
      <c r="BH54" s="10"/>
      <c r="BI54" s="10"/>
      <c r="BJ54" s="10"/>
      <c r="BK54" s="10"/>
      <c r="BL54" s="10"/>
      <c r="BM54" s="10"/>
      <c r="BN54" s="10"/>
      <c r="BO54" s="10"/>
      <c r="BP54" s="10"/>
      <c r="BQ54" s="10"/>
      <c r="BR54" s="10"/>
      <c r="BS54" s="10"/>
      <c r="BT54" s="10"/>
      <c r="BU54" s="10"/>
      <c r="BV54" s="10"/>
      <c r="BW54" s="10"/>
      <c r="BX54" s="10"/>
      <c r="BY54" s="10"/>
      <c r="BZ54" s="10"/>
      <c r="CA54" s="10"/>
      <c r="CB54" s="10"/>
      <c r="CC54" s="10"/>
      <c r="CD54" s="11"/>
      <c r="CE54" s="10"/>
      <c r="CF54" s="8"/>
      <c r="CM54" s="2">
        <f t="shared" si="26"/>
        <v>10.6</v>
      </c>
      <c r="CN54" s="1" t="str">
        <f t="shared" si="0"/>
        <v>0.0107986736111111+11.4465940277778i</v>
      </c>
      <c r="CO54" s="56" t="str">
        <f t="shared" si="1"/>
        <v>-2.54685698375262i</v>
      </c>
      <c r="CP54" s="1" t="str">
        <f t="shared" si="2"/>
        <v>0.0107986736111111+8.89973704402518i</v>
      </c>
      <c r="CQ54" s="1" t="str">
        <f t="shared" si="4"/>
        <v>0.0191834803010191+5.08362227977008i</v>
      </c>
      <c r="CR54" s="1" t="str">
        <f t="shared" si="5"/>
        <v>0.00919789381163777+3.23548648718749i</v>
      </c>
      <c r="CT54" s="1">
        <f t="shared" si="6"/>
        <v>10.6</v>
      </c>
      <c r="CU54" s="1">
        <f t="shared" si="7"/>
        <v>8.9</v>
      </c>
      <c r="CV54" s="56">
        <f t="shared" si="8"/>
        <v>5.0836584748870779</v>
      </c>
      <c r="CW54" s="2">
        <f t="shared" si="9"/>
        <v>3.2354995611224266</v>
      </c>
      <c r="CX54" s="2">
        <f t="shared" si="10"/>
        <v>10.6</v>
      </c>
      <c r="CY54" s="2">
        <f t="shared" si="11"/>
        <v>0.63645100808907074</v>
      </c>
      <c r="CZ54" s="2">
        <f t="shared" si="12"/>
        <v>10.6</v>
      </c>
      <c r="DA54" s="2">
        <f t="shared" si="13"/>
        <v>0.36354975021853364</v>
      </c>
    </row>
    <row r="55" spans="2:105" ht="18" customHeight="1" x14ac:dyDescent="0.25">
      <c r="B55" s="6"/>
      <c r="AN55" s="9"/>
      <c r="AP55" s="8"/>
      <c r="AR55" s="6"/>
      <c r="CD55" s="9"/>
      <c r="CF55" s="8"/>
      <c r="CM55" s="2">
        <f t="shared" si="26"/>
        <v>10.8</v>
      </c>
      <c r="CN55" s="1" t="str">
        <f t="shared" si="0"/>
        <v>0.0107986736111111+11.6625675i</v>
      </c>
      <c r="CO55" s="56" t="str">
        <f t="shared" si="1"/>
        <v>-2.49969296553498i</v>
      </c>
      <c r="CP55" s="1" t="str">
        <f t="shared" si="2"/>
        <v>0.0107986736111111+9.16287453446502i</v>
      </c>
      <c r="CQ55" s="1" t="str">
        <f t="shared" si="4"/>
        <v>0.0191834803010191+5.17953968127518i</v>
      </c>
      <c r="CR55" s="1" t="str">
        <f t="shared" si="5"/>
        <v>0.00923805440512714+3.3090344033119i</v>
      </c>
      <c r="CT55" s="1">
        <f t="shared" si="6"/>
        <v>10.8</v>
      </c>
      <c r="CU55" s="1">
        <f t="shared" si="7"/>
        <v>9.1999999999999993</v>
      </c>
      <c r="CV55" s="56">
        <f t="shared" si="8"/>
        <v>5.1795752061168736</v>
      </c>
      <c r="CW55" s="2">
        <f t="shared" si="9"/>
        <v>3.3090472985363828</v>
      </c>
      <c r="CX55" s="2">
        <f t="shared" si="10"/>
        <v>10.8</v>
      </c>
      <c r="CY55" s="2">
        <f t="shared" si="11"/>
        <v>0.63886461087166457</v>
      </c>
      <c r="CZ55" s="2">
        <f t="shared" si="12"/>
        <v>10.8</v>
      </c>
      <c r="DA55" s="2">
        <f t="shared" si="13"/>
        <v>0.36113612470525491</v>
      </c>
    </row>
    <row r="56" spans="2:105" ht="18" customHeight="1" x14ac:dyDescent="0.3">
      <c r="B56" s="6"/>
      <c r="C56" s="178" t="s">
        <v>87</v>
      </c>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8"/>
      <c r="AR56" s="6"/>
      <c r="AS56" s="30" t="s">
        <v>88</v>
      </c>
      <c r="CF56" s="8"/>
      <c r="CM56" s="2">
        <f t="shared" si="26"/>
        <v>11</v>
      </c>
      <c r="CN56" s="1" t="str">
        <f t="shared" si="0"/>
        <v>0.0107986736111111+11.8785409722222i</v>
      </c>
      <c r="CO56" s="56" t="str">
        <f t="shared" si="1"/>
        <v>-2.45424400252525i</v>
      </c>
      <c r="CP56" s="1" t="str">
        <f t="shared" si="2"/>
        <v>0.0107986736111111+9.42429696969695i</v>
      </c>
      <c r="CQ56" s="1" t="str">
        <f t="shared" si="4"/>
        <v>0.0191834803010191+5.27545708278027i</v>
      </c>
      <c r="CR56" s="1" t="str">
        <f t="shared" si="5"/>
        <v>0.00927587206876232+3.38220251685881i</v>
      </c>
      <c r="CT56" s="1">
        <f t="shared" si="6"/>
        <v>11</v>
      </c>
      <c r="CU56" s="1">
        <f t="shared" si="7"/>
        <v>9.4</v>
      </c>
      <c r="CV56" s="56">
        <f t="shared" si="8"/>
        <v>5.2754919617200606</v>
      </c>
      <c r="CW56" s="2">
        <f t="shared" si="9"/>
        <v>3.3822152366235807</v>
      </c>
      <c r="CX56" s="2">
        <f t="shared" si="10"/>
        <v>11</v>
      </c>
      <c r="CY56" s="2">
        <f t="shared" si="11"/>
        <v>0.64111845135307943</v>
      </c>
      <c r="CZ56" s="2">
        <f t="shared" si="12"/>
        <v>11</v>
      </c>
      <c r="DA56" s="2">
        <f t="shared" si="13"/>
        <v>0.35888226221948016</v>
      </c>
    </row>
    <row r="57" spans="2:105" ht="18" customHeight="1" x14ac:dyDescent="0.25">
      <c r="B57" s="6"/>
      <c r="C57" s="18"/>
      <c r="D57" s="18"/>
      <c r="E57" s="18"/>
      <c r="F57" s="18"/>
      <c r="G57" s="18"/>
      <c r="H57" s="18"/>
      <c r="I57" s="18"/>
      <c r="J57" s="18"/>
      <c r="K57" s="18"/>
      <c r="L57" s="18"/>
      <c r="M57" s="18"/>
      <c r="N57" s="18"/>
      <c r="O57" s="18"/>
      <c r="P57" s="18"/>
      <c r="Q57" s="18"/>
      <c r="R57" s="18"/>
      <c r="S57" s="18"/>
      <c r="T57" s="18"/>
      <c r="U57" s="335" t="s">
        <v>92</v>
      </c>
      <c r="V57" s="335"/>
      <c r="W57" s="335"/>
      <c r="X57" s="335"/>
      <c r="Y57" s="335"/>
      <c r="AC57" s="18"/>
      <c r="AD57" s="18"/>
      <c r="AE57" s="18"/>
      <c r="AF57" s="18"/>
      <c r="AG57" s="18"/>
      <c r="AH57" s="18"/>
      <c r="AI57" s="18"/>
      <c r="AJ57" s="18"/>
      <c r="AK57" s="18"/>
      <c r="AL57" s="18"/>
      <c r="AM57" s="18"/>
      <c r="AN57" s="18"/>
      <c r="AP57" s="8"/>
      <c r="AR57" s="6"/>
      <c r="CF57" s="8"/>
      <c r="CM57" s="2">
        <f t="shared" si="26"/>
        <v>11.2</v>
      </c>
      <c r="CN57" s="1" t="str">
        <f t="shared" si="0"/>
        <v>0.0107986736111111+12.0945144444444i</v>
      </c>
      <c r="CO57" s="56" t="str">
        <f t="shared" si="1"/>
        <v>-2.41041821676587i</v>
      </c>
      <c r="CP57" s="1" t="str">
        <f t="shared" si="2"/>
        <v>0.0107986736111111+9.68409622767853i</v>
      </c>
      <c r="CQ57" s="1" t="str">
        <f t="shared" si="4"/>
        <v>0.0191834803010191+5.37137448428537i</v>
      </c>
      <c r="CR57" s="1" t="str">
        <f t="shared" si="5"/>
        <v>0.00931152513589808+3.45502179236538i</v>
      </c>
      <c r="CT57" s="1">
        <f t="shared" si="6"/>
        <v>11.2</v>
      </c>
      <c r="CU57" s="1">
        <f t="shared" si="7"/>
        <v>9.6999999999999993</v>
      </c>
      <c r="CV57" s="56">
        <f t="shared" si="8"/>
        <v>5.3714087403909589</v>
      </c>
      <c r="CW57" s="2">
        <f t="shared" si="9"/>
        <v>3.4550343399480186</v>
      </c>
      <c r="CX57" s="2">
        <f t="shared" si="10"/>
        <v>11.2</v>
      </c>
      <c r="CY57" s="2">
        <f t="shared" si="11"/>
        <v>0.64322685294222093</v>
      </c>
      <c r="CZ57" s="2">
        <f t="shared" si="12"/>
        <v>11.2</v>
      </c>
      <c r="DA57" s="2">
        <f t="shared" si="13"/>
        <v>0.3567738393616906</v>
      </c>
    </row>
    <row r="58" spans="2:105" ht="18" customHeight="1" x14ac:dyDescent="0.3">
      <c r="B58" s="6"/>
      <c r="C58" s="18"/>
      <c r="D58" s="18"/>
      <c r="E58" s="18"/>
      <c r="F58" s="18"/>
      <c r="G58" s="18"/>
      <c r="H58" s="18"/>
      <c r="I58" s="335" t="s">
        <v>93</v>
      </c>
      <c r="J58" s="335"/>
      <c r="K58" s="335"/>
      <c r="L58" s="335"/>
      <c r="M58" s="18"/>
      <c r="O58" s="335" t="s">
        <v>94</v>
      </c>
      <c r="P58" s="335"/>
      <c r="Q58" s="335"/>
      <c r="R58" s="335"/>
      <c r="U58" s="335"/>
      <c r="V58" s="335"/>
      <c r="W58" s="335"/>
      <c r="X58" s="335"/>
      <c r="Y58" s="335"/>
      <c r="AC58" s="18"/>
      <c r="AD58" s="18"/>
      <c r="AE58" s="18"/>
      <c r="AF58" s="18"/>
      <c r="AG58" s="18"/>
      <c r="AH58" s="18"/>
      <c r="AI58" s="18"/>
      <c r="AJ58" s="18"/>
      <c r="AK58" s="18"/>
      <c r="AL58" s="18"/>
      <c r="AM58" s="18"/>
      <c r="AN58" s="18"/>
      <c r="AP58" s="8"/>
      <c r="AR58" s="6"/>
      <c r="AS58" s="337" t="str">
        <f>S17&amp;"kV, "&amp;S20&amp;"Hz High-Pass Filter, Wye-Connected"</f>
        <v>12.47kV, 60Hz High-Pass Filter, Wye-Connected</v>
      </c>
      <c r="AT58" s="337"/>
      <c r="AU58" s="337"/>
      <c r="AV58" s="337"/>
      <c r="AW58" s="337"/>
      <c r="AX58" s="337"/>
      <c r="AY58" s="337"/>
      <c r="AZ58" s="337"/>
      <c r="BA58" s="337"/>
      <c r="BB58" s="337"/>
      <c r="BC58" s="337"/>
      <c r="BD58" s="337"/>
      <c r="BE58" s="337"/>
      <c r="BF58" s="337"/>
      <c r="BG58" s="337"/>
      <c r="BH58" s="337"/>
      <c r="BI58" s="337"/>
      <c r="BJ58" s="337"/>
      <c r="BK58" s="337"/>
      <c r="BL58" s="337"/>
      <c r="BM58" s="337"/>
      <c r="BN58" s="337"/>
      <c r="BO58" s="337"/>
      <c r="BP58" s="337"/>
      <c r="BQ58" s="337"/>
      <c r="BR58" s="337"/>
      <c r="BS58" s="337"/>
      <c r="BT58" s="337"/>
      <c r="BU58" s="337"/>
      <c r="BV58" s="337"/>
      <c r="BW58" s="337"/>
      <c r="BX58" s="337"/>
      <c r="BY58" s="337"/>
      <c r="BZ58" s="337"/>
      <c r="CA58" s="337"/>
      <c r="CB58" s="337"/>
      <c r="CC58" s="337"/>
      <c r="CD58" s="337"/>
      <c r="CE58" s="337"/>
      <c r="CF58" s="8"/>
      <c r="CM58" s="2">
        <f t="shared" si="26"/>
        <v>11.4</v>
      </c>
      <c r="CN58" s="1" t="str">
        <f t="shared" si="0"/>
        <v>0.0107986736111111+12.3104879166667i</v>
      </c>
      <c r="CO58" s="56" t="str">
        <f t="shared" si="1"/>
        <v>-2.36813017787524i</v>
      </c>
      <c r="CP58" s="1" t="str">
        <f t="shared" si="2"/>
        <v>0.0107986736111111+9.94235773879146i</v>
      </c>
      <c r="CQ58" s="1" t="str">
        <f t="shared" si="4"/>
        <v>0.0191834803010191+5.46729188579046i</v>
      </c>
      <c r="CR58" s="1" t="str">
        <f t="shared" si="5"/>
        <v>0.0093451755937821+3.52751984292737i</v>
      </c>
      <c r="CT58" s="1">
        <f t="shared" si="6"/>
        <v>11.4</v>
      </c>
      <c r="CU58" s="1">
        <f t="shared" si="7"/>
        <v>9.9</v>
      </c>
      <c r="CV58" s="56">
        <f t="shared" si="8"/>
        <v>5.4673255409154731</v>
      </c>
      <c r="CW58" s="2">
        <f t="shared" si="9"/>
        <v>3.527532221617999</v>
      </c>
      <c r="CX58" s="2">
        <f t="shared" si="10"/>
        <v>11.4</v>
      </c>
      <c r="CY58" s="2">
        <f t="shared" si="11"/>
        <v>0.64520252090702079</v>
      </c>
      <c r="CZ58" s="2">
        <f t="shared" si="12"/>
        <v>11.4</v>
      </c>
      <c r="DA58" s="2">
        <f t="shared" si="13"/>
        <v>0.35479815086389793</v>
      </c>
    </row>
    <row r="59" spans="2:105" ht="18" customHeight="1" x14ac:dyDescent="0.3">
      <c r="B59" s="6"/>
      <c r="C59" s="335" t="s">
        <v>95</v>
      </c>
      <c r="D59" s="335"/>
      <c r="E59" s="335"/>
      <c r="F59" s="335"/>
      <c r="G59" s="335"/>
      <c r="H59" s="17"/>
      <c r="I59" s="335"/>
      <c r="J59" s="335"/>
      <c r="K59" s="335"/>
      <c r="L59" s="335"/>
      <c r="M59" s="48"/>
      <c r="O59" s="335"/>
      <c r="P59" s="335"/>
      <c r="Q59" s="335"/>
      <c r="R59" s="335"/>
      <c r="U59" s="335"/>
      <c r="V59" s="335"/>
      <c r="W59" s="335"/>
      <c r="X59" s="335"/>
      <c r="Y59" s="335"/>
      <c r="AA59" s="335" t="s">
        <v>96</v>
      </c>
      <c r="AB59" s="335"/>
      <c r="AC59" s="335"/>
      <c r="AD59" s="335"/>
      <c r="AE59" s="335"/>
      <c r="AP59" s="8"/>
      <c r="AR59" s="6"/>
      <c r="AS59" s="154" t="str">
        <f>FIXED(S18,0)&amp;" Kvar 3-Phase, "&amp;FIXED(S19,1)&amp;" Tuning"</f>
        <v>6,000 Kvar 3-Phase, 5.0 Tuning</v>
      </c>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8"/>
      <c r="CM59" s="2">
        <f t="shared" si="26"/>
        <v>11.6</v>
      </c>
      <c r="CN59" s="1" t="str">
        <f t="shared" si="0"/>
        <v>0.0107986736111111+12.5264613888889i</v>
      </c>
      <c r="CO59" s="56" t="str">
        <f t="shared" si="1"/>
        <v>-2.32730034722222i</v>
      </c>
      <c r="CP59" s="1" t="str">
        <f t="shared" si="2"/>
        <v>0.0107986736111111+10.1991610416667i</v>
      </c>
      <c r="CQ59" s="1" t="str">
        <f t="shared" si="4"/>
        <v>0.0191834803010191+5.56320928729556i</v>
      </c>
      <c r="CR59" s="1" t="str">
        <f t="shared" si="5"/>
        <v>0.00937697077419656+3.59972137635959i</v>
      </c>
      <c r="CT59" s="1">
        <f t="shared" si="6"/>
        <v>11.6</v>
      </c>
      <c r="CU59" s="1">
        <f t="shared" si="7"/>
        <v>10.199999999999999</v>
      </c>
      <c r="CV59" s="56">
        <f t="shared" si="8"/>
        <v>5.5632423621632769</v>
      </c>
      <c r="CW59" s="2">
        <f t="shared" si="9"/>
        <v>3.599733589448125</v>
      </c>
      <c r="CX59" s="2">
        <f t="shared" si="10"/>
        <v>11.6</v>
      </c>
      <c r="CY59" s="2">
        <f t="shared" si="11"/>
        <v>0.64705676206570317</v>
      </c>
      <c r="CZ59" s="2">
        <f t="shared" si="12"/>
        <v>11.6</v>
      </c>
      <c r="DA59" s="2">
        <f t="shared" si="13"/>
        <v>0.352943889900726</v>
      </c>
    </row>
    <row r="60" spans="2:105" ht="18" customHeight="1" x14ac:dyDescent="0.25">
      <c r="B60" s="6"/>
      <c r="C60" s="336"/>
      <c r="D60" s="336"/>
      <c r="E60" s="336"/>
      <c r="F60" s="336"/>
      <c r="G60" s="336"/>
      <c r="H60" s="17"/>
      <c r="I60" s="336"/>
      <c r="J60" s="336"/>
      <c r="K60" s="336"/>
      <c r="L60" s="336"/>
      <c r="M60" s="48"/>
      <c r="O60" s="336"/>
      <c r="P60" s="336"/>
      <c r="Q60" s="336"/>
      <c r="R60" s="336"/>
      <c r="U60" s="336"/>
      <c r="V60" s="336"/>
      <c r="W60" s="336"/>
      <c r="X60" s="336"/>
      <c r="Y60" s="336"/>
      <c r="AA60" s="336"/>
      <c r="AB60" s="336"/>
      <c r="AC60" s="336"/>
      <c r="AD60" s="336"/>
      <c r="AE60" s="336"/>
      <c r="AP60" s="8"/>
      <c r="AR60" s="6"/>
      <c r="CF60" s="8"/>
      <c r="CM60" s="2">
        <f t="shared" si="26"/>
        <v>11.8</v>
      </c>
      <c r="CN60" s="1" t="str">
        <f t="shared" si="0"/>
        <v>0.0107986736111111+12.7424348611111i</v>
      </c>
      <c r="CO60" s="56" t="str">
        <f t="shared" si="1"/>
        <v>-2.28785457862524i</v>
      </c>
      <c r="CP60" s="1" t="str">
        <f t="shared" si="2"/>
        <v>0.0107986736111111+10.4545802824859i</v>
      </c>
      <c r="CQ60" s="1" t="str">
        <f t="shared" si="4"/>
        <v>0.0191834803010191+5.65912668880066i</v>
      </c>
      <c r="CR60" s="1" t="str">
        <f t="shared" si="5"/>
        <v>0.0094070448610125+3.67164857159032i</v>
      </c>
      <c r="CT60" s="1">
        <f t="shared" si="6"/>
        <v>11.8</v>
      </c>
      <c r="CU60" s="1">
        <f t="shared" si="7"/>
        <v>10.5</v>
      </c>
      <c r="CV60" s="56">
        <f t="shared" si="8"/>
        <v>5.6591592030806463</v>
      </c>
      <c r="CW60" s="2">
        <f t="shared" si="9"/>
        <v>3.6716606223552661</v>
      </c>
      <c r="CX60" s="2">
        <f t="shared" si="10"/>
        <v>11.8</v>
      </c>
      <c r="CY60" s="2">
        <f t="shared" si="11"/>
        <v>0.64879966980899717</v>
      </c>
      <c r="CZ60" s="2">
        <f t="shared" si="12"/>
        <v>11.8</v>
      </c>
      <c r="DA60" s="2">
        <f t="shared" si="13"/>
        <v>0.35120096306905874</v>
      </c>
    </row>
    <row r="61" spans="2:105" ht="18" customHeight="1" x14ac:dyDescent="0.25">
      <c r="B61" s="6"/>
      <c r="C61" s="331">
        <f>J24</f>
        <v>1</v>
      </c>
      <c r="D61" s="331"/>
      <c r="E61" s="331"/>
      <c r="F61" s="331"/>
      <c r="G61" s="331"/>
      <c r="H61" s="24"/>
      <c r="I61" s="332">
        <f>J25</f>
        <v>278.12414534767834</v>
      </c>
      <c r="J61" s="332"/>
      <c r="K61" s="332"/>
      <c r="L61" s="332"/>
      <c r="M61" s="49"/>
      <c r="O61" s="333">
        <f>($AJ$30/C61)*J25</f>
        <v>7508.429672447015</v>
      </c>
      <c r="P61" s="333"/>
      <c r="Q61" s="333"/>
      <c r="R61" s="333"/>
      <c r="U61" s="333">
        <f>I61</f>
        <v>278.12414534767834</v>
      </c>
      <c r="V61" s="333"/>
      <c r="W61" s="333"/>
      <c r="X61" s="333"/>
      <c r="Y61" s="333"/>
      <c r="AA61" s="334">
        <v>1</v>
      </c>
      <c r="AB61" s="334"/>
      <c r="AC61" s="334"/>
      <c r="AD61" s="334"/>
      <c r="AE61" s="334"/>
      <c r="AP61" s="8"/>
      <c r="AR61" s="6"/>
      <c r="BK61" s="24" t="str">
        <f>"Fundamental amps "&amp;ROUND(J25,1)&amp;" amps/phase"</f>
        <v>Fundamental amps 278.1 amps/phase</v>
      </c>
      <c r="CC61" s="17"/>
      <c r="CF61" s="8"/>
      <c r="CM61" s="2">
        <f t="shared" si="26"/>
        <v>12</v>
      </c>
      <c r="CN61" s="1" t="str">
        <f t="shared" si="0"/>
        <v>0.0107986736111111+12.9584083333333i</v>
      </c>
      <c r="CO61" s="56" t="str">
        <f t="shared" si="1"/>
        <v>-2.24972366898148i</v>
      </c>
      <c r="CP61" s="1" t="str">
        <f t="shared" si="2"/>
        <v>0.0107986736111111+10.7086846643518i</v>
      </c>
      <c r="CQ61" s="1" t="str">
        <f t="shared" si="4"/>
        <v>0.0191834803010191+5.75504409030575i</v>
      </c>
      <c r="CR61" s="1" t="str">
        <f t="shared" si="5"/>
        <v>0.00943552023256953+3.74332139772214i</v>
      </c>
      <c r="CT61" s="1">
        <f t="shared" si="6"/>
        <v>12</v>
      </c>
      <c r="CU61" s="1">
        <f t="shared" si="7"/>
        <v>10.7</v>
      </c>
      <c r="CV61" s="56">
        <f t="shared" si="8"/>
        <v>5.7550760626841067</v>
      </c>
      <c r="CW61" s="2">
        <f t="shared" si="9"/>
        <v>3.7433332894208733</v>
      </c>
      <c r="CX61" s="2">
        <f t="shared" si="10"/>
        <v>12</v>
      </c>
      <c r="CY61" s="2">
        <f t="shared" si="11"/>
        <v>0.65044028065808412</v>
      </c>
      <c r="CZ61" s="2">
        <f t="shared" si="12"/>
        <v>12</v>
      </c>
      <c r="DA61" s="2">
        <f t="shared" si="13"/>
        <v>0.34956033383148583</v>
      </c>
    </row>
    <row r="62" spans="2:105" ht="18" customHeight="1" x14ac:dyDescent="0.25">
      <c r="B62" s="6"/>
      <c r="C62" s="185">
        <f>L24</f>
        <v>2</v>
      </c>
      <c r="D62" s="185"/>
      <c r="E62" s="185"/>
      <c r="F62" s="185"/>
      <c r="G62" s="185"/>
      <c r="H62" s="24"/>
      <c r="I62" s="248">
        <f>L25</f>
        <v>0</v>
      </c>
      <c r="J62" s="248"/>
      <c r="K62" s="248"/>
      <c r="L62" s="248"/>
      <c r="M62" s="49"/>
      <c r="O62" s="327">
        <f t="shared" ref="O62:O76" si="30">($AJ$30/C62)*I62</f>
        <v>0</v>
      </c>
      <c r="P62" s="327"/>
      <c r="Q62" s="327"/>
      <c r="R62" s="327"/>
      <c r="U62" s="327">
        <f>I62</f>
        <v>0</v>
      </c>
      <c r="V62" s="327"/>
      <c r="W62" s="327"/>
      <c r="X62" s="327"/>
      <c r="Y62" s="327"/>
      <c r="AA62" s="328">
        <f>DJ7/($S$17*1000/1.73)</f>
        <v>0</v>
      </c>
      <c r="AB62" s="328"/>
      <c r="AC62" s="328"/>
      <c r="AD62" s="328"/>
      <c r="AE62" s="328"/>
      <c r="AP62" s="8"/>
      <c r="AR62" s="6"/>
      <c r="BK62" s="38" t="str">
        <f>"RMS Current "&amp;ROUND(I77,2)&amp;" amps/phase"</f>
        <v>RMS Current 319.29 amps/phase</v>
      </c>
      <c r="CC62" s="17"/>
      <c r="CF62" s="8"/>
      <c r="CM62" s="2">
        <f t="shared" si="26"/>
        <v>12.2</v>
      </c>
      <c r="CN62" s="1" t="str">
        <f t="shared" si="0"/>
        <v>0.0107986736111111+13.1743818055556i</v>
      </c>
      <c r="CO62" s="56" t="str">
        <f t="shared" si="1"/>
        <v>-2.21284295309654i</v>
      </c>
      <c r="CP62" s="1" t="str">
        <f t="shared" si="2"/>
        <v>0.0107986736111111+10.9615388524591i</v>
      </c>
      <c r="CQ62" s="1" t="str">
        <f t="shared" si="4"/>
        <v>0.0191834803010191+5.85096149181085i</v>
      </c>
      <c r="CR62" s="1" t="str">
        <f t="shared" si="5"/>
        <v>0.00946250865614402+3.81475788572008i</v>
      </c>
      <c r="CT62" s="1">
        <f t="shared" si="6"/>
        <v>12.2</v>
      </c>
      <c r="CU62" s="1">
        <f t="shared" si="7"/>
        <v>11</v>
      </c>
      <c r="CV62" s="56">
        <f t="shared" si="8"/>
        <v>5.8509929400546969</v>
      </c>
      <c r="CW62" s="2">
        <f t="shared" si="9"/>
        <v>3.8147696215805222</v>
      </c>
      <c r="CX62" s="2">
        <f t="shared" si="10"/>
        <v>12.2</v>
      </c>
      <c r="CY62" s="2">
        <f t="shared" si="11"/>
        <v>0.6519867073271256</v>
      </c>
      <c r="CZ62" s="2">
        <f t="shared" si="12"/>
        <v>12.2</v>
      </c>
      <c r="DA62" s="2">
        <f t="shared" si="13"/>
        <v>0.34801388945490813</v>
      </c>
    </row>
    <row r="63" spans="2:105" ht="18" customHeight="1" x14ac:dyDescent="0.25">
      <c r="B63" s="6"/>
      <c r="C63" s="185">
        <f>N24</f>
        <v>3</v>
      </c>
      <c r="D63" s="185"/>
      <c r="E63" s="185"/>
      <c r="F63" s="185"/>
      <c r="G63" s="185"/>
      <c r="H63" s="24"/>
      <c r="I63" s="248">
        <f>N25</f>
        <v>0</v>
      </c>
      <c r="J63" s="248"/>
      <c r="K63" s="248"/>
      <c r="L63" s="248"/>
      <c r="M63" s="49"/>
      <c r="O63" s="327">
        <f t="shared" si="30"/>
        <v>0</v>
      </c>
      <c r="P63" s="327"/>
      <c r="Q63" s="327"/>
      <c r="R63" s="327"/>
      <c r="U63" s="327">
        <f t="shared" ref="U63:U76" si="31">I63</f>
        <v>0</v>
      </c>
      <c r="V63" s="327"/>
      <c r="W63" s="327"/>
      <c r="X63" s="327"/>
      <c r="Y63" s="327"/>
      <c r="AA63" s="328">
        <f t="shared" ref="AA63:AA76" si="32">DJ8/($S$17*1000/1.73)</f>
        <v>0</v>
      </c>
      <c r="AB63" s="328"/>
      <c r="AC63" s="328"/>
      <c r="AD63" s="328"/>
      <c r="AE63" s="328"/>
      <c r="AP63" s="8"/>
      <c r="AR63" s="6"/>
      <c r="CC63" s="17"/>
      <c r="CF63" s="8"/>
      <c r="CM63" s="2">
        <f t="shared" si="26"/>
        <v>12.4</v>
      </c>
      <c r="CN63" s="1" t="str">
        <f t="shared" si="0"/>
        <v>0.0107986736111111+13.3903552777778i</v>
      </c>
      <c r="CO63" s="56" t="str">
        <f t="shared" si="1"/>
        <v>-2.17715193772401i</v>
      </c>
      <c r="CP63" s="1" t="str">
        <f t="shared" si="2"/>
        <v>0.0107986736111111+11.2132033400538i</v>
      </c>
      <c r="CQ63" s="1" t="str">
        <f t="shared" si="4"/>
        <v>0.0191834803010191+5.94687889331594i</v>
      </c>
      <c r="CR63" s="1" t="str">
        <f t="shared" si="5"/>
        <v>0.00948811235062695+3.88597436075535i</v>
      </c>
      <c r="CT63" s="1">
        <f t="shared" si="6"/>
        <v>12.4</v>
      </c>
      <c r="CU63" s="1">
        <f t="shared" si="7"/>
        <v>11.2</v>
      </c>
      <c r="CV63" s="56">
        <f t="shared" si="8"/>
        <v>5.9469098343327085</v>
      </c>
      <c r="CW63" s="2">
        <f t="shared" si="9"/>
        <v>3.8859859439689086</v>
      </c>
      <c r="CX63" s="2">
        <f t="shared" si="10"/>
        <v>12.4</v>
      </c>
      <c r="CY63" s="2">
        <f t="shared" si="11"/>
        <v>0.65344625229296927</v>
      </c>
      <c r="CZ63" s="2">
        <f t="shared" si="12"/>
        <v>12.4</v>
      </c>
      <c r="DA63" s="2">
        <f t="shared" si="13"/>
        <v>0.34655432744166398</v>
      </c>
    </row>
    <row r="64" spans="2:105" ht="18" customHeight="1" x14ac:dyDescent="0.25">
      <c r="B64" s="6"/>
      <c r="C64" s="185">
        <f>P24</f>
        <v>4</v>
      </c>
      <c r="D64" s="185"/>
      <c r="E64" s="185"/>
      <c r="F64" s="185"/>
      <c r="G64" s="185"/>
      <c r="H64" s="24"/>
      <c r="I64" s="248">
        <f>P25</f>
        <v>0</v>
      </c>
      <c r="J64" s="248"/>
      <c r="K64" s="248"/>
      <c r="L64" s="248"/>
      <c r="M64" s="49"/>
      <c r="O64" s="327">
        <f t="shared" si="30"/>
        <v>0</v>
      </c>
      <c r="P64" s="327"/>
      <c r="Q64" s="327"/>
      <c r="R64" s="327"/>
      <c r="U64" s="327">
        <f t="shared" si="31"/>
        <v>0</v>
      </c>
      <c r="V64" s="327"/>
      <c r="W64" s="327"/>
      <c r="X64" s="327"/>
      <c r="Y64" s="327"/>
      <c r="AA64" s="328">
        <f t="shared" si="32"/>
        <v>0</v>
      </c>
      <c r="AB64" s="328"/>
      <c r="AC64" s="328"/>
      <c r="AD64" s="328"/>
      <c r="AE64" s="328"/>
      <c r="AP64" s="8"/>
      <c r="AR64" s="6"/>
      <c r="BK64" s="38" t="str">
        <f>"Reactor: "&amp;ROUND(AJ34,2)&amp;" ohms, "&amp;ROUND(AJ35,2)&amp;" mH"</f>
        <v>Reactor: 1.08 ohms, 2.86 mH</v>
      </c>
      <c r="CC64" s="17"/>
      <c r="CF64" s="8"/>
      <c r="CM64" s="2">
        <f t="shared" si="26"/>
        <v>12.6</v>
      </c>
      <c r="CN64" s="1" t="str">
        <f t="shared" si="0"/>
        <v>0.0107986736111111+13.60632875i</v>
      </c>
      <c r="CO64" s="56" t="str">
        <f t="shared" si="1"/>
        <v>-2.14259397045855i</v>
      </c>
      <c r="CP64" s="1" t="str">
        <f t="shared" si="2"/>
        <v>0.0107986736111111+11.4637347795414i</v>
      </c>
      <c r="CQ64" s="1" t="str">
        <f t="shared" si="4"/>
        <v>0.0191834803010191+6.04279629482104i</v>
      </c>
      <c r="CR64" s="1" t="str">
        <f t="shared" si="5"/>
        <v>0.0095124249321766+3.95698564171388i</v>
      </c>
      <c r="CT64" s="1">
        <f t="shared" si="6"/>
        <v>12.6</v>
      </c>
      <c r="CU64" s="1">
        <f t="shared" si="7"/>
        <v>11.5</v>
      </c>
      <c r="CV64" s="56">
        <f t="shared" si="8"/>
        <v>6.0428267447130528</v>
      </c>
      <c r="CW64" s="2">
        <f t="shared" si="9"/>
        <v>3.9569970754295354</v>
      </c>
      <c r="CX64" s="2">
        <f t="shared" si="10"/>
        <v>12.6</v>
      </c>
      <c r="CY64" s="2">
        <f t="shared" si="11"/>
        <v>0.65482550511506155</v>
      </c>
      <c r="CZ64" s="2">
        <f t="shared" si="12"/>
        <v>12.6</v>
      </c>
      <c r="DA64" s="2">
        <f t="shared" si="13"/>
        <v>0.34517505821031569</v>
      </c>
    </row>
    <row r="65" spans="2:105" ht="18" customHeight="1" x14ac:dyDescent="0.25">
      <c r="B65" s="6"/>
      <c r="C65" s="185">
        <f>R24</f>
        <v>5</v>
      </c>
      <c r="D65" s="185"/>
      <c r="E65" s="185"/>
      <c r="F65" s="185"/>
      <c r="G65" s="185"/>
      <c r="H65" s="24"/>
      <c r="I65" s="248">
        <f>R25</f>
        <v>136</v>
      </c>
      <c r="J65" s="248"/>
      <c r="K65" s="248"/>
      <c r="L65" s="248"/>
      <c r="M65" s="49"/>
      <c r="O65" s="327">
        <f t="shared" si="30"/>
        <v>734.30980555555584</v>
      </c>
      <c r="P65" s="327"/>
      <c r="Q65" s="327"/>
      <c r="R65" s="327"/>
      <c r="U65" s="327">
        <f t="shared" si="31"/>
        <v>136</v>
      </c>
      <c r="V65" s="327"/>
      <c r="W65" s="327"/>
      <c r="X65" s="327"/>
      <c r="Y65" s="327"/>
      <c r="AA65" s="328">
        <f t="shared" si="32"/>
        <v>2.037459444444443E-4</v>
      </c>
      <c r="AB65" s="328"/>
      <c r="AC65" s="328"/>
      <c r="AD65" s="328"/>
      <c r="AE65" s="328"/>
      <c r="AP65" s="8"/>
      <c r="AR65" s="6"/>
      <c r="BE65" s="29"/>
      <c r="BK65" s="1" t="str">
        <f>"I1= "&amp;ROUND(U61,1)&amp;" amps nominal"</f>
        <v>I1= 278.1 amps nominal</v>
      </c>
      <c r="CC65" s="17"/>
      <c r="CF65" s="8"/>
      <c r="CM65" s="2">
        <f t="shared" si="26"/>
        <v>12.8</v>
      </c>
      <c r="CN65" s="1" t="str">
        <f t="shared" si="0"/>
        <v>0.0107986736111111+13.8223022222222i</v>
      </c>
      <c r="CO65" s="56" t="str">
        <f t="shared" si="1"/>
        <v>-2.10911593967014i</v>
      </c>
      <c r="CP65" s="1" t="str">
        <f t="shared" si="2"/>
        <v>0.0107986736111111+11.7131862825521i</v>
      </c>
      <c r="CQ65" s="1" t="str">
        <f t="shared" si="4"/>
        <v>0.0191834803010191+6.13871369632614i</v>
      </c>
      <c r="CR65" s="1" t="str">
        <f t="shared" si="5"/>
        <v>0.00953553225618294+4.02780521317337i</v>
      </c>
      <c r="CT65" s="1">
        <f t="shared" si="6"/>
        <v>12.8</v>
      </c>
      <c r="CU65" s="1">
        <f t="shared" si="7"/>
        <v>11.7</v>
      </c>
      <c r="CV65" s="56">
        <f t="shared" si="8"/>
        <v>6.1387436704409319</v>
      </c>
      <c r="CW65" s="2">
        <f t="shared" si="9"/>
        <v>4.0278165004927899</v>
      </c>
      <c r="CX65" s="2">
        <f t="shared" si="10"/>
        <v>12.8</v>
      </c>
      <c r="CY65" s="2">
        <f t="shared" si="11"/>
        <v>0.65613042614686734</v>
      </c>
      <c r="CZ65" s="2">
        <f t="shared" si="12"/>
        <v>12.8</v>
      </c>
      <c r="DA65" s="2">
        <f t="shared" si="13"/>
        <v>0.34387012138471856</v>
      </c>
    </row>
    <row r="66" spans="2:105" ht="18" customHeight="1" x14ac:dyDescent="0.25">
      <c r="B66" s="6"/>
      <c r="C66" s="185">
        <f>T24</f>
        <v>7</v>
      </c>
      <c r="D66" s="185"/>
      <c r="E66" s="185"/>
      <c r="F66" s="185"/>
      <c r="G66" s="185"/>
      <c r="H66" s="24"/>
      <c r="I66" s="248">
        <f>T25</f>
        <v>60</v>
      </c>
      <c r="J66" s="248"/>
      <c r="K66" s="248"/>
      <c r="L66" s="248"/>
      <c r="M66" s="49"/>
      <c r="O66" s="327">
        <f t="shared" si="30"/>
        <v>231.40014880952387</v>
      </c>
      <c r="P66" s="327"/>
      <c r="Q66" s="327"/>
      <c r="R66" s="327"/>
      <c r="U66" s="327">
        <f t="shared" si="31"/>
        <v>60</v>
      </c>
      <c r="V66" s="327"/>
      <c r="W66" s="327"/>
      <c r="X66" s="327"/>
      <c r="Y66" s="327"/>
      <c r="AA66" s="328">
        <f t="shared" si="32"/>
        <v>3.0818845371980663E-2</v>
      </c>
      <c r="AB66" s="328"/>
      <c r="AC66" s="328"/>
      <c r="AD66" s="328"/>
      <c r="AE66" s="328"/>
      <c r="AP66" s="8"/>
      <c r="AR66" s="6"/>
      <c r="BE66" s="29"/>
      <c r="CC66" s="17"/>
      <c r="CF66" s="8"/>
      <c r="CM66" s="2">
        <f t="shared" si="26"/>
        <v>13</v>
      </c>
      <c r="CN66" s="1" t="str">
        <f t="shared" si="0"/>
        <v>0.0107986736111111+14.0382756944444i</v>
      </c>
      <c r="CO66" s="56" t="str">
        <f t="shared" si="1"/>
        <v>-2.07666800213675i</v>
      </c>
      <c r="CP66" s="1" t="str">
        <f t="shared" si="2"/>
        <v>0.0107986736111111+11.9616076923076i</v>
      </c>
      <c r="CQ66" s="1" t="str">
        <f t="shared" si="4"/>
        <v>0.0191834803010191+6.23463109783123i</v>
      </c>
      <c r="CR66" s="1" t="str">
        <f t="shared" si="5"/>
        <v>0.00955751316748581+4.0984453741958i</v>
      </c>
      <c r="CT66" s="1">
        <f t="shared" si="6"/>
        <v>13</v>
      </c>
      <c r="CU66" s="1">
        <f t="shared" si="7"/>
        <v>12</v>
      </c>
      <c r="CV66" s="56">
        <f t="shared" si="8"/>
        <v>6.2346606108079943</v>
      </c>
      <c r="CW66" s="2">
        <f t="shared" si="9"/>
        <v>4.0984565181693577</v>
      </c>
      <c r="CX66" s="2">
        <f t="shared" si="10"/>
        <v>13</v>
      </c>
      <c r="CY66" s="2">
        <f t="shared" si="11"/>
        <v>0.65736641880145741</v>
      </c>
      <c r="CZ66" s="2">
        <f t="shared" si="12"/>
        <v>13</v>
      </c>
      <c r="DA66" s="2">
        <f t="shared" si="13"/>
        <v>0.3426341135288376</v>
      </c>
    </row>
    <row r="67" spans="2:105" ht="18" customHeight="1" x14ac:dyDescent="0.25">
      <c r="B67" s="6"/>
      <c r="C67" s="185">
        <f>V24</f>
        <v>11</v>
      </c>
      <c r="D67" s="185"/>
      <c r="E67" s="185"/>
      <c r="F67" s="185"/>
      <c r="G67" s="185"/>
      <c r="H67" s="24"/>
      <c r="I67" s="248">
        <f>V25</f>
        <v>50</v>
      </c>
      <c r="J67" s="248"/>
      <c r="K67" s="248"/>
      <c r="L67" s="248"/>
      <c r="M67" s="49"/>
      <c r="O67" s="327">
        <f t="shared" si="30"/>
        <v>122.71220012626267</v>
      </c>
      <c r="P67" s="327"/>
      <c r="Q67" s="327"/>
      <c r="R67" s="327"/>
      <c r="U67" s="327">
        <f t="shared" si="31"/>
        <v>50</v>
      </c>
      <c r="V67" s="327"/>
      <c r="W67" s="327"/>
      <c r="X67" s="327"/>
      <c r="Y67" s="327"/>
      <c r="AA67" s="328">
        <f t="shared" si="32"/>
        <v>6.5373073218254002E-2</v>
      </c>
      <c r="AB67" s="328"/>
      <c r="AC67" s="328"/>
      <c r="AD67" s="328"/>
      <c r="AE67" s="328"/>
      <c r="AP67" s="8"/>
      <c r="AR67" s="6"/>
      <c r="BE67" s="29"/>
      <c r="CC67" s="17"/>
      <c r="CF67" s="8"/>
      <c r="CM67" s="2">
        <f t="shared" si="26"/>
        <v>13.2</v>
      </c>
      <c r="CN67" s="1" t="str">
        <f t="shared" si="0"/>
        <v>0.0107986736111111+14.2542491666667i</v>
      </c>
      <c r="CO67" s="56" t="str">
        <f t="shared" si="1"/>
        <v>-2.04520333543771i</v>
      </c>
      <c r="CP67" s="1" t="str">
        <f t="shared" si="2"/>
        <v>0.0107986736111111+12.209045831229i</v>
      </c>
      <c r="CQ67" s="1" t="str">
        <f t="shared" si="4"/>
        <v>0.0191834803010191+6.33054849933633i</v>
      </c>
      <c r="CR67" s="1" t="str">
        <f t="shared" si="5"/>
        <v>0.00957844016946834+4.16891736751305i</v>
      </c>
      <c r="CT67" s="1">
        <f t="shared" si="6"/>
        <v>13.2</v>
      </c>
      <c r="CU67" s="1">
        <f t="shared" si="7"/>
        <v>12.2</v>
      </c>
      <c r="CV67" s="56">
        <f t="shared" si="8"/>
        <v>6.3305775651488476</v>
      </c>
      <c r="CW67" s="2">
        <f t="shared" si="9"/>
        <v>4.1689283711366425</v>
      </c>
      <c r="CX67" s="2">
        <f t="shared" si="10"/>
        <v>13.2</v>
      </c>
      <c r="CY67" s="2">
        <f t="shared" si="11"/>
        <v>0.65853839215041943</v>
      </c>
      <c r="CZ67" s="2">
        <f t="shared" si="12"/>
        <v>13.2</v>
      </c>
      <c r="DA67" s="2">
        <f t="shared" si="13"/>
        <v>0.34146212554813482</v>
      </c>
    </row>
    <row r="68" spans="2:105" ht="18" customHeight="1" x14ac:dyDescent="0.25">
      <c r="B68" s="6"/>
      <c r="C68" s="185">
        <f>X24</f>
        <v>13</v>
      </c>
      <c r="D68" s="185"/>
      <c r="E68" s="185"/>
      <c r="F68" s="185"/>
      <c r="G68" s="185"/>
      <c r="H68" s="24"/>
      <c r="I68" s="248">
        <f>X25</f>
        <v>0</v>
      </c>
      <c r="J68" s="248"/>
      <c r="K68" s="248"/>
      <c r="L68" s="248"/>
      <c r="M68" s="49"/>
      <c r="O68" s="327">
        <f t="shared" si="30"/>
        <v>0</v>
      </c>
      <c r="P68" s="327"/>
      <c r="Q68" s="327"/>
      <c r="R68" s="327"/>
      <c r="U68" s="327">
        <f t="shared" si="31"/>
        <v>0</v>
      </c>
      <c r="V68" s="327"/>
      <c r="W68" s="327"/>
      <c r="X68" s="327"/>
      <c r="Y68" s="327"/>
      <c r="AA68" s="328">
        <f t="shared" si="32"/>
        <v>0</v>
      </c>
      <c r="AB68" s="328"/>
      <c r="AC68" s="328"/>
      <c r="AD68" s="328"/>
      <c r="AE68" s="328"/>
      <c r="AP68" s="8"/>
      <c r="AR68" s="6"/>
      <c r="BK68" s="50"/>
      <c r="CC68" s="17"/>
      <c r="CF68" s="8"/>
      <c r="CM68" s="2">
        <f t="shared" si="26"/>
        <v>13.4</v>
      </c>
      <c r="CN68" s="1" t="str">
        <f t="shared" si="0"/>
        <v>0.0107986736111111+14.4702226388889i</v>
      </c>
      <c r="CO68" s="56" t="str">
        <f t="shared" si="1"/>
        <v>-2.01467791252073i</v>
      </c>
      <c r="CP68" s="1" t="str">
        <f t="shared" si="2"/>
        <v>0.0107986736111111+12.4555447263682i</v>
      </c>
      <c r="CQ68" s="1" t="str">
        <f t="shared" si="4"/>
        <v>0.0191834803010191+6.42646590084142i</v>
      </c>
      <c r="CR68" s="1" t="str">
        <f t="shared" si="5"/>
        <v>0.0095983800214292+4.23923149206511i</v>
      </c>
      <c r="CT68" s="1">
        <f t="shared" si="6"/>
        <v>13.4</v>
      </c>
      <c r="CU68" s="1">
        <f t="shared" si="7"/>
        <v>12.5</v>
      </c>
      <c r="CV68" s="56">
        <f t="shared" si="8"/>
        <v>6.426494532837788</v>
      </c>
      <c r="CW68" s="2">
        <f t="shared" si="9"/>
        <v>4.2392423582776688</v>
      </c>
      <c r="CX68" s="2">
        <f t="shared" si="10"/>
        <v>13.4</v>
      </c>
      <c r="CY68" s="2">
        <f t="shared" si="11"/>
        <v>0.65965081532648928</v>
      </c>
      <c r="CZ68" s="2">
        <f t="shared" si="12"/>
        <v>13.4</v>
      </c>
      <c r="DA68" s="2">
        <f t="shared" si="13"/>
        <v>0.34034968828717255</v>
      </c>
    </row>
    <row r="69" spans="2:105" ht="18" customHeight="1" x14ac:dyDescent="0.25">
      <c r="B69" s="6"/>
      <c r="C69" s="185">
        <f>Z24</f>
        <v>17</v>
      </c>
      <c r="D69" s="185"/>
      <c r="E69" s="185"/>
      <c r="F69" s="185"/>
      <c r="G69" s="185"/>
      <c r="H69" s="24"/>
      <c r="I69" s="248">
        <f>Z25</f>
        <v>0</v>
      </c>
      <c r="J69" s="248"/>
      <c r="K69" s="248"/>
      <c r="L69" s="248"/>
      <c r="M69" s="49"/>
      <c r="O69" s="327">
        <f t="shared" si="30"/>
        <v>0</v>
      </c>
      <c r="P69" s="327"/>
      <c r="Q69" s="327"/>
      <c r="R69" s="327"/>
      <c r="U69" s="327">
        <f t="shared" si="31"/>
        <v>0</v>
      </c>
      <c r="V69" s="327"/>
      <c r="W69" s="327"/>
      <c r="X69" s="327"/>
      <c r="Y69" s="327"/>
      <c r="AA69" s="328">
        <f t="shared" si="32"/>
        <v>0</v>
      </c>
      <c r="AB69" s="328"/>
      <c r="AC69" s="328"/>
      <c r="AD69" s="328"/>
      <c r="AE69" s="328"/>
      <c r="AP69" s="8"/>
      <c r="AR69" s="6"/>
      <c r="BK69" s="38"/>
      <c r="CC69" s="17"/>
      <c r="CF69" s="8"/>
      <c r="CM69" s="2">
        <f t="shared" si="26"/>
        <v>13.6</v>
      </c>
      <c r="CN69" s="1" t="str">
        <f t="shared" si="0"/>
        <v>0.0107986736111111+14.6861961111111i</v>
      </c>
      <c r="CO69" s="56" t="str">
        <f t="shared" si="1"/>
        <v>-1.98505029616013i</v>
      </c>
      <c r="CP69" s="1" t="str">
        <f t="shared" si="2"/>
        <v>0.0107986736111111+12.701145814951i</v>
      </c>
      <c r="CQ69" s="1" t="str">
        <f t="shared" si="4"/>
        <v>0.0191834803010191+6.52238330234652i</v>
      </c>
      <c r="CR69" s="1" t="str">
        <f t="shared" si="5"/>
        <v>0.00961739427253972+4.30939720135029i</v>
      </c>
      <c r="CT69" s="1">
        <f t="shared" si="6"/>
        <v>13.6</v>
      </c>
      <c r="CU69" s="1">
        <f t="shared" si="7"/>
        <v>12.7</v>
      </c>
      <c r="CV69" s="56">
        <f t="shared" si="8"/>
        <v>6.5224115132859524</v>
      </c>
      <c r="CW69" s="2">
        <f t="shared" si="9"/>
        <v>4.3094079330319035</v>
      </c>
      <c r="CX69" s="2">
        <f t="shared" si="10"/>
        <v>13.6</v>
      </c>
      <c r="CY69" s="2">
        <f t="shared" si="11"/>
        <v>0.66070776495070405</v>
      </c>
      <c r="CZ69" s="2">
        <f t="shared" si="12"/>
        <v>13.6</v>
      </c>
      <c r="DA69" s="2">
        <f t="shared" si="13"/>
        <v>0.33929272510261904</v>
      </c>
    </row>
    <row r="70" spans="2:105" ht="18" customHeight="1" x14ac:dyDescent="0.25">
      <c r="B70" s="6"/>
      <c r="C70" s="185">
        <f>AB24</f>
        <v>19</v>
      </c>
      <c r="D70" s="185"/>
      <c r="E70" s="185"/>
      <c r="F70" s="185"/>
      <c r="G70" s="185"/>
      <c r="H70" s="24"/>
      <c r="I70" s="51">
        <f>AB25</f>
        <v>0</v>
      </c>
      <c r="J70" s="51"/>
      <c r="K70" s="51"/>
      <c r="L70" s="51"/>
      <c r="M70" s="49"/>
      <c r="O70" s="327">
        <f t="shared" si="30"/>
        <v>0</v>
      </c>
      <c r="P70" s="327"/>
      <c r="Q70" s="327"/>
      <c r="R70" s="327"/>
      <c r="U70" s="327">
        <f t="shared" si="31"/>
        <v>0</v>
      </c>
      <c r="V70" s="327"/>
      <c r="W70" s="327"/>
      <c r="X70" s="327"/>
      <c r="Y70" s="327"/>
      <c r="AA70" s="328">
        <f t="shared" si="32"/>
        <v>0</v>
      </c>
      <c r="AB70" s="328"/>
      <c r="AC70" s="328"/>
      <c r="AD70" s="328"/>
      <c r="AE70" s="328"/>
      <c r="AP70" s="8"/>
      <c r="AR70" s="6"/>
      <c r="BK70" s="1" t="str">
        <f>"Capacitor Fuse: "&amp;ROUND(BJ19,0)&amp;" (Minimum Amps)"</f>
        <v>Capacitor Fuse: 83 (Minimum Amps)</v>
      </c>
      <c r="CC70" s="17"/>
      <c r="CF70" s="8"/>
      <c r="CM70" s="2">
        <f t="shared" si="26"/>
        <v>13.8</v>
      </c>
      <c r="CN70" s="1" t="str">
        <f t="shared" si="0"/>
        <v>0.0107986736111111+14.9021695833333i</v>
      </c>
      <c r="CO70" s="56" t="str">
        <f t="shared" si="1"/>
        <v>-1.95628145128825i</v>
      </c>
      <c r="CP70" s="1" t="str">
        <f t="shared" si="2"/>
        <v>0.0107986736111111+12.9458881320451i</v>
      </c>
      <c r="CQ70" s="1" t="str">
        <f t="shared" si="4"/>
        <v>0.0191834803010191+6.61830070385161i</v>
      </c>
      <c r="CR70" s="1" t="str">
        <f t="shared" si="5"/>
        <v>0.00963553973969978+4.37942318963843i</v>
      </c>
      <c r="CT70" s="1">
        <f t="shared" si="6"/>
        <v>13.8</v>
      </c>
      <c r="CU70" s="1">
        <f t="shared" si="7"/>
        <v>12.9</v>
      </c>
      <c r="CV70" s="56">
        <f t="shared" si="8"/>
        <v>6.618328505938579</v>
      </c>
      <c r="CW70" s="2">
        <f t="shared" si="9"/>
        <v>4.3794337896089859</v>
      </c>
      <c r="CX70" s="2">
        <f t="shared" si="10"/>
        <v>13.8</v>
      </c>
      <c r="CY70" s="2">
        <f t="shared" si="11"/>
        <v>0.66171296660166579</v>
      </c>
      <c r="CZ70" s="2">
        <f t="shared" si="12"/>
        <v>13.8</v>
      </c>
      <c r="DA70" s="2">
        <f t="shared" si="13"/>
        <v>0.33828751039412297</v>
      </c>
    </row>
    <row r="71" spans="2:105" ht="18" customHeight="1" x14ac:dyDescent="0.25">
      <c r="B71" s="6"/>
      <c r="C71" s="185">
        <f>AD24</f>
        <v>23</v>
      </c>
      <c r="D71" s="185"/>
      <c r="E71" s="185"/>
      <c r="F71" s="185"/>
      <c r="G71" s="185"/>
      <c r="H71" s="24"/>
      <c r="I71" s="248">
        <f>AD25</f>
        <v>0</v>
      </c>
      <c r="J71" s="248"/>
      <c r="K71" s="248"/>
      <c r="L71" s="248"/>
      <c r="M71" s="49"/>
      <c r="O71" s="327">
        <f t="shared" si="30"/>
        <v>0</v>
      </c>
      <c r="P71" s="327"/>
      <c r="Q71" s="327"/>
      <c r="R71" s="327"/>
      <c r="U71" s="327">
        <f t="shared" si="31"/>
        <v>0</v>
      </c>
      <c r="V71" s="327"/>
      <c r="W71" s="327"/>
      <c r="X71" s="327"/>
      <c r="Y71" s="327"/>
      <c r="AA71" s="328">
        <f t="shared" si="32"/>
        <v>0</v>
      </c>
      <c r="AB71" s="328"/>
      <c r="AC71" s="328"/>
      <c r="AD71" s="328"/>
      <c r="AE71" s="328"/>
      <c r="AP71" s="8"/>
      <c r="AR71" s="6"/>
      <c r="CC71" s="17"/>
      <c r="CF71" s="8"/>
      <c r="CM71" s="2">
        <f t="shared" si="26"/>
        <v>14</v>
      </c>
      <c r="CN71" s="1" t="str">
        <f t="shared" ref="CN71:CN134" si="33">COMPLEX($AJ$34/$S$34,$AJ$34*CM71)</f>
        <v>0.0107986736111111+15.1181430555556i</v>
      </c>
      <c r="CO71" s="56" t="str">
        <f t="shared" ref="CO71:CO134" si="34">COMPLEX("0",-$AJ$30/CM71)</f>
        <v>-1.9283345734127i</v>
      </c>
      <c r="CP71" s="1" t="str">
        <f t="shared" ref="CP71:CP134" si="35">IMSUM(CO71,CN71)</f>
        <v>0.0107986736111111+13.1898084821429i</v>
      </c>
      <c r="CQ71" s="1" t="str">
        <f t="shared" ref="CQ71:CQ134" si="36">COMPLEX($CV$1,$CV$2*CT71)</f>
        <v>0.0191834803010191+6.71421810535671i</v>
      </c>
      <c r="CR71" s="1" t="str">
        <f t="shared" ref="CR71:CR134" si="37">IMDIV(IMPRODUCT(CQ71,CP71),IMSUM(CP71,CQ71))</f>
        <v>0.00965286893573197+4.44931746776651i</v>
      </c>
      <c r="CT71" s="1">
        <f t="shared" ref="CT71:CT134" si="38">CM71</f>
        <v>14</v>
      </c>
      <c r="CU71" s="1">
        <f t="shared" ref="CU71:CU134" si="39">ROUND(IMABS(CP71),1)</f>
        <v>13.2</v>
      </c>
      <c r="CV71" s="56">
        <f t="shared" ref="CV71:CV134" si="40">IMABS(COMPLEX($CV$1,$CV$2*CT71))</f>
        <v>6.7142455102726402</v>
      </c>
      <c r="CW71" s="2">
        <f t="shared" ref="CW71:CW134" si="41">IMABS(CR71)</f>
        <v>4.4493279387847862</v>
      </c>
      <c r="CX71" s="2">
        <f t="shared" ref="CX71:CX134" si="42">CT71</f>
        <v>14</v>
      </c>
      <c r="CY71" s="2">
        <f t="shared" ref="CY71:CY134" si="43">IMABS(IMDIV(CP71,IMSUM(CP71,CQ71)))</f>
        <v>0.66266983117871014</v>
      </c>
      <c r="CZ71" s="2">
        <f t="shared" ref="CZ71:CZ134" si="44">CX71</f>
        <v>14</v>
      </c>
      <c r="DA71" s="2">
        <f t="shared" ref="DA71:DA134" si="45">IMABS(IMDIV(CQ71,IMSUM(CP71,CQ71)))</f>
        <v>0.33733063324122242</v>
      </c>
    </row>
    <row r="72" spans="2:105" ht="18" customHeight="1" x14ac:dyDescent="0.25">
      <c r="B72" s="6"/>
      <c r="C72" s="185">
        <f>AF24</f>
        <v>25</v>
      </c>
      <c r="D72" s="185"/>
      <c r="E72" s="185"/>
      <c r="F72" s="185"/>
      <c r="G72" s="185"/>
      <c r="H72" s="24"/>
      <c r="I72" s="248">
        <f>AF25</f>
        <v>0</v>
      </c>
      <c r="J72" s="248"/>
      <c r="K72" s="248"/>
      <c r="L72" s="248"/>
      <c r="M72" s="49"/>
      <c r="O72" s="327">
        <f t="shared" si="30"/>
        <v>0</v>
      </c>
      <c r="P72" s="327"/>
      <c r="Q72" s="327"/>
      <c r="R72" s="327"/>
      <c r="U72" s="327">
        <f t="shared" si="31"/>
        <v>0</v>
      </c>
      <c r="V72" s="327"/>
      <c r="W72" s="327"/>
      <c r="X72" s="327"/>
      <c r="Y72" s="327"/>
      <c r="AA72" s="328">
        <f t="shared" si="32"/>
        <v>0</v>
      </c>
      <c r="AB72" s="328"/>
      <c r="AC72" s="328"/>
      <c r="AD72" s="328"/>
      <c r="AE72" s="328"/>
      <c r="AP72" s="8"/>
      <c r="AR72" s="6"/>
      <c r="CC72" s="17"/>
      <c r="CF72" s="8"/>
      <c r="CM72" s="2">
        <f t="shared" ref="CM72:CM135" si="46">ROUND(CM71+0.2,1)</f>
        <v>14.2</v>
      </c>
      <c r="CN72" s="1" t="str">
        <f t="shared" si="33"/>
        <v>0.0107986736111111+15.3341165277778i</v>
      </c>
      <c r="CO72" s="56" t="str">
        <f t="shared" si="34"/>
        <v>-1.90117493153365i</v>
      </c>
      <c r="CP72" s="1" t="str">
        <f t="shared" si="35"/>
        <v>0.0107986736111111+13.4329415962442i</v>
      </c>
      <c r="CQ72" s="1" t="str">
        <f t="shared" si="36"/>
        <v>0.0191834803010191+6.81013550686181i</v>
      </c>
      <c r="CR72" s="1" t="str">
        <f t="shared" si="37"/>
        <v>0.00966943045357517+4.51908742996177i</v>
      </c>
      <c r="CT72" s="1">
        <f t="shared" si="38"/>
        <v>14.2</v>
      </c>
      <c r="CU72" s="1">
        <f t="shared" si="39"/>
        <v>13.4</v>
      </c>
      <c r="CV72" s="56">
        <f t="shared" si="40"/>
        <v>6.8101625257945511</v>
      </c>
      <c r="CW72" s="2">
        <f t="shared" si="41"/>
        <v>4.5190977747249255</v>
      </c>
      <c r="CX72" s="2">
        <f t="shared" si="42"/>
        <v>14.2</v>
      </c>
      <c r="CY72" s="2">
        <f t="shared" si="43"/>
        <v>0.66358148687467222</v>
      </c>
      <c r="CZ72" s="2">
        <f t="shared" si="44"/>
        <v>14.2</v>
      </c>
      <c r="DA72" s="2">
        <f t="shared" si="45"/>
        <v>0.33641896543064975</v>
      </c>
    </row>
    <row r="73" spans="2:105" ht="18" customHeight="1" x14ac:dyDescent="0.25">
      <c r="B73" s="6"/>
      <c r="C73" s="185">
        <f>AH24</f>
        <v>29</v>
      </c>
      <c r="D73" s="185"/>
      <c r="E73" s="185"/>
      <c r="F73" s="185"/>
      <c r="G73" s="185"/>
      <c r="H73" s="24"/>
      <c r="I73" s="248">
        <f>AH25</f>
        <v>0</v>
      </c>
      <c r="J73" s="248"/>
      <c r="K73" s="248"/>
      <c r="L73" s="248"/>
      <c r="M73" s="49"/>
      <c r="O73" s="327">
        <f t="shared" si="30"/>
        <v>0</v>
      </c>
      <c r="P73" s="327"/>
      <c r="Q73" s="327"/>
      <c r="R73" s="327"/>
      <c r="U73" s="327">
        <f t="shared" si="31"/>
        <v>0</v>
      </c>
      <c r="V73" s="327"/>
      <c r="W73" s="327"/>
      <c r="X73" s="327"/>
      <c r="Y73" s="327"/>
      <c r="AA73" s="328">
        <f t="shared" si="32"/>
        <v>0</v>
      </c>
      <c r="AB73" s="328"/>
      <c r="AC73" s="328"/>
      <c r="AD73" s="328"/>
      <c r="AE73" s="328"/>
      <c r="AP73" s="8"/>
      <c r="AR73" s="6"/>
      <c r="AT73" s="199"/>
      <c r="AU73" s="199"/>
      <c r="AV73" s="199"/>
      <c r="AW73" s="199"/>
      <c r="AX73" s="199"/>
      <c r="BK73" s="1" t="str">
        <f>"Capacitor: Qty("&amp;S29*3&amp;"), "&amp;ROUND(AJ28,0)&amp;" kvar, "&amp;S28&amp;" kV, "&amp;ROUND(CA19,2)&amp;" µF/Can"</f>
        <v>Capacitor: Qty(18), 612 kvar, 9.96 kV, 16.38 µF/Can</v>
      </c>
      <c r="CC73" s="17"/>
      <c r="CF73" s="8"/>
      <c r="CM73" s="2">
        <f t="shared" si="46"/>
        <v>14.4</v>
      </c>
      <c r="CN73" s="1" t="str">
        <f t="shared" si="33"/>
        <v>0.0107986736111111+15.55009i</v>
      </c>
      <c r="CO73" s="56" t="str">
        <f t="shared" si="34"/>
        <v>-1.87476972415124i</v>
      </c>
      <c r="CP73" s="1" t="str">
        <f t="shared" si="35"/>
        <v>0.0107986736111111+13.6753202758488i</v>
      </c>
      <c r="CQ73" s="1" t="str">
        <f t="shared" si="36"/>
        <v>0.0191834803010191+6.9060529083669i</v>
      </c>
      <c r="CR73" s="1" t="str">
        <f t="shared" si="37"/>
        <v>0.00968526931145561+4.58873991291296i</v>
      </c>
      <c r="CT73" s="1">
        <f t="shared" si="38"/>
        <v>14.4</v>
      </c>
      <c r="CU73" s="1">
        <f t="shared" si="39"/>
        <v>13.7</v>
      </c>
      <c r="CV73" s="56">
        <f t="shared" si="40"/>
        <v>6.9060795520381442</v>
      </c>
      <c r="CW73" s="2">
        <f t="shared" si="41"/>
        <v>4.5887501340563395</v>
      </c>
      <c r="CX73" s="2">
        <f t="shared" si="42"/>
        <v>14.4</v>
      </c>
      <c r="CY73" s="2">
        <f t="shared" si="43"/>
        <v>0.66445080736176765</v>
      </c>
      <c r="CZ73" s="2">
        <f t="shared" si="44"/>
        <v>14.4</v>
      </c>
      <c r="DA73" s="2">
        <f t="shared" si="45"/>
        <v>0.33554963327048176</v>
      </c>
    </row>
    <row r="74" spans="2:105" ht="18" customHeight="1" x14ac:dyDescent="0.25">
      <c r="B74" s="6"/>
      <c r="C74" s="185">
        <f>AJ24</f>
        <v>31</v>
      </c>
      <c r="D74" s="185"/>
      <c r="E74" s="185"/>
      <c r="F74" s="185"/>
      <c r="G74" s="185"/>
      <c r="H74" s="24"/>
      <c r="I74" s="248">
        <f>AJ25</f>
        <v>0</v>
      </c>
      <c r="J74" s="248"/>
      <c r="K74" s="248"/>
      <c r="L74" s="248"/>
      <c r="M74" s="49"/>
      <c r="O74" s="327">
        <f t="shared" si="30"/>
        <v>0</v>
      </c>
      <c r="P74" s="327"/>
      <c r="Q74" s="327"/>
      <c r="R74" s="327"/>
      <c r="U74" s="327">
        <f t="shared" si="31"/>
        <v>0</v>
      </c>
      <c r="V74" s="327"/>
      <c r="W74" s="327"/>
      <c r="X74" s="327"/>
      <c r="Y74" s="327"/>
      <c r="AA74" s="328">
        <f t="shared" si="32"/>
        <v>0</v>
      </c>
      <c r="AB74" s="328"/>
      <c r="AC74" s="328"/>
      <c r="AD74" s="328"/>
      <c r="AE74" s="328"/>
      <c r="AP74" s="8"/>
      <c r="AR74" s="6"/>
      <c r="CC74" s="17"/>
      <c r="CE74" s="17"/>
      <c r="CF74" s="8"/>
      <c r="CM74" s="2">
        <f t="shared" si="46"/>
        <v>14.6</v>
      </c>
      <c r="CN74" s="1" t="str">
        <f t="shared" si="33"/>
        <v>0.0107986736111111+15.7660634722222i</v>
      </c>
      <c r="CO74" s="56" t="str">
        <f t="shared" si="34"/>
        <v>-1.84908794710807i</v>
      </c>
      <c r="CP74" s="1" t="str">
        <f t="shared" si="35"/>
        <v>0.0107986736111111+13.9169755251141i</v>
      </c>
      <c r="CQ74" s="1" t="str">
        <f t="shared" si="36"/>
        <v>0.0191834803010191+7.001970309872i</v>
      </c>
      <c r="CR74" s="1" t="str">
        <f t="shared" si="37"/>
        <v>0.0097004272634132+4.6582812481234i</v>
      </c>
      <c r="CT74" s="1">
        <f t="shared" si="38"/>
        <v>14.6</v>
      </c>
      <c r="CU74" s="1">
        <f t="shared" si="39"/>
        <v>13.9</v>
      </c>
      <c r="CV74" s="56">
        <f t="shared" si="40"/>
        <v>7.001996588562827</v>
      </c>
      <c r="CW74" s="2">
        <f t="shared" si="41"/>
        <v>4.6582913482206321</v>
      </c>
      <c r="CX74" s="2">
        <f t="shared" si="42"/>
        <v>14.6</v>
      </c>
      <c r="CY74" s="2">
        <f t="shared" si="43"/>
        <v>0.66528043670137837</v>
      </c>
      <c r="CZ74" s="2">
        <f t="shared" si="44"/>
        <v>14.6</v>
      </c>
      <c r="DA74" s="2">
        <f t="shared" si="45"/>
        <v>0.33471999268038161</v>
      </c>
    </row>
    <row r="75" spans="2:105" ht="18" customHeight="1" x14ac:dyDescent="0.25">
      <c r="B75" s="6"/>
      <c r="C75" s="185">
        <f>AL24</f>
        <v>35</v>
      </c>
      <c r="D75" s="185"/>
      <c r="E75" s="185"/>
      <c r="F75" s="185"/>
      <c r="G75" s="185"/>
      <c r="H75" s="24"/>
      <c r="I75" s="248">
        <f>AL25</f>
        <v>0</v>
      </c>
      <c r="J75" s="248"/>
      <c r="K75" s="248"/>
      <c r="L75" s="248"/>
      <c r="M75" s="49"/>
      <c r="O75" s="327">
        <f t="shared" si="30"/>
        <v>0</v>
      </c>
      <c r="P75" s="327"/>
      <c r="Q75" s="327"/>
      <c r="R75" s="327"/>
      <c r="U75" s="327">
        <f t="shared" si="31"/>
        <v>0</v>
      </c>
      <c r="V75" s="327"/>
      <c r="W75" s="327"/>
      <c r="X75" s="327"/>
      <c r="Y75" s="327"/>
      <c r="AA75" s="328">
        <f t="shared" si="32"/>
        <v>0</v>
      </c>
      <c r="AB75" s="328"/>
      <c r="AC75" s="328"/>
      <c r="AD75" s="328"/>
      <c r="AE75" s="328"/>
      <c r="AP75" s="8"/>
      <c r="AR75" s="6"/>
      <c r="CC75" s="17"/>
      <c r="CE75" s="17"/>
      <c r="CF75" s="8"/>
      <c r="CM75" s="2">
        <f t="shared" si="46"/>
        <v>14.8</v>
      </c>
      <c r="CN75" s="1" t="str">
        <f t="shared" si="33"/>
        <v>0.0107986736111111+15.9820369444444i</v>
      </c>
      <c r="CO75" s="56" t="str">
        <f t="shared" si="34"/>
        <v>-1.82410027214715i</v>
      </c>
      <c r="CP75" s="1" t="str">
        <f t="shared" si="35"/>
        <v>0.0107986736111111+14.1579366722973i</v>
      </c>
      <c r="CQ75" s="1" t="str">
        <f t="shared" si="36"/>
        <v>0.0191834803010191+7.09788771137709i</v>
      </c>
      <c r="CR75" s="1" t="str">
        <f t="shared" si="37"/>
        <v>0.00971494307903407+4.72771730842458i</v>
      </c>
      <c r="CT75" s="1">
        <f t="shared" si="38"/>
        <v>14.8</v>
      </c>
      <c r="CU75" s="1">
        <f t="shared" si="39"/>
        <v>14.2</v>
      </c>
      <c r="CV75" s="56">
        <f t="shared" si="40"/>
        <v>7.0979136349517775</v>
      </c>
      <c r="CW75" s="2">
        <f t="shared" si="41"/>
        <v>4.7277272899879055</v>
      </c>
      <c r="CX75" s="2">
        <f t="shared" si="42"/>
        <v>14.8</v>
      </c>
      <c r="CY75" s="2">
        <f t="shared" si="43"/>
        <v>0.66607281141143437</v>
      </c>
      <c r="CZ75" s="2">
        <f t="shared" si="44"/>
        <v>14.8</v>
      </c>
      <c r="DA75" s="2">
        <f t="shared" si="45"/>
        <v>0.3339276071242242</v>
      </c>
    </row>
    <row r="76" spans="2:105" ht="18" customHeight="1" x14ac:dyDescent="0.25">
      <c r="B76" s="6"/>
      <c r="C76" s="185">
        <f>AN24</f>
        <v>37</v>
      </c>
      <c r="D76" s="185"/>
      <c r="E76" s="185"/>
      <c r="F76" s="185"/>
      <c r="G76" s="185"/>
      <c r="H76" s="24"/>
      <c r="I76" s="329">
        <f>AN25</f>
        <v>0</v>
      </c>
      <c r="J76" s="329"/>
      <c r="K76" s="329"/>
      <c r="L76" s="329"/>
      <c r="M76" s="49"/>
      <c r="O76" s="330">
        <f t="shared" si="30"/>
        <v>0</v>
      </c>
      <c r="P76" s="330"/>
      <c r="Q76" s="330"/>
      <c r="R76" s="330"/>
      <c r="U76" s="327">
        <f t="shared" si="31"/>
        <v>0</v>
      </c>
      <c r="V76" s="327"/>
      <c r="W76" s="327"/>
      <c r="X76" s="327"/>
      <c r="Y76" s="327"/>
      <c r="AA76" s="328">
        <f t="shared" si="32"/>
        <v>0</v>
      </c>
      <c r="AB76" s="328"/>
      <c r="AC76" s="328"/>
      <c r="AD76" s="328"/>
      <c r="AE76" s="328"/>
      <c r="AP76" s="8"/>
      <c r="AR76" s="6"/>
      <c r="CC76" s="17"/>
      <c r="CE76" s="17"/>
      <c r="CF76" s="8"/>
      <c r="CM76" s="2">
        <f t="shared" si="46"/>
        <v>15</v>
      </c>
      <c r="CN76" s="1" t="str">
        <f t="shared" si="33"/>
        <v>0.0107986736111111+16.1980104166667i</v>
      </c>
      <c r="CO76" s="56" t="str">
        <f t="shared" si="34"/>
        <v>-1.79977893518519i</v>
      </c>
      <c r="CP76" s="1" t="str">
        <f t="shared" si="35"/>
        <v>0.0107986736111111+14.3982314814815i</v>
      </c>
      <c r="CQ76" s="1" t="str">
        <f t="shared" si="36"/>
        <v>0.0191834803010191+7.19380511288219i</v>
      </c>
      <c r="CR76" s="1" t="str">
        <f t="shared" si="37"/>
        <v>0.00972885279577891+4.79705354939976i</v>
      </c>
      <c r="CT76" s="1">
        <f t="shared" si="38"/>
        <v>15</v>
      </c>
      <c r="CU76" s="1">
        <f t="shared" si="39"/>
        <v>14.4</v>
      </c>
      <c r="CV76" s="56">
        <f t="shared" si="40"/>
        <v>7.1938306908104526</v>
      </c>
      <c r="CW76" s="2">
        <f t="shared" si="41"/>
        <v>4.7970634148805615</v>
      </c>
      <c r="CX76" s="2">
        <f t="shared" si="42"/>
        <v>15</v>
      </c>
      <c r="CY76" s="2">
        <f t="shared" si="43"/>
        <v>0.66683018006087524</v>
      </c>
      <c r="CZ76" s="2">
        <f t="shared" si="44"/>
        <v>15</v>
      </c>
      <c r="DA76" s="2">
        <f t="shared" si="45"/>
        <v>0.33317022801563373</v>
      </c>
    </row>
    <row r="77" spans="2:105" ht="18" customHeight="1" x14ac:dyDescent="0.25">
      <c r="B77" s="6"/>
      <c r="C77" s="17"/>
      <c r="D77" s="17"/>
      <c r="E77" s="17"/>
      <c r="F77" s="17"/>
      <c r="G77" s="17"/>
      <c r="H77" s="29" t="s">
        <v>97</v>
      </c>
      <c r="I77" s="325">
        <f>AK21</f>
        <v>319.29459786438059</v>
      </c>
      <c r="J77" s="325"/>
      <c r="K77" s="325"/>
      <c r="L77" s="325"/>
      <c r="M77" s="52"/>
      <c r="O77" s="226">
        <f>SQRT(SUM(O61^2,O62^2,O63^2,O64^2,O65^2,O66^2,O67^2,O68^2,O69^2,O70^2,O71^2,O72^2,O73^2,O74^2,O75^2,O76^2))</f>
        <v>7548.7966822233811</v>
      </c>
      <c r="P77" s="226"/>
      <c r="Q77" s="226"/>
      <c r="R77" s="226"/>
      <c r="U77" s="325">
        <f>I77</f>
        <v>319.29459786438059</v>
      </c>
      <c r="V77" s="325"/>
      <c r="W77" s="325"/>
      <c r="X77" s="325"/>
      <c r="Y77" s="325"/>
      <c r="AA77" s="326">
        <f>SQRT(AA62^2+AA63^2+AA64^2+AA65^2+AA66^2+AA67^2+AA68^2+AA69^2+AA70^2+AA71^2+AA72^2+AA73^2+AA74^2+AA75^2+AA76^2)</f>
        <v>7.2273656642452583E-2</v>
      </c>
      <c r="AB77" s="326"/>
      <c r="AC77" s="326"/>
      <c r="AD77" s="326"/>
      <c r="AE77" s="326"/>
      <c r="AP77" s="8"/>
      <c r="AR77" s="6"/>
      <c r="CE77" s="17"/>
      <c r="CF77" s="8"/>
      <c r="CM77" s="2">
        <f t="shared" si="46"/>
        <v>15.2</v>
      </c>
      <c r="CN77" s="1" t="str">
        <f t="shared" si="33"/>
        <v>0.0107986736111111+16.4139838888889i</v>
      </c>
      <c r="CO77" s="56" t="str">
        <f t="shared" si="34"/>
        <v>-1.77609763340643i</v>
      </c>
      <c r="CP77" s="1" t="str">
        <f t="shared" si="35"/>
        <v>0.0107986736111111+14.6378862554825i</v>
      </c>
      <c r="CQ77" s="1" t="str">
        <f t="shared" si="36"/>
        <v>0.0191834803010191+7.28972251438729i</v>
      </c>
      <c r="CR77" s="1" t="str">
        <f t="shared" si="37"/>
        <v>0.0097421899468942+4.86629504635954i</v>
      </c>
      <c r="CT77" s="1">
        <f t="shared" si="38"/>
        <v>15.2</v>
      </c>
      <c r="CU77" s="1">
        <f t="shared" si="39"/>
        <v>14.6</v>
      </c>
      <c r="CV77" s="56">
        <f t="shared" si="40"/>
        <v>7.2897477557650383</v>
      </c>
      <c r="CW77" s="2">
        <f t="shared" si="41"/>
        <v>4.8663047981490388</v>
      </c>
      <c r="CX77" s="2">
        <f t="shared" si="42"/>
        <v>15.2</v>
      </c>
      <c r="CY77" s="2">
        <f t="shared" si="43"/>
        <v>0.66755462070694271</v>
      </c>
      <c r="CZ77" s="2">
        <f t="shared" si="44"/>
        <v>15.2</v>
      </c>
      <c r="DA77" s="2">
        <f t="shared" si="45"/>
        <v>0.33244577728068264</v>
      </c>
    </row>
    <row r="78" spans="2:105" ht="18" customHeight="1" x14ac:dyDescent="0.25">
      <c r="B78" s="6"/>
      <c r="C78" s="33" t="s">
        <v>98</v>
      </c>
      <c r="AP78" s="8"/>
      <c r="AR78" s="6"/>
      <c r="CE78" s="17"/>
      <c r="CF78" s="8"/>
      <c r="CM78" s="2">
        <f t="shared" si="46"/>
        <v>15.4</v>
      </c>
      <c r="CN78" s="1" t="str">
        <f t="shared" si="33"/>
        <v>0.0107986736111111+16.6299573611111i</v>
      </c>
      <c r="CO78" s="56" t="str">
        <f t="shared" si="34"/>
        <v>-1.75303143037518i</v>
      </c>
      <c r="CP78" s="1" t="str">
        <f t="shared" si="35"/>
        <v>0.0107986736111111+14.8769259307359i</v>
      </c>
      <c r="CQ78" s="1" t="str">
        <f t="shared" si="36"/>
        <v>0.0191834803010191+7.38563991589238i</v>
      </c>
      <c r="CR78" s="1" t="str">
        <f t="shared" si="37"/>
        <v>0.00975498576753942+4.93544652741816i</v>
      </c>
      <c r="CT78" s="1">
        <f t="shared" si="38"/>
        <v>15.4</v>
      </c>
      <c r="CU78" s="1">
        <f t="shared" si="39"/>
        <v>14.9</v>
      </c>
      <c r="CV78" s="56">
        <f t="shared" si="40"/>
        <v>7.3856648294611409</v>
      </c>
      <c r="CW78" s="2">
        <f t="shared" si="41"/>
        <v>4.9354561678482458</v>
      </c>
      <c r="CX78" s="2">
        <f t="shared" si="42"/>
        <v>15.4</v>
      </c>
      <c r="CY78" s="2">
        <f t="shared" si="43"/>
        <v>0.66824805644589913</v>
      </c>
      <c r="CZ78" s="2">
        <f t="shared" si="44"/>
        <v>15.4</v>
      </c>
      <c r="DA78" s="2">
        <f t="shared" si="45"/>
        <v>0.33175233180716118</v>
      </c>
    </row>
    <row r="79" spans="2:105" ht="18" customHeight="1" x14ac:dyDescent="0.25">
      <c r="B79" s="6"/>
      <c r="AP79" s="8"/>
      <c r="AR79" s="6"/>
      <c r="CE79" s="17"/>
      <c r="CF79" s="8"/>
      <c r="CM79" s="2">
        <f t="shared" si="46"/>
        <v>15.6</v>
      </c>
      <c r="CN79" s="1" t="str">
        <f t="shared" si="33"/>
        <v>0.0107986736111111+16.8459308333333i</v>
      </c>
      <c r="CO79" s="56" t="str">
        <f t="shared" si="34"/>
        <v>-1.73055666844729i</v>
      </c>
      <c r="CP79" s="1" t="str">
        <f t="shared" si="35"/>
        <v>0.0107986736111111+15.115374164886i</v>
      </c>
      <c r="CQ79" s="1" t="str">
        <f t="shared" si="36"/>
        <v>0.0191834803010191+7.48155731739748i</v>
      </c>
      <c r="CR79" s="1" t="str">
        <f t="shared" si="37"/>
        <v>0.00976726938145402+5.0045124031463i</v>
      </c>
      <c r="CT79" s="1">
        <f t="shared" si="38"/>
        <v>15.6</v>
      </c>
      <c r="CU79" s="1">
        <f t="shared" si="39"/>
        <v>15.1</v>
      </c>
      <c r="CV79" s="56">
        <f t="shared" si="40"/>
        <v>7.4815819115625697</v>
      </c>
      <c r="CW79" s="2">
        <f t="shared" si="41"/>
        <v>5.0045219344904801</v>
      </c>
      <c r="CX79" s="2">
        <f t="shared" si="42"/>
        <v>15.6</v>
      </c>
      <c r="CY79" s="2">
        <f t="shared" si="43"/>
        <v>0.66891226930980197</v>
      </c>
      <c r="CZ79" s="2">
        <f t="shared" si="44"/>
        <v>15.6</v>
      </c>
      <c r="DA79" s="2">
        <f t="shared" si="45"/>
        <v>0.3310881095477794</v>
      </c>
    </row>
    <row r="80" spans="2:105" ht="18" customHeight="1" x14ac:dyDescent="0.25">
      <c r="B80" s="6"/>
      <c r="C80" s="17"/>
      <c r="E80" s="17"/>
      <c r="F80" s="17"/>
      <c r="G80" s="17"/>
      <c r="H80" s="17"/>
      <c r="I80" s="17"/>
      <c r="J80" s="17"/>
      <c r="K80" s="17"/>
      <c r="L80" s="17"/>
      <c r="M80" s="17"/>
      <c r="N80" s="17"/>
      <c r="O80" s="17"/>
      <c r="X80" s="17"/>
      <c r="Y80" s="17"/>
      <c r="Z80" s="17"/>
      <c r="AA80" s="17"/>
      <c r="AB80" s="17"/>
      <c r="AG80" s="29"/>
      <c r="AM80" s="17"/>
      <c r="AN80" s="17"/>
      <c r="AP80" s="8"/>
      <c r="AR80" s="6"/>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8"/>
      <c r="CM80" s="2">
        <f t="shared" si="46"/>
        <v>15.8</v>
      </c>
      <c r="CN80" s="1" t="str">
        <f t="shared" si="33"/>
        <v>0.0107986736111111+17.0619043055556i</v>
      </c>
      <c r="CO80" s="56" t="str">
        <f t="shared" si="34"/>
        <v>-1.70865088783404i</v>
      </c>
      <c r="CP80" s="1" t="str">
        <f t="shared" si="35"/>
        <v>0.0107986736111111+15.3532534177216i</v>
      </c>
      <c r="CQ80" s="1" t="str">
        <f t="shared" si="36"/>
        <v>0.0191834803010191+7.57747471890257i</v>
      </c>
      <c r="CR80" s="1" t="str">
        <f t="shared" si="37"/>
        <v>0.00977906797021873+5.07349679320716i</v>
      </c>
      <c r="CT80" s="1">
        <f t="shared" si="38"/>
        <v>15.8</v>
      </c>
      <c r="CU80" s="1">
        <f t="shared" si="39"/>
        <v>15.4</v>
      </c>
      <c r="CV80" s="56">
        <f t="shared" si="40"/>
        <v>7.5774990017501187</v>
      </c>
      <c r="CW80" s="2">
        <f t="shared" si="41"/>
        <v>5.0735062176815857</v>
      </c>
      <c r="CX80" s="2">
        <f t="shared" si="42"/>
        <v>15.8</v>
      </c>
      <c r="CY80" s="2">
        <f t="shared" si="43"/>
        <v>0.6695489127098283</v>
      </c>
      <c r="CZ80" s="2">
        <f t="shared" si="44"/>
        <v>15.8</v>
      </c>
      <c r="DA80" s="2">
        <f t="shared" si="45"/>
        <v>0.33045145707682483</v>
      </c>
    </row>
    <row r="81" spans="2:105" ht="18" customHeight="1" x14ac:dyDescent="0.25">
      <c r="B81" s="6"/>
      <c r="C81" s="17"/>
      <c r="E81" s="17"/>
      <c r="F81" s="17"/>
      <c r="G81" s="17"/>
      <c r="H81" s="17"/>
      <c r="I81" s="17"/>
      <c r="J81" s="17"/>
      <c r="K81" s="17"/>
      <c r="S81" s="17"/>
      <c r="T81" s="17"/>
      <c r="U81" s="17"/>
      <c r="V81" s="17"/>
      <c r="W81" s="17"/>
      <c r="X81" s="17"/>
      <c r="Y81" s="17"/>
      <c r="Z81" s="17"/>
      <c r="AA81" s="17"/>
      <c r="AB81" s="17"/>
      <c r="AC81" s="17"/>
      <c r="AD81" s="17"/>
      <c r="AE81" s="17"/>
      <c r="AF81" s="17"/>
      <c r="AG81" s="17"/>
      <c r="AH81" s="17"/>
      <c r="AI81" s="17"/>
      <c r="AJ81" s="17"/>
      <c r="AK81" s="17"/>
      <c r="AL81" s="17"/>
      <c r="AM81" s="17"/>
      <c r="AN81" s="17"/>
      <c r="AP81" s="8"/>
      <c r="AR81" s="6"/>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8"/>
      <c r="CM81" s="2">
        <f t="shared" si="46"/>
        <v>16</v>
      </c>
      <c r="CN81" s="1" t="str">
        <f t="shared" si="33"/>
        <v>0.0107986736111111+17.2778777777778i</v>
      </c>
      <c r="CO81" s="56" t="str">
        <f t="shared" si="34"/>
        <v>-1.68729275173611i</v>
      </c>
      <c r="CP81" s="1" t="str">
        <f t="shared" si="35"/>
        <v>0.0107986736111111+15.5905850260417i</v>
      </c>
      <c r="CQ81" s="1" t="str">
        <f t="shared" si="36"/>
        <v>0.0191834803010191+7.67339212040767i</v>
      </c>
      <c r="CR81" s="1" t="str">
        <f t="shared" si="37"/>
        <v>0.00979040692692748+5.14240355033094i</v>
      </c>
      <c r="CT81" s="1">
        <f t="shared" si="38"/>
        <v>16</v>
      </c>
      <c r="CU81" s="1">
        <f t="shared" si="39"/>
        <v>15.6</v>
      </c>
      <c r="CV81" s="56">
        <f t="shared" si="40"/>
        <v>7.673416099720578</v>
      </c>
      <c r="CW81" s="2">
        <f t="shared" si="41"/>
        <v>5.1424128700955203</v>
      </c>
      <c r="CX81" s="2">
        <f t="shared" si="42"/>
        <v>16</v>
      </c>
      <c r="CY81" s="2">
        <f t="shared" si="43"/>
        <v>0.67015952259942857</v>
      </c>
      <c r="CZ81" s="2">
        <f t="shared" si="44"/>
        <v>16</v>
      </c>
      <c r="DA81" s="2">
        <f t="shared" si="45"/>
        <v>0.32984083842698353</v>
      </c>
    </row>
    <row r="82" spans="2:105" ht="18" customHeight="1" x14ac:dyDescent="0.25">
      <c r="B82" s="6"/>
      <c r="C82" s="17"/>
      <c r="D82" s="17"/>
      <c r="E82" s="17"/>
      <c r="F82" s="17"/>
      <c r="G82" s="17"/>
      <c r="H82" s="17"/>
      <c r="I82" s="17"/>
      <c r="N82" s="17"/>
      <c r="O82" s="17"/>
      <c r="P82" s="17"/>
      <c r="Q82" s="17"/>
      <c r="R82" s="17"/>
      <c r="S82" s="17"/>
      <c r="T82" s="17"/>
      <c r="U82" s="17"/>
      <c r="V82" s="17"/>
      <c r="AA82" s="17"/>
      <c r="AB82" s="17"/>
      <c r="AC82" s="17"/>
      <c r="AD82" s="17"/>
      <c r="AE82" s="17"/>
      <c r="AF82" s="17"/>
      <c r="AG82" s="17"/>
      <c r="AH82" s="17"/>
      <c r="AI82" s="17"/>
      <c r="AJ82" s="17"/>
      <c r="AK82" s="17"/>
      <c r="AL82" s="17"/>
      <c r="AM82" s="17"/>
      <c r="AN82" s="17"/>
      <c r="AP82" s="8"/>
      <c r="AR82" s="6"/>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8"/>
      <c r="CM82" s="2">
        <f t="shared" si="46"/>
        <v>16.2</v>
      </c>
      <c r="CN82" s="1" t="str">
        <f t="shared" si="33"/>
        <v>0.0107986736111111+17.49385125i</v>
      </c>
      <c r="CO82" s="56" t="str">
        <f t="shared" si="34"/>
        <v>-1.66646197702332i</v>
      </c>
      <c r="CP82" s="1" t="str">
        <f t="shared" si="35"/>
        <v>0.0107986736111111+15.8273892729767i</v>
      </c>
      <c r="CQ82" s="1" t="str">
        <f t="shared" si="36"/>
        <v>0.0191834803010191+7.76930952191277i</v>
      </c>
      <c r="CR82" s="1" t="str">
        <f t="shared" si="37"/>
        <v>0.00980130999587985+5.21123628193414i</v>
      </c>
      <c r="CT82" s="1">
        <f t="shared" si="38"/>
        <v>16.2</v>
      </c>
      <c r="CU82" s="1">
        <f t="shared" si="39"/>
        <v>15.8</v>
      </c>
      <c r="CV82" s="56">
        <f t="shared" si="40"/>
        <v>7.7693332051856867</v>
      </c>
      <c r="CW82" s="2">
        <f t="shared" si="41"/>
        <v>5.211245499093704</v>
      </c>
      <c r="CX82" s="2">
        <f t="shared" si="42"/>
        <v>16.2</v>
      </c>
      <c r="CY82" s="2">
        <f t="shared" si="43"/>
        <v>0.67074552750748939</v>
      </c>
      <c r="CZ82" s="2">
        <f t="shared" si="44"/>
        <v>16.2</v>
      </c>
      <c r="DA82" s="2">
        <f t="shared" si="45"/>
        <v>0.32925482505615233</v>
      </c>
    </row>
    <row r="83" spans="2:105" ht="18" customHeight="1" x14ac:dyDescent="0.25">
      <c r="B83" s="6"/>
      <c r="C83" s="17"/>
      <c r="D83" s="17"/>
      <c r="E83" s="17"/>
      <c r="F83" s="17"/>
      <c r="G83" s="17"/>
      <c r="H83" s="17"/>
      <c r="I83" s="17"/>
      <c r="N83" s="17"/>
      <c r="O83" s="17"/>
      <c r="P83" s="17"/>
      <c r="Q83" s="17"/>
      <c r="R83" s="17"/>
      <c r="S83" s="17"/>
      <c r="T83" s="17"/>
      <c r="U83" s="17"/>
      <c r="V83" s="17"/>
      <c r="AA83" s="17"/>
      <c r="AB83" s="17"/>
      <c r="AC83" s="17"/>
      <c r="AD83" s="17"/>
      <c r="AE83" s="17"/>
      <c r="AF83" s="17"/>
      <c r="AG83" s="17"/>
      <c r="AH83" s="17"/>
      <c r="AI83" s="17"/>
      <c r="AJ83" s="17"/>
      <c r="AK83" s="17"/>
      <c r="AL83" s="17"/>
      <c r="AM83" s="17"/>
      <c r="AN83" s="17"/>
      <c r="AP83" s="8"/>
      <c r="AR83" s="6"/>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8"/>
      <c r="CM83" s="2">
        <f t="shared" si="46"/>
        <v>16.399999999999999</v>
      </c>
      <c r="CN83" s="1" t="str">
        <f t="shared" si="33"/>
        <v>0.0107986736111111+17.7098247222222i</v>
      </c>
      <c r="CO83" s="56" t="str">
        <f t="shared" si="34"/>
        <v>-1.64613926998645i</v>
      </c>
      <c r="CP83" s="1" t="str">
        <f t="shared" si="35"/>
        <v>0.0107986736111111+16.0636854522358i</v>
      </c>
      <c r="CQ83" s="1" t="str">
        <f t="shared" si="36"/>
        <v>0.0191834803010191+7.86522692341786i</v>
      </c>
      <c r="CR83" s="1" t="str">
        <f t="shared" si="37"/>
        <v>0.009811799399719+5.27999836965119i</v>
      </c>
      <c r="CT83" s="1">
        <f t="shared" si="38"/>
        <v>16.399999999999999</v>
      </c>
      <c r="CU83" s="1">
        <f t="shared" si="39"/>
        <v>16.100000000000001</v>
      </c>
      <c r="CV83" s="56">
        <f t="shared" si="40"/>
        <v>7.8652503178712401</v>
      </c>
      <c r="CW83" s="2">
        <f t="shared" si="41"/>
        <v>5.2800074862566886</v>
      </c>
      <c r="CX83" s="2">
        <f t="shared" si="42"/>
        <v>16.399999999999999</v>
      </c>
      <c r="CY83" s="2">
        <f t="shared" si="43"/>
        <v>0.67130825757186563</v>
      </c>
      <c r="CZ83" s="2">
        <f t="shared" si="44"/>
        <v>16.399999999999999</v>
      </c>
      <c r="DA83" s="2">
        <f t="shared" si="45"/>
        <v>0.32869208681387974</v>
      </c>
    </row>
    <row r="84" spans="2:105" ht="18" customHeight="1" x14ac:dyDescent="0.25">
      <c r="B84" s="6"/>
      <c r="C84" s="17"/>
      <c r="D84" s="17"/>
      <c r="E84" s="17"/>
      <c r="F84" s="17"/>
      <c r="G84" s="17"/>
      <c r="H84" s="17"/>
      <c r="I84" s="17"/>
      <c r="N84" s="17"/>
      <c r="O84" s="17"/>
      <c r="P84" s="17"/>
      <c r="Q84" s="17"/>
      <c r="R84" s="17"/>
      <c r="S84" s="17"/>
      <c r="T84" s="17"/>
      <c r="U84" s="17"/>
      <c r="V84" s="17"/>
      <c r="AA84" s="17"/>
      <c r="AB84" s="17"/>
      <c r="AC84" s="17"/>
      <c r="AD84" s="17"/>
      <c r="AE84" s="17"/>
      <c r="AF84" s="17"/>
      <c r="AG84" s="17"/>
      <c r="AH84" s="17"/>
      <c r="AI84" s="17"/>
      <c r="AJ84" s="17"/>
      <c r="AK84" s="17"/>
      <c r="AL84" s="17"/>
      <c r="AM84" s="17"/>
      <c r="AN84" s="17"/>
      <c r="AP84" s="8"/>
      <c r="AR84" s="6"/>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8"/>
      <c r="CM84" s="2">
        <f t="shared" si="46"/>
        <v>16.600000000000001</v>
      </c>
      <c r="CN84" s="1" t="str">
        <f t="shared" si="33"/>
        <v>0.0107986736111111+17.9257981944445i</v>
      </c>
      <c r="CO84" s="56" t="str">
        <f t="shared" si="34"/>
        <v>-1.6263062667336i</v>
      </c>
      <c r="CP84" s="1" t="str">
        <f t="shared" si="35"/>
        <v>0.0107986736111111+16.2994919277109i</v>
      </c>
      <c r="CQ84" s="1" t="str">
        <f t="shared" si="36"/>
        <v>0.0191834803010191+7.96114432492296i</v>
      </c>
      <c r="CR84" s="1" t="str">
        <f t="shared" si="37"/>
        <v>0.00982189595528443+5.34869298701057i</v>
      </c>
      <c r="CT84" s="1">
        <f t="shared" si="38"/>
        <v>16.600000000000001</v>
      </c>
      <c r="CU84" s="1">
        <f t="shared" si="39"/>
        <v>16.3</v>
      </c>
      <c r="CV84" s="56">
        <f t="shared" si="40"/>
        <v>7.9611674375162789</v>
      </c>
      <c r="CW84" s="2">
        <f t="shared" si="41"/>
        <v>5.3487020050603125</v>
      </c>
      <c r="CX84" s="2">
        <f t="shared" si="42"/>
        <v>16.600000000000001</v>
      </c>
      <c r="CY84" s="2">
        <f t="shared" si="43"/>
        <v>0.67184895268689149</v>
      </c>
      <c r="CZ84" s="2">
        <f t="shared" si="44"/>
        <v>16.600000000000001</v>
      </c>
      <c r="DA84" s="2">
        <f t="shared" si="45"/>
        <v>0.32815138379383313</v>
      </c>
    </row>
    <row r="85" spans="2:105" ht="18" customHeight="1" x14ac:dyDescent="0.25">
      <c r="B85" s="6"/>
      <c r="C85" s="17"/>
      <c r="D85" s="17"/>
      <c r="E85" s="17"/>
      <c r="F85" s="17"/>
      <c r="G85" s="17"/>
      <c r="H85" s="17"/>
      <c r="I85" s="17"/>
      <c r="N85" s="17"/>
      <c r="O85" s="17"/>
      <c r="P85" s="17"/>
      <c r="Q85" s="17"/>
      <c r="R85" s="17"/>
      <c r="S85" s="17"/>
      <c r="T85" s="17"/>
      <c r="U85" s="17"/>
      <c r="V85" s="17"/>
      <c r="AA85" s="17"/>
      <c r="AB85" s="17"/>
      <c r="AC85" s="17"/>
      <c r="AD85" s="17"/>
      <c r="AE85" s="17"/>
      <c r="AF85" s="17"/>
      <c r="AG85" s="17"/>
      <c r="AH85" s="17"/>
      <c r="AI85" s="17"/>
      <c r="AJ85" s="17"/>
      <c r="AK85" s="17"/>
      <c r="AL85" s="17"/>
      <c r="AM85" s="17"/>
      <c r="AN85" s="17"/>
      <c r="AP85" s="8"/>
      <c r="AR85" s="6"/>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8"/>
      <c r="CM85" s="2">
        <f t="shared" si="46"/>
        <v>16.8</v>
      </c>
      <c r="CN85" s="1" t="str">
        <f t="shared" si="33"/>
        <v>0.0107986736111111+18.1417716666667i</v>
      </c>
      <c r="CO85" s="56" t="str">
        <f t="shared" si="34"/>
        <v>-1.60694547784392i</v>
      </c>
      <c r="CP85" s="1" t="str">
        <f t="shared" si="35"/>
        <v>0.0107986736111111+16.5348261888228i</v>
      </c>
      <c r="CQ85" s="1" t="str">
        <f t="shared" si="36"/>
        <v>0.0191834803010191+8.05706172642805i</v>
      </c>
      <c r="CR85" s="1" t="str">
        <f t="shared" si="37"/>
        <v>0.00983161917930409+5.41732311545965i</v>
      </c>
      <c r="CT85" s="1">
        <f t="shared" si="38"/>
        <v>16.8</v>
      </c>
      <c r="CU85" s="1">
        <f t="shared" si="39"/>
        <v>16.5</v>
      </c>
      <c r="CV85" s="56">
        <f t="shared" si="40"/>
        <v>8.0570845638722322</v>
      </c>
      <c r="CW85" s="2">
        <f t="shared" si="41"/>
        <v>5.4173320369005573</v>
      </c>
      <c r="CX85" s="2">
        <f t="shared" si="42"/>
        <v>16.8</v>
      </c>
      <c r="CY85" s="2">
        <f t="shared" si="43"/>
        <v>0.67236876986394434</v>
      </c>
      <c r="CZ85" s="2">
        <f t="shared" si="44"/>
        <v>16.8</v>
      </c>
      <c r="DA85" s="2">
        <f t="shared" si="45"/>
        <v>0.32763155897320179</v>
      </c>
    </row>
    <row r="86" spans="2:105" ht="18" customHeight="1" x14ac:dyDescent="0.25">
      <c r="B86" s="6"/>
      <c r="C86" s="17"/>
      <c r="D86" s="17"/>
      <c r="E86" s="17"/>
      <c r="F86" s="17"/>
      <c r="G86" s="17"/>
      <c r="H86" s="17"/>
      <c r="I86" s="17"/>
      <c r="J86" s="17"/>
      <c r="K86" s="17"/>
      <c r="L86" s="17"/>
      <c r="M86" s="17"/>
      <c r="N86" s="17"/>
      <c r="O86" s="17"/>
      <c r="P86" s="17"/>
      <c r="Q86" s="17"/>
      <c r="R86" s="17"/>
      <c r="S86" s="17"/>
      <c r="T86" s="17"/>
      <c r="U86" s="17"/>
      <c r="V86" s="17"/>
      <c r="AA86" s="17"/>
      <c r="AB86" s="17"/>
      <c r="AC86" s="17"/>
      <c r="AD86" s="17"/>
      <c r="AE86" s="17"/>
      <c r="AF86" s="17"/>
      <c r="AG86" s="17"/>
      <c r="AH86" s="17"/>
      <c r="AI86" s="17"/>
      <c r="AJ86" s="17"/>
      <c r="AK86" s="17"/>
      <c r="AL86" s="17"/>
      <c r="AM86" s="17"/>
      <c r="AN86" s="17"/>
      <c r="AP86" s="8"/>
      <c r="AR86" s="6"/>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8"/>
      <c r="CM86" s="2">
        <f t="shared" si="46"/>
        <v>17</v>
      </c>
      <c r="CN86" s="1" t="str">
        <f t="shared" si="33"/>
        <v>0.0107986736111111+18.3577451388889i</v>
      </c>
      <c r="CO86" s="56" t="str">
        <f t="shared" si="34"/>
        <v>-1.58804023692811i</v>
      </c>
      <c r="CP86" s="1" t="str">
        <f t="shared" si="35"/>
        <v>0.0107986736111111+16.7697049019608i</v>
      </c>
      <c r="CQ86" s="1" t="str">
        <f t="shared" si="36"/>
        <v>0.0191834803010191+8.15297912793315i</v>
      </c>
      <c r="CR86" s="1" t="str">
        <f t="shared" si="37"/>
        <v>0.00984098738492776+5.48589155891658i</v>
      </c>
      <c r="CT86" s="1">
        <f t="shared" si="38"/>
        <v>17</v>
      </c>
      <c r="CU86" s="1">
        <f t="shared" si="39"/>
        <v>16.8</v>
      </c>
      <c r="CV86" s="56">
        <f t="shared" si="40"/>
        <v>8.1530016967022689</v>
      </c>
      <c r="CW86" s="2">
        <f t="shared" si="41"/>
        <v>5.4859003856454498</v>
      </c>
      <c r="CX86" s="2">
        <f t="shared" si="42"/>
        <v>17</v>
      </c>
      <c r="CY86" s="2">
        <f t="shared" si="43"/>
        <v>0.6728687898917517</v>
      </c>
      <c r="CZ86" s="2">
        <f t="shared" si="44"/>
        <v>17</v>
      </c>
      <c r="DA86" s="2">
        <f t="shared" si="45"/>
        <v>0.32713153155236946</v>
      </c>
    </row>
    <row r="87" spans="2:105" ht="18" customHeight="1" x14ac:dyDescent="0.25">
      <c r="B87" s="6"/>
      <c r="C87" s="17"/>
      <c r="D87" s="17"/>
      <c r="E87" s="17"/>
      <c r="F87" s="17"/>
      <c r="G87" s="17"/>
      <c r="H87" s="17"/>
      <c r="I87" s="17"/>
      <c r="J87" s="17"/>
      <c r="K87" s="17"/>
      <c r="L87" s="17"/>
      <c r="M87" s="17"/>
      <c r="N87" s="17"/>
      <c r="O87" s="17"/>
      <c r="P87" s="17"/>
      <c r="Q87" s="17"/>
      <c r="R87" s="17"/>
      <c r="S87" s="17"/>
      <c r="T87" s="17"/>
      <c r="U87" s="17"/>
      <c r="V87" s="17"/>
      <c r="AA87" s="17"/>
      <c r="AB87" s="17"/>
      <c r="AC87" s="17"/>
      <c r="AD87" s="17"/>
      <c r="AE87" s="17"/>
      <c r="AF87" s="17"/>
      <c r="AG87" s="17"/>
      <c r="AH87" s="17"/>
      <c r="AI87" s="17"/>
      <c r="AJ87" s="17"/>
      <c r="AK87" s="17"/>
      <c r="AL87" s="17"/>
      <c r="AM87" s="17"/>
      <c r="AN87" s="17"/>
      <c r="AP87" s="8"/>
      <c r="AR87" s="6"/>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8"/>
      <c r="CM87" s="2">
        <f t="shared" si="46"/>
        <v>17.2</v>
      </c>
      <c r="CN87" s="1" t="str">
        <f t="shared" si="33"/>
        <v>0.0107986736111111+18.5737186111111i</v>
      </c>
      <c r="CO87" s="56" t="str">
        <f t="shared" si="34"/>
        <v>-1.56957465277778i</v>
      </c>
      <c r="CP87" s="1" t="str">
        <f t="shared" si="35"/>
        <v>0.0107986736111111+17.0041439583333i</v>
      </c>
      <c r="CQ87" s="1" t="str">
        <f t="shared" si="36"/>
        <v>0.0191834803010191+8.24889652943824i</v>
      </c>
      <c r="CR87" s="1" t="str">
        <f t="shared" si="37"/>
        <v>0.00985001776999672+5.55440095700523i</v>
      </c>
      <c r="CT87" s="1">
        <f t="shared" si="38"/>
        <v>17.2</v>
      </c>
      <c r="CU87" s="1">
        <f t="shared" si="39"/>
        <v>17</v>
      </c>
      <c r="CV87" s="56">
        <f t="shared" si="40"/>
        <v>8.2489188357805219</v>
      </c>
      <c r="CW87" s="2">
        <f t="shared" si="41"/>
        <v>5.5544096908700098</v>
      </c>
      <c r="CX87" s="2">
        <f t="shared" si="42"/>
        <v>17.2</v>
      </c>
      <c r="CY87" s="2">
        <f t="shared" si="43"/>
        <v>0.67335002337242156</v>
      </c>
      <c r="CZ87" s="2">
        <f t="shared" si="44"/>
        <v>17.2</v>
      </c>
      <c r="DA87" s="2">
        <f t="shared" si="45"/>
        <v>0.32665029091886011</v>
      </c>
    </row>
    <row r="88" spans="2:105" ht="18" customHeight="1" x14ac:dyDescent="0.25">
      <c r="B88" s="6"/>
      <c r="C88" s="17"/>
      <c r="D88" s="17"/>
      <c r="E88" s="17"/>
      <c r="F88" s="17"/>
      <c r="G88" s="17"/>
      <c r="H88" s="17"/>
      <c r="I88" s="17"/>
      <c r="J88" s="17"/>
      <c r="K88" s="17"/>
      <c r="L88" s="17"/>
      <c r="M88" s="17"/>
      <c r="N88" s="17"/>
      <c r="O88" s="17"/>
      <c r="P88" s="17"/>
      <c r="Q88" s="17"/>
      <c r="R88" s="17"/>
      <c r="S88" s="17"/>
      <c r="T88" s="17"/>
      <c r="U88" s="17"/>
      <c r="V88" s="17"/>
      <c r="AA88" s="17"/>
      <c r="AB88" s="17"/>
      <c r="AC88" s="17"/>
      <c r="AD88" s="17"/>
      <c r="AE88" s="17"/>
      <c r="AF88" s="17"/>
      <c r="AG88" s="17"/>
      <c r="AH88" s="17"/>
      <c r="AI88" s="17"/>
      <c r="AJ88" s="17"/>
      <c r="AK88" s="17"/>
      <c r="AL88" s="17"/>
      <c r="AM88" s="17"/>
      <c r="AN88" s="17"/>
      <c r="AP88" s="8"/>
      <c r="AR88" s="6"/>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8"/>
      <c r="CM88" s="2">
        <f t="shared" si="46"/>
        <v>17.399999999999999</v>
      </c>
      <c r="CN88" s="1" t="str">
        <f t="shared" si="33"/>
        <v>0.0107986736111111+18.7896920833333i</v>
      </c>
      <c r="CO88" s="56" t="str">
        <f t="shared" si="34"/>
        <v>-1.55153356481482i</v>
      </c>
      <c r="CP88" s="1" t="str">
        <f t="shared" si="35"/>
        <v>0.0107986736111111+17.2381585185185i</v>
      </c>
      <c r="CQ88" s="1" t="str">
        <f t="shared" si="36"/>
        <v>0.0191834803010191+8.34481393094334i</v>
      </c>
      <c r="CR88" s="1" t="str">
        <f t="shared" si="37"/>
        <v>0.00985872649784514+5.6228537971115i</v>
      </c>
      <c r="CT88" s="1">
        <f t="shared" si="38"/>
        <v>17.399999999999999</v>
      </c>
      <c r="CU88" s="1">
        <f t="shared" si="39"/>
        <v>17.2</v>
      </c>
      <c r="CV88" s="56">
        <f t="shared" si="40"/>
        <v>8.3448359808915651</v>
      </c>
      <c r="CW88" s="2">
        <f t="shared" si="41"/>
        <v>5.622862439912554</v>
      </c>
      <c r="CX88" s="2">
        <f t="shared" si="42"/>
        <v>17.399999999999999</v>
      </c>
      <c r="CY88" s="2">
        <f t="shared" si="43"/>
        <v>0.67381341619992108</v>
      </c>
      <c r="CZ88" s="2">
        <f t="shared" si="44"/>
        <v>17.399999999999999</v>
      </c>
      <c r="DA88" s="2">
        <f t="shared" si="45"/>
        <v>0.32618689116881877</v>
      </c>
    </row>
    <row r="89" spans="2:105" ht="18" customHeight="1" x14ac:dyDescent="0.25">
      <c r="B89" s="6"/>
      <c r="C89" s="17"/>
      <c r="D89" s="17"/>
      <c r="E89" s="17"/>
      <c r="F89" s="17"/>
      <c r="G89" s="17"/>
      <c r="H89" s="17"/>
      <c r="I89" s="17"/>
      <c r="J89" s="17"/>
      <c r="K89" s="17"/>
      <c r="L89" s="17"/>
      <c r="M89" s="17"/>
      <c r="N89" s="17"/>
      <c r="O89" s="17"/>
      <c r="P89" s="17"/>
      <c r="Q89" s="17"/>
      <c r="R89" s="17"/>
      <c r="S89" s="17"/>
      <c r="T89" s="17"/>
      <c r="U89" s="17"/>
      <c r="V89" s="17"/>
      <c r="AA89" s="17"/>
      <c r="AB89" s="17"/>
      <c r="AC89" s="17"/>
      <c r="AD89" s="17"/>
      <c r="AE89" s="17"/>
      <c r="AF89" s="17"/>
      <c r="AG89" s="17"/>
      <c r="AH89" s="17"/>
      <c r="AI89" s="17"/>
      <c r="AJ89" s="17"/>
      <c r="AK89" s="17"/>
      <c r="AL89" s="17"/>
      <c r="AM89" s="17"/>
      <c r="AN89" s="17"/>
      <c r="AP89" s="8"/>
      <c r="AR89" s="6"/>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8"/>
      <c r="CM89" s="2">
        <f t="shared" si="46"/>
        <v>17.600000000000001</v>
      </c>
      <c r="CN89" s="1" t="str">
        <f t="shared" si="33"/>
        <v>0.0107986736111111+19.0056655555556i</v>
      </c>
      <c r="CO89" s="56" t="str">
        <f t="shared" si="34"/>
        <v>-1.53390250157828i</v>
      </c>
      <c r="CP89" s="1" t="str">
        <f t="shared" si="35"/>
        <v>0.0107986736111111+17.4717630539773i</v>
      </c>
      <c r="CQ89" s="1" t="str">
        <f t="shared" si="36"/>
        <v>0.0191834803010191+8.44073133244844i</v>
      </c>
      <c r="CR89" s="1" t="str">
        <f t="shared" si="37"/>
        <v>0.00986712877134579+5.69125242538238i</v>
      </c>
      <c r="CT89" s="1">
        <f t="shared" si="38"/>
        <v>17.600000000000001</v>
      </c>
      <c r="CU89" s="1">
        <f t="shared" si="39"/>
        <v>17.5</v>
      </c>
      <c r="CV89" s="56">
        <f t="shared" si="40"/>
        <v>8.4407531318297231</v>
      </c>
      <c r="CW89" s="2">
        <f t="shared" si="41"/>
        <v>5.6912609788737525</v>
      </c>
      <c r="CX89" s="2">
        <f t="shared" si="42"/>
        <v>17.600000000000001</v>
      </c>
      <c r="CY89" s="2">
        <f t="shared" si="43"/>
        <v>0.6742598545397841</v>
      </c>
      <c r="CZ89" s="2">
        <f t="shared" si="44"/>
        <v>17.600000000000001</v>
      </c>
      <c r="DA89" s="2">
        <f t="shared" si="45"/>
        <v>0.32574044612730768</v>
      </c>
    </row>
    <row r="90" spans="2:105" ht="18" customHeight="1" x14ac:dyDescent="0.25">
      <c r="B90" s="6"/>
      <c r="C90" s="17"/>
      <c r="D90" s="17"/>
      <c r="E90" s="17"/>
      <c r="F90" s="17"/>
      <c r="G90" s="17"/>
      <c r="H90" s="17"/>
      <c r="I90" s="17"/>
      <c r="J90" s="17"/>
      <c r="K90" s="17"/>
      <c r="L90" s="17"/>
      <c r="M90" s="17"/>
      <c r="N90" s="17"/>
      <c r="O90" s="17"/>
      <c r="P90" s="17"/>
      <c r="Q90" s="17"/>
      <c r="R90" s="17"/>
      <c r="S90" s="17"/>
      <c r="T90" s="17"/>
      <c r="U90" s="17"/>
      <c r="V90" s="17"/>
      <c r="AA90" s="17"/>
      <c r="AB90" s="17"/>
      <c r="AC90" s="17"/>
      <c r="AD90" s="17"/>
      <c r="AE90" s="17"/>
      <c r="AF90" s="17"/>
      <c r="AG90" s="17"/>
      <c r="AH90" s="17"/>
      <c r="AI90" s="17"/>
      <c r="AJ90" s="17"/>
      <c r="AK90" s="17"/>
      <c r="AL90" s="17"/>
      <c r="AM90" s="17"/>
      <c r="AN90" s="17"/>
      <c r="AP90" s="8"/>
      <c r="AR90" s="6"/>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8"/>
      <c r="CM90" s="2">
        <f t="shared" si="46"/>
        <v>17.8</v>
      </c>
      <c r="CN90" s="1" t="str">
        <f t="shared" si="33"/>
        <v>0.0107986736111111+19.2216390277778i</v>
      </c>
      <c r="CO90" s="56" t="str">
        <f t="shared" si="34"/>
        <v>-1.51666764200999i</v>
      </c>
      <c r="CP90" s="1" t="str">
        <f t="shared" si="35"/>
        <v>0.0107986736111111+17.7049713857678i</v>
      </c>
      <c r="CQ90" s="1" t="str">
        <f t="shared" si="36"/>
        <v>0.0191834803010191+8.53664873395353i</v>
      </c>
      <c r="CR90" s="1" t="str">
        <f t="shared" si="37"/>
        <v>0.00987523890083747+5.75959905677477i</v>
      </c>
      <c r="CT90" s="1">
        <f t="shared" si="38"/>
        <v>17.8</v>
      </c>
      <c r="CU90" s="1">
        <f t="shared" si="39"/>
        <v>17.7</v>
      </c>
      <c r="CV90" s="56">
        <f t="shared" si="40"/>
        <v>8.5366702883985663</v>
      </c>
      <c r="CW90" s="2">
        <f t="shared" si="41"/>
        <v>5.7596075226654255</v>
      </c>
      <c r="CX90" s="2">
        <f t="shared" si="42"/>
        <v>17.8</v>
      </c>
      <c r="CY90" s="2">
        <f t="shared" si="43"/>
        <v>0.67469016936179305</v>
      </c>
      <c r="CZ90" s="2">
        <f t="shared" si="44"/>
        <v>17.8</v>
      </c>
      <c r="DA90" s="2">
        <f t="shared" si="45"/>
        <v>0.32531012481557903</v>
      </c>
    </row>
    <row r="91" spans="2:105" ht="18" customHeight="1" x14ac:dyDescent="0.25">
      <c r="B91" s="6"/>
      <c r="C91" s="17"/>
      <c r="D91" s="17"/>
      <c r="E91" s="17"/>
      <c r="F91" s="17"/>
      <c r="G91" s="17"/>
      <c r="H91" s="17"/>
      <c r="I91" s="17"/>
      <c r="J91" s="17"/>
      <c r="K91" s="17"/>
      <c r="L91" s="17"/>
      <c r="M91" s="17"/>
      <c r="N91" s="17"/>
      <c r="O91" s="17"/>
      <c r="P91" s="17"/>
      <c r="Q91" s="17"/>
      <c r="R91" s="17"/>
      <c r="S91" s="17"/>
      <c r="T91" s="17"/>
      <c r="U91" s="17"/>
      <c r="V91" s="17"/>
      <c r="AA91" s="17"/>
      <c r="AB91" s="17"/>
      <c r="AC91" s="17"/>
      <c r="AD91" s="17"/>
      <c r="AE91" s="17"/>
      <c r="AF91" s="17"/>
      <c r="AG91" s="17"/>
      <c r="AH91" s="17"/>
      <c r="AI91" s="17"/>
      <c r="AJ91" s="17"/>
      <c r="AK91" s="17"/>
      <c r="AL91" s="17"/>
      <c r="AM91" s="17"/>
      <c r="AN91" s="17"/>
      <c r="AP91" s="8"/>
      <c r="AR91" s="6"/>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8"/>
      <c r="CM91" s="2">
        <f t="shared" si="46"/>
        <v>18</v>
      </c>
      <c r="CN91" s="1" t="str">
        <f t="shared" si="33"/>
        <v>0.0107986736111111+19.4376125i</v>
      </c>
      <c r="CO91" s="56" t="str">
        <f t="shared" si="34"/>
        <v>-1.49981577932099i</v>
      </c>
      <c r="CP91" s="1" t="str">
        <f t="shared" si="35"/>
        <v>0.0107986736111111+17.937796720679i</v>
      </c>
      <c r="CQ91" s="1" t="str">
        <f t="shared" si="36"/>
        <v>0.0191834803010191+8.63256613545863i</v>
      </c>
      <c r="CR91" s="1" t="str">
        <f t="shared" si="37"/>
        <v>0.00988307036650393+5.82789578424969i</v>
      </c>
      <c r="CT91" s="1">
        <f t="shared" si="38"/>
        <v>18</v>
      </c>
      <c r="CU91" s="1">
        <f t="shared" si="39"/>
        <v>17.899999999999999</v>
      </c>
      <c r="CV91" s="56">
        <f t="shared" si="40"/>
        <v>8.6325874504104281</v>
      </c>
      <c r="CW91" s="2">
        <f t="shared" si="41"/>
        <v>5.8279041642047593</v>
      </c>
      <c r="CX91" s="2">
        <f t="shared" si="42"/>
        <v>18</v>
      </c>
      <c r="CY91" s="2">
        <f t="shared" si="43"/>
        <v>0.67510514057146009</v>
      </c>
      <c r="CZ91" s="2">
        <f t="shared" si="44"/>
        <v>18</v>
      </c>
      <c r="DA91" s="2">
        <f t="shared" si="45"/>
        <v>0.32489514731958008</v>
      </c>
    </row>
    <row r="92" spans="2:105" ht="18" customHeight="1" x14ac:dyDescent="0.25">
      <c r="B92" s="6"/>
      <c r="C92" s="17"/>
      <c r="D92" s="17"/>
      <c r="E92" s="17"/>
      <c r="F92" s="17"/>
      <c r="G92" s="17"/>
      <c r="H92" s="17"/>
      <c r="I92" s="17"/>
      <c r="J92" s="17"/>
      <c r="K92" s="17"/>
      <c r="L92" s="17"/>
      <c r="M92" s="17"/>
      <c r="N92" s="17"/>
      <c r="O92" s="17"/>
      <c r="P92" s="17"/>
      <c r="Q92" s="17"/>
      <c r="R92" s="17"/>
      <c r="S92" s="17"/>
      <c r="T92" s="17"/>
      <c r="U92" s="17"/>
      <c r="V92" s="17"/>
      <c r="AA92" s="17"/>
      <c r="AB92" s="17"/>
      <c r="AC92" s="17"/>
      <c r="AD92" s="17"/>
      <c r="AE92" s="17"/>
      <c r="AF92" s="17"/>
      <c r="AG92" s="17"/>
      <c r="AH92" s="17"/>
      <c r="AI92" s="17"/>
      <c r="AJ92" s="17"/>
      <c r="AK92" s="17"/>
      <c r="AL92" s="17"/>
      <c r="AM92" s="17"/>
      <c r="AN92" s="17"/>
      <c r="AP92" s="8"/>
      <c r="AR92" s="6"/>
      <c r="CF92" s="8"/>
      <c r="CM92" s="2">
        <f t="shared" si="46"/>
        <v>18.2</v>
      </c>
      <c r="CN92" s="1" t="str">
        <f t="shared" si="33"/>
        <v>0.0107986736111111+19.6535859722222i</v>
      </c>
      <c r="CO92" s="56" t="str">
        <f t="shared" si="34"/>
        <v>-1.48333428724054i</v>
      </c>
      <c r="CP92" s="1" t="str">
        <f t="shared" si="35"/>
        <v>0.0107986736111111+18.1702516849817i</v>
      </c>
      <c r="CQ92" s="1" t="str">
        <f t="shared" si="36"/>
        <v>0.0191834803010191+8.72848353696372i</v>
      </c>
      <c r="CR92" s="1" t="str">
        <f t="shared" si="37"/>
        <v>0.00989063587571633+5.89614458719538i</v>
      </c>
      <c r="CT92" s="1">
        <f t="shared" si="38"/>
        <v>18.2</v>
      </c>
      <c r="CU92" s="1">
        <f t="shared" si="39"/>
        <v>18.2</v>
      </c>
      <c r="CV92" s="56">
        <f t="shared" si="40"/>
        <v>8.7285046176858483</v>
      </c>
      <c r="CW92" s="2">
        <f t="shared" si="41"/>
        <v>5.8961528828373675</v>
      </c>
      <c r="CX92" s="2">
        <f t="shared" si="42"/>
        <v>18.2</v>
      </c>
      <c r="CY92" s="2">
        <f t="shared" si="43"/>
        <v>0.67550550078079474</v>
      </c>
      <c r="CZ92" s="2">
        <f t="shared" si="44"/>
        <v>18.2</v>
      </c>
      <c r="DA92" s="2">
        <f t="shared" si="45"/>
        <v>0.32449478101916351</v>
      </c>
    </row>
    <row r="93" spans="2:105" ht="18" customHeight="1" x14ac:dyDescent="0.25">
      <c r="B93" s="6"/>
      <c r="C93" s="17"/>
      <c r="D93" s="17"/>
      <c r="E93" s="17"/>
      <c r="F93" s="17"/>
      <c r="G93" s="17"/>
      <c r="H93" s="17"/>
      <c r="I93" s="17"/>
      <c r="J93" s="17"/>
      <c r="K93" s="17"/>
      <c r="L93" s="17"/>
      <c r="M93" s="17"/>
      <c r="N93" s="17"/>
      <c r="O93" s="17"/>
      <c r="P93" s="17"/>
      <c r="Q93" s="17"/>
      <c r="R93" s="17"/>
      <c r="S93" s="17"/>
      <c r="T93" s="17"/>
      <c r="U93" s="17"/>
      <c r="V93" s="17"/>
      <c r="AA93" s="17"/>
      <c r="AB93" s="17"/>
      <c r="AC93" s="17"/>
      <c r="AD93" s="17"/>
      <c r="AE93" s="17"/>
      <c r="AF93" s="17"/>
      <c r="AG93" s="17"/>
      <c r="AH93" s="17"/>
      <c r="AI93" s="17"/>
      <c r="AJ93" s="17"/>
      <c r="AK93" s="17"/>
      <c r="AL93" s="17"/>
      <c r="AM93" s="17"/>
      <c r="AN93" s="17"/>
      <c r="AP93" s="8"/>
      <c r="AR93" s="6"/>
      <c r="CF93" s="8"/>
      <c r="CM93" s="2">
        <f t="shared" si="46"/>
        <v>18.399999999999999</v>
      </c>
      <c r="CN93" s="1" t="str">
        <f t="shared" si="33"/>
        <v>0.0107986736111111+19.8695594444444i</v>
      </c>
      <c r="CO93" s="56" t="str">
        <f t="shared" si="34"/>
        <v>-1.46721108846618i</v>
      </c>
      <c r="CP93" s="1" t="str">
        <f t="shared" si="35"/>
        <v>0.0107986736111111+18.4023483559782i</v>
      </c>
      <c r="CQ93" s="1" t="str">
        <f t="shared" si="36"/>
        <v>0.0191834803010191+8.82440093846882i</v>
      </c>
      <c r="CR93" s="1" t="str">
        <f t="shared" si="37"/>
        <v>0.0098979474157986+5.96434733915462i</v>
      </c>
      <c r="CT93" s="1">
        <f t="shared" si="38"/>
        <v>18.399999999999999</v>
      </c>
      <c r="CU93" s="1">
        <f t="shared" si="39"/>
        <v>18.399999999999999</v>
      </c>
      <c r="CV93" s="56">
        <f t="shared" si="40"/>
        <v>8.824421790053206</v>
      </c>
      <c r="CW93" s="2">
        <f t="shared" si="41"/>
        <v>5.9643555520646023</v>
      </c>
      <c r="CX93" s="2">
        <f t="shared" si="42"/>
        <v>18.399999999999999</v>
      </c>
      <c r="CY93" s="2">
        <f t="shared" si="43"/>
        <v>0.67589193875428133</v>
      </c>
      <c r="CZ93" s="2">
        <f t="shared" si="44"/>
        <v>18.399999999999999</v>
      </c>
      <c r="DA93" s="2">
        <f t="shared" si="45"/>
        <v>0.3241083371420887</v>
      </c>
    </row>
    <row r="94" spans="2:105" ht="18" customHeight="1" x14ac:dyDescent="0.25">
      <c r="B94" s="6"/>
      <c r="AP94" s="8"/>
      <c r="AR94" s="6"/>
      <c r="BJ94" s="29" t="s">
        <v>433</v>
      </c>
      <c r="BK94" s="156">
        <v>15</v>
      </c>
      <c r="BL94" s="156"/>
      <c r="BM94" s="156"/>
      <c r="BN94" s="156"/>
      <c r="BO94" s="156"/>
      <c r="BP94" s="158" t="s">
        <v>432</v>
      </c>
      <c r="BQ94" s="158"/>
      <c r="BR94" s="158"/>
      <c r="BV94" s="29" t="s">
        <v>434</v>
      </c>
      <c r="BW94" s="156">
        <v>25</v>
      </c>
      <c r="BX94" s="156"/>
      <c r="CE94" s="17"/>
      <c r="CF94" s="8"/>
      <c r="CM94" s="2">
        <f t="shared" si="46"/>
        <v>18.600000000000001</v>
      </c>
      <c r="CN94" s="1" t="str">
        <f t="shared" si="33"/>
        <v>0.0107986736111111+20.0855329166667i</v>
      </c>
      <c r="CO94" s="56" t="str">
        <f t="shared" si="34"/>
        <v>-1.45143462514934i</v>
      </c>
      <c r="CP94" s="1" t="str">
        <f t="shared" si="35"/>
        <v>0.0107986736111111+18.6340982915174i</v>
      </c>
      <c r="CQ94" s="1" t="str">
        <f t="shared" si="36"/>
        <v>0.0191834803010191+8.92031833997392i</v>
      </c>
      <c r="CR94" s="1" t="str">
        <f t="shared" si="37"/>
        <v>0.00990501630262796+6.03250581492293i</v>
      </c>
      <c r="CT94" s="1">
        <f t="shared" si="38"/>
        <v>18.600000000000001</v>
      </c>
      <c r="CU94" s="1">
        <f t="shared" si="39"/>
        <v>18.600000000000001</v>
      </c>
      <c r="CV94" s="56">
        <f t="shared" si="40"/>
        <v>8.9203389673482434</v>
      </c>
      <c r="CW94" s="2">
        <f t="shared" si="41"/>
        <v>6.0325139466417239</v>
      </c>
      <c r="CX94" s="2">
        <f t="shared" si="42"/>
        <v>18.600000000000001</v>
      </c>
      <c r="CY94" s="2">
        <f t="shared" si="43"/>
        <v>0.67626510256201755</v>
      </c>
      <c r="CZ94" s="2">
        <f t="shared" si="44"/>
        <v>18.600000000000001</v>
      </c>
      <c r="DA94" s="2">
        <f t="shared" si="45"/>
        <v>0.32373516761086479</v>
      </c>
    </row>
    <row r="95" spans="2:105" ht="18" customHeight="1" x14ac:dyDescent="0.25">
      <c r="B95" s="6"/>
      <c r="AP95" s="8"/>
      <c r="AR95" s="6"/>
      <c r="CF95" s="8"/>
      <c r="CM95" s="2">
        <f t="shared" si="46"/>
        <v>18.8</v>
      </c>
      <c r="CN95" s="1" t="str">
        <f t="shared" si="33"/>
        <v>0.0107986736111111+20.3015063888889i</v>
      </c>
      <c r="CO95" s="56" t="str">
        <f t="shared" si="34"/>
        <v>-1.43599383126478i</v>
      </c>
      <c r="CP95" s="1" t="str">
        <f t="shared" si="35"/>
        <v>0.0107986736111111+18.8655125576241i</v>
      </c>
      <c r="CQ95" s="1" t="str">
        <f t="shared" si="36"/>
        <v>0.0191834803010191+9.01623574147901i</v>
      </c>
      <c r="CR95" s="1" t="str">
        <f t="shared" si="37"/>
        <v>0.00991185322544262+6.10062169707664i</v>
      </c>
      <c r="CT95" s="1">
        <f t="shared" si="38"/>
        <v>18.8</v>
      </c>
      <c r="CU95" s="1">
        <f t="shared" si="39"/>
        <v>18.899999999999999</v>
      </c>
      <c r="CV95" s="56">
        <f t="shared" si="40"/>
        <v>9.0162561494136799</v>
      </c>
      <c r="CW95" s="2">
        <f t="shared" si="41"/>
        <v>6.1006297491059591</v>
      </c>
      <c r="CX95" s="2">
        <f t="shared" si="42"/>
        <v>18.8</v>
      </c>
      <c r="CY95" s="2">
        <f t="shared" si="43"/>
        <v>0.6766256024683448</v>
      </c>
      <c r="CZ95" s="2">
        <f t="shared" si="44"/>
        <v>18.8</v>
      </c>
      <c r="DA95" s="2">
        <f t="shared" si="45"/>
        <v>0.32337466215410038</v>
      </c>
    </row>
    <row r="96" spans="2:105"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c r="CM96" s="2">
        <f t="shared" si="46"/>
        <v>19</v>
      </c>
      <c r="CN96" s="1" t="str">
        <f t="shared" si="33"/>
        <v>0.0107986736111111+20.5174798611111i</v>
      </c>
      <c r="CO96" s="56" t="str">
        <f t="shared" si="34"/>
        <v>-1.42087810672515i</v>
      </c>
      <c r="CP96" s="1" t="str">
        <f t="shared" si="35"/>
        <v>0.0107986736111111+19.0966017543859i</v>
      </c>
      <c r="CQ96" s="1" t="str">
        <f t="shared" si="36"/>
        <v>0.0191834803010191+9.11215314298411i</v>
      </c>
      <c r="CR96" s="1" t="str">
        <f t="shared" si="37"/>
        <v>0.00991846828819127+6.16869658198446i</v>
      </c>
      <c r="CT96" s="1">
        <f t="shared" si="38"/>
        <v>19</v>
      </c>
      <c r="CU96" s="1">
        <f t="shared" si="39"/>
        <v>19.100000000000001</v>
      </c>
      <c r="CV96" s="56">
        <f t="shared" si="40"/>
        <v>9.112173336098893</v>
      </c>
      <c r="CW96" s="2">
        <f t="shared" si="41"/>
        <v>6.1687045557880262</v>
      </c>
      <c r="CX96" s="2">
        <f t="shared" si="42"/>
        <v>19</v>
      </c>
      <c r="CY96" s="2">
        <f t="shared" si="43"/>
        <v>0.67697401358137155</v>
      </c>
      <c r="CZ96" s="2">
        <f t="shared" si="44"/>
        <v>19</v>
      </c>
      <c r="DA96" s="2">
        <f t="shared" si="45"/>
        <v>0.32302624565696669</v>
      </c>
    </row>
    <row r="97" spans="2:105" ht="18" customHeight="1" x14ac:dyDescent="0.25">
      <c r="B97" s="6"/>
      <c r="D97" s="43" t="s">
        <v>84</v>
      </c>
      <c r="AO97" s="29" t="s">
        <v>99</v>
      </c>
      <c r="AP97" s="8"/>
      <c r="AR97" s="6"/>
      <c r="AT97" s="43" t="s">
        <v>84</v>
      </c>
      <c r="CE97" s="29" t="s">
        <v>100</v>
      </c>
      <c r="CF97" s="8"/>
      <c r="CM97" s="2">
        <f t="shared" si="46"/>
        <v>19.2</v>
      </c>
      <c r="CN97" s="1" t="str">
        <f t="shared" si="33"/>
        <v>0.0107986736111111+20.7334533333333i</v>
      </c>
      <c r="CO97" s="56" t="str">
        <f t="shared" si="34"/>
        <v>-1.40607729311343i</v>
      </c>
      <c r="CP97" s="1" t="str">
        <f t="shared" si="35"/>
        <v>0.0107986736111111+19.3273760402199i</v>
      </c>
      <c r="CQ97" s="1" t="str">
        <f t="shared" si="36"/>
        <v>0.0191834803010191+9.2080705444892i</v>
      </c>
      <c r="CR97" s="1" t="str">
        <f t="shared" si="37"/>
        <v>0.00992487104772635+6.23673198534939i</v>
      </c>
      <c r="CT97" s="1">
        <f t="shared" si="38"/>
        <v>19.2</v>
      </c>
      <c r="CU97" s="1">
        <f t="shared" si="39"/>
        <v>19.3</v>
      </c>
      <c r="CV97" s="56">
        <f t="shared" si="40"/>
        <v>9.2080905272594986</v>
      </c>
      <c r="CW97" s="2">
        <f t="shared" si="41"/>
        <v>6.2367398823540379</v>
      </c>
      <c r="CX97" s="2">
        <f t="shared" si="42"/>
        <v>19.2</v>
      </c>
      <c r="CY97" s="2">
        <f t="shared" si="43"/>
        <v>0.67731087828588066</v>
      </c>
      <c r="CZ97" s="2">
        <f t="shared" si="44"/>
        <v>19.2</v>
      </c>
      <c r="DA97" s="2">
        <f t="shared" si="45"/>
        <v>0.32268937572826745</v>
      </c>
    </row>
    <row r="98" spans="2:105"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c r="CM98" s="2">
        <f t="shared" si="46"/>
        <v>19.399999999999999</v>
      </c>
      <c r="CN98" s="1" t="str">
        <f t="shared" si="33"/>
        <v>0.0107986736111111+20.9494268055556i</v>
      </c>
      <c r="CO98" s="56" t="str">
        <f t="shared" si="34"/>
        <v>-1.39158165091638i</v>
      </c>
      <c r="CP98" s="1" t="str">
        <f t="shared" si="35"/>
        <v>0.0107986736111111+19.5578451546392i</v>
      </c>
      <c r="CQ98" s="1" t="str">
        <f t="shared" si="36"/>
        <v>0.0191834803010191+9.3039879459943i</v>
      </c>
      <c r="CR98" s="1" t="str">
        <f t="shared" si="37"/>
        <v>0.009931070549113+6.30472934732395i</v>
      </c>
      <c r="CT98" s="1">
        <f t="shared" si="38"/>
        <v>19.399999999999999</v>
      </c>
      <c r="CU98" s="1">
        <f t="shared" si="39"/>
        <v>19.600000000000001</v>
      </c>
      <c r="CV98" s="56">
        <f t="shared" si="40"/>
        <v>9.3040077227570954</v>
      </c>
      <c r="CW98" s="2">
        <f t="shared" si="41"/>
        <v>6.3047371689206946</v>
      </c>
      <c r="CX98" s="2">
        <f t="shared" si="42"/>
        <v>19.399999999999999</v>
      </c>
      <c r="CY98" s="2">
        <f t="shared" si="43"/>
        <v>0.67763670847989876</v>
      </c>
      <c r="CZ98" s="2">
        <f t="shared" si="44"/>
        <v>19.399999999999999</v>
      </c>
      <c r="DA98" s="2">
        <f t="shared" si="45"/>
        <v>0.3223635404638579</v>
      </c>
    </row>
    <row r="99" spans="2:105" ht="18" customHeight="1" x14ac:dyDescent="0.25">
      <c r="CM99" s="2">
        <f t="shared" si="46"/>
        <v>19.600000000000001</v>
      </c>
      <c r="CN99" s="1" t="str">
        <f t="shared" si="33"/>
        <v>0.0107986736111111+21.1654002777778i</v>
      </c>
      <c r="CO99" s="56" t="str">
        <f t="shared" si="34"/>
        <v>-1.37738183815193i</v>
      </c>
      <c r="CP99" s="1" t="str">
        <f t="shared" si="35"/>
        <v>0.0107986736111111+19.7880184396259i</v>
      </c>
      <c r="CQ99" s="1" t="str">
        <f t="shared" si="36"/>
        <v>0.0191834803010191+9.39990534749939i</v>
      </c>
      <c r="CR99" s="1" t="str">
        <f t="shared" si="37"/>
        <v>0.00993707535830137+6.37269003723668i</v>
      </c>
      <c r="CT99" s="1">
        <f t="shared" si="38"/>
        <v>19.600000000000001</v>
      </c>
      <c r="CU99" s="1">
        <f t="shared" si="39"/>
        <v>19.8</v>
      </c>
      <c r="CV99" s="56">
        <f t="shared" si="40"/>
        <v>9.3999249224589061</v>
      </c>
      <c r="CW99" s="2">
        <f t="shared" si="41"/>
        <v>6.3726977847817574</v>
      </c>
      <c r="CX99" s="2">
        <f t="shared" si="42"/>
        <v>19.600000000000001</v>
      </c>
      <c r="CY99" s="2">
        <f t="shared" si="43"/>
        <v>0.6779519876329736</v>
      </c>
      <c r="CZ99" s="2">
        <f t="shared" si="44"/>
        <v>19.600000000000001</v>
      </c>
      <c r="DA99" s="2">
        <f t="shared" si="45"/>
        <v>0.32204825638835177</v>
      </c>
    </row>
    <row r="100" spans="2:105" ht="18" customHeight="1" x14ac:dyDescent="0.25">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5"/>
      <c r="AR100" s="3"/>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5"/>
      <c r="CM100" s="2">
        <f t="shared" si="46"/>
        <v>19.8</v>
      </c>
      <c r="CN100" s="1" t="str">
        <f t="shared" si="33"/>
        <v>0.0107986736111111+21.38137375i</v>
      </c>
      <c r="CO100" s="56" t="str">
        <f t="shared" si="34"/>
        <v>-1.36346889029181i</v>
      </c>
      <c r="CP100" s="1" t="str">
        <f t="shared" si="35"/>
        <v>0.0107986736111111+20.0179048597082i</v>
      </c>
      <c r="CQ100" s="1" t="str">
        <f t="shared" si="36"/>
        <v>0.0191834803010191+9.49582274900449i</v>
      </c>
      <c r="CR100" s="1" t="str">
        <f t="shared" si="37"/>
        <v>0.00994289359238402+6.44061535796423i</v>
      </c>
      <c r="CT100" s="1">
        <f t="shared" si="38"/>
        <v>19.8</v>
      </c>
      <c r="CU100" s="1">
        <f t="shared" si="39"/>
        <v>20</v>
      </c>
      <c r="CV100" s="56">
        <f t="shared" si="40"/>
        <v>9.4958421262375481</v>
      </c>
      <c r="CW100" s="2">
        <f t="shared" si="41"/>
        <v>6.4406230327801124</v>
      </c>
      <c r="CX100" s="2">
        <f t="shared" si="42"/>
        <v>19.8</v>
      </c>
      <c r="CY100" s="2">
        <f t="shared" si="43"/>
        <v>0.67825717268238028</v>
      </c>
      <c r="CZ100" s="2">
        <f t="shared" si="44"/>
        <v>19.8</v>
      </c>
      <c r="DA100" s="2">
        <f t="shared" si="45"/>
        <v>0.32174306655889928</v>
      </c>
    </row>
    <row r="101" spans="2:105" ht="18" customHeight="1" x14ac:dyDescent="0.25">
      <c r="B101" s="6"/>
      <c r="AN101" s="7"/>
      <c r="AP101" s="8"/>
      <c r="AR101" s="6"/>
      <c r="CD101" s="7"/>
      <c r="CF101" s="8"/>
      <c r="CM101" s="2">
        <f t="shared" si="46"/>
        <v>20</v>
      </c>
      <c r="CN101" s="1" t="str">
        <f t="shared" si="33"/>
        <v>0.0107986736111111+21.5973472222222i</v>
      </c>
      <c r="CO101" s="56" t="str">
        <f t="shared" si="34"/>
        <v>-1.34983420138889i</v>
      </c>
      <c r="CP101" s="1" t="str">
        <f t="shared" si="35"/>
        <v>0.0107986736111111+20.2475130208333i</v>
      </c>
      <c r="CQ101" s="1" t="str">
        <f t="shared" si="36"/>
        <v>0.0191834803010191+9.59174015050959i</v>
      </c>
      <c r="CR101" s="1" t="str">
        <f t="shared" si="37"/>
        <v>0.00994853294764143+6.50850654997998i</v>
      </c>
      <c r="CT101" s="1">
        <f t="shared" si="38"/>
        <v>20</v>
      </c>
      <c r="CU101" s="1">
        <f t="shared" si="39"/>
        <v>20.2</v>
      </c>
      <c r="CV101" s="56">
        <f t="shared" si="40"/>
        <v>9.5917593339707068</v>
      </c>
      <c r="CW101" s="2">
        <f t="shared" si="41"/>
        <v>6.5085141533563649</v>
      </c>
      <c r="CX101" s="2">
        <f t="shared" si="42"/>
        <v>20</v>
      </c>
      <c r="CY101" s="2">
        <f t="shared" si="43"/>
        <v>0.67855269578183064</v>
      </c>
      <c r="CZ101" s="2">
        <f t="shared" si="44"/>
        <v>20</v>
      </c>
      <c r="DA101" s="2">
        <f t="shared" si="45"/>
        <v>0.32144753881646626</v>
      </c>
    </row>
    <row r="102" spans="2:105" ht="18" customHeight="1" x14ac:dyDescent="0.25">
      <c r="B102" s="6"/>
      <c r="AN102" s="9"/>
      <c r="AP102" s="8"/>
      <c r="AR102" s="6"/>
      <c r="CD102" s="9"/>
      <c r="CF102" s="8"/>
      <c r="CM102" s="2">
        <f t="shared" si="46"/>
        <v>20.2</v>
      </c>
      <c r="CN102" s="1" t="str">
        <f t="shared" si="33"/>
        <v>0.0107986736111111+21.8133206944444i</v>
      </c>
      <c r="CO102" s="56" t="str">
        <f t="shared" si="34"/>
        <v>-1.33646950632563i</v>
      </c>
      <c r="CP102" s="1" t="str">
        <f t="shared" si="35"/>
        <v>0.0107986736111111+20.4768511881188i</v>
      </c>
      <c r="CQ102" s="1" t="str">
        <f t="shared" si="36"/>
        <v>0.0191834803010191+9.68765755201468i</v>
      </c>
      <c r="CR102" s="1" t="str">
        <f t="shared" si="37"/>
        <v>0.00995400072555831+6.57636479510658i</v>
      </c>
      <c r="CT102" s="1">
        <f t="shared" si="38"/>
        <v>20.2</v>
      </c>
      <c r="CU102" s="1">
        <f t="shared" si="39"/>
        <v>20.5</v>
      </c>
      <c r="CV102" s="56">
        <f t="shared" si="40"/>
        <v>9.6876765455409135</v>
      </c>
      <c r="CW102" s="2">
        <f t="shared" si="41"/>
        <v>6.5763723283013444</v>
      </c>
      <c r="CX102" s="2">
        <f t="shared" si="42"/>
        <v>20.2</v>
      </c>
      <c r="CY102" s="2">
        <f t="shared" si="43"/>
        <v>0.67883896591576043</v>
      </c>
      <c r="CZ102" s="2">
        <f t="shared" si="44"/>
        <v>20.2</v>
      </c>
      <c r="DA102" s="2">
        <f t="shared" si="45"/>
        <v>0.32116126417153168</v>
      </c>
    </row>
    <row r="103" spans="2:105" ht="18" customHeight="1" thickBot="1" x14ac:dyDescent="0.3">
      <c r="B103" s="6"/>
      <c r="C103" s="10" t="str">
        <f>"Harmonic Filter Design - Notch Type | "&amp; H12 &amp; " | " &amp; AE13</f>
        <v>Harmonic Filter Design - Notch Type | Enter Customer PO #  | Stage 1</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1"/>
      <c r="AO103" s="10"/>
      <c r="AP103" s="8"/>
      <c r="AR103" s="6"/>
      <c r="AS103" s="10" t="str">
        <f>"Harmonic Filter Design - Notch Type | "&amp; H12 &amp; " | " &amp; AE13</f>
        <v>Harmonic Filter Design - Notch Type | Enter Customer PO #  | Stage 1</v>
      </c>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1"/>
      <c r="CE103" s="10"/>
      <c r="CF103" s="8"/>
      <c r="CM103" s="2">
        <f t="shared" si="46"/>
        <v>20.399999999999999</v>
      </c>
      <c r="CN103" s="1" t="str">
        <f t="shared" si="33"/>
        <v>0.0107986736111111+22.0292941666667i</v>
      </c>
      <c r="CO103" s="56" t="str">
        <f t="shared" si="34"/>
        <v>-1.32336686410675i</v>
      </c>
      <c r="CP103" s="1" t="str">
        <f t="shared" si="35"/>
        <v>0.0107986736111111+20.7059273025599i</v>
      </c>
      <c r="CQ103" s="1" t="str">
        <f t="shared" si="36"/>
        <v>0.0191834803010191+9.78357495351978i</v>
      </c>
      <c r="CR103" s="1" t="str">
        <f t="shared" si="37"/>
        <v>0.00995930385697682+6.64419121999837i</v>
      </c>
      <c r="CT103" s="1">
        <f t="shared" si="38"/>
        <v>20.399999999999999</v>
      </c>
      <c r="CU103" s="1">
        <f t="shared" si="39"/>
        <v>20.7</v>
      </c>
      <c r="CV103" s="56">
        <f t="shared" si="40"/>
        <v>9.7835937608353323</v>
      </c>
      <c r="CW103" s="2">
        <f t="shared" si="41"/>
        <v>6.6441986842385106</v>
      </c>
      <c r="CX103" s="2">
        <f t="shared" si="42"/>
        <v>20.399999999999999</v>
      </c>
      <c r="CY103" s="2">
        <f t="shared" si="43"/>
        <v>0.67911637039099815</v>
      </c>
      <c r="CZ103" s="2">
        <f t="shared" si="44"/>
        <v>20.399999999999999</v>
      </c>
      <c r="DA103" s="2">
        <f t="shared" si="45"/>
        <v>0.32088385531241276</v>
      </c>
    </row>
    <row r="104" spans="2:105" ht="18" customHeight="1" x14ac:dyDescent="0.25">
      <c r="B104" s="6"/>
      <c r="AN104" s="9"/>
      <c r="AP104" s="8"/>
      <c r="AR104" s="6"/>
      <c r="CD104" s="9"/>
      <c r="CF104" s="8"/>
      <c r="CM104" s="2">
        <f t="shared" si="46"/>
        <v>20.6</v>
      </c>
      <c r="CN104" s="1" t="str">
        <f t="shared" si="33"/>
        <v>0.0107986736111111+22.2452676388889i</v>
      </c>
      <c r="CO104" s="56" t="str">
        <f t="shared" si="34"/>
        <v>-1.31051864212514i</v>
      </c>
      <c r="CP104" s="1" t="str">
        <f t="shared" si="35"/>
        <v>0.0107986736111111+20.9347489967638i</v>
      </c>
      <c r="CQ104" s="1" t="str">
        <f t="shared" si="36"/>
        <v>0.0191834803010191+9.87949235502487i</v>
      </c>
      <c r="CR104" s="1" t="str">
        <f t="shared" si="37"/>
        <v>0.00996444892453881+6.7119868993752i</v>
      </c>
      <c r="CT104" s="1">
        <f t="shared" si="38"/>
        <v>20.6</v>
      </c>
      <c r="CU104" s="1">
        <f t="shared" si="39"/>
        <v>20.9</v>
      </c>
      <c r="CV104" s="56">
        <f t="shared" si="40"/>
        <v>9.8795109797454721</v>
      </c>
      <c r="CW104" s="2">
        <f t="shared" si="41"/>
        <v>6.7119942958577266</v>
      </c>
      <c r="CX104" s="2">
        <f t="shared" si="42"/>
        <v>20.6</v>
      </c>
      <c r="CY104" s="2">
        <f t="shared" si="43"/>
        <v>0.67938527621643963</v>
      </c>
      <c r="CZ104" s="2">
        <f t="shared" si="44"/>
        <v>20.6</v>
      </c>
      <c r="DA104" s="2">
        <f t="shared" si="45"/>
        <v>0.32061494522556705</v>
      </c>
    </row>
    <row r="105" spans="2:105" ht="18" customHeight="1" x14ac:dyDescent="0.3">
      <c r="B105" s="6"/>
      <c r="C105" s="30" t="s">
        <v>101</v>
      </c>
      <c r="D105" s="21"/>
      <c r="E105" s="21"/>
      <c r="F105" s="21"/>
      <c r="G105" s="21"/>
      <c r="H105" s="21"/>
      <c r="I105" s="21"/>
      <c r="J105" s="21"/>
      <c r="K105" s="21"/>
      <c r="L105" s="21"/>
      <c r="M105" s="21"/>
      <c r="N105" s="21"/>
      <c r="AO105" s="17"/>
      <c r="AP105" s="8"/>
      <c r="AR105" s="6"/>
      <c r="AS105" s="30" t="s">
        <v>102</v>
      </c>
      <c r="CE105" s="17"/>
      <c r="CF105" s="8"/>
      <c r="CM105" s="2">
        <f t="shared" si="46"/>
        <v>20.8</v>
      </c>
      <c r="CN105" s="1" t="str">
        <f t="shared" si="33"/>
        <v>0.0107986736111111+22.4612411111111i</v>
      </c>
      <c r="CO105" s="56" t="str">
        <f t="shared" si="34"/>
        <v>-1.29791750133547i</v>
      </c>
      <c r="CP105" s="1" t="str">
        <f t="shared" si="35"/>
        <v>0.0107986736111111+21.1633236097756i</v>
      </c>
      <c r="CQ105" s="1" t="str">
        <f t="shared" si="36"/>
        <v>0.0191834803010191+9.97540975652997i</v>
      </c>
      <c r="CR105" s="1" t="str">
        <f t="shared" si="37"/>
        <v>0.00996944218355309+6.77975285902938i</v>
      </c>
      <c r="CT105" s="1">
        <f t="shared" si="38"/>
        <v>20.8</v>
      </c>
      <c r="CU105" s="1">
        <f t="shared" si="39"/>
        <v>21.2</v>
      </c>
      <c r="CV105" s="56">
        <f t="shared" si="40"/>
        <v>9.9754282021670537</v>
      </c>
      <c r="CW105" s="2">
        <f t="shared" si="41"/>
        <v>6.779760188922209</v>
      </c>
      <c r="CX105" s="2">
        <f t="shared" si="42"/>
        <v>20.8</v>
      </c>
      <c r="CY105" s="2">
        <f t="shared" si="43"/>
        <v>0.67964603138032509</v>
      </c>
      <c r="CZ105" s="2">
        <f t="shared" si="44"/>
        <v>20.8</v>
      </c>
      <c r="DA105" s="2">
        <f t="shared" si="45"/>
        <v>0.32035418591831932</v>
      </c>
    </row>
    <row r="106" spans="2:105" ht="18" customHeight="1" x14ac:dyDescent="0.3">
      <c r="B106" s="6"/>
      <c r="C106" s="46"/>
      <c r="D106" s="154" t="s">
        <v>103</v>
      </c>
      <c r="E106" s="154"/>
      <c r="F106" s="154"/>
      <c r="G106" s="154"/>
      <c r="H106" s="154"/>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46"/>
      <c r="AP106" s="8"/>
      <c r="AR106" s="6"/>
      <c r="CF106" s="8"/>
      <c r="CM106" s="2">
        <f t="shared" si="46"/>
        <v>21</v>
      </c>
      <c r="CN106" s="1" t="str">
        <f t="shared" si="33"/>
        <v>0.0107986736111111+22.6772145833333i</v>
      </c>
      <c r="CO106" s="56" t="str">
        <f t="shared" si="34"/>
        <v>-1.28555638227513i</v>
      </c>
      <c r="CP106" s="1" t="str">
        <f t="shared" si="35"/>
        <v>0.0107986736111111+21.3916582010582i</v>
      </c>
      <c r="CQ106" s="1" t="str">
        <f t="shared" si="36"/>
        <v>0.0191834803010191+10.0713271580351i</v>
      </c>
      <c r="CR106" s="1" t="str">
        <f t="shared" si="37"/>
        <v>0.00997428958141455+6.84749007862339i</v>
      </c>
      <c r="CT106" s="1">
        <f t="shared" si="38"/>
        <v>21</v>
      </c>
      <c r="CU106" s="1">
        <f t="shared" si="39"/>
        <v>21.4</v>
      </c>
      <c r="CV106" s="56">
        <f t="shared" si="40"/>
        <v>10.071345427999766</v>
      </c>
      <c r="CW106" s="2">
        <f t="shared" si="41"/>
        <v>6.8474973430661823</v>
      </c>
      <c r="CX106" s="2">
        <f t="shared" si="42"/>
        <v>21</v>
      </c>
      <c r="CY106" s="2">
        <f t="shared" si="43"/>
        <v>0.67989896603379074</v>
      </c>
      <c r="CZ106" s="2">
        <f t="shared" si="44"/>
        <v>21</v>
      </c>
      <c r="DA106" s="2">
        <f t="shared" si="45"/>
        <v>0.32010124723528899</v>
      </c>
    </row>
    <row r="107" spans="2:105" ht="18" customHeight="1" x14ac:dyDescent="0.3">
      <c r="B107" s="6"/>
      <c r="AP107" s="8"/>
      <c r="AR107" s="6"/>
      <c r="AS107" s="154" t="s">
        <v>104</v>
      </c>
      <c r="AT107" s="154"/>
      <c r="AU107" s="154"/>
      <c r="AV107" s="154"/>
      <c r="AW107" s="154"/>
      <c r="AX107" s="154"/>
      <c r="AY107" s="154"/>
      <c r="AZ107" s="154"/>
      <c r="BA107" s="154"/>
      <c r="BB107" s="154"/>
      <c r="BC107" s="154"/>
      <c r="BD107" s="154"/>
      <c r="BE107" s="154"/>
      <c r="BF107" s="154"/>
      <c r="BG107" s="154"/>
      <c r="BH107" s="154"/>
      <c r="BI107" s="154"/>
      <c r="BJ107" s="154"/>
      <c r="BK107" s="154"/>
      <c r="BL107" s="154"/>
      <c r="BM107" s="154"/>
      <c r="BN107" s="154"/>
      <c r="BO107" s="154"/>
      <c r="BP107" s="154"/>
      <c r="BQ107" s="154"/>
      <c r="BR107" s="154"/>
      <c r="BS107" s="154"/>
      <c r="BT107" s="154"/>
      <c r="BU107" s="154"/>
      <c r="BV107" s="154"/>
      <c r="BW107" s="154"/>
      <c r="BX107" s="154"/>
      <c r="BY107" s="154"/>
      <c r="BZ107" s="154"/>
      <c r="CA107" s="154"/>
      <c r="CB107" s="154"/>
      <c r="CC107" s="154"/>
      <c r="CD107" s="154"/>
      <c r="CE107" s="154"/>
      <c r="CF107" s="8"/>
      <c r="CM107" s="2">
        <f t="shared" si="46"/>
        <v>21.2</v>
      </c>
      <c r="CN107" s="1" t="str">
        <f t="shared" si="33"/>
        <v>0.0107986736111111+22.8931880555556i</v>
      </c>
      <c r="CO107" s="56" t="str">
        <f t="shared" si="34"/>
        <v>-1.27342849187631i</v>
      </c>
      <c r="CP107" s="1" t="str">
        <f t="shared" si="35"/>
        <v>0.0107986736111111+21.6197595636793i</v>
      </c>
      <c r="CQ107" s="1" t="str">
        <f t="shared" si="36"/>
        <v>0.0191834803010191+10.1672445595402i</v>
      </c>
      <c r="CR107" s="1" t="str">
        <f t="shared" si="37"/>
        <v>0.00997899677568757+6.91519949429562i</v>
      </c>
      <c r="CT107" s="1">
        <f t="shared" si="38"/>
        <v>21.2</v>
      </c>
      <c r="CU107" s="1">
        <f t="shared" si="39"/>
        <v>21.6</v>
      </c>
      <c r="CV107" s="56">
        <f t="shared" si="40"/>
        <v>10.167262657147017</v>
      </c>
      <c r="CW107" s="2">
        <f t="shared" si="41"/>
        <v>6.9152066944006112</v>
      </c>
      <c r="CX107" s="2">
        <f t="shared" si="42"/>
        <v>21.2</v>
      </c>
      <c r="CY107" s="2">
        <f t="shared" si="43"/>
        <v>0.6801443935885344</v>
      </c>
      <c r="CZ107" s="2">
        <f t="shared" si="44"/>
        <v>21.2</v>
      </c>
      <c r="DA107" s="2">
        <f t="shared" si="45"/>
        <v>0.31985581576071642</v>
      </c>
    </row>
    <row r="108" spans="2:105" ht="18" customHeight="1" x14ac:dyDescent="0.25">
      <c r="B108" s="6"/>
      <c r="G108" s="35" t="s">
        <v>105</v>
      </c>
      <c r="H108" s="53" t="s">
        <v>106</v>
      </c>
      <c r="I108" s="38"/>
      <c r="J108" s="38"/>
      <c r="K108" s="38"/>
      <c r="L108" s="38"/>
      <c r="M108" s="38"/>
      <c r="N108" s="38"/>
      <c r="O108" s="38"/>
      <c r="Q108" s="24"/>
      <c r="R108" s="24"/>
      <c r="S108" s="24"/>
      <c r="T108" s="24"/>
      <c r="U108" s="24"/>
      <c r="V108" s="24"/>
      <c r="W108" s="32" t="s">
        <v>107</v>
      </c>
      <c r="X108" s="234" t="s">
        <v>108</v>
      </c>
      <c r="Y108" s="234"/>
      <c r="Z108" s="234"/>
      <c r="AA108" s="234"/>
      <c r="AB108" s="234"/>
      <c r="AC108" s="234"/>
      <c r="AD108" s="234"/>
      <c r="AE108" s="234"/>
      <c r="AF108" s="234"/>
      <c r="AG108" s="234"/>
      <c r="AH108" s="234"/>
      <c r="AI108" s="234"/>
      <c r="AJ108" s="234"/>
      <c r="AK108" s="234"/>
      <c r="AL108" s="234"/>
      <c r="AM108" s="234"/>
      <c r="AN108" s="234"/>
      <c r="AO108" s="234"/>
      <c r="AP108" s="8"/>
      <c r="AR108" s="6"/>
      <c r="AT108" s="180" t="s">
        <v>109</v>
      </c>
      <c r="AU108" s="180"/>
      <c r="AV108" s="180"/>
      <c r="AW108" s="180"/>
      <c r="AX108" s="180"/>
      <c r="AY108" s="180"/>
      <c r="AZ108" s="180"/>
      <c r="BA108" s="180"/>
      <c r="BB108" s="180"/>
      <c r="BC108" s="180"/>
      <c r="BD108" s="180"/>
      <c r="BE108" s="180"/>
      <c r="BF108" s="180"/>
      <c r="BG108" s="180"/>
      <c r="BH108" s="226">
        <f>0.1*AJ29*3</f>
        <v>1102.375386894867</v>
      </c>
      <c r="BI108" s="226"/>
      <c r="BJ108" s="226"/>
      <c r="BK108" s="226"/>
      <c r="BL108" s="1" t="str">
        <f>"Watts, 3-Phase or "&amp;ROUND(BH108*3.412141,0)&amp;" BTUs/Hour"</f>
        <v>Watts, 3-Phase or 3761 BTUs/Hour</v>
      </c>
      <c r="CF108" s="8"/>
      <c r="CM108" s="2">
        <f t="shared" si="46"/>
        <v>21.4</v>
      </c>
      <c r="CN108" s="1" t="str">
        <f t="shared" si="33"/>
        <v>0.0107986736111111+23.1091615277778i</v>
      </c>
      <c r="CO108" s="56" t="str">
        <f t="shared" si="34"/>
        <v>-1.26152729101765i</v>
      </c>
      <c r="CP108" s="1" t="str">
        <f t="shared" si="35"/>
        <v>0.0107986736111111+21.8476342367602i</v>
      </c>
      <c r="CQ108" s="1" t="str">
        <f t="shared" si="36"/>
        <v>0.0191834803010191+10.2631619610453i</v>
      </c>
      <c r="CR108" s="1" t="str">
        <f t="shared" si="37"/>
        <v>0.00998356915095912+6.98288200108962i</v>
      </c>
      <c r="CT108" s="1">
        <f t="shared" si="38"/>
        <v>21.4</v>
      </c>
      <c r="CU108" s="1">
        <f t="shared" si="39"/>
        <v>21.8</v>
      </c>
      <c r="CV108" s="56">
        <f t="shared" si="40"/>
        <v>10.263179889515904</v>
      </c>
      <c r="CW108" s="2">
        <f t="shared" si="41"/>
        <v>6.9828891379424292</v>
      </c>
      <c r="CX108" s="2">
        <f t="shared" si="42"/>
        <v>21.4</v>
      </c>
      <c r="CY108" s="2">
        <f t="shared" si="43"/>
        <v>0.68038261173572678</v>
      </c>
      <c r="CZ108" s="2">
        <f t="shared" si="44"/>
        <v>21.4</v>
      </c>
      <c r="DA108" s="2">
        <f t="shared" si="45"/>
        <v>0.31961759379954768</v>
      </c>
    </row>
    <row r="109" spans="2:105" ht="18" customHeight="1" x14ac:dyDescent="0.25">
      <c r="B109" s="6"/>
      <c r="G109" s="35" t="s">
        <v>24</v>
      </c>
      <c r="H109" s="53" t="str">
        <f>AE13</f>
        <v>Stage 1</v>
      </c>
      <c r="I109" s="38"/>
      <c r="J109" s="38"/>
      <c r="K109" s="38"/>
      <c r="L109" s="38"/>
      <c r="M109" s="38"/>
      <c r="N109" s="38"/>
      <c r="O109" s="38"/>
      <c r="AP109" s="8"/>
      <c r="AR109" s="6"/>
      <c r="AT109" s="232" t="s">
        <v>110</v>
      </c>
      <c r="AU109" s="232"/>
      <c r="AV109" s="232"/>
      <c r="AW109" s="232"/>
      <c r="AX109" s="232"/>
      <c r="AY109" s="232"/>
      <c r="AZ109" s="232"/>
      <c r="BA109" s="232"/>
      <c r="BB109" s="232"/>
      <c r="BC109" s="232"/>
      <c r="BD109" s="232"/>
      <c r="BE109" s="232"/>
      <c r="BF109" s="232"/>
      <c r="BG109" s="232"/>
      <c r="BH109" s="199">
        <f>(1.9*BJ19+12)*S29*3</f>
        <v>3069.5537312671795</v>
      </c>
      <c r="BI109" s="199"/>
      <c r="BJ109" s="199"/>
      <c r="BK109" s="199"/>
      <c r="BL109" s="1" t="str">
        <f>"Watts, 3-Phase or "&amp;ROUND(BH109*3.412141,0)&amp;" BTUs/Hour"</f>
        <v>Watts, 3-Phase or 10474 BTUs/Hour</v>
      </c>
      <c r="CF109" s="8"/>
      <c r="CM109" s="2">
        <f t="shared" si="46"/>
        <v>21.6</v>
      </c>
      <c r="CN109" s="1" t="str">
        <f t="shared" si="33"/>
        <v>0.0107986736111111+23.325135i</v>
      </c>
      <c r="CO109" s="56" t="str">
        <f t="shared" si="34"/>
        <v>-1.24984648276749i</v>
      </c>
      <c r="CP109" s="1" t="str">
        <f t="shared" si="35"/>
        <v>0.0107986736111111+22.0752885172325i</v>
      </c>
      <c r="CQ109" s="1" t="str">
        <f t="shared" si="36"/>
        <v>0.0191834803010191+10.3590793625504i</v>
      </c>
      <c r="CR109" s="1" t="str">
        <f t="shared" si="37"/>
        <v>0.00998801183455585+7.05053845522041i</v>
      </c>
      <c r="CT109" s="1">
        <f t="shared" si="38"/>
        <v>21.6</v>
      </c>
      <c r="CU109" s="1">
        <f t="shared" si="39"/>
        <v>22.1</v>
      </c>
      <c r="CV109" s="56">
        <f t="shared" si="40"/>
        <v>10.359097125016932</v>
      </c>
      <c r="CW109" s="2">
        <f t="shared" si="41"/>
        <v>7.0505455298808055</v>
      </c>
      <c r="CX109" s="2">
        <f t="shared" si="42"/>
        <v>21.6</v>
      </c>
      <c r="CY109" s="2">
        <f t="shared" si="43"/>
        <v>0.68061390339259642</v>
      </c>
      <c r="CZ109" s="2">
        <f t="shared" si="44"/>
        <v>21.6</v>
      </c>
      <c r="DA109" s="2">
        <f t="shared" si="45"/>
        <v>0.31938629843083532</v>
      </c>
    </row>
    <row r="110" spans="2:105" ht="18" customHeight="1" thickBot="1" x14ac:dyDescent="0.3">
      <c r="B110" s="6"/>
      <c r="G110" s="35" t="s">
        <v>111</v>
      </c>
      <c r="H110" s="323">
        <f>S19</f>
        <v>5</v>
      </c>
      <c r="I110" s="324"/>
      <c r="J110" s="324"/>
      <c r="K110" s="324"/>
      <c r="L110" s="324"/>
      <c r="M110" s="324"/>
      <c r="N110" s="324"/>
      <c r="O110" s="324"/>
      <c r="AP110" s="8"/>
      <c r="AR110" s="6"/>
      <c r="AT110" s="225" t="s">
        <v>112</v>
      </c>
      <c r="AU110" s="225"/>
      <c r="AV110" s="225"/>
      <c r="AW110" s="225"/>
      <c r="AX110" s="225"/>
      <c r="AY110" s="225"/>
      <c r="AZ110" s="225"/>
      <c r="BA110" s="225"/>
      <c r="BB110" s="225"/>
      <c r="BC110" s="225"/>
      <c r="BD110" s="225"/>
      <c r="BE110" s="225"/>
      <c r="BF110" s="225"/>
      <c r="BG110" s="225"/>
      <c r="BH110" s="227">
        <f>DX6*3</f>
        <v>2505.805415524268</v>
      </c>
      <c r="BI110" s="227"/>
      <c r="BJ110" s="227"/>
      <c r="BK110" s="227"/>
      <c r="BL110" s="1" t="str">
        <f>"Watts, 3-Phase or "&amp;ROUND(BH110*3.412141,0)&amp;" BTUs/Hour"</f>
        <v>Watts, 3-Phase or 8550 BTUs/Hour</v>
      </c>
      <c r="CF110" s="8"/>
      <c r="CM110" s="2">
        <f t="shared" si="46"/>
        <v>21.8</v>
      </c>
      <c r="CN110" s="1" t="str">
        <f t="shared" si="33"/>
        <v>0.0107986736111111+23.5411084722222i</v>
      </c>
      <c r="CO110" s="56" t="str">
        <f t="shared" si="34"/>
        <v>-1.23838000127421i</v>
      </c>
      <c r="CP110" s="1" t="str">
        <f t="shared" si="35"/>
        <v>0.0107986736111111+22.302728470948i</v>
      </c>
      <c r="CQ110" s="1" t="str">
        <f t="shared" si="36"/>
        <v>0.0191834803010191+10.4549967640554i</v>
      </c>
      <c r="CR110" s="1" t="str">
        <f t="shared" si="37"/>
        <v>0.00999232971121234+7.11816967619083i</v>
      </c>
      <c r="CT110" s="1">
        <f t="shared" si="38"/>
        <v>21.8</v>
      </c>
      <c r="CU110" s="1">
        <f t="shared" si="39"/>
        <v>22.3</v>
      </c>
      <c r="CV110" s="56">
        <f t="shared" si="40"/>
        <v>10.455014363563798</v>
      </c>
      <c r="CW110" s="2">
        <f t="shared" si="41"/>
        <v>7.1181766896934864</v>
      </c>
      <c r="CX110" s="2">
        <f t="shared" si="42"/>
        <v>21.8</v>
      </c>
      <c r="CY110" s="2">
        <f t="shared" si="43"/>
        <v>0.6808385375825653</v>
      </c>
      <c r="CZ110" s="2">
        <f t="shared" si="44"/>
        <v>21.8</v>
      </c>
      <c r="DA110" s="2">
        <f t="shared" si="45"/>
        <v>0.31916166062759799</v>
      </c>
    </row>
    <row r="111" spans="2:105" ht="18" customHeight="1" thickTop="1" x14ac:dyDescent="0.25">
      <c r="B111" s="6"/>
      <c r="H111" s="18"/>
      <c r="AP111" s="8"/>
      <c r="AR111" s="6"/>
      <c r="AT111" s="180" t="str">
        <f>"Total "&amp;S20&amp;" Hz Losses:"</f>
        <v>Total 60 Hz Losses:</v>
      </c>
      <c r="AU111" s="180"/>
      <c r="AV111" s="180"/>
      <c r="AW111" s="180"/>
      <c r="AX111" s="180"/>
      <c r="AY111" s="180"/>
      <c r="AZ111" s="180"/>
      <c r="BA111" s="180"/>
      <c r="BB111" s="180"/>
      <c r="BC111" s="180"/>
      <c r="BD111" s="180"/>
      <c r="BE111" s="180"/>
      <c r="BF111" s="180"/>
      <c r="BG111" s="180"/>
      <c r="BH111" s="224">
        <f>SUM(BH108:BK110)</f>
        <v>6677.7345336863145</v>
      </c>
      <c r="BI111" s="224"/>
      <c r="BJ111" s="224"/>
      <c r="BK111" s="224"/>
      <c r="BL111" s="1" t="str">
        <f>"Watts, 3-Phase or "&amp;ROUND(BH111*3.412141,0)&amp;" BTUs/Hour"</f>
        <v>Watts, 3-Phase or 22785 BTUs/Hour</v>
      </c>
      <c r="CF111" s="8"/>
      <c r="CM111" s="2">
        <f t="shared" si="46"/>
        <v>22</v>
      </c>
      <c r="CN111" s="1" t="str">
        <f t="shared" si="33"/>
        <v>0.0107986736111111+23.7570819444445i</v>
      </c>
      <c r="CO111" s="56" t="str">
        <f t="shared" si="34"/>
        <v>-1.22712200126263i</v>
      </c>
      <c r="CP111" s="1" t="str">
        <f t="shared" si="35"/>
        <v>0.0107986736111111+22.5299599431819i</v>
      </c>
      <c r="CQ111" s="1" t="str">
        <f t="shared" si="36"/>
        <v>0.0191834803010191+10.5509141655605i</v>
      </c>
      <c r="CR111" s="1" t="str">
        <f t="shared" si="37"/>
        <v>0.00999652743676911+7.18577644876951i</v>
      </c>
      <c r="CT111" s="1">
        <f t="shared" si="38"/>
        <v>22</v>
      </c>
      <c r="CU111" s="1">
        <f t="shared" si="39"/>
        <v>22.5</v>
      </c>
      <c r="CV111" s="56">
        <f t="shared" si="40"/>
        <v>10.550931605073632</v>
      </c>
      <c r="CW111" s="2">
        <f t="shared" si="41"/>
        <v>7.185783402124736</v>
      </c>
      <c r="CX111" s="2">
        <f t="shared" si="42"/>
        <v>22</v>
      </c>
      <c r="CY111" s="2">
        <f t="shared" si="43"/>
        <v>0.68105677025423117</v>
      </c>
      <c r="CZ111" s="2">
        <f t="shared" si="44"/>
        <v>22</v>
      </c>
      <c r="DA111" s="2">
        <f t="shared" si="45"/>
        <v>0.31894342443782825</v>
      </c>
    </row>
    <row r="112" spans="2:105" ht="18" customHeight="1" x14ac:dyDescent="0.3">
      <c r="B112" s="6"/>
      <c r="D112" s="320" t="s">
        <v>113</v>
      </c>
      <c r="E112" s="320"/>
      <c r="F112" s="320"/>
      <c r="G112" s="320"/>
      <c r="H112" s="320"/>
      <c r="I112" s="320"/>
      <c r="J112" s="320"/>
      <c r="K112" s="320"/>
      <c r="M112" s="154" t="s">
        <v>114</v>
      </c>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8"/>
      <c r="AR112" s="6"/>
      <c r="CF112" s="8"/>
      <c r="CM112" s="2">
        <f t="shared" si="46"/>
        <v>22.2</v>
      </c>
      <c r="CN112" s="1" t="str">
        <f t="shared" si="33"/>
        <v>0.0107986736111111+23.9730554166667i</v>
      </c>
      <c r="CO112" s="56" t="str">
        <f t="shared" si="34"/>
        <v>-1.2160668480981i</v>
      </c>
      <c r="CP112" s="1" t="str">
        <f t="shared" si="35"/>
        <v>0.0107986736111111+22.7569885685686i</v>
      </c>
      <c r="CQ112" s="1" t="str">
        <f t="shared" si="36"/>
        <v>0.0191834803010191+10.6468315670656i</v>
      </c>
      <c r="CR112" s="1" t="str">
        <f t="shared" si="37"/>
        <v>0.0100006094509749+7.25335952484037i</v>
      </c>
      <c r="CT112" s="1">
        <f t="shared" si="38"/>
        <v>22.2</v>
      </c>
      <c r="CU112" s="1">
        <f t="shared" si="39"/>
        <v>22.8</v>
      </c>
      <c r="CV112" s="56">
        <f t="shared" si="40"/>
        <v>10.646848849466261</v>
      </c>
      <c r="CW112" s="2">
        <f t="shared" si="41"/>
        <v>7.2533664190348137</v>
      </c>
      <c r="CX112" s="2">
        <f t="shared" si="42"/>
        <v>22.2</v>
      </c>
      <c r="CY112" s="2">
        <f t="shared" si="43"/>
        <v>0.68126884504408292</v>
      </c>
      <c r="CZ112" s="2">
        <f t="shared" si="44"/>
        <v>22.2</v>
      </c>
      <c r="DA112" s="2">
        <f t="shared" si="45"/>
        <v>0.31873134622177118</v>
      </c>
    </row>
    <row r="113" spans="2:105" ht="18" customHeight="1" x14ac:dyDescent="0.25">
      <c r="B113" s="6"/>
      <c r="D113" s="172" t="s">
        <v>115</v>
      </c>
      <c r="E113" s="172"/>
      <c r="F113" s="172"/>
      <c r="G113" s="321"/>
      <c r="H113" s="322" t="s">
        <v>116</v>
      </c>
      <c r="I113" s="172"/>
      <c r="J113" s="172"/>
      <c r="K113" s="172"/>
      <c r="V113" s="35" t="s">
        <v>117</v>
      </c>
      <c r="W113" s="247">
        <v>3</v>
      </c>
      <c r="X113" s="247"/>
      <c r="Y113" s="247"/>
      <c r="Z113" s="54"/>
      <c r="AA113" s="54"/>
      <c r="AB113" s="54"/>
      <c r="AC113" s="54"/>
      <c r="AD113" s="54"/>
      <c r="AE113" s="54"/>
      <c r="AF113" s="54"/>
      <c r="AG113" s="54"/>
      <c r="AH113" s="54"/>
      <c r="AI113" s="54"/>
      <c r="AJ113" s="54"/>
      <c r="AK113" s="54"/>
      <c r="AL113" s="54"/>
      <c r="AM113" s="54"/>
      <c r="AN113" s="54"/>
      <c r="AP113" s="8"/>
      <c r="AR113" s="6"/>
      <c r="CF113" s="8"/>
      <c r="CM113" s="2">
        <f t="shared" si="46"/>
        <v>22.4</v>
      </c>
      <c r="CN113" s="1" t="str">
        <f t="shared" si="33"/>
        <v>0.0107986736111111+24.1890288888889i</v>
      </c>
      <c r="CO113" s="56" t="str">
        <f t="shared" si="34"/>
        <v>-1.20520910838294i</v>
      </c>
      <c r="CP113" s="1" t="str">
        <f t="shared" si="35"/>
        <v>0.0107986736111111+22.983819780506i</v>
      </c>
      <c r="CQ113" s="1" t="str">
        <f t="shared" si="36"/>
        <v>0.0191834803010191+10.7427489685707i</v>
      </c>
      <c r="CR113" s="1" t="str">
        <f t="shared" si="37"/>
        <v>0.010004579989458+7.3209196251344i</v>
      </c>
      <c r="CT113" s="1">
        <f t="shared" si="38"/>
        <v>22.4</v>
      </c>
      <c r="CU113" s="1">
        <f t="shared" si="39"/>
        <v>23</v>
      </c>
      <c r="CV113" s="56">
        <f t="shared" si="40"/>
        <v>10.742766096664457</v>
      </c>
      <c r="CW113" s="2">
        <f t="shared" si="41"/>
        <v>7.3209264611317311</v>
      </c>
      <c r="CX113" s="2">
        <f t="shared" si="42"/>
        <v>22.4</v>
      </c>
      <c r="CY113" s="2">
        <f t="shared" si="43"/>
        <v>0.68147499398733291</v>
      </c>
      <c r="CZ113" s="2">
        <f t="shared" si="44"/>
        <v>22.4</v>
      </c>
      <c r="DA113" s="2">
        <f t="shared" si="45"/>
        <v>0.31852519394108431</v>
      </c>
    </row>
    <row r="114" spans="2:105" ht="18" customHeight="1" x14ac:dyDescent="0.3">
      <c r="B114" s="6"/>
      <c r="D114" s="310">
        <f t="shared" ref="D114:D129" si="47">C61</f>
        <v>1</v>
      </c>
      <c r="E114" s="311"/>
      <c r="F114" s="311"/>
      <c r="G114" s="311"/>
      <c r="H114" s="318">
        <f>U61*S35</f>
        <v>417.1862180215175</v>
      </c>
      <c r="I114" s="310"/>
      <c r="J114" s="310"/>
      <c r="K114" s="310"/>
      <c r="V114" s="35" t="s">
        <v>118</v>
      </c>
      <c r="W114" s="247">
        <v>1</v>
      </c>
      <c r="X114" s="247"/>
      <c r="Y114" s="247"/>
      <c r="Z114" s="54"/>
      <c r="AA114" s="54"/>
      <c r="AB114" s="54"/>
      <c r="AC114" s="54"/>
      <c r="AD114" s="54"/>
      <c r="AE114" s="54"/>
      <c r="AF114" s="54"/>
      <c r="AG114" s="54"/>
      <c r="AH114" s="54"/>
      <c r="AI114" s="54"/>
      <c r="AJ114" s="54"/>
      <c r="AK114" s="54"/>
      <c r="AL114" s="54"/>
      <c r="AM114" s="54"/>
      <c r="AN114" s="54"/>
      <c r="AP114" s="8"/>
      <c r="AR114" s="6"/>
      <c r="AT114" s="154" t="s">
        <v>119</v>
      </c>
      <c r="AU114" s="154"/>
      <c r="AV114" s="154"/>
      <c r="AW114" s="154"/>
      <c r="AX114" s="154"/>
      <c r="AY114" s="154"/>
      <c r="AZ114" s="154"/>
      <c r="BA114" s="154"/>
      <c r="BB114" s="154"/>
      <c r="BC114" s="154"/>
      <c r="BD114" s="154"/>
      <c r="BE114" s="154"/>
      <c r="BF114" s="154"/>
      <c r="BG114" s="154"/>
      <c r="BH114" s="154"/>
      <c r="BI114" s="154"/>
      <c r="BJ114" s="154"/>
      <c r="BK114" s="154"/>
      <c r="BL114" s="154"/>
      <c r="BM114" s="154"/>
      <c r="BN114" s="154"/>
      <c r="BO114" s="154"/>
      <c r="BP114" s="154"/>
      <c r="BQ114" s="154"/>
      <c r="BR114" s="154"/>
      <c r="BS114" s="154"/>
      <c r="BT114" s="154"/>
      <c r="BU114" s="154"/>
      <c r="BV114" s="154"/>
      <c r="BW114" s="154"/>
      <c r="BX114" s="154"/>
      <c r="BY114" s="154"/>
      <c r="BZ114" s="154"/>
      <c r="CA114" s="154"/>
      <c r="CB114" s="154"/>
      <c r="CC114" s="154"/>
      <c r="CD114" s="154"/>
      <c r="CE114" s="154"/>
      <c r="CF114" s="319"/>
      <c r="CM114" s="2">
        <f t="shared" si="46"/>
        <v>22.6</v>
      </c>
      <c r="CN114" s="1" t="str">
        <f t="shared" si="33"/>
        <v>0.0107986736111111+24.4050023611111i</v>
      </c>
      <c r="CO114" s="56" t="str">
        <f t="shared" si="34"/>
        <v>-1.19454354105211i</v>
      </c>
      <c r="CP114" s="1" t="str">
        <f t="shared" si="35"/>
        <v>0.0107986736111111+23.210458820059i</v>
      </c>
      <c r="CQ114" s="1" t="str">
        <f t="shared" si="36"/>
        <v>0.0191834803010191+10.8386663700758i</v>
      </c>
      <c r="CR114" s="1" t="str">
        <f t="shared" si="37"/>
        <v>0.0100084430949283+7.38845744085167i</v>
      </c>
      <c r="CT114" s="1">
        <f t="shared" si="38"/>
        <v>22.6</v>
      </c>
      <c r="CU114" s="1">
        <f t="shared" si="39"/>
        <v>23.2</v>
      </c>
      <c r="CV114" s="56">
        <f t="shared" si="40"/>
        <v>10.838683346593745</v>
      </c>
      <c r="CW114" s="2">
        <f t="shared" si="41"/>
        <v>7.3884642195932431</v>
      </c>
      <c r="CX114" s="2">
        <f t="shared" si="42"/>
        <v>22.6</v>
      </c>
      <c r="CY114" s="2">
        <f t="shared" si="43"/>
        <v>0.68167543818089316</v>
      </c>
      <c r="CZ114" s="2">
        <f t="shared" si="44"/>
        <v>22.6</v>
      </c>
      <c r="DA114" s="2">
        <f t="shared" si="45"/>
        <v>0.3183247464958554</v>
      </c>
    </row>
    <row r="115" spans="2:105" ht="18" customHeight="1" thickBot="1" x14ac:dyDescent="0.3">
      <c r="B115" s="6"/>
      <c r="D115" s="310">
        <f t="shared" si="47"/>
        <v>2</v>
      </c>
      <c r="E115" s="311"/>
      <c r="F115" s="311"/>
      <c r="G115" s="311"/>
      <c r="H115" s="312">
        <f t="shared" ref="H115:H129" si="48">$S$36*U62</f>
        <v>0</v>
      </c>
      <c r="I115" s="313"/>
      <c r="J115" s="313"/>
      <c r="K115" s="313"/>
      <c r="V115" s="35" t="s">
        <v>120</v>
      </c>
      <c r="W115" s="317">
        <f>S17</f>
        <v>12.47</v>
      </c>
      <c r="X115" s="317"/>
      <c r="Y115" s="317"/>
      <c r="Z115" s="1" t="s">
        <v>32</v>
      </c>
      <c r="AP115" s="8"/>
      <c r="AR115" s="6"/>
      <c r="AT115" s="18"/>
      <c r="AV115" s="18"/>
      <c r="AW115" s="18"/>
      <c r="AX115" s="18"/>
      <c r="AY115" s="18"/>
      <c r="AZ115" s="18"/>
      <c r="BA115" s="18"/>
      <c r="BB115" s="18"/>
      <c r="BC115" s="18"/>
      <c r="BD115" s="18"/>
      <c r="BE115" s="18"/>
      <c r="BF115" s="18"/>
      <c r="BG115" s="35" t="s">
        <v>121</v>
      </c>
      <c r="BH115" s="227">
        <f>SUM(DX7:DX21)*3</f>
        <v>796.77269077803612</v>
      </c>
      <c r="BI115" s="227"/>
      <c r="BJ115" s="227"/>
      <c r="BK115" s="227"/>
      <c r="BM115" s="1" t="str">
        <f>"Watts, 3-Phase or "&amp;ROUND(BH115*3.412141,0)&amp;" BTUs/Hour"</f>
        <v>Watts, 3-Phase or 2719 BTUs/Hour</v>
      </c>
      <c r="CF115" s="5"/>
      <c r="CM115" s="2">
        <f t="shared" si="46"/>
        <v>22.8</v>
      </c>
      <c r="CN115" s="1" t="str">
        <f t="shared" si="33"/>
        <v>0.0107986736111111+24.6209758333333i</v>
      </c>
      <c r="CO115" s="56" t="str">
        <f t="shared" si="34"/>
        <v>-1.18406508893762i</v>
      </c>
      <c r="CP115" s="1" t="str">
        <f t="shared" si="35"/>
        <v>0.0107986736111111+23.4369107443957i</v>
      </c>
      <c r="CQ115" s="1" t="str">
        <f t="shared" si="36"/>
        <v>0.0191834803010191+10.9345837715809i</v>
      </c>
      <c r="CR115" s="1" t="str">
        <f t="shared" si="37"/>
        <v>0.0100122026276671+7.45597363518179i</v>
      </c>
      <c r="CT115" s="1">
        <f t="shared" si="38"/>
        <v>22.8</v>
      </c>
      <c r="CU115" s="1">
        <f t="shared" si="39"/>
        <v>23.4</v>
      </c>
      <c r="CV115" s="56">
        <f t="shared" si="40"/>
        <v>10.934600599182252</v>
      </c>
      <c r="CW115" s="2">
        <f t="shared" si="41"/>
        <v>7.4559803575872845</v>
      </c>
      <c r="CX115" s="2">
        <f t="shared" si="42"/>
        <v>22.8</v>
      </c>
      <c r="CY115" s="2">
        <f t="shared" si="43"/>
        <v>0.68187038840219572</v>
      </c>
      <c r="CZ115" s="2">
        <f t="shared" si="44"/>
        <v>22.8</v>
      </c>
      <c r="DA115" s="2">
        <f t="shared" si="45"/>
        <v>0.31812979310577522</v>
      </c>
    </row>
    <row r="116" spans="2:105" ht="18" customHeight="1" thickTop="1" x14ac:dyDescent="0.25">
      <c r="B116" s="6"/>
      <c r="D116" s="310">
        <f t="shared" si="47"/>
        <v>3</v>
      </c>
      <c r="E116" s="311"/>
      <c r="F116" s="311"/>
      <c r="G116" s="311"/>
      <c r="H116" s="312">
        <f t="shared" si="48"/>
        <v>0</v>
      </c>
      <c r="I116" s="313"/>
      <c r="J116" s="313"/>
      <c r="K116" s="313"/>
      <c r="V116" s="35" t="s">
        <v>122</v>
      </c>
      <c r="W116" s="247">
        <v>95</v>
      </c>
      <c r="X116" s="247"/>
      <c r="Y116" s="247"/>
      <c r="Z116" s="1" t="s">
        <v>32</v>
      </c>
      <c r="AP116" s="8"/>
      <c r="AR116" s="6"/>
      <c r="AT116" s="18"/>
      <c r="AV116" s="18"/>
      <c r="AW116" s="18"/>
      <c r="AX116" s="18"/>
      <c r="AY116" s="18"/>
      <c r="AZ116" s="18"/>
      <c r="BA116" s="18"/>
      <c r="BB116" s="18"/>
      <c r="BC116" s="18"/>
      <c r="BD116" s="18"/>
      <c r="BE116" s="18"/>
      <c r="BF116" s="18"/>
      <c r="BG116" s="35" t="s">
        <v>123</v>
      </c>
      <c r="BH116" s="224">
        <f>SUM(BH115)</f>
        <v>796.77269077803612</v>
      </c>
      <c r="BI116" s="224"/>
      <c r="BJ116" s="224"/>
      <c r="BK116" s="224"/>
      <c r="BM116" s="1" t="str">
        <f>"Watts, 3-Phase or "&amp;ROUND(BH116*3.412141,0)&amp;" BTUs/Hour"</f>
        <v>Watts, 3-Phase or 2719 BTUs/Hour</v>
      </c>
      <c r="CF116" s="8"/>
      <c r="CM116" s="2">
        <f t="shared" si="46"/>
        <v>23</v>
      </c>
      <c r="CN116" s="1" t="str">
        <f t="shared" si="33"/>
        <v>0.0107986736111111+24.8369493055556i</v>
      </c>
      <c r="CO116" s="56" t="str">
        <f t="shared" si="34"/>
        <v>-1.17376887077295i</v>
      </c>
      <c r="CP116" s="1" t="str">
        <f t="shared" si="35"/>
        <v>0.0107986736111111+23.6631804347826i</v>
      </c>
      <c r="CQ116" s="1" t="str">
        <f t="shared" si="36"/>
        <v>0.0191834803010191+11.030501173086i</v>
      </c>
      <c r="CR116" s="1" t="str">
        <f t="shared" si="37"/>
        <v>0.0100158622753548+7.52346884473045i</v>
      </c>
      <c r="CT116" s="1">
        <f t="shared" si="38"/>
        <v>23</v>
      </c>
      <c r="CU116" s="1">
        <f t="shared" si="39"/>
        <v>23.7</v>
      </c>
      <c r="CV116" s="56">
        <f t="shared" si="40"/>
        <v>11.030517854360605</v>
      </c>
      <c r="CW116" s="2">
        <f t="shared" si="41"/>
        <v>7.5234755116984893</v>
      </c>
      <c r="CX116" s="2">
        <f t="shared" si="42"/>
        <v>23</v>
      </c>
      <c r="CY116" s="2">
        <f t="shared" si="43"/>
        <v>0.68206004568718304</v>
      </c>
      <c r="CZ116" s="2">
        <f t="shared" si="44"/>
        <v>23</v>
      </c>
      <c r="DA116" s="2">
        <f t="shared" si="45"/>
        <v>0.31794013273214244</v>
      </c>
    </row>
    <row r="117" spans="2:105" ht="18" customHeight="1" x14ac:dyDescent="0.25">
      <c r="B117" s="6"/>
      <c r="D117" s="310">
        <f t="shared" si="47"/>
        <v>4</v>
      </c>
      <c r="E117" s="311"/>
      <c r="F117" s="311"/>
      <c r="G117" s="311"/>
      <c r="H117" s="312">
        <f t="shared" si="48"/>
        <v>0</v>
      </c>
      <c r="I117" s="313"/>
      <c r="J117" s="313"/>
      <c r="K117" s="313"/>
      <c r="V117" s="35" t="s">
        <v>124</v>
      </c>
      <c r="W117" s="247">
        <v>35</v>
      </c>
      <c r="X117" s="247"/>
      <c r="Y117" s="247"/>
      <c r="Z117" s="1" t="s">
        <v>32</v>
      </c>
      <c r="AP117" s="8"/>
      <c r="AR117" s="6"/>
      <c r="BG117" s="29"/>
      <c r="CF117" s="8"/>
      <c r="CM117" s="2">
        <f t="shared" si="46"/>
        <v>23.2</v>
      </c>
      <c r="CN117" s="1" t="str">
        <f t="shared" si="33"/>
        <v>0.0107986736111111+25.0529227777778i</v>
      </c>
      <c r="CO117" s="56" t="str">
        <f t="shared" si="34"/>
        <v>-1.16365017361111i</v>
      </c>
      <c r="CP117" s="1" t="str">
        <f t="shared" si="35"/>
        <v>0.0107986736111111+23.8892726041667i</v>
      </c>
      <c r="CQ117" s="1" t="str">
        <f t="shared" si="36"/>
        <v>0.0191834803010191+11.1264185745911i</v>
      </c>
      <c r="CR117" s="1" t="str">
        <f t="shared" si="37"/>
        <v>0.0100194255622845+7.59094368085859i</v>
      </c>
      <c r="CT117" s="1">
        <f t="shared" si="38"/>
        <v>23.2</v>
      </c>
      <c r="CU117" s="1">
        <f t="shared" si="39"/>
        <v>23.9</v>
      </c>
      <c r="CV117" s="56">
        <f t="shared" si="40"/>
        <v>11.126435112061827</v>
      </c>
      <c r="CW117" s="2">
        <f t="shared" si="41"/>
        <v>7.5909502932673432</v>
      </c>
      <c r="CX117" s="2">
        <f t="shared" si="42"/>
        <v>23.2</v>
      </c>
      <c r="CY117" s="2">
        <f t="shared" si="43"/>
        <v>0.68224460187056957</v>
      </c>
      <c r="CZ117" s="2">
        <f t="shared" si="44"/>
        <v>23.2</v>
      </c>
      <c r="DA117" s="2">
        <f t="shared" si="45"/>
        <v>0.31775557353759509</v>
      </c>
    </row>
    <row r="118" spans="2:105" ht="18" customHeight="1" x14ac:dyDescent="0.35">
      <c r="B118" s="6"/>
      <c r="D118" s="310">
        <f t="shared" si="47"/>
        <v>5</v>
      </c>
      <c r="E118" s="311"/>
      <c r="F118" s="311"/>
      <c r="G118" s="311"/>
      <c r="H118" s="312">
        <f t="shared" si="48"/>
        <v>204</v>
      </c>
      <c r="I118" s="313"/>
      <c r="J118" s="313"/>
      <c r="K118" s="313"/>
      <c r="V118" s="35" t="s">
        <v>125</v>
      </c>
      <c r="W118" s="317">
        <f>S20</f>
        <v>60</v>
      </c>
      <c r="X118" s="317"/>
      <c r="Y118" s="317"/>
      <c r="Z118" s="1" t="s">
        <v>44</v>
      </c>
      <c r="AP118" s="8"/>
      <c r="AR118" s="6"/>
      <c r="AT118" s="18"/>
      <c r="AV118" s="18"/>
      <c r="AW118" s="18"/>
      <c r="AX118" s="18"/>
      <c r="AY118" s="18"/>
      <c r="AZ118" s="18"/>
      <c r="BA118" s="18"/>
      <c r="BB118" s="18"/>
      <c r="BC118" s="18"/>
      <c r="BD118" s="18"/>
      <c r="BE118" s="18"/>
      <c r="BF118" s="18"/>
      <c r="BG118" s="35" t="s">
        <v>126</v>
      </c>
      <c r="BH118" s="199">
        <f>SUM(BH116,BH111)</f>
        <v>7474.5072244643507</v>
      </c>
      <c r="BI118" s="199"/>
      <c r="BJ118" s="199"/>
      <c r="BK118" s="199"/>
      <c r="BM118" s="1" t="str">
        <f>"Watts, 3-Phase or "&amp;ROUND(BH118*3.412141,0)&amp;" BTUs/Hour"</f>
        <v>Watts, 3-Phase or 25504 BTUs/Hour</v>
      </c>
      <c r="CA118" s="55"/>
      <c r="CD118" s="55"/>
      <c r="CE118" s="55"/>
      <c r="CF118" s="8"/>
      <c r="CM118" s="2">
        <f t="shared" si="46"/>
        <v>23.4</v>
      </c>
      <c r="CN118" s="1" t="str">
        <f t="shared" si="33"/>
        <v>0.0107986736111111+25.26889625i</v>
      </c>
      <c r="CO118" s="56" t="str">
        <f t="shared" si="34"/>
        <v>-1.15370444563153i</v>
      </c>
      <c r="CP118" s="1" t="str">
        <f t="shared" si="35"/>
        <v>0.0107986736111111+24.1151918043685i</v>
      </c>
      <c r="CQ118" s="1" t="str">
        <f t="shared" si="36"/>
        <v>0.0191834803010191+11.2223359760962i</v>
      </c>
      <c r="CR118" s="1" t="str">
        <f t="shared" si="37"/>
        <v>0.0100228958580054+7.65839873094058i</v>
      </c>
      <c r="CT118" s="1">
        <f t="shared" si="38"/>
        <v>23.4</v>
      </c>
      <c r="CU118" s="1">
        <f t="shared" si="39"/>
        <v>24.1</v>
      </c>
      <c r="CV118" s="56">
        <f t="shared" si="40"/>
        <v>11.222352372221232</v>
      </c>
      <c r="CW118" s="2">
        <f t="shared" si="41"/>
        <v>7.6584052896483401</v>
      </c>
      <c r="CX118" s="2">
        <f t="shared" si="42"/>
        <v>23.4</v>
      </c>
      <c r="CY118" s="2">
        <f t="shared" si="43"/>
        <v>0.68242424009116465</v>
      </c>
      <c r="CZ118" s="2">
        <f t="shared" si="44"/>
        <v>23.4</v>
      </c>
      <c r="DA118" s="2">
        <f t="shared" si="45"/>
        <v>0.31757593238078391</v>
      </c>
    </row>
    <row r="119" spans="2:105" ht="18" customHeight="1" x14ac:dyDescent="0.25">
      <c r="B119" s="6"/>
      <c r="D119" s="310">
        <f t="shared" si="47"/>
        <v>7</v>
      </c>
      <c r="E119" s="311"/>
      <c r="F119" s="311"/>
      <c r="G119" s="311"/>
      <c r="H119" s="312">
        <f t="shared" si="48"/>
        <v>90</v>
      </c>
      <c r="I119" s="313"/>
      <c r="J119" s="313"/>
      <c r="K119" s="313"/>
      <c r="V119" s="35" t="s">
        <v>127</v>
      </c>
      <c r="W119" s="316">
        <f>AJ35</f>
        <v>2.8645216221314431</v>
      </c>
      <c r="X119" s="316"/>
      <c r="Y119" s="316"/>
      <c r="Z119" s="56" t="s">
        <v>74</v>
      </c>
      <c r="AA119" s="56"/>
      <c r="AB119" s="56"/>
      <c r="AC119" s="56"/>
      <c r="AD119" s="56"/>
      <c r="AE119" s="56"/>
      <c r="AF119" s="56"/>
      <c r="AG119" s="56"/>
      <c r="AH119" s="56"/>
      <c r="AI119" s="56"/>
      <c r="AJ119" s="56"/>
      <c r="AK119" s="56"/>
      <c r="AL119" s="56"/>
      <c r="AM119" s="56"/>
      <c r="AN119" s="56"/>
      <c r="AP119" s="8"/>
      <c r="AR119" s="6"/>
      <c r="CF119" s="8"/>
      <c r="CM119" s="2">
        <f t="shared" si="46"/>
        <v>23.6</v>
      </c>
      <c r="CN119" s="1" t="str">
        <f t="shared" si="33"/>
        <v>0.0107986736111111+25.4848697222222i</v>
      </c>
      <c r="CO119" s="56" t="str">
        <f t="shared" si="34"/>
        <v>-1.14392728931262i</v>
      </c>
      <c r="CP119" s="1" t="str">
        <f t="shared" si="35"/>
        <v>0.0107986736111111+24.3409424329096i</v>
      </c>
      <c r="CQ119" s="1" t="str">
        <f t="shared" si="36"/>
        <v>0.0191834803010191+11.3182533776013i</v>
      </c>
      <c r="CR119" s="1" t="str">
        <f t="shared" si="37"/>
        <v>0.0100262763854354+7.72583455954694i</v>
      </c>
      <c r="CT119" s="1">
        <f t="shared" si="38"/>
        <v>23.6</v>
      </c>
      <c r="CU119" s="1">
        <f t="shared" si="39"/>
        <v>24.3</v>
      </c>
      <c r="CV119" s="56">
        <f t="shared" si="40"/>
        <v>11.318269634776321</v>
      </c>
      <c r="CW119" s="2">
        <f t="shared" si="41"/>
        <v>7.7258410653926877</v>
      </c>
      <c r="CX119" s="2">
        <f t="shared" si="42"/>
        <v>23.6</v>
      </c>
      <c r="CY119" s="2">
        <f t="shared" si="43"/>
        <v>0.68259913526484806</v>
      </c>
      <c r="CZ119" s="2">
        <f t="shared" si="44"/>
        <v>23.6</v>
      </c>
      <c r="DA119" s="2">
        <f t="shared" si="45"/>
        <v>0.31740103434338751</v>
      </c>
    </row>
    <row r="120" spans="2:105" ht="18" customHeight="1" x14ac:dyDescent="0.25">
      <c r="B120" s="6"/>
      <c r="D120" s="310">
        <f t="shared" si="47"/>
        <v>11</v>
      </c>
      <c r="E120" s="311"/>
      <c r="F120" s="311"/>
      <c r="G120" s="311"/>
      <c r="H120" s="312">
        <f t="shared" si="48"/>
        <v>75</v>
      </c>
      <c r="I120" s="313"/>
      <c r="J120" s="313"/>
      <c r="K120" s="313"/>
      <c r="V120" s="35" t="s">
        <v>128</v>
      </c>
      <c r="W120" s="316">
        <f>AJ34</f>
        <v>1.0798673611111114</v>
      </c>
      <c r="X120" s="316"/>
      <c r="Y120" s="316"/>
      <c r="Z120" s="56" t="s">
        <v>34</v>
      </c>
      <c r="AA120" s="56"/>
      <c r="AB120" s="56"/>
      <c r="AC120" s="56"/>
      <c r="AD120" s="56"/>
      <c r="AE120" s="56"/>
      <c r="AF120" s="56"/>
      <c r="AG120" s="56"/>
      <c r="AH120" s="56"/>
      <c r="AI120" s="56"/>
      <c r="AJ120" s="56"/>
      <c r="AK120" s="56"/>
      <c r="AL120" s="56"/>
      <c r="AM120" s="56"/>
      <c r="AN120" s="56"/>
      <c r="AP120" s="8"/>
      <c r="AR120" s="6"/>
      <c r="CF120" s="8"/>
      <c r="CM120" s="2">
        <f t="shared" si="46"/>
        <v>23.8</v>
      </c>
      <c r="CN120" s="1" t="str">
        <f t="shared" si="33"/>
        <v>0.0107986736111111+25.7008431944445i</v>
      </c>
      <c r="CO120" s="56" t="str">
        <f t="shared" si="34"/>
        <v>-1.13431445494865i</v>
      </c>
      <c r="CP120" s="1" t="str">
        <f t="shared" si="35"/>
        <v>0.0107986736111111+24.5665287394958i</v>
      </c>
      <c r="CQ120" s="1" t="str">
        <f t="shared" si="36"/>
        <v>0.0191834803010191+11.4141707791064i</v>
      </c>
      <c r="CR120" s="1" t="str">
        <f t="shared" si="37"/>
        <v>0.0100295702284805+7.79325170955708i</v>
      </c>
      <c r="CT120" s="1">
        <f t="shared" si="38"/>
        <v>23.8</v>
      </c>
      <c r="CU120" s="1">
        <f t="shared" si="39"/>
        <v>24.6</v>
      </c>
      <c r="CV120" s="56">
        <f t="shared" si="40"/>
        <v>11.414186899666696</v>
      </c>
      <c r="CW120" s="2">
        <f t="shared" si="41"/>
        <v>7.7932581633610285</v>
      </c>
      <c r="CX120" s="2">
        <f t="shared" si="42"/>
        <v>23.8</v>
      </c>
      <c r="CY120" s="2">
        <f t="shared" si="43"/>
        <v>0.68276945452755788</v>
      </c>
      <c r="CZ120" s="2">
        <f t="shared" si="44"/>
        <v>23.8</v>
      </c>
      <c r="DA120" s="2">
        <f t="shared" si="45"/>
        <v>0.31723071228712846</v>
      </c>
    </row>
    <row r="121" spans="2:105" ht="18" customHeight="1" x14ac:dyDescent="0.25">
      <c r="B121" s="6"/>
      <c r="D121" s="310">
        <f t="shared" si="47"/>
        <v>13</v>
      </c>
      <c r="E121" s="311"/>
      <c r="F121" s="311"/>
      <c r="G121" s="311"/>
      <c r="H121" s="312">
        <f t="shared" si="48"/>
        <v>0</v>
      </c>
      <c r="I121" s="313"/>
      <c r="J121" s="313"/>
      <c r="K121" s="313"/>
      <c r="V121" s="35" t="s">
        <v>129</v>
      </c>
      <c r="W121" s="234" t="s">
        <v>130</v>
      </c>
      <c r="X121" s="234"/>
      <c r="Y121" s="234"/>
      <c r="Z121" s="234"/>
      <c r="AA121" s="234"/>
      <c r="AB121" s="234"/>
      <c r="AC121" s="234"/>
      <c r="AD121" s="234"/>
      <c r="AE121" s="234"/>
      <c r="AF121" s="234"/>
      <c r="AG121" s="234"/>
      <c r="AH121" s="234"/>
      <c r="AI121" s="234"/>
      <c r="AJ121" s="234"/>
      <c r="AK121" s="234"/>
      <c r="AL121" s="234"/>
      <c r="AM121" s="234"/>
      <c r="AN121" s="234"/>
      <c r="AP121" s="8"/>
      <c r="AR121" s="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8"/>
      <c r="CM121" s="2">
        <f t="shared" si="46"/>
        <v>24</v>
      </c>
      <c r="CN121" s="1" t="str">
        <f t="shared" si="33"/>
        <v>0.0107986736111111+25.9168166666667i</v>
      </c>
      <c r="CO121" s="56" t="str">
        <f t="shared" si="34"/>
        <v>-1.12486183449074i</v>
      </c>
      <c r="CP121" s="1" t="str">
        <f t="shared" si="35"/>
        <v>0.0107986736111111+24.791954832176i</v>
      </c>
      <c r="CQ121" s="1" t="str">
        <f t="shared" si="36"/>
        <v>0.0191834803010191+11.5100881806115i</v>
      </c>
      <c r="CR121" s="1" t="str">
        <f t="shared" si="37"/>
        <v>0.0100327803391948+7.86065070320663i</v>
      </c>
      <c r="CT121" s="1">
        <f t="shared" si="38"/>
        <v>24</v>
      </c>
      <c r="CU121" s="1">
        <f t="shared" si="39"/>
        <v>24.8</v>
      </c>
      <c r="CV121" s="56">
        <f t="shared" si="40"/>
        <v>11.510104166833983</v>
      </c>
      <c r="CW121" s="2">
        <f t="shared" si="41"/>
        <v>7.8606571057707537</v>
      </c>
      <c r="CX121" s="2">
        <f t="shared" si="42"/>
        <v>24</v>
      </c>
      <c r="CY121" s="2">
        <f t="shared" si="43"/>
        <v>0.68293535765045355</v>
      </c>
      <c r="CZ121" s="2">
        <f t="shared" si="44"/>
        <v>24</v>
      </c>
      <c r="DA121" s="2">
        <f t="shared" si="45"/>
        <v>0.3170648064385968</v>
      </c>
    </row>
    <row r="122" spans="2:105" ht="18" customHeight="1" x14ac:dyDescent="0.25">
      <c r="B122" s="6"/>
      <c r="D122" s="310">
        <f t="shared" si="47"/>
        <v>17</v>
      </c>
      <c r="E122" s="311"/>
      <c r="F122" s="311"/>
      <c r="G122" s="311"/>
      <c r="H122" s="312">
        <f t="shared" si="48"/>
        <v>0</v>
      </c>
      <c r="I122" s="313"/>
      <c r="J122" s="313"/>
      <c r="K122" s="313"/>
      <c r="Q122" s="56"/>
      <c r="V122" s="35" t="s">
        <v>131</v>
      </c>
      <c r="W122" s="234" t="s">
        <v>132</v>
      </c>
      <c r="X122" s="234"/>
      <c r="Y122" s="234"/>
      <c r="AP122" s="8"/>
      <c r="AR122" s="6"/>
      <c r="CF122" s="8"/>
      <c r="CM122" s="2">
        <f t="shared" si="46"/>
        <v>24.2</v>
      </c>
      <c r="CN122" s="1" t="str">
        <f t="shared" si="33"/>
        <v>0.0107986736111111+26.1327901388889i</v>
      </c>
      <c r="CO122" s="56" t="str">
        <f t="shared" si="34"/>
        <v>-1.1155654556933i</v>
      </c>
      <c r="CP122" s="1" t="str">
        <f t="shared" si="35"/>
        <v>0.0107986736111111+25.0172246831956i</v>
      </c>
      <c r="CQ122" s="1" t="str">
        <f t="shared" si="36"/>
        <v>0.0191834803010191+11.6060055821166i</v>
      </c>
      <c r="CR122" s="1" t="str">
        <f t="shared" si="37"/>
        <v>0.0100359095445122+7.92803204307408i</v>
      </c>
      <c r="CT122" s="1">
        <f t="shared" si="38"/>
        <v>24.2</v>
      </c>
      <c r="CU122" s="1">
        <f t="shared" si="39"/>
        <v>25</v>
      </c>
      <c r="CV122" s="56">
        <f t="shared" si="40"/>
        <v>11.606021436221722</v>
      </c>
      <c r="CW122" s="2">
        <f t="shared" si="41"/>
        <v>7.9280383951826163</v>
      </c>
      <c r="CX122" s="2">
        <f t="shared" si="42"/>
        <v>24.2</v>
      </c>
      <c r="CY122" s="2">
        <f t="shared" si="43"/>
        <v>0.68309699742925345</v>
      </c>
      <c r="CZ122" s="2">
        <f t="shared" si="44"/>
        <v>24.2</v>
      </c>
      <c r="DA122" s="2">
        <f t="shared" si="45"/>
        <v>0.31690316399991264</v>
      </c>
    </row>
    <row r="123" spans="2:105" ht="18" customHeight="1" x14ac:dyDescent="0.3">
      <c r="B123" s="6"/>
      <c r="D123" s="310">
        <f t="shared" si="47"/>
        <v>19</v>
      </c>
      <c r="E123" s="311"/>
      <c r="F123" s="311"/>
      <c r="G123" s="311"/>
      <c r="H123" s="312">
        <f t="shared" si="48"/>
        <v>0</v>
      </c>
      <c r="I123" s="313"/>
      <c r="J123" s="313"/>
      <c r="K123" s="313"/>
      <c r="V123" s="35" t="s">
        <v>133</v>
      </c>
      <c r="W123" s="234" t="s">
        <v>134</v>
      </c>
      <c r="X123" s="234"/>
      <c r="Y123" s="234"/>
      <c r="AP123" s="8"/>
      <c r="AR123" s="6"/>
      <c r="AS123" s="30" t="s">
        <v>135</v>
      </c>
      <c r="CF123" s="8"/>
      <c r="CM123" s="2">
        <f t="shared" si="46"/>
        <v>24.4</v>
      </c>
      <c r="CN123" s="1" t="str">
        <f t="shared" si="33"/>
        <v>0.0107986736111111+26.3487636111111i</v>
      </c>
      <c r="CO123" s="56" t="str">
        <f t="shared" si="34"/>
        <v>-1.10642147654827i</v>
      </c>
      <c r="CP123" s="1" t="str">
        <f t="shared" si="35"/>
        <v>0.0107986736111111+25.2423421345628i</v>
      </c>
      <c r="CQ123" s="1" t="str">
        <f t="shared" si="36"/>
        <v>0.0191834803010191+11.7019229836217i</v>
      </c>
      <c r="CR123" s="1" t="str">
        <f t="shared" si="37"/>
        <v>0.0100389605525799+7.99539621301083i</v>
      </c>
      <c r="CT123" s="1">
        <f t="shared" si="38"/>
        <v>24.4</v>
      </c>
      <c r="CU123" s="1">
        <f t="shared" si="39"/>
        <v>25.2</v>
      </c>
      <c r="CV123" s="56">
        <f t="shared" si="40"/>
        <v>11.701938707775316</v>
      </c>
      <c r="CW123" s="2">
        <f t="shared" si="41"/>
        <v>7.9954025154307837</v>
      </c>
      <c r="CX123" s="2">
        <f t="shared" si="42"/>
        <v>24.4</v>
      </c>
      <c r="CY123" s="2">
        <f t="shared" si="43"/>
        <v>0.68325452004959475</v>
      </c>
      <c r="CZ123" s="2">
        <f t="shared" si="44"/>
        <v>24.4</v>
      </c>
      <c r="DA123" s="2">
        <f t="shared" si="45"/>
        <v>0.31674563878336293</v>
      </c>
    </row>
    <row r="124" spans="2:105" ht="18" customHeight="1" x14ac:dyDescent="0.25">
      <c r="B124" s="6"/>
      <c r="D124" s="310">
        <f t="shared" si="47"/>
        <v>23</v>
      </c>
      <c r="E124" s="311"/>
      <c r="F124" s="311"/>
      <c r="G124" s="311"/>
      <c r="H124" s="312">
        <f t="shared" si="48"/>
        <v>0</v>
      </c>
      <c r="I124" s="313"/>
      <c r="J124" s="313"/>
      <c r="K124" s="313"/>
      <c r="V124" s="35" t="s">
        <v>136</v>
      </c>
      <c r="W124" s="234" t="s">
        <v>137</v>
      </c>
      <c r="X124" s="234"/>
      <c r="Y124" s="234"/>
      <c r="Z124" s="234"/>
      <c r="AA124" s="234"/>
      <c r="AB124" s="234"/>
      <c r="AC124" s="234"/>
      <c r="AD124" s="234"/>
      <c r="AE124" s="234"/>
      <c r="AP124" s="8"/>
      <c r="AR124" s="6"/>
      <c r="CF124" s="8"/>
      <c r="CM124" s="2">
        <f t="shared" si="46"/>
        <v>24.6</v>
      </c>
      <c r="CN124" s="1" t="str">
        <f t="shared" si="33"/>
        <v>0.0107986736111111+26.5647370833333i</v>
      </c>
      <c r="CO124" s="56" t="str">
        <f t="shared" si="34"/>
        <v>-1.09742617999097i</v>
      </c>
      <c r="CP124" s="1" t="str">
        <f t="shared" si="35"/>
        <v>0.0107986736111111+25.4673109033423i</v>
      </c>
      <c r="CQ124" s="1" t="str">
        <f t="shared" si="36"/>
        <v>0.0191834803010191+11.7978403851268i</v>
      </c>
      <c r="CR124" s="1" t="str">
        <f t="shared" si="37"/>
        <v>0.0100419359587192+8.06274367901813i</v>
      </c>
      <c r="CT124" s="1">
        <f t="shared" si="38"/>
        <v>24.6</v>
      </c>
      <c r="CU124" s="1">
        <f t="shared" si="39"/>
        <v>25.5</v>
      </c>
      <c r="CV124" s="56">
        <f t="shared" si="40"/>
        <v>11.797855981441939</v>
      </c>
      <c r="CW124" s="2">
        <f t="shared" si="41"/>
        <v>8.0627499324997416</v>
      </c>
      <c r="CX124" s="2">
        <f t="shared" si="42"/>
        <v>24.6</v>
      </c>
      <c r="CY124" s="2">
        <f t="shared" si="43"/>
        <v>0.68340806543006494</v>
      </c>
      <c r="CZ124" s="2">
        <f t="shared" si="44"/>
        <v>24.6</v>
      </c>
      <c r="DA124" s="2">
        <f t="shared" si="45"/>
        <v>0.31659209086835999</v>
      </c>
    </row>
    <row r="125" spans="2:105" ht="18" customHeight="1" x14ac:dyDescent="0.25">
      <c r="B125" s="6"/>
      <c r="D125" s="310">
        <f t="shared" si="47"/>
        <v>25</v>
      </c>
      <c r="E125" s="311"/>
      <c r="F125" s="311"/>
      <c r="G125" s="311"/>
      <c r="H125" s="312">
        <f t="shared" si="48"/>
        <v>0</v>
      </c>
      <c r="I125" s="313"/>
      <c r="J125" s="313"/>
      <c r="K125" s="313"/>
      <c r="V125" s="35" t="s">
        <v>138</v>
      </c>
      <c r="W125" s="234" t="s">
        <v>139</v>
      </c>
      <c r="X125" s="234"/>
      <c r="Y125" s="234"/>
      <c r="Z125" s="234"/>
      <c r="AA125" s="234"/>
      <c r="AB125" s="234"/>
      <c r="AC125" s="234"/>
      <c r="AD125" s="234"/>
      <c r="AE125" s="234"/>
      <c r="AP125" s="8"/>
      <c r="AR125" s="6"/>
      <c r="CF125" s="8"/>
      <c r="CM125" s="2">
        <f t="shared" si="46"/>
        <v>24.8</v>
      </c>
      <c r="CN125" s="1" t="str">
        <f t="shared" si="33"/>
        <v>0.0107986736111111+26.7807105555556i</v>
      </c>
      <c r="CO125" s="56" t="str">
        <f t="shared" si="34"/>
        <v>-1.08857596886201i</v>
      </c>
      <c r="CP125" s="1" t="str">
        <f t="shared" si="35"/>
        <v>0.0107986736111111+25.6921345866936i</v>
      </c>
      <c r="CQ125" s="1" t="str">
        <f t="shared" si="36"/>
        <v>0.0191834803010191+11.8937577866319i</v>
      </c>
      <c r="CR125" s="1" t="str">
        <f t="shared" si="37"/>
        <v>0.01004483825104+8.13007489007475i</v>
      </c>
      <c r="CT125" s="1">
        <f t="shared" si="38"/>
        <v>24.8</v>
      </c>
      <c r="CU125" s="1">
        <f t="shared" si="39"/>
        <v>25.7</v>
      </c>
      <c r="CV125" s="56">
        <f t="shared" si="40"/>
        <v>11.893773257170468</v>
      </c>
      <c r="CW125" s="2">
        <f t="shared" si="41"/>
        <v>8.1300810953519687</v>
      </c>
      <c r="CX125" s="2">
        <f t="shared" si="42"/>
        <v>24.8</v>
      </c>
      <c r="CY125" s="2">
        <f t="shared" si="43"/>
        <v>0.68355776754450437</v>
      </c>
      <c r="CZ125" s="2">
        <f t="shared" si="44"/>
        <v>24.8</v>
      </c>
      <c r="DA125" s="2">
        <f t="shared" si="45"/>
        <v>0.31644238627914628</v>
      </c>
    </row>
    <row r="126" spans="2:105" ht="18" customHeight="1" x14ac:dyDescent="0.25">
      <c r="B126" s="6"/>
      <c r="D126" s="310">
        <f t="shared" si="47"/>
        <v>29</v>
      </c>
      <c r="E126" s="311"/>
      <c r="F126" s="311"/>
      <c r="G126" s="311"/>
      <c r="H126" s="312">
        <f t="shared" si="48"/>
        <v>0</v>
      </c>
      <c r="I126" s="313"/>
      <c r="J126" s="313"/>
      <c r="K126" s="313"/>
      <c r="V126" s="35" t="s">
        <v>140</v>
      </c>
      <c r="W126" s="234" t="s">
        <v>141</v>
      </c>
      <c r="X126" s="234"/>
      <c r="Y126" s="234"/>
      <c r="Z126" s="234"/>
      <c r="AA126" s="234"/>
      <c r="AB126" s="234"/>
      <c r="AC126" s="234"/>
      <c r="AD126" s="234"/>
      <c r="AE126" s="234"/>
      <c r="AP126" s="8"/>
      <c r="AR126" s="6"/>
      <c r="CF126" s="8"/>
      <c r="CM126" s="2">
        <f t="shared" si="46"/>
        <v>25</v>
      </c>
      <c r="CN126" s="1" t="str">
        <f t="shared" si="33"/>
        <v>0.0107986736111111+26.9966840277778i</v>
      </c>
      <c r="CO126" s="56" t="str">
        <f t="shared" si="34"/>
        <v>-1.07986736111111i</v>
      </c>
      <c r="CP126" s="1" t="str">
        <f t="shared" si="35"/>
        <v>0.0107986736111111+25.9168166666667i</v>
      </c>
      <c r="CQ126" s="1" t="str">
        <f t="shared" si="36"/>
        <v>0.0191834803010191+11.989675188137i</v>
      </c>
      <c r="CR126" s="1" t="str">
        <f t="shared" si="37"/>
        <v>0.0100476698157298+8.19739027891847i</v>
      </c>
      <c r="CT126" s="1">
        <f t="shared" si="38"/>
        <v>25</v>
      </c>
      <c r="CU126" s="1">
        <f t="shared" si="39"/>
        <v>25.9</v>
      </c>
      <c r="CV126" s="56">
        <f t="shared" si="40"/>
        <v>11.98969053491142</v>
      </c>
      <c r="CW126" s="2">
        <f t="shared" si="41"/>
        <v>8.1973964367093846</v>
      </c>
      <c r="CX126" s="2">
        <f t="shared" si="42"/>
        <v>25</v>
      </c>
      <c r="CY126" s="2">
        <f t="shared" si="43"/>
        <v>0.68370375472497058</v>
      </c>
      <c r="CZ126" s="2">
        <f t="shared" si="44"/>
        <v>25</v>
      </c>
      <c r="DA126" s="2">
        <f t="shared" si="45"/>
        <v>0.31629639668181603</v>
      </c>
    </row>
    <row r="127" spans="2:105" ht="18" customHeight="1" x14ac:dyDescent="0.25">
      <c r="B127" s="6"/>
      <c r="D127" s="310">
        <f t="shared" si="47"/>
        <v>31</v>
      </c>
      <c r="E127" s="311"/>
      <c r="F127" s="311"/>
      <c r="G127" s="311"/>
      <c r="H127" s="312">
        <f t="shared" si="48"/>
        <v>0</v>
      </c>
      <c r="I127" s="313"/>
      <c r="J127" s="313"/>
      <c r="K127" s="313"/>
      <c r="V127" s="35" t="s">
        <v>142</v>
      </c>
      <c r="W127" s="234" t="s">
        <v>143</v>
      </c>
      <c r="X127" s="234"/>
      <c r="Y127" s="234"/>
      <c r="Z127" s="234"/>
      <c r="AA127" s="234"/>
      <c r="AB127" s="234"/>
      <c r="AC127" s="234"/>
      <c r="AD127" s="234"/>
      <c r="AE127" s="234"/>
      <c r="AP127" s="8"/>
      <c r="AR127" s="6"/>
      <c r="CF127" s="8"/>
      <c r="CM127" s="2">
        <f t="shared" si="46"/>
        <v>25.2</v>
      </c>
      <c r="CN127" s="1" t="str">
        <f t="shared" si="33"/>
        <v>0.0107986736111111+27.2126575i</v>
      </c>
      <c r="CO127" s="56" t="str">
        <f t="shared" si="34"/>
        <v>-1.07129698522928i</v>
      </c>
      <c r="CP127" s="1" t="str">
        <f t="shared" si="35"/>
        <v>0.0107986736111111+26.1413605147707i</v>
      </c>
      <c r="CQ127" s="1" t="str">
        <f t="shared" si="36"/>
        <v>0.0191834803010191+12.0855925896421i</v>
      </c>
      <c r="CR127" s="1" t="str">
        <f t="shared" si="37"/>
        <v>0.0100504329420414+8.26469026278451i</v>
      </c>
      <c r="CT127" s="1">
        <f t="shared" si="38"/>
        <v>25.2</v>
      </c>
      <c r="CU127" s="1">
        <f t="shared" si="39"/>
        <v>26.1</v>
      </c>
      <c r="CV127" s="56">
        <f t="shared" si="40"/>
        <v>12.085607814616877</v>
      </c>
      <c r="CW127" s="2">
        <f t="shared" si="41"/>
        <v>8.2646963737918053</v>
      </c>
      <c r="CX127" s="2">
        <f t="shared" si="42"/>
        <v>25.2</v>
      </c>
      <c r="CY127" s="2">
        <f t="shared" si="43"/>
        <v>0.68384614994672455</v>
      </c>
      <c r="CZ127" s="2">
        <f t="shared" si="44"/>
        <v>25.2</v>
      </c>
      <c r="DA127" s="2">
        <f t="shared" si="45"/>
        <v>0.31615399909933156</v>
      </c>
    </row>
    <row r="128" spans="2:105" ht="18" customHeight="1" x14ac:dyDescent="0.25">
      <c r="B128" s="6"/>
      <c r="D128" s="310">
        <f t="shared" si="47"/>
        <v>35</v>
      </c>
      <c r="E128" s="311"/>
      <c r="F128" s="311"/>
      <c r="G128" s="311"/>
      <c r="H128" s="312">
        <f t="shared" si="48"/>
        <v>0</v>
      </c>
      <c r="I128" s="313"/>
      <c r="J128" s="313"/>
      <c r="K128" s="313"/>
      <c r="AP128" s="8"/>
      <c r="AR128" s="6"/>
      <c r="CF128" s="8"/>
      <c r="CM128" s="2">
        <f t="shared" si="46"/>
        <v>25.4</v>
      </c>
      <c r="CN128" s="1" t="str">
        <f t="shared" si="33"/>
        <v>0.0107986736111111+27.4286309722222i</v>
      </c>
      <c r="CO128" s="56" t="str">
        <f t="shared" si="34"/>
        <v>-1.06286157589676i</v>
      </c>
      <c r="CP128" s="1" t="str">
        <f t="shared" si="35"/>
        <v>0.0107986736111111+26.3657693963254i</v>
      </c>
      <c r="CQ128" s="1" t="str">
        <f t="shared" si="36"/>
        <v>0.0191834803010191+12.1815099911472i</v>
      </c>
      <c r="CR128" s="1" t="str">
        <f t="shared" si="37"/>
        <v>0.0100531298269957+8.33197524410352i</v>
      </c>
      <c r="CT128" s="1">
        <f t="shared" si="38"/>
        <v>25.4</v>
      </c>
      <c r="CU128" s="1">
        <f t="shared" si="39"/>
        <v>26.4</v>
      </c>
      <c r="CV128" s="56">
        <f t="shared" si="40"/>
        <v>12.181525096240435</v>
      </c>
      <c r="CW128" s="2">
        <f t="shared" si="41"/>
        <v>8.3319813090148749</v>
      </c>
      <c r="CX128" s="2">
        <f t="shared" si="42"/>
        <v>25.4</v>
      </c>
      <c r="CY128" s="2">
        <f t="shared" si="43"/>
        <v>0.68398507109642415</v>
      </c>
      <c r="CZ128" s="2">
        <f t="shared" si="44"/>
        <v>25.4</v>
      </c>
      <c r="DA128" s="2">
        <f t="shared" si="45"/>
        <v>0.31601507564332493</v>
      </c>
    </row>
    <row r="129" spans="2:105" ht="18" customHeight="1" x14ac:dyDescent="0.25">
      <c r="B129" s="6"/>
      <c r="D129" s="310">
        <f t="shared" si="47"/>
        <v>37</v>
      </c>
      <c r="E129" s="311"/>
      <c r="F129" s="311"/>
      <c r="G129" s="311"/>
      <c r="H129" s="312">
        <f t="shared" si="48"/>
        <v>0</v>
      </c>
      <c r="I129" s="313"/>
      <c r="J129" s="313"/>
      <c r="K129" s="313"/>
      <c r="AP129" s="8"/>
      <c r="AR129" s="6"/>
      <c r="CF129" s="8"/>
      <c r="CM129" s="2">
        <f t="shared" si="46"/>
        <v>25.6</v>
      </c>
      <c r="CN129" s="1" t="str">
        <f t="shared" si="33"/>
        <v>0.0107986736111111+27.6446044444445i</v>
      </c>
      <c r="CO129" s="56" t="str">
        <f t="shared" si="34"/>
        <v>-1.05455796983507i</v>
      </c>
      <c r="CP129" s="1" t="str">
        <f t="shared" si="35"/>
        <v>0.0107986736111111+26.5900464746094i</v>
      </c>
      <c r="CQ129" s="1" t="str">
        <f t="shared" si="36"/>
        <v>0.0191834803010191+12.2774273926523i</v>
      </c>
      <c r="CR129" s="1" t="str">
        <f t="shared" si="37"/>
        <v>0.010055762579821+8.39924561116187i</v>
      </c>
      <c r="CT129" s="1">
        <f t="shared" si="38"/>
        <v>25.6</v>
      </c>
      <c r="CU129" s="1">
        <f t="shared" si="39"/>
        <v>26.6</v>
      </c>
      <c r="CV129" s="56">
        <f t="shared" si="40"/>
        <v>12.277442379737138</v>
      </c>
      <c r="CW129" s="2">
        <f t="shared" si="41"/>
        <v>8.3992516306503742</v>
      </c>
      <c r="CX129" s="2">
        <f t="shared" si="42"/>
        <v>25.6</v>
      </c>
      <c r="CY129" s="2">
        <f t="shared" si="43"/>
        <v>0.68412063122467603</v>
      </c>
      <c r="CZ129" s="2">
        <f t="shared" si="44"/>
        <v>25.6</v>
      </c>
      <c r="DA129" s="2">
        <f t="shared" si="45"/>
        <v>0.3158795132615429</v>
      </c>
    </row>
    <row r="130" spans="2:105" ht="18" customHeight="1" x14ac:dyDescent="0.25">
      <c r="B130" s="6"/>
      <c r="D130" s="314" t="s">
        <v>144</v>
      </c>
      <c r="E130" s="314"/>
      <c r="F130" s="314"/>
      <c r="G130" s="314"/>
      <c r="H130" s="315">
        <f>SQRT(SUM(H114^2,H115^2,H116^2,H117^2,H118^2,H119^2,H120^2,H121^2,H122^2,H123^2,H124^2,H125^2,H126^2,H127^2,H128^2,H129^2))</f>
        <v>478.94189679657086</v>
      </c>
      <c r="I130" s="315"/>
      <c r="J130" s="315"/>
      <c r="K130" s="315"/>
      <c r="AP130" s="8"/>
      <c r="AR130" s="6"/>
      <c r="CF130" s="8"/>
      <c r="CM130" s="2">
        <f t="shared" si="46"/>
        <v>25.8</v>
      </c>
      <c r="CN130" s="1" t="str">
        <f t="shared" si="33"/>
        <v>0.0107986736111111+27.8605779166667i</v>
      </c>
      <c r="CO130" s="56" t="str">
        <f t="shared" si="34"/>
        <v>-1.04638310185185i</v>
      </c>
      <c r="CP130" s="1" t="str">
        <f t="shared" si="35"/>
        <v>0.0107986736111111+26.8141948148149i</v>
      </c>
      <c r="CQ130" s="1" t="str">
        <f t="shared" si="36"/>
        <v>0.0191834803010191+12.3733447941574i</v>
      </c>
      <c r="CR130" s="1" t="str">
        <f t="shared" si="37"/>
        <v>0.0100583332261433+8.46650173872618i</v>
      </c>
      <c r="CT130" s="1">
        <f t="shared" si="38"/>
        <v>25.8</v>
      </c>
      <c r="CU130" s="1">
        <f t="shared" si="39"/>
        <v>26.8</v>
      </c>
      <c r="CV130" s="56">
        <f t="shared" si="40"/>
        <v>12.373359665063427</v>
      </c>
      <c r="CW130" s="2">
        <f t="shared" si="41"/>
        <v>8.4665077134507314</v>
      </c>
      <c r="CX130" s="2">
        <f t="shared" si="42"/>
        <v>25.8</v>
      </c>
      <c r="CY130" s="2">
        <f t="shared" si="43"/>
        <v>0.68425293878397231</v>
      </c>
      <c r="CZ130" s="2">
        <f t="shared" si="44"/>
        <v>25.8</v>
      </c>
      <c r="DA130" s="2">
        <f t="shared" si="45"/>
        <v>0.31574720349990848</v>
      </c>
    </row>
    <row r="131" spans="2:105" ht="18" customHeight="1" x14ac:dyDescent="0.25">
      <c r="B131" s="6"/>
      <c r="C131" s="178" t="s">
        <v>145</v>
      </c>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L131" s="178"/>
      <c r="AM131" s="178"/>
      <c r="AN131" s="178"/>
      <c r="AO131" s="178"/>
      <c r="AP131" s="8"/>
      <c r="AR131" s="6"/>
      <c r="CF131" s="8"/>
      <c r="CM131" s="2">
        <f t="shared" si="46"/>
        <v>26</v>
      </c>
      <c r="CN131" s="1" t="str">
        <f t="shared" si="33"/>
        <v>0.0107986736111111+28.0765513888889i</v>
      </c>
      <c r="CO131" s="56" t="str">
        <f t="shared" si="34"/>
        <v>-1.03833400106838i</v>
      </c>
      <c r="CP131" s="1" t="str">
        <f t="shared" si="35"/>
        <v>0.0107986736111111+27.0382173878205i</v>
      </c>
      <c r="CQ131" s="1" t="str">
        <f t="shared" si="36"/>
        <v>0.0191834803010191+12.4692621956625i</v>
      </c>
      <c r="CR131" s="1" t="str">
        <f t="shared" si="37"/>
        <v>0.0100608437119449+8.53374398863522i</v>
      </c>
      <c r="CT131" s="1">
        <f t="shared" si="38"/>
        <v>26</v>
      </c>
      <c r="CU131" s="1">
        <f t="shared" si="39"/>
        <v>27</v>
      </c>
      <c r="CV131" s="56">
        <f t="shared" si="40"/>
        <v>12.469276952177076</v>
      </c>
      <c r="CW131" s="2">
        <f t="shared" si="41"/>
        <v>8.5337499192408917</v>
      </c>
      <c r="CX131" s="2">
        <f t="shared" si="42"/>
        <v>26</v>
      </c>
      <c r="CY131" s="2">
        <f t="shared" si="43"/>
        <v>0.68438209785299076</v>
      </c>
      <c r="CZ131" s="2">
        <f t="shared" si="44"/>
        <v>26</v>
      </c>
      <c r="DA131" s="2">
        <f t="shared" si="45"/>
        <v>0.31561804227821733</v>
      </c>
    </row>
    <row r="132" spans="2:105" ht="18" customHeight="1" x14ac:dyDescent="0.25">
      <c r="B132" s="6"/>
      <c r="C132" s="233" t="str">
        <f xml:space="preserve"> "A quantity of " &amp; ROUND(3*S29,0) &amp; ", " &amp; ROUND(AJ28,0) &amp; " kvar, " &amp; W116 &amp; " kV BIL, " &amp; S20 &amp; _xlfn._LONGTEXT(" Hertz, all-film, low-loss, double-bushing capacitors designed, manufactured, and tested to applicable IEEE/ANSI and IEC standards, supplied by Cooper, GE, or Hitachi (no others), are required. The capacitors shall be connected unground-wye and shall have"," applicable over-voltage and blown-fuse protection.")</f>
        <v>A quantity of 18, 612 kvar, 95 kV BIL, 60 Hertz, all-film, low-loss, double-bushing capacitors designed, manufactured, and tested to applicable IEEE/ANSI and IEC standards, supplied by Cooper, GE, or Hitachi (no others), are required. The capacitors shall be connected unground-wye and shall have applicable over-voltage and blown-fuse protection.</v>
      </c>
      <c r="D132" s="233"/>
      <c r="E132" s="233"/>
      <c r="F132" s="233"/>
      <c r="G132" s="233"/>
      <c r="H132" s="233"/>
      <c r="I132" s="233"/>
      <c r="J132" s="233"/>
      <c r="K132" s="233"/>
      <c r="L132" s="233"/>
      <c r="M132" s="233"/>
      <c r="N132" s="233"/>
      <c r="O132" s="233"/>
      <c r="P132" s="233"/>
      <c r="Q132" s="233"/>
      <c r="R132" s="233"/>
      <c r="S132" s="233"/>
      <c r="T132" s="233"/>
      <c r="U132" s="233"/>
      <c r="V132" s="233"/>
      <c r="W132" s="233"/>
      <c r="X132" s="233"/>
      <c r="Y132" s="233"/>
      <c r="Z132" s="233"/>
      <c r="AA132" s="233"/>
      <c r="AB132" s="233"/>
      <c r="AC132" s="233"/>
      <c r="AD132" s="233"/>
      <c r="AE132" s="233"/>
      <c r="AF132" s="233"/>
      <c r="AG132" s="233"/>
      <c r="AH132" s="233"/>
      <c r="AI132" s="233"/>
      <c r="AJ132" s="233"/>
      <c r="AK132" s="233"/>
      <c r="AL132" s="233"/>
      <c r="AM132" s="233"/>
      <c r="AN132" s="233"/>
      <c r="AO132" s="233"/>
      <c r="AP132" s="27"/>
      <c r="AR132" s="6"/>
      <c r="CF132" s="8"/>
      <c r="CM132" s="2">
        <f t="shared" si="46"/>
        <v>26.2</v>
      </c>
      <c r="CN132" s="1" t="str">
        <f t="shared" si="33"/>
        <v>0.0107986736111111+28.2925248611111i</v>
      </c>
      <c r="CO132" s="56" t="str">
        <f t="shared" si="34"/>
        <v>-1.03040778731976i</v>
      </c>
      <c r="CP132" s="1" t="str">
        <f t="shared" si="35"/>
        <v>0.0107986736111111+27.2621170737913i</v>
      </c>
      <c r="CQ132" s="1" t="str">
        <f t="shared" si="36"/>
        <v>0.0191834803010191+12.5651795971676i</v>
      </c>
      <c r="CR132" s="1" t="str">
        <f t="shared" si="37"/>
        <v>0.0100632959073055+8.60097271036029i</v>
      </c>
      <c r="CT132" s="1">
        <f t="shared" si="38"/>
        <v>26.2</v>
      </c>
      <c r="CU132" s="1">
        <f t="shared" si="39"/>
        <v>27.3</v>
      </c>
      <c r="CV132" s="56">
        <f t="shared" si="40"/>
        <v>12.565194241037158</v>
      </c>
      <c r="CW132" s="2">
        <f t="shared" si="41"/>
        <v>8.6009785974787167</v>
      </c>
      <c r="CX132" s="2">
        <f t="shared" si="42"/>
        <v>26.2</v>
      </c>
      <c r="CY132" s="2">
        <f t="shared" si="43"/>
        <v>0.68450820834814075</v>
      </c>
      <c r="CZ132" s="2">
        <f t="shared" si="44"/>
        <v>26.2</v>
      </c>
      <c r="DA132" s="2">
        <f t="shared" si="45"/>
        <v>0.31549192967858891</v>
      </c>
    </row>
    <row r="133" spans="2:105" ht="18" customHeight="1" x14ac:dyDescent="0.25">
      <c r="B133" s="6"/>
      <c r="C133" s="153"/>
      <c r="D133" s="153"/>
      <c r="E133" s="153"/>
      <c r="F133" s="153"/>
      <c r="G133" s="153"/>
      <c r="H133" s="153"/>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8"/>
      <c r="AR133" s="6"/>
      <c r="CF133" s="8"/>
      <c r="CM133" s="2">
        <f t="shared" si="46"/>
        <v>26.4</v>
      </c>
      <c r="CN133" s="1" t="str">
        <f t="shared" si="33"/>
        <v>0.0107986736111111+28.5084983333333i</v>
      </c>
      <c r="CO133" s="56" t="str">
        <f t="shared" si="34"/>
        <v>-1.02260166771886i</v>
      </c>
      <c r="CP133" s="1" t="str">
        <f t="shared" si="35"/>
        <v>0.0107986736111111+27.4858966656144i</v>
      </c>
      <c r="CQ133" s="1" t="str">
        <f t="shared" si="36"/>
        <v>0.0191834803010191+12.6610969986727i</v>
      </c>
      <c r="CR133" s="1" t="str">
        <f t="shared" si="37"/>
        <v>0.0100656916099388+8.66818824153643i</v>
      </c>
      <c r="CT133" s="1">
        <f t="shared" si="38"/>
        <v>26.4</v>
      </c>
      <c r="CU133" s="1">
        <f t="shared" si="39"/>
        <v>27.5</v>
      </c>
      <c r="CV133" s="56">
        <f t="shared" si="40"/>
        <v>12.661111531603982</v>
      </c>
      <c r="CW133" s="2">
        <f t="shared" si="41"/>
        <v>8.6681940857861512</v>
      </c>
      <c r="CX133" s="2">
        <f t="shared" si="42"/>
        <v>26.4</v>
      </c>
      <c r="CY133" s="2">
        <f t="shared" si="43"/>
        <v>0.68463136622318499</v>
      </c>
      <c r="CZ133" s="2">
        <f t="shared" si="44"/>
        <v>26.4</v>
      </c>
      <c r="DA133" s="2">
        <f t="shared" si="45"/>
        <v>0.31536876974584355</v>
      </c>
    </row>
    <row r="134" spans="2:105" ht="18" customHeight="1" x14ac:dyDescent="0.25">
      <c r="B134" s="6"/>
      <c r="C134" s="153"/>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8"/>
      <c r="AR134" s="6"/>
      <c r="CF134" s="8"/>
      <c r="CM134" s="2">
        <f t="shared" si="46"/>
        <v>26.6</v>
      </c>
      <c r="CN134" s="1" t="str">
        <f t="shared" si="33"/>
        <v>0.0107986736111111+28.7244718055556i</v>
      </c>
      <c r="CO134" s="56" t="str">
        <f t="shared" si="34"/>
        <v>-1.0149129333751i</v>
      </c>
      <c r="CP134" s="1" t="str">
        <f t="shared" si="35"/>
        <v>0.0107986736111111+27.7095588721805i</v>
      </c>
      <c r="CQ134" s="1" t="str">
        <f t="shared" si="36"/>
        <v>0.0191834803010191+12.7570144001778i</v>
      </c>
      <c r="CR134" s="1" t="str">
        <f t="shared" si="37"/>
        <v>0.0100680325485382+8.73539090846621i</v>
      </c>
      <c r="CT134" s="1">
        <f t="shared" si="38"/>
        <v>26.6</v>
      </c>
      <c r="CU134" s="1">
        <f t="shared" si="39"/>
        <v>27.7</v>
      </c>
      <c r="CV134" s="56">
        <f t="shared" si="40"/>
        <v>12.757028823839043</v>
      </c>
      <c r="CW134" s="2">
        <f t="shared" si="41"/>
        <v>8.7353967104530241</v>
      </c>
      <c r="CX134" s="2">
        <f t="shared" si="42"/>
        <v>26.6</v>
      </c>
      <c r="CY134" s="2">
        <f t="shared" si="43"/>
        <v>0.68475166365770002</v>
      </c>
      <c r="CZ134" s="2">
        <f t="shared" si="44"/>
        <v>26.6</v>
      </c>
      <c r="DA134" s="2">
        <f t="shared" si="45"/>
        <v>0.31524847029903869</v>
      </c>
    </row>
    <row r="135" spans="2:105" ht="18" customHeight="1" x14ac:dyDescent="0.25">
      <c r="B135" s="6"/>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8"/>
      <c r="AR135" s="6"/>
      <c r="CF135" s="8"/>
      <c r="CM135" s="2">
        <f t="shared" si="46"/>
        <v>26.8</v>
      </c>
      <c r="CN135" s="1" t="str">
        <f t="shared" ref="CN135:CN198" si="49">COMPLEX($AJ$34/$S$34,$AJ$34*CM135)</f>
        <v>0.0107986736111111+28.9404452777778i</v>
      </c>
      <c r="CO135" s="56" t="str">
        <f t="shared" ref="CO135:CO198" si="50">COMPLEX("0",-$AJ$30/CM135)</f>
        <v>-1.00733895626037i</v>
      </c>
      <c r="CP135" s="1" t="str">
        <f t="shared" ref="CP135:CP198" si="51">IMSUM(CO135,CN135)</f>
        <v>0.0107986736111111+27.9331063215174i</v>
      </c>
      <c r="CQ135" s="1" t="str">
        <f t="shared" ref="CQ135:CQ198" si="52">COMPLEX($CV$1,$CV$2*CT135)</f>
        <v>0.0191834803010191+12.8529318016828i</v>
      </c>
      <c r="CR135" s="1" t="str">
        <f t="shared" ref="CR135:CR198" si="53">IMDIV(IMPRODUCT(CQ135,CP135),IMSUM(CP135,CQ135))</f>
        <v>0.0100703203859426+8.80258102659766i</v>
      </c>
      <c r="CT135" s="1">
        <f t="shared" ref="CT135:CT198" si="54">CM135</f>
        <v>26.8</v>
      </c>
      <c r="CU135" s="1">
        <f t="shared" ref="CU135:CU198" si="55">ROUND(IMABS(CP135),1)</f>
        <v>27.9</v>
      </c>
      <c r="CV135" s="56">
        <f t="shared" ref="CV135:CV198" si="56">IMABS(COMPLEX($CV$1,$CV$2*CT135))</f>
        <v>12.852946117704903</v>
      </c>
      <c r="CW135" s="2">
        <f t="shared" ref="CW135:CW198" si="57">IMABS(CR135)</f>
        <v>8.8025867869149561</v>
      </c>
      <c r="CX135" s="2">
        <f t="shared" ref="CX135:CX198" si="58">CT135</f>
        <v>26.8</v>
      </c>
      <c r="CY135" s="2">
        <f t="shared" ref="CY135:CY198" si="59">IMABS(IMDIV(CP135,IMSUM(CP135,CQ135)))</f>
        <v>0.68486918923509821</v>
      </c>
      <c r="CZ135" s="2">
        <f t="shared" ref="CZ135:CZ198" si="60">CX135</f>
        <v>26.8</v>
      </c>
      <c r="DA135" s="2">
        <f t="shared" ref="DA135:DA198" si="61">IMABS(IMDIV(CQ135,IMSUM(CP135,CQ135)))</f>
        <v>0.31513094275344478</v>
      </c>
    </row>
    <row r="136" spans="2:105" ht="18" customHeight="1" x14ac:dyDescent="0.25">
      <c r="B136" s="6"/>
      <c r="C136" s="178" t="s">
        <v>146</v>
      </c>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8"/>
      <c r="AR136" s="6"/>
      <c r="CF136" s="8"/>
      <c r="CM136" s="2">
        <f t="shared" ref="CM136:CM199" si="62">ROUND(CM135+0.2,1)</f>
        <v>27</v>
      </c>
      <c r="CN136" s="1" t="str">
        <f t="shared" si="49"/>
        <v>0.0107986736111111+29.15641875i</v>
      </c>
      <c r="CO136" s="56" t="str">
        <f t="shared" si="50"/>
        <v>-0.999877186213992i</v>
      </c>
      <c r="CP136" s="1" t="str">
        <f t="shared" si="51"/>
        <v>0.0107986736111111+28.156541563786i</v>
      </c>
      <c r="CQ136" s="1" t="str">
        <f t="shared" si="52"/>
        <v>0.0191834803010191+12.9488492031879i</v>
      </c>
      <c r="CR136" s="1" t="str">
        <f t="shared" si="53"/>
        <v>0.0100725567221337+8.86975890097837i</v>
      </c>
      <c r="CT136" s="1">
        <f t="shared" si="54"/>
        <v>27</v>
      </c>
      <c r="CU136" s="1">
        <f t="shared" si="55"/>
        <v>28.2</v>
      </c>
      <c r="CV136" s="56">
        <f t="shared" si="56"/>
        <v>12.948863413165512</v>
      </c>
      <c r="CW136" s="2">
        <f t="shared" si="57"/>
        <v>8.8697646202074569</v>
      </c>
      <c r="CX136" s="2">
        <f t="shared" si="58"/>
        <v>27</v>
      </c>
      <c r="CY136" s="2">
        <f t="shared" si="59"/>
        <v>0.68498402811086079</v>
      </c>
      <c r="CZ136" s="2">
        <f t="shared" si="60"/>
        <v>27</v>
      </c>
      <c r="DA136" s="2">
        <f t="shared" si="61"/>
        <v>0.31501610195231167</v>
      </c>
    </row>
    <row r="137" spans="2:105" ht="18" customHeight="1" x14ac:dyDescent="0.25">
      <c r="B137" s="6"/>
      <c r="C137" s="233" t="s">
        <v>147</v>
      </c>
      <c r="D137" s="233"/>
      <c r="E137" s="233"/>
      <c r="F137" s="233"/>
      <c r="G137" s="233"/>
      <c r="H137" s="233"/>
      <c r="I137" s="233"/>
      <c r="J137" s="233"/>
      <c r="K137" s="233"/>
      <c r="L137" s="233"/>
      <c r="M137" s="233"/>
      <c r="N137" s="233"/>
      <c r="O137" s="233"/>
      <c r="P137" s="233"/>
      <c r="Q137" s="233"/>
      <c r="R137" s="233"/>
      <c r="S137" s="233"/>
      <c r="T137" s="233"/>
      <c r="U137" s="233"/>
      <c r="V137" s="233"/>
      <c r="W137" s="233"/>
      <c r="X137" s="233"/>
      <c r="Y137" s="233"/>
      <c r="Z137" s="233"/>
      <c r="AA137" s="233"/>
      <c r="AB137" s="233"/>
      <c r="AC137" s="233"/>
      <c r="AD137" s="233"/>
      <c r="AE137" s="233"/>
      <c r="AF137" s="233"/>
      <c r="AG137" s="233"/>
      <c r="AH137" s="233"/>
      <c r="AI137" s="233"/>
      <c r="AJ137" s="233"/>
      <c r="AK137" s="233"/>
      <c r="AL137" s="233"/>
      <c r="AM137" s="233"/>
      <c r="AN137" s="233"/>
      <c r="AO137" s="233"/>
      <c r="AP137" s="8"/>
      <c r="AR137" s="6"/>
      <c r="CF137" s="8"/>
      <c r="CM137" s="2">
        <f t="shared" si="62"/>
        <v>27.2</v>
      </c>
      <c r="CN137" s="1" t="str">
        <f t="shared" si="49"/>
        <v>0.0107986736111111+29.3723922222222i</v>
      </c>
      <c r="CO137" s="56" t="str">
        <f t="shared" si="50"/>
        <v>-0.992525148080066i</v>
      </c>
      <c r="CP137" s="1" t="str">
        <f t="shared" si="51"/>
        <v>0.0107986736111111+28.3798670741421i</v>
      </c>
      <c r="CQ137" s="1" t="str">
        <f t="shared" si="52"/>
        <v>0.0191834803010191+13.044766604693i</v>
      </c>
      <c r="CR137" s="1" t="str">
        <f t="shared" si="53"/>
        <v>0.0100747430970752+8.93692482668592i</v>
      </c>
      <c r="CT137" s="1">
        <f t="shared" si="54"/>
        <v>27.2</v>
      </c>
      <c r="CU137" s="1">
        <f t="shared" si="55"/>
        <v>28.4</v>
      </c>
      <c r="CV137" s="56">
        <f t="shared" si="56"/>
        <v>13.044780710185597</v>
      </c>
      <c r="CW137" s="2">
        <f t="shared" si="57"/>
        <v>8.9369305053963366</v>
      </c>
      <c r="CX137" s="2">
        <f t="shared" si="58"/>
        <v>27.2</v>
      </c>
      <c r="CY137" s="2">
        <f t="shared" si="59"/>
        <v>0.68509626217159914</v>
      </c>
      <c r="CZ137" s="2">
        <f t="shared" si="60"/>
        <v>27.2</v>
      </c>
      <c r="DA137" s="2">
        <f t="shared" si="61"/>
        <v>0.31490386600779996</v>
      </c>
    </row>
    <row r="138" spans="2:105" ht="18" customHeight="1" x14ac:dyDescent="0.25">
      <c r="B138" s="6"/>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3"/>
      <c r="AK138" s="153"/>
      <c r="AL138" s="153"/>
      <c r="AM138" s="153"/>
      <c r="AN138" s="153"/>
      <c r="AO138" s="153"/>
      <c r="AP138" s="8"/>
      <c r="AR138" s="6"/>
      <c r="CF138" s="8"/>
      <c r="CM138" s="2">
        <f t="shared" si="62"/>
        <v>27.4</v>
      </c>
      <c r="CN138" s="1" t="str">
        <f t="shared" si="49"/>
        <v>0.0107986736111111+29.5883656944444i</v>
      </c>
      <c r="CO138" s="56" t="str">
        <f t="shared" si="50"/>
        <v>-0.985280438969992i</v>
      </c>
      <c r="CP138" s="1" t="str">
        <f t="shared" si="51"/>
        <v>0.0107986736111111+28.6030852554744i</v>
      </c>
      <c r="CQ138" s="1" t="str">
        <f t="shared" si="52"/>
        <v>0.0191834803010191+13.1406840061981i</v>
      </c>
      <c r="CR138" s="1" t="str">
        <f t="shared" si="53"/>
        <v>0.0100768809934025+9.00407908923768i</v>
      </c>
      <c r="CT138" s="1">
        <f t="shared" si="54"/>
        <v>27.4</v>
      </c>
      <c r="CU138" s="1">
        <f t="shared" si="55"/>
        <v>28.6</v>
      </c>
      <c r="CV138" s="56">
        <f t="shared" si="56"/>
        <v>13.140698008731006</v>
      </c>
      <c r="CW138" s="2">
        <f t="shared" si="57"/>
        <v>9.004084727987502</v>
      </c>
      <c r="CX138" s="2">
        <f t="shared" si="58"/>
        <v>27.4</v>
      </c>
      <c r="CY138" s="2">
        <f t="shared" si="59"/>
        <v>0.68520597018552243</v>
      </c>
      <c r="CZ138" s="2">
        <f t="shared" si="60"/>
        <v>27.4</v>
      </c>
      <c r="DA138" s="2">
        <f t="shared" si="61"/>
        <v>0.31479415615052164</v>
      </c>
    </row>
    <row r="139" spans="2:105" ht="18" customHeight="1" x14ac:dyDescent="0.25">
      <c r="B139" s="6"/>
      <c r="C139" s="153"/>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3"/>
      <c r="AJ139" s="153"/>
      <c r="AK139" s="153"/>
      <c r="AL139" s="153"/>
      <c r="AM139" s="153"/>
      <c r="AN139" s="153"/>
      <c r="AO139" s="153"/>
      <c r="AP139" s="8"/>
      <c r="AR139" s="6"/>
      <c r="CF139" s="8"/>
      <c r="CM139" s="2">
        <f t="shared" si="62"/>
        <v>27.6</v>
      </c>
      <c r="CN139" s="1" t="str">
        <f t="shared" si="49"/>
        <v>0.0107986736111111+29.8043391666667i</v>
      </c>
      <c r="CO139" s="56" t="str">
        <f t="shared" si="50"/>
        <v>-0.978140725644123i</v>
      </c>
      <c r="CP139" s="1" t="str">
        <f t="shared" si="51"/>
        <v>0.0107986736111111+28.8261984410226i</v>
      </c>
      <c r="CQ139" s="1" t="str">
        <f t="shared" si="52"/>
        <v>0.0191834803010191+13.2366014077032i</v>
      </c>
      <c r="CR139" s="1" t="str">
        <f t="shared" si="53"/>
        <v>0.0100789718389729+9.07122196497988i</v>
      </c>
      <c r="CT139" s="1">
        <f t="shared" si="54"/>
        <v>27.6</v>
      </c>
      <c r="CU139" s="1">
        <f t="shared" si="55"/>
        <v>28.8</v>
      </c>
      <c r="CV139" s="56">
        <f t="shared" si="56"/>
        <v>13.236615308768581</v>
      </c>
      <c r="CW139" s="2">
        <f t="shared" si="57"/>
        <v>9.0712275643160218</v>
      </c>
      <c r="CX139" s="2">
        <f t="shared" si="58"/>
        <v>27.6</v>
      </c>
      <c r="CY139" s="2">
        <f t="shared" si="59"/>
        <v>0.68531322794482008</v>
      </c>
      <c r="CZ139" s="2">
        <f t="shared" si="60"/>
        <v>27.6</v>
      </c>
      <c r="DA139" s="2">
        <f t="shared" si="61"/>
        <v>0.3146868965871456</v>
      </c>
    </row>
    <row r="140" spans="2:105" ht="18" customHeight="1" x14ac:dyDescent="0.25">
      <c r="B140" s="6"/>
      <c r="C140" s="153"/>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3"/>
      <c r="AG140" s="153"/>
      <c r="AH140" s="153"/>
      <c r="AI140" s="153"/>
      <c r="AJ140" s="153"/>
      <c r="AK140" s="153"/>
      <c r="AL140" s="153"/>
      <c r="AM140" s="153"/>
      <c r="AN140" s="153"/>
      <c r="AO140" s="153"/>
      <c r="AP140" s="8"/>
      <c r="AR140" s="6"/>
      <c r="CF140" s="8"/>
      <c r="CM140" s="2">
        <f t="shared" si="62"/>
        <v>27.8</v>
      </c>
      <c r="CN140" s="1" t="str">
        <f t="shared" si="49"/>
        <v>0.0107986736111111+30.0203126388889i</v>
      </c>
      <c r="CO140" s="56" t="str">
        <f t="shared" si="50"/>
        <v>-0.971103742006395i</v>
      </c>
      <c r="CP140" s="1" t="str">
        <f t="shared" si="51"/>
        <v>0.0107986736111111+29.0492088968825i</v>
      </c>
      <c r="CQ140" s="1" t="str">
        <f t="shared" si="52"/>
        <v>0.0191834803010191+13.3325188092083i</v>
      </c>
      <c r="CR140" s="1" t="str">
        <f t="shared" si="53"/>
        <v>0.0100810170092838+9.13835372145786i</v>
      </c>
      <c r="CT140" s="1">
        <f t="shared" si="54"/>
        <v>27.8</v>
      </c>
      <c r="CU140" s="1">
        <f t="shared" si="55"/>
        <v>29</v>
      </c>
      <c r="CV140" s="56">
        <f t="shared" si="56"/>
        <v>13.332532610266123</v>
      </c>
      <c r="CW140" s="2">
        <f t="shared" si="57"/>
        <v>9.1383592819163475</v>
      </c>
      <c r="CX140" s="2">
        <f t="shared" si="58"/>
        <v>27.8</v>
      </c>
      <c r="CY140" s="2">
        <f t="shared" si="59"/>
        <v>0.6854181084004809</v>
      </c>
      <c r="CZ140" s="2">
        <f t="shared" si="60"/>
        <v>27.8</v>
      </c>
      <c r="DA140" s="2">
        <f t="shared" si="61"/>
        <v>0.31458201436558209</v>
      </c>
    </row>
    <row r="141" spans="2:105" ht="18" customHeight="1" x14ac:dyDescent="0.25">
      <c r="B141" s="6"/>
      <c r="C141" s="153"/>
      <c r="D141" s="153"/>
      <c r="E141" s="153"/>
      <c r="F141" s="153"/>
      <c r="G141" s="153"/>
      <c r="H141" s="153"/>
      <c r="I141" s="153"/>
      <c r="J141" s="153"/>
      <c r="K141" s="153"/>
      <c r="L141" s="153"/>
      <c r="M141" s="153"/>
      <c r="N141" s="153"/>
      <c r="O141" s="153"/>
      <c r="P141" s="153"/>
      <c r="Q141" s="153"/>
      <c r="R141" s="153"/>
      <c r="S141" s="153"/>
      <c r="T141" s="153"/>
      <c r="U141" s="153"/>
      <c r="V141" s="153"/>
      <c r="W141" s="153"/>
      <c r="X141" s="153"/>
      <c r="Y141" s="153"/>
      <c r="Z141" s="153"/>
      <c r="AA141" s="153"/>
      <c r="AB141" s="153"/>
      <c r="AC141" s="153"/>
      <c r="AD141" s="153"/>
      <c r="AE141" s="153"/>
      <c r="AF141" s="153"/>
      <c r="AG141" s="153"/>
      <c r="AH141" s="153"/>
      <c r="AI141" s="153"/>
      <c r="AJ141" s="153"/>
      <c r="AK141" s="153"/>
      <c r="AL141" s="153"/>
      <c r="AM141" s="153"/>
      <c r="AN141" s="153"/>
      <c r="AO141" s="153"/>
      <c r="AP141" s="8"/>
      <c r="AR141" s="6"/>
      <c r="CF141" s="8"/>
      <c r="CM141" s="2">
        <f t="shared" si="62"/>
        <v>28</v>
      </c>
      <c r="CN141" s="1" t="str">
        <f t="shared" si="49"/>
        <v>0.0107986736111111+30.2362861111111i</v>
      </c>
      <c r="CO141" s="56" t="str">
        <f t="shared" si="50"/>
        <v>-0.964167286706349i</v>
      </c>
      <c r="CP141" s="1" t="str">
        <f t="shared" si="51"/>
        <v>0.0107986736111111+29.2721188244047i</v>
      </c>
      <c r="CQ141" s="1" t="str">
        <f t="shared" si="52"/>
        <v>0.0191834803010191+13.4284362107134i</v>
      </c>
      <c r="CR141" s="1" t="str">
        <f t="shared" si="53"/>
        <v>0.010083017829767+9.20547461776815i</v>
      </c>
      <c r="CT141" s="1">
        <f t="shared" si="54"/>
        <v>28</v>
      </c>
      <c r="CU141" s="1">
        <f t="shared" si="55"/>
        <v>29.3</v>
      </c>
      <c r="CV141" s="56">
        <f t="shared" si="56"/>
        <v>13.428449913192338</v>
      </c>
      <c r="CW141" s="2">
        <f t="shared" si="57"/>
        <v>9.2054801398744122</v>
      </c>
      <c r="CX141" s="2">
        <f t="shared" si="58"/>
        <v>28</v>
      </c>
      <c r="CY141" s="2">
        <f t="shared" si="59"/>
        <v>0.68552068178999437</v>
      </c>
      <c r="CZ141" s="2">
        <f t="shared" si="60"/>
        <v>28</v>
      </c>
      <c r="DA141" s="2">
        <f t="shared" si="61"/>
        <v>0.31447943924727867</v>
      </c>
    </row>
    <row r="142" spans="2:105" ht="18" customHeight="1" x14ac:dyDescent="0.25">
      <c r="B142" s="6"/>
      <c r="C142" s="153"/>
      <c r="D142" s="153"/>
      <c r="E142" s="153"/>
      <c r="F142" s="153"/>
      <c r="G142" s="153"/>
      <c r="H142" s="153"/>
      <c r="I142" s="153"/>
      <c r="J142" s="153"/>
      <c r="K142" s="153"/>
      <c r="L142" s="153"/>
      <c r="M142" s="153"/>
      <c r="N142" s="153"/>
      <c r="O142" s="153"/>
      <c r="P142" s="153"/>
      <c r="Q142" s="153"/>
      <c r="R142" s="153"/>
      <c r="S142" s="153"/>
      <c r="T142" s="153"/>
      <c r="U142" s="153"/>
      <c r="V142" s="153"/>
      <c r="W142" s="153"/>
      <c r="X142" s="153"/>
      <c r="Y142" s="153"/>
      <c r="Z142" s="153"/>
      <c r="AA142" s="153"/>
      <c r="AB142" s="153"/>
      <c r="AC142" s="153"/>
      <c r="AD142" s="153"/>
      <c r="AE142" s="153"/>
      <c r="AF142" s="153"/>
      <c r="AG142" s="153"/>
      <c r="AH142" s="153"/>
      <c r="AI142" s="153"/>
      <c r="AJ142" s="153"/>
      <c r="AK142" s="153"/>
      <c r="AL142" s="153"/>
      <c r="AM142" s="153"/>
      <c r="AN142" s="153"/>
      <c r="AO142" s="153"/>
      <c r="AP142" s="8"/>
      <c r="AR142" s="6"/>
      <c r="CF142" s="8"/>
      <c r="CM142" s="2">
        <f t="shared" si="62"/>
        <v>28.2</v>
      </c>
      <c r="CN142" s="1" t="str">
        <f t="shared" si="49"/>
        <v>0.0107986736111111+30.4522595833333i</v>
      </c>
      <c r="CO142" s="56" t="str">
        <f t="shared" si="50"/>
        <v>-0.957329220843184i</v>
      </c>
      <c r="CP142" s="1" t="str">
        <f t="shared" si="51"/>
        <v>0.0107986736111111+29.4949303624901i</v>
      </c>
      <c r="CQ142" s="1" t="str">
        <f t="shared" si="52"/>
        <v>0.0191834803010191+13.5243536122185i</v>
      </c>
      <c r="CR142" s="1" t="str">
        <f t="shared" si="53"/>
        <v>0.0100849755779664+9.27258490489383i</v>
      </c>
      <c r="CT142" s="1">
        <f t="shared" si="54"/>
        <v>28.2</v>
      </c>
      <c r="CU142" s="1">
        <f t="shared" si="55"/>
        <v>29.5</v>
      </c>
      <c r="CV142" s="56">
        <f t="shared" si="56"/>
        <v>13.524367217516833</v>
      </c>
      <c r="CW142" s="2">
        <f t="shared" si="57"/>
        <v>9.2725903891629606</v>
      </c>
      <c r="CX142" s="2">
        <f t="shared" si="58"/>
        <v>28.2</v>
      </c>
      <c r="CY142" s="2">
        <f t="shared" si="59"/>
        <v>0.68562101575835954</v>
      </c>
      <c r="CZ142" s="2">
        <f t="shared" si="60"/>
        <v>28.2</v>
      </c>
      <c r="DA142" s="2">
        <f t="shared" si="61"/>
        <v>0.31437910358620985</v>
      </c>
    </row>
    <row r="143" spans="2:105" ht="18" customHeight="1" x14ac:dyDescent="0.25">
      <c r="B143" s="6"/>
      <c r="C143" s="153"/>
      <c r="D143" s="153"/>
      <c r="E143" s="153"/>
      <c r="F143" s="153"/>
      <c r="G143" s="153"/>
      <c r="H143" s="153"/>
      <c r="I143" s="153"/>
      <c r="J143" s="153"/>
      <c r="K143" s="153"/>
      <c r="L143" s="153"/>
      <c r="M143" s="153"/>
      <c r="N143" s="153"/>
      <c r="O143" s="153"/>
      <c r="P143" s="153"/>
      <c r="Q143" s="153"/>
      <c r="R143" s="153"/>
      <c r="S143" s="153"/>
      <c r="T143" s="153"/>
      <c r="U143" s="153"/>
      <c r="V143" s="153"/>
      <c r="W143" s="153"/>
      <c r="X143" s="153"/>
      <c r="Y143" s="153"/>
      <c r="Z143" s="153"/>
      <c r="AA143" s="153"/>
      <c r="AB143" s="153"/>
      <c r="AC143" s="153"/>
      <c r="AD143" s="153"/>
      <c r="AE143" s="153"/>
      <c r="AF143" s="153"/>
      <c r="AG143" s="153"/>
      <c r="AH143" s="153"/>
      <c r="AI143" s="153"/>
      <c r="AJ143" s="153"/>
      <c r="AK143" s="153"/>
      <c r="AL143" s="153"/>
      <c r="AM143" s="153"/>
      <c r="AN143" s="153"/>
      <c r="AO143" s="153"/>
      <c r="AP143" s="8"/>
      <c r="AR143" s="6"/>
      <c r="CF143" s="8"/>
      <c r="CM143" s="2">
        <f t="shared" si="62"/>
        <v>28.4</v>
      </c>
      <c r="CN143" s="1" t="str">
        <f t="shared" si="49"/>
        <v>0.0107986736111111+30.6682330555556i</v>
      </c>
      <c r="CO143" s="56" t="str">
        <f t="shared" si="50"/>
        <v>-0.950587465766824i</v>
      </c>
      <c r="CP143" s="1" t="str">
        <f t="shared" si="51"/>
        <v>0.0107986736111111+29.7176455897888i</v>
      </c>
      <c r="CQ143" s="1" t="str">
        <f t="shared" si="52"/>
        <v>0.0191834803010191+13.6202710137236i</v>
      </c>
      <c r="CR143" s="1" t="str">
        <f t="shared" si="53"/>
        <v>0.0100868914856051+9.33968482602362i</v>
      </c>
      <c r="CT143" s="1">
        <f t="shared" si="54"/>
        <v>28.4</v>
      </c>
      <c r="CU143" s="1">
        <f t="shared" si="55"/>
        <v>29.7</v>
      </c>
      <c r="CV143" s="56">
        <f t="shared" si="56"/>
        <v>13.620284523210071</v>
      </c>
      <c r="CW143" s="2">
        <f t="shared" si="57"/>
        <v>9.3396902729606452</v>
      </c>
      <c r="CX143" s="2">
        <f t="shared" si="58"/>
        <v>28.4</v>
      </c>
      <c r="CY143" s="2">
        <f t="shared" si="59"/>
        <v>0.68571917547280692</v>
      </c>
      <c r="CZ143" s="2">
        <f t="shared" si="60"/>
        <v>28.4</v>
      </c>
      <c r="DA143" s="2">
        <f t="shared" si="61"/>
        <v>0.3142809422141537</v>
      </c>
    </row>
    <row r="144" spans="2:105" ht="18" customHeight="1" x14ac:dyDescent="0.25">
      <c r="B144" s="6"/>
      <c r="C144" s="153"/>
      <c r="D144" s="153"/>
      <c r="E144" s="153"/>
      <c r="F144" s="153"/>
      <c r="G144" s="153"/>
      <c r="H144" s="153"/>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c r="AK144" s="153"/>
      <c r="AL144" s="153"/>
      <c r="AM144" s="153"/>
      <c r="AN144" s="153"/>
      <c r="AO144" s="153"/>
      <c r="AP144" s="8"/>
      <c r="AR144" s="6"/>
      <c r="CF144" s="8"/>
      <c r="CM144" s="2">
        <f t="shared" si="62"/>
        <v>28.6</v>
      </c>
      <c r="CN144" s="1" t="str">
        <f t="shared" si="49"/>
        <v>0.0107986736111111+30.8842065277778i</v>
      </c>
      <c r="CO144" s="56" t="str">
        <f t="shared" si="50"/>
        <v>-0.943940000971251i</v>
      </c>
      <c r="CP144" s="1" t="str">
        <f t="shared" si="51"/>
        <v>0.0107986736111111+29.9402665268065i</v>
      </c>
      <c r="CQ144" s="1" t="str">
        <f t="shared" si="52"/>
        <v>0.0191834803010191+13.7161884152287i</v>
      </c>
      <c r="CR144" s="1" t="str">
        <f t="shared" si="53"/>
        <v>0.0100887667405498+9.40677461685607i</v>
      </c>
      <c r="CT144" s="1">
        <f t="shared" si="54"/>
        <v>28.6</v>
      </c>
      <c r="CU144" s="1">
        <f t="shared" si="55"/>
        <v>29.9</v>
      </c>
      <c r="CV144" s="56">
        <f t="shared" si="56"/>
        <v>13.716201830243332</v>
      </c>
      <c r="CW144" s="2">
        <f t="shared" si="57"/>
        <v>9.4067800269561967</v>
      </c>
      <c r="CX144" s="2">
        <f t="shared" si="58"/>
        <v>28.6</v>
      </c>
      <c r="CY144" s="2">
        <f t="shared" si="59"/>
        <v>0.68581522373160697</v>
      </c>
      <c r="CZ144" s="2">
        <f t="shared" si="60"/>
        <v>28.6</v>
      </c>
      <c r="DA144" s="2">
        <f t="shared" si="61"/>
        <v>0.31418489233188168</v>
      </c>
    </row>
    <row r="145" spans="2:105" ht="18" customHeight="1" thickBot="1" x14ac:dyDescent="0.3">
      <c r="B145" s="6"/>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8"/>
      <c r="AR145" s="6"/>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1"/>
      <c r="CE145" s="10"/>
      <c r="CF145" s="8"/>
      <c r="CM145" s="2">
        <f t="shared" si="62"/>
        <v>28.8</v>
      </c>
      <c r="CN145" s="1" t="str">
        <f t="shared" si="49"/>
        <v>0.0107986736111111+31.10018i</v>
      </c>
      <c r="CO145" s="56" t="str">
        <f t="shared" si="50"/>
        <v>-0.937384862075618i</v>
      </c>
      <c r="CP145" s="1" t="str">
        <f t="shared" si="51"/>
        <v>0.0107986736111111+30.1627951379244i</v>
      </c>
      <c r="CQ145" s="1" t="str">
        <f t="shared" si="52"/>
        <v>0.0191834803010191+13.8121058167338i</v>
      </c>
      <c r="CR145" s="1" t="str">
        <f t="shared" si="53"/>
        <v>0.0100906024886766+9.47385450588943i</v>
      </c>
      <c r="CT145" s="1">
        <f t="shared" si="54"/>
        <v>28.8</v>
      </c>
      <c r="CU145" s="1">
        <f t="shared" si="55"/>
        <v>30.2</v>
      </c>
      <c r="CV145" s="56">
        <f t="shared" si="56"/>
        <v>13.812119138588695</v>
      </c>
      <c r="CW145" s="2">
        <f t="shared" si="57"/>
        <v>9.4738598796382902</v>
      </c>
      <c r="CX145" s="2">
        <f t="shared" si="58"/>
        <v>28.8</v>
      </c>
      <c r="CY145" s="2">
        <f t="shared" si="59"/>
        <v>0.68590922106731278</v>
      </c>
      <c r="CZ145" s="2">
        <f t="shared" si="60"/>
        <v>28.8</v>
      </c>
      <c r="DA145" s="2">
        <f t="shared" si="61"/>
        <v>0.31409089340591489</v>
      </c>
    </row>
    <row r="146" spans="2:105" ht="18" customHeight="1" x14ac:dyDescent="0.25">
      <c r="B146" s="6"/>
      <c r="D146" s="43" t="s">
        <v>84</v>
      </c>
      <c r="AO146" s="29" t="s">
        <v>148</v>
      </c>
      <c r="AP146" s="8"/>
      <c r="AR146" s="6"/>
      <c r="AT146" s="43" t="s">
        <v>84</v>
      </c>
      <c r="CE146" s="29" t="s">
        <v>149</v>
      </c>
      <c r="CF146" s="8"/>
      <c r="CM146" s="2">
        <f t="shared" si="62"/>
        <v>29</v>
      </c>
      <c r="CN146" s="1" t="str">
        <f t="shared" si="49"/>
        <v>0.0107986736111111+31.3161534722222i</v>
      </c>
      <c r="CO146" s="56" t="str">
        <f t="shared" si="50"/>
        <v>-0.930920138888889i</v>
      </c>
      <c r="CP146" s="1" t="str">
        <f t="shared" si="51"/>
        <v>0.0107986736111111+30.3852333333333i</v>
      </c>
      <c r="CQ146" s="1" t="str">
        <f t="shared" si="52"/>
        <v>0.0191834803010191+13.9080232182389i</v>
      </c>
      <c r="CR146" s="1" t="str">
        <f t="shared" si="53"/>
        <v>0.0100923998356449+9.54092471469789i</v>
      </c>
      <c r="CT146" s="1">
        <f t="shared" si="54"/>
        <v>29</v>
      </c>
      <c r="CU146" s="1">
        <f t="shared" si="55"/>
        <v>30.4</v>
      </c>
      <c r="CV146" s="56">
        <f t="shared" si="56"/>
        <v>13.908036448219022</v>
      </c>
      <c r="CW146" s="2">
        <f t="shared" si="57"/>
        <v>9.5409300525717864</v>
      </c>
      <c r="CX146" s="2">
        <f t="shared" si="58"/>
        <v>29</v>
      </c>
      <c r="CY146" s="2">
        <f t="shared" si="59"/>
        <v>0.68600122584475398</v>
      </c>
      <c r="CZ146" s="2">
        <f t="shared" si="60"/>
        <v>29</v>
      </c>
      <c r="DA146" s="2">
        <f t="shared" si="61"/>
        <v>0.31399888707052931</v>
      </c>
    </row>
    <row r="147" spans="2:105" ht="18" customHeight="1" x14ac:dyDescent="0.25">
      <c r="B147" s="45"/>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7"/>
      <c r="AR147" s="45"/>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7"/>
      <c r="CM147" s="2">
        <f t="shared" si="62"/>
        <v>29.2</v>
      </c>
      <c r="CN147" s="1" t="str">
        <f t="shared" si="49"/>
        <v>0.0107986736111111+31.5321269444444i</v>
      </c>
      <c r="CO147" s="56" t="str">
        <f t="shared" si="50"/>
        <v>-0.924543973554034i</v>
      </c>
      <c r="CP147" s="1" t="str">
        <f t="shared" si="51"/>
        <v>0.0107986736111111+30.6075829708904i</v>
      </c>
      <c r="CQ147" s="1" t="str">
        <f t="shared" si="52"/>
        <v>0.0191834803010191+14.003940619744i</v>
      </c>
      <c r="CR147" s="1" t="str">
        <f t="shared" si="53"/>
        <v>0.0100941598485845+9.60798545819522i</v>
      </c>
      <c r="CT147" s="1">
        <f t="shared" si="54"/>
        <v>29.2</v>
      </c>
      <c r="CU147" s="1">
        <f t="shared" si="55"/>
        <v>30.6</v>
      </c>
      <c r="CV147" s="56">
        <f t="shared" si="56"/>
        <v>14.003953759107905</v>
      </c>
      <c r="CW147" s="2">
        <f t="shared" si="57"/>
        <v>9.6079907606613482</v>
      </c>
      <c r="CX147" s="2">
        <f t="shared" si="58"/>
        <v>29.2</v>
      </c>
      <c r="CY147" s="2">
        <f t="shared" si="59"/>
        <v>0.6860912943541031</v>
      </c>
      <c r="CZ147" s="2">
        <f t="shared" si="60"/>
        <v>29.2</v>
      </c>
      <c r="DA147" s="2">
        <f t="shared" si="61"/>
        <v>0.31390881703468693</v>
      </c>
    </row>
    <row r="148" spans="2:105" ht="18" customHeight="1" x14ac:dyDescent="0.25">
      <c r="CM148" s="2">
        <f t="shared" si="62"/>
        <v>29.4</v>
      </c>
      <c r="CN148" s="1" t="str">
        <f t="shared" si="49"/>
        <v>0.0107986736111111+31.7481004166667i</v>
      </c>
      <c r="CO148" s="56" t="str">
        <f t="shared" si="50"/>
        <v>-0.918254558767952i</v>
      </c>
      <c r="CP148" s="1" t="str">
        <f t="shared" si="51"/>
        <v>0.0107986736111111+30.8298458578987i</v>
      </c>
      <c r="CQ148" s="1" t="str">
        <f t="shared" si="52"/>
        <v>0.0191834803010191+14.0998580212491i</v>
      </c>
      <c r="CR148" s="1" t="str">
        <f t="shared" si="53"/>
        <v>0.0100958835576996+9.67503694488635i</v>
      </c>
      <c r="CT148" s="1">
        <f t="shared" si="54"/>
        <v>29.4</v>
      </c>
      <c r="CU148" s="1">
        <f t="shared" si="55"/>
        <v>30.8</v>
      </c>
      <c r="CV148" s="56">
        <f t="shared" si="56"/>
        <v>14.099871071229661</v>
      </c>
      <c r="CW148" s="2">
        <f t="shared" si="57"/>
        <v>9.6750422124030351</v>
      </c>
      <c r="CX148" s="2">
        <f t="shared" si="58"/>
        <v>29.4</v>
      </c>
      <c r="CY148" s="2">
        <f t="shared" si="59"/>
        <v>0.6861794808992725</v>
      </c>
      <c r="CZ148" s="2">
        <f t="shared" si="60"/>
        <v>29.4</v>
      </c>
      <c r="DA148" s="2">
        <f t="shared" si="61"/>
        <v>0.31382062899363899</v>
      </c>
    </row>
    <row r="149" spans="2:105" ht="18" customHeight="1" x14ac:dyDescent="0.25">
      <c r="B149" s="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5"/>
      <c r="AR149" s="3"/>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5"/>
      <c r="CM149" s="2">
        <f t="shared" si="62"/>
        <v>29.6</v>
      </c>
      <c r="CN149" s="1" t="str">
        <f t="shared" si="49"/>
        <v>0.0107986736111111+31.9640738888889i</v>
      </c>
      <c r="CO149" s="56" t="str">
        <f t="shared" si="50"/>
        <v>-0.912050136073574i</v>
      </c>
      <c r="CP149" s="1" t="str">
        <f t="shared" si="51"/>
        <v>0.0107986736111111+31.0520237528153i</v>
      </c>
      <c r="CQ149" s="1" t="str">
        <f t="shared" si="52"/>
        <v>0.0191834803010191+14.1957754227542i</v>
      </c>
      <c r="CR149" s="1" t="str">
        <f t="shared" si="53"/>
        <v>0.0100975719577966+9.74207937710733i</v>
      </c>
      <c r="CT149" s="1">
        <f t="shared" si="54"/>
        <v>29.6</v>
      </c>
      <c r="CU149" s="1">
        <f t="shared" si="55"/>
        <v>31.1</v>
      </c>
      <c r="CV149" s="56">
        <f t="shared" si="56"/>
        <v>14.195788384559298</v>
      </c>
      <c r="CW149" s="2">
        <f t="shared" si="57"/>
        <v>9.7420846101242322</v>
      </c>
      <c r="CX149" s="2">
        <f t="shared" si="58"/>
        <v>29.6</v>
      </c>
      <c r="CY149" s="2">
        <f t="shared" si="59"/>
        <v>0.68626583788193452</v>
      </c>
      <c r="CZ149" s="2">
        <f t="shared" si="60"/>
        <v>29.6</v>
      </c>
      <c r="DA149" s="2">
        <f t="shared" si="61"/>
        <v>0.31373427054490471</v>
      </c>
    </row>
    <row r="150" spans="2:105" ht="18" customHeight="1" x14ac:dyDescent="0.25">
      <c r="B150" s="6"/>
      <c r="AN150" s="7"/>
      <c r="AP150" s="8"/>
      <c r="AR150" s="6"/>
      <c r="CD150" s="7"/>
      <c r="CF150" s="8"/>
      <c r="CM150" s="2">
        <f t="shared" si="62"/>
        <v>29.8</v>
      </c>
      <c r="CN150" s="1" t="str">
        <f t="shared" si="49"/>
        <v>0.0107986736111111+32.1800473611111i</v>
      </c>
      <c r="CO150" s="56" t="str">
        <f t="shared" si="50"/>
        <v>-0.905928994220731i</v>
      </c>
      <c r="CP150" s="1" t="str">
        <f t="shared" si="51"/>
        <v>0.0107986736111111+31.2741183668904i</v>
      </c>
      <c r="CQ150" s="1" t="str">
        <f t="shared" si="52"/>
        <v>0.0191834803010191+14.2916928242593i</v>
      </c>
      <c r="CR150" s="1" t="str">
        <f t="shared" si="53"/>
        <v>0.0100992260097371+9.80911295125463i</v>
      </c>
      <c r="CT150" s="1">
        <f t="shared" si="54"/>
        <v>29.8</v>
      </c>
      <c r="CU150" s="1">
        <f t="shared" si="55"/>
        <v>31.3</v>
      </c>
      <c r="CV150" s="56">
        <f t="shared" si="56"/>
        <v>14.291705699072494</v>
      </c>
      <c r="CW150" s="2">
        <f t="shared" si="57"/>
        <v>9.8091181502129583</v>
      </c>
      <c r="CX150" s="2">
        <f t="shared" si="58"/>
        <v>29.8</v>
      </c>
      <c r="CY150" s="2">
        <f t="shared" si="59"/>
        <v>0.68635041588139878</v>
      </c>
      <c r="CZ150" s="2">
        <f t="shared" si="60"/>
        <v>29.8</v>
      </c>
      <c r="DA150" s="2">
        <f t="shared" si="61"/>
        <v>0.31364969110839108</v>
      </c>
    </row>
    <row r="151" spans="2:105" ht="18" customHeight="1" x14ac:dyDescent="0.25">
      <c r="B151" s="6"/>
      <c r="AN151" s="9"/>
      <c r="AP151" s="8"/>
      <c r="AR151" s="6"/>
      <c r="CD151" s="9"/>
      <c r="CF151" s="8"/>
      <c r="CM151" s="2">
        <f t="shared" si="62"/>
        <v>30</v>
      </c>
      <c r="CN151" s="1" t="str">
        <f t="shared" si="49"/>
        <v>0.0107986736111111+32.3960208333333i</v>
      </c>
      <c r="CO151" s="56" t="str">
        <f t="shared" si="50"/>
        <v>-0.899889467592593i</v>
      </c>
      <c r="CP151" s="1" t="str">
        <f t="shared" si="51"/>
        <v>0.0107986736111111+31.4961313657407i</v>
      </c>
      <c r="CQ151" s="1" t="str">
        <f t="shared" si="52"/>
        <v>0.0191834803010191+14.3876102257644i</v>
      </c>
      <c r="CR151" s="1" t="str">
        <f t="shared" si="53"/>
        <v>0.0101008466418227+9.8761378580042i</v>
      </c>
      <c r="CT151" s="1">
        <f t="shared" si="54"/>
        <v>30</v>
      </c>
      <c r="CU151" s="1">
        <f t="shared" si="55"/>
        <v>31.5</v>
      </c>
      <c r="CV151" s="56">
        <f t="shared" si="56"/>
        <v>14.387623014745584</v>
      </c>
      <c r="CW151" s="2">
        <f t="shared" si="57"/>
        <v>9.8761430233369278</v>
      </c>
      <c r="CX151" s="2">
        <f t="shared" si="58"/>
        <v>30</v>
      </c>
      <c r="CY151" s="2">
        <f t="shared" si="59"/>
        <v>0.68643326373057423</v>
      </c>
      <c r="CZ151" s="2">
        <f t="shared" si="60"/>
        <v>30</v>
      </c>
      <c r="DA151" s="2">
        <f t="shared" si="61"/>
        <v>0.31356684185043232</v>
      </c>
    </row>
    <row r="152" spans="2:105" ht="18" customHeight="1" thickBot="1" x14ac:dyDescent="0.3">
      <c r="B152" s="6"/>
      <c r="C152" s="10" t="str">
        <f>"Harmonic Filter Design - Notch Type | "&amp; H12 &amp; " | " &amp; AE13</f>
        <v>Harmonic Filter Design - Notch Type | Enter Customer PO #  | Stage 1</v>
      </c>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1"/>
      <c r="AO152" s="10"/>
      <c r="AP152" s="8"/>
      <c r="AR152" s="6"/>
      <c r="AS152" s="10" t="str">
        <f>"Harmonic Filter Design - Notch Type | "&amp; H12 &amp; " | " &amp; AE13</f>
        <v>Harmonic Filter Design - Notch Type | Enter Customer PO #  | Stage 1</v>
      </c>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1"/>
      <c r="CE152" s="10"/>
      <c r="CF152" s="8"/>
      <c r="CM152" s="2">
        <f t="shared" si="62"/>
        <v>30.2</v>
      </c>
      <c r="CN152" s="1" t="str">
        <f t="shared" si="49"/>
        <v>0.0107986736111111+32.6119943055556i</v>
      </c>
      <c r="CO152" s="56" t="str">
        <f t="shared" si="50"/>
        <v>-0.893929934694629i</v>
      </c>
      <c r="CP152" s="1" t="str">
        <f t="shared" si="51"/>
        <v>0.0107986736111111+31.718064370861i</v>
      </c>
      <c r="CQ152" s="1" t="str">
        <f t="shared" si="52"/>
        <v>0.0191834803010191+14.4835276272695i</v>
      </c>
      <c r="CR152" s="1" t="str">
        <f t="shared" si="53"/>
        <v>0.0101024347511132+9.94315428252077i</v>
      </c>
      <c r="CT152" s="1">
        <f t="shared" si="54"/>
        <v>30.2</v>
      </c>
      <c r="CU152" s="1">
        <f t="shared" si="55"/>
        <v>31.7</v>
      </c>
      <c r="CV152" s="56">
        <f t="shared" si="56"/>
        <v>14.483540331555519</v>
      </c>
      <c r="CW152" s="2">
        <f t="shared" si="57"/>
        <v>9.9431594146528202</v>
      </c>
      <c r="CX152" s="2">
        <f t="shared" si="58"/>
        <v>30.2</v>
      </c>
      <c r="CY152" s="2">
        <f t="shared" si="59"/>
        <v>0.68651442858825751</v>
      </c>
      <c r="CZ152" s="2">
        <f t="shared" si="60"/>
        <v>30.2</v>
      </c>
      <c r="DA152" s="2">
        <f t="shared" si="61"/>
        <v>0.31348567561149859</v>
      </c>
    </row>
    <row r="153" spans="2:105" ht="18" customHeight="1" x14ac:dyDescent="0.25">
      <c r="B153" s="6"/>
      <c r="AN153" s="9"/>
      <c r="AP153" s="8"/>
      <c r="AR153" s="6"/>
      <c r="CD153" s="9"/>
      <c r="CF153" s="8"/>
      <c r="CM153" s="2">
        <f t="shared" si="62"/>
        <v>30.4</v>
      </c>
      <c r="CN153" s="1" t="str">
        <f t="shared" si="49"/>
        <v>0.0107986736111111+32.8279677777778i</v>
      </c>
      <c r="CO153" s="56" t="str">
        <f t="shared" si="50"/>
        <v>-0.888048816703217i</v>
      </c>
      <c r="CP153" s="1" t="str">
        <f t="shared" si="51"/>
        <v>0.0107986736111111+31.9399189610746i</v>
      </c>
      <c r="CQ153" s="1" t="str">
        <f t="shared" si="52"/>
        <v>0.0191834803010191+14.5794450287746i</v>
      </c>
      <c r="CR153" s="1" t="str">
        <f t="shared" si="53"/>
        <v>0.0101039912046839+10.0101624046578i</v>
      </c>
      <c r="CT153" s="1">
        <f t="shared" si="54"/>
        <v>30.4</v>
      </c>
      <c r="CU153" s="1">
        <f t="shared" si="55"/>
        <v>31.9</v>
      </c>
      <c r="CV153" s="56">
        <f t="shared" si="56"/>
        <v>14.579457649479863</v>
      </c>
      <c r="CW153" s="2">
        <f t="shared" si="57"/>
        <v>10.010167504006249</v>
      </c>
      <c r="CX153" s="2">
        <f t="shared" si="58"/>
        <v>30.4</v>
      </c>
      <c r="CY153" s="2">
        <f t="shared" si="59"/>
        <v>0.68659395600791517</v>
      </c>
      <c r="CZ153" s="2">
        <f t="shared" si="60"/>
        <v>30.4</v>
      </c>
      <c r="DA153" s="2">
        <f t="shared" si="61"/>
        <v>0.31340614683741425</v>
      </c>
    </row>
    <row r="154" spans="2:105" ht="18" customHeight="1" x14ac:dyDescent="0.3">
      <c r="B154" s="6"/>
      <c r="AO154" s="17"/>
      <c r="AP154" s="8"/>
      <c r="AR154" s="6"/>
      <c r="AS154" s="154" t="s">
        <v>150</v>
      </c>
      <c r="AT154" s="154"/>
      <c r="AU154" s="154"/>
      <c r="AV154" s="154"/>
      <c r="AW154" s="154"/>
      <c r="AX154" s="154"/>
      <c r="AY154" s="154"/>
      <c r="AZ154" s="154"/>
      <c r="BA154" s="154"/>
      <c r="BB154" s="154"/>
      <c r="BC154" s="154"/>
      <c r="BD154" s="154"/>
      <c r="BE154" s="154"/>
      <c r="BF154" s="154"/>
      <c r="BG154" s="154"/>
      <c r="BH154" s="154"/>
      <c r="BI154" s="154"/>
      <c r="BJ154" s="154"/>
      <c r="BK154" s="154"/>
      <c r="BL154" s="154"/>
      <c r="BM154" s="154"/>
      <c r="BN154" s="154"/>
      <c r="BO154" s="154"/>
      <c r="BP154" s="154"/>
      <c r="BQ154" s="154"/>
      <c r="BR154" s="154"/>
      <c r="BS154" s="154"/>
      <c r="BT154" s="154"/>
      <c r="BU154" s="154"/>
      <c r="BV154" s="154"/>
      <c r="BW154" s="154"/>
      <c r="BX154" s="154"/>
      <c r="BY154" s="154"/>
      <c r="BZ154" s="154"/>
      <c r="CA154" s="154"/>
      <c r="CB154" s="154"/>
      <c r="CC154" s="154"/>
      <c r="CD154" s="154"/>
      <c r="CE154" s="154"/>
      <c r="CF154" s="8"/>
      <c r="CM154" s="2">
        <f t="shared" si="62"/>
        <v>30.6</v>
      </c>
      <c r="CN154" s="1" t="str">
        <f t="shared" si="49"/>
        <v>0.0107986736111111+33.04394125i</v>
      </c>
      <c r="CO154" s="56" t="str">
        <f t="shared" si="50"/>
        <v>-0.882244576071169i</v>
      </c>
      <c r="CP154" s="1" t="str">
        <f t="shared" si="51"/>
        <v>0.0107986736111111+32.1616966739288i</v>
      </c>
      <c r="CQ154" s="1" t="str">
        <f t="shared" si="52"/>
        <v>0.0191834803010191+14.6753624302797i</v>
      </c>
      <c r="CR154" s="1" t="str">
        <f t="shared" si="53"/>
        <v>0.010105516840823+10.0771623991489i</v>
      </c>
      <c r="CT154" s="1">
        <f t="shared" si="54"/>
        <v>30.6</v>
      </c>
      <c r="CU154" s="1">
        <f t="shared" si="55"/>
        <v>32.200000000000003</v>
      </c>
      <c r="CV154" s="56">
        <f t="shared" si="56"/>
        <v>14.675374968496763</v>
      </c>
      <c r="CW154" s="2">
        <f t="shared" si="57"/>
        <v>10.077167466123159</v>
      </c>
      <c r="CX154" s="2">
        <f t="shared" si="58"/>
        <v>30.6</v>
      </c>
      <c r="CY154" s="2">
        <f t="shared" si="59"/>
        <v>0.68667189000318918</v>
      </c>
      <c r="CZ154" s="2">
        <f t="shared" si="60"/>
        <v>30.6</v>
      </c>
      <c r="DA154" s="2">
        <f t="shared" si="61"/>
        <v>0.3133282115138501</v>
      </c>
    </row>
    <row r="155" spans="2:105" ht="18" customHeight="1" x14ac:dyDescent="0.25">
      <c r="B155" s="6"/>
      <c r="AP155" s="8"/>
      <c r="AR155" s="6"/>
      <c r="AU155" s="177" t="s">
        <v>151</v>
      </c>
      <c r="AV155" s="177"/>
      <c r="AW155" s="177"/>
      <c r="AX155" s="177"/>
      <c r="AY155" s="177"/>
      <c r="AZ155" s="177"/>
      <c r="BA155" s="177"/>
      <c r="BB155" s="24" t="s">
        <v>152</v>
      </c>
      <c r="CF155" s="8"/>
      <c r="CM155" s="2">
        <f t="shared" si="62"/>
        <v>30.8</v>
      </c>
      <c r="CN155" s="1" t="str">
        <f t="shared" si="49"/>
        <v>0.0107986736111111+33.2599147222222i</v>
      </c>
      <c r="CO155" s="56" t="str">
        <f t="shared" si="50"/>
        <v>-0.87651571518759i</v>
      </c>
      <c r="CP155" s="1" t="str">
        <f t="shared" si="51"/>
        <v>0.0107986736111111+32.3833990070346i</v>
      </c>
      <c r="CQ155" s="1" t="str">
        <f t="shared" si="52"/>
        <v>0.0191834803010191+14.7712798317848i</v>
      </c>
      <c r="CR155" s="1" t="str">
        <f t="shared" si="53"/>
        <v>0.0101070124701744+10.144154435791i</v>
      </c>
      <c r="CT155" s="1">
        <f t="shared" si="54"/>
        <v>30.8</v>
      </c>
      <c r="CU155" s="1">
        <f t="shared" si="55"/>
        <v>32.4</v>
      </c>
      <c r="CV155" s="56">
        <f t="shared" si="56"/>
        <v>14.77129228858494</v>
      </c>
      <c r="CW155" s="2">
        <f t="shared" si="57"/>
        <v>10.144159470792998</v>
      </c>
      <c r="CX155" s="2">
        <f t="shared" si="58"/>
        <v>30.8</v>
      </c>
      <c r="CY155" s="2">
        <f t="shared" si="59"/>
        <v>0.68674827311028874</v>
      </c>
      <c r="CZ155" s="2">
        <f t="shared" si="60"/>
        <v>30.8</v>
      </c>
      <c r="DA155" s="2">
        <f t="shared" si="61"/>
        <v>0.31325182710393201</v>
      </c>
    </row>
    <row r="156" spans="2:105" ht="18" customHeight="1" x14ac:dyDescent="0.25">
      <c r="B156" s="6"/>
      <c r="AP156" s="8"/>
      <c r="AR156" s="6"/>
      <c r="AT156" s="24"/>
      <c r="AU156" s="177" t="s">
        <v>153</v>
      </c>
      <c r="AV156" s="177"/>
      <c r="AW156" s="177"/>
      <c r="AX156" s="177"/>
      <c r="AY156" s="177"/>
      <c r="AZ156" s="177"/>
      <c r="BA156" s="177"/>
      <c r="BB156" s="24" t="s">
        <v>154</v>
      </c>
      <c r="CF156" s="8"/>
      <c r="CM156" s="2">
        <f t="shared" si="62"/>
        <v>31</v>
      </c>
      <c r="CN156" s="1" t="str">
        <f t="shared" si="49"/>
        <v>0.0107986736111111+33.4758881944445i</v>
      </c>
      <c r="CO156" s="56" t="str">
        <f t="shared" si="50"/>
        <v>-0.870860775089606i</v>
      </c>
      <c r="CP156" s="1" t="str">
        <f t="shared" si="51"/>
        <v>0.0107986736111111+32.6050274193549i</v>
      </c>
      <c r="CQ156" s="1" t="str">
        <f t="shared" si="52"/>
        <v>0.0191834803010191+14.8671972332899i</v>
      </c>
      <c r="CR156" s="1" t="str">
        <f t="shared" si="53"/>
        <v>0.0101084788768269+10.2111386796194i</v>
      </c>
      <c r="CT156" s="1">
        <f t="shared" si="54"/>
        <v>31</v>
      </c>
      <c r="CU156" s="1">
        <f t="shared" si="55"/>
        <v>32.6</v>
      </c>
      <c r="CV156" s="56">
        <f t="shared" si="56"/>
        <v>14.867209609723655</v>
      </c>
      <c r="CW156" s="2">
        <f t="shared" si="57"/>
        <v>10.211143683043767</v>
      </c>
      <c r="CX156" s="2">
        <f t="shared" si="58"/>
        <v>31</v>
      </c>
      <c r="CY156" s="2">
        <f t="shared" si="59"/>
        <v>0.68682314644742104</v>
      </c>
      <c r="CZ156" s="2">
        <f t="shared" si="60"/>
        <v>31</v>
      </c>
      <c r="DA156" s="2">
        <f t="shared" si="61"/>
        <v>0.31317695248880867</v>
      </c>
    </row>
    <row r="157" spans="2:105" ht="18" customHeight="1" x14ac:dyDescent="0.25">
      <c r="B157" s="6"/>
      <c r="AP157" s="8"/>
      <c r="AR157" s="6"/>
      <c r="AT157" s="24"/>
      <c r="AU157" s="177" t="s">
        <v>155</v>
      </c>
      <c r="AV157" s="177"/>
      <c r="AW157" s="177"/>
      <c r="AX157" s="177"/>
      <c r="AY157" s="177"/>
      <c r="AZ157" s="177"/>
      <c r="BA157" s="177"/>
      <c r="BB157" s="24" t="s">
        <v>156</v>
      </c>
      <c r="CF157" s="8"/>
      <c r="CM157" s="2">
        <f t="shared" si="62"/>
        <v>31.2</v>
      </c>
      <c r="CN157" s="1" t="str">
        <f t="shared" si="49"/>
        <v>0.0107986736111111+33.6918616666667i</v>
      </c>
      <c r="CO157" s="56" t="str">
        <f t="shared" si="50"/>
        <v>-0.865278334223647i</v>
      </c>
      <c r="CP157" s="1" t="str">
        <f t="shared" si="51"/>
        <v>0.0107986736111111+32.8265833324431i</v>
      </c>
      <c r="CQ157" s="1" t="str">
        <f t="shared" si="52"/>
        <v>0.0191834803010191+14.963114634795i</v>
      </c>
      <c r="CR157" s="1" t="str">
        <f t="shared" si="53"/>
        <v>0.0101099168193542+10.2781152910752i</v>
      </c>
      <c r="CT157" s="1">
        <f t="shared" si="54"/>
        <v>31.2</v>
      </c>
      <c r="CU157" s="1">
        <f t="shared" si="55"/>
        <v>32.799999999999997</v>
      </c>
      <c r="CV157" s="56">
        <f t="shared" si="56"/>
        <v>14.963126931892704</v>
      </c>
      <c r="CW157" s="2">
        <f t="shared" si="57"/>
        <v>10.278120263309431</v>
      </c>
      <c r="CX157" s="2">
        <f t="shared" si="58"/>
        <v>31.2</v>
      </c>
      <c r="CY157" s="2">
        <f t="shared" si="59"/>
        <v>0.68689654977145631</v>
      </c>
      <c r="CZ157" s="2">
        <f t="shared" si="60"/>
        <v>31.2</v>
      </c>
      <c r="DA157" s="2">
        <f t="shared" si="61"/>
        <v>0.31310354791098549</v>
      </c>
    </row>
    <row r="158" spans="2:105" ht="18" customHeight="1" x14ac:dyDescent="0.25">
      <c r="B158" s="6"/>
      <c r="AP158" s="8"/>
      <c r="AR158" s="6"/>
      <c r="AT158" s="24"/>
      <c r="AU158" s="177" t="s">
        <v>157</v>
      </c>
      <c r="AV158" s="177"/>
      <c r="AW158" s="177"/>
      <c r="AX158" s="177"/>
      <c r="AY158" s="177"/>
      <c r="AZ158" s="177"/>
      <c r="BA158" s="177"/>
      <c r="BB158" s="24" t="s">
        <v>158</v>
      </c>
      <c r="CF158" s="8"/>
      <c r="CM158" s="2">
        <f t="shared" si="62"/>
        <v>31.4</v>
      </c>
      <c r="CN158" s="1" t="str">
        <f t="shared" si="49"/>
        <v>0.0107986736111111+33.9078351388889i</v>
      </c>
      <c r="CO158" s="56" t="str">
        <f t="shared" si="50"/>
        <v>-0.85976700725407i</v>
      </c>
      <c r="CP158" s="1" t="str">
        <f t="shared" si="51"/>
        <v>0.0107986736111111+33.0480681316348i</v>
      </c>
      <c r="CQ158" s="1" t="str">
        <f t="shared" si="52"/>
        <v>0.0191834803010191+15.0590320363001i</v>
      </c>
      <c r="CR158" s="1" t="str">
        <f t="shared" si="53"/>
        <v>0.0101113270318076+10.3450844261665i</v>
      </c>
      <c r="CT158" s="1">
        <f t="shared" si="54"/>
        <v>31.4</v>
      </c>
      <c r="CU158" s="1">
        <f t="shared" si="55"/>
        <v>33</v>
      </c>
      <c r="CV158" s="56">
        <f t="shared" si="56"/>
        <v>15.059044255072404</v>
      </c>
      <c r="CW158" s="2">
        <f t="shared" si="57"/>
        <v>10.345089367591129</v>
      </c>
      <c r="CX158" s="2">
        <f t="shared" si="58"/>
        <v>31.4</v>
      </c>
      <c r="CY158" s="2">
        <f t="shared" si="59"/>
        <v>0.68696852153194177</v>
      </c>
      <c r="CZ158" s="2">
        <f t="shared" si="60"/>
        <v>31.4</v>
      </c>
      <c r="DA158" s="2">
        <f t="shared" si="61"/>
        <v>0.31303157492030964</v>
      </c>
    </row>
    <row r="159" spans="2:105" ht="18" customHeight="1" x14ac:dyDescent="0.25">
      <c r="B159" s="6"/>
      <c r="AP159" s="8"/>
      <c r="AR159" s="6"/>
      <c r="AT159" s="24"/>
      <c r="AU159" s="177" t="s">
        <v>65</v>
      </c>
      <c r="AV159" s="177"/>
      <c r="AW159" s="177"/>
      <c r="AX159" s="177"/>
      <c r="AY159" s="177"/>
      <c r="AZ159" s="177"/>
      <c r="BA159" s="177"/>
      <c r="BB159" s="24" t="s">
        <v>159</v>
      </c>
      <c r="CF159" s="8"/>
      <c r="CM159" s="2">
        <f t="shared" si="62"/>
        <v>31.6</v>
      </c>
      <c r="CN159" s="1" t="str">
        <f t="shared" si="49"/>
        <v>0.0107986736111111+34.1238086111111i</v>
      </c>
      <c r="CO159" s="56" t="str">
        <f t="shared" si="50"/>
        <v>-0.854325443917018i</v>
      </c>
      <c r="CP159" s="1" t="str">
        <f t="shared" si="51"/>
        <v>0.0107986736111111+33.2694831671941i</v>
      </c>
      <c r="CQ159" s="1" t="str">
        <f t="shared" si="52"/>
        <v>0.0191834803010191+15.1549494378051i</v>
      </c>
      <c r="CR159" s="1" t="str">
        <f t="shared" si="53"/>
        <v>0.0101127102246633+10.4120462366218i</v>
      </c>
      <c r="CT159" s="1">
        <f t="shared" si="54"/>
        <v>31.6</v>
      </c>
      <c r="CU159" s="1">
        <f t="shared" si="55"/>
        <v>33.299999999999997</v>
      </c>
      <c r="CV159" s="56">
        <f t="shared" si="56"/>
        <v>15.154961579243466</v>
      </c>
      <c r="CW159" s="2">
        <f t="shared" si="57"/>
        <v>10.412051147610555</v>
      </c>
      <c r="CX159" s="2">
        <f t="shared" si="58"/>
        <v>31.6</v>
      </c>
      <c r="CY159" s="2">
        <f t="shared" si="59"/>
        <v>0.68703909892263126</v>
      </c>
      <c r="CZ159" s="2">
        <f t="shared" si="60"/>
        <v>31.6</v>
      </c>
      <c r="DA159" s="2">
        <f t="shared" si="61"/>
        <v>0.31296099632244434</v>
      </c>
    </row>
    <row r="160" spans="2:105" ht="18" customHeight="1" x14ac:dyDescent="0.25">
      <c r="B160" s="6"/>
      <c r="AP160" s="8"/>
      <c r="AR160" s="6"/>
      <c r="AT160" s="24"/>
      <c r="AU160" s="177" t="s">
        <v>160</v>
      </c>
      <c r="AV160" s="177"/>
      <c r="AW160" s="177"/>
      <c r="AX160" s="177"/>
      <c r="AY160" s="177"/>
      <c r="AZ160" s="177"/>
      <c r="BA160" s="177"/>
      <c r="BB160" s="24" t="s">
        <v>161</v>
      </c>
      <c r="CF160" s="8"/>
      <c r="CM160" s="2">
        <f t="shared" si="62"/>
        <v>31.8</v>
      </c>
      <c r="CN160" s="1" t="str">
        <f t="shared" si="49"/>
        <v>0.0107986736111111+34.3397820833333i</v>
      </c>
      <c r="CO160" s="56" t="str">
        <f t="shared" si="50"/>
        <v>-0.84895232791754i</v>
      </c>
      <c r="CP160" s="1" t="str">
        <f t="shared" si="51"/>
        <v>0.0107986736111111+33.4908297554158i</v>
      </c>
      <c r="CQ160" s="1" t="str">
        <f t="shared" si="52"/>
        <v>0.0191834803010191+15.2508668393102i</v>
      </c>
      <c r="CR160" s="1" t="str">
        <f t="shared" si="53"/>
        <v>0.0101140670857274+10.4790008700373i</v>
      </c>
      <c r="CT160" s="1">
        <f t="shared" si="54"/>
        <v>31.8</v>
      </c>
      <c r="CU160" s="1">
        <f t="shared" si="55"/>
        <v>33.5</v>
      </c>
      <c r="CV160" s="56">
        <f t="shared" si="56"/>
        <v>15.250878904387379</v>
      </c>
      <c r="CW160" s="2">
        <f t="shared" si="57"/>
        <v>10.479005750957267</v>
      </c>
      <c r="CX160" s="2">
        <f t="shared" si="58"/>
        <v>31.8</v>
      </c>
      <c r="CY160" s="2">
        <f t="shared" si="59"/>
        <v>0.68710831793062543</v>
      </c>
      <c r="CZ160" s="2">
        <f t="shared" si="60"/>
        <v>31.8</v>
      </c>
      <c r="DA160" s="2">
        <f t="shared" si="61"/>
        <v>0.31289177612971775</v>
      </c>
    </row>
    <row r="161" spans="2:105" ht="18" customHeight="1" x14ac:dyDescent="0.25">
      <c r="B161" s="6"/>
      <c r="AP161" s="8"/>
      <c r="AR161" s="6"/>
      <c r="AT161" s="24"/>
      <c r="AU161" s="177" t="s">
        <v>162</v>
      </c>
      <c r="AV161" s="177"/>
      <c r="AW161" s="177"/>
      <c r="AX161" s="177"/>
      <c r="AY161" s="177"/>
      <c r="AZ161" s="177"/>
      <c r="BA161" s="177"/>
      <c r="BB161" s="24" t="s">
        <v>163</v>
      </c>
      <c r="CF161" s="8"/>
      <c r="CM161" s="2">
        <f t="shared" si="62"/>
        <v>32</v>
      </c>
      <c r="CN161" s="1" t="str">
        <f t="shared" si="49"/>
        <v>0.0107986736111111+34.5557555555556i</v>
      </c>
      <c r="CO161" s="56" t="str">
        <f t="shared" si="50"/>
        <v>-0.843646375868056i</v>
      </c>
      <c r="CP161" s="1" t="str">
        <f t="shared" si="51"/>
        <v>0.0107986736111111+33.7121091796875i</v>
      </c>
      <c r="CQ161" s="1" t="str">
        <f t="shared" si="52"/>
        <v>0.0191834803010191+15.3467842408153i</v>
      </c>
      <c r="CR161" s="1" t="str">
        <f t="shared" si="53"/>
        <v>0.0101153982810008+10.5459484700186i</v>
      </c>
      <c r="CT161" s="1">
        <f t="shared" si="54"/>
        <v>32</v>
      </c>
      <c r="CU161" s="1">
        <f t="shared" si="55"/>
        <v>33.700000000000003</v>
      </c>
      <c r="CV161" s="56">
        <f t="shared" si="56"/>
        <v>15.346796230485806</v>
      </c>
      <c r="CW161" s="2">
        <f t="shared" si="57"/>
        <v>10.545953321230378</v>
      </c>
      <c r="CX161" s="2">
        <f t="shared" si="58"/>
        <v>32</v>
      </c>
      <c r="CY161" s="2">
        <f t="shared" si="59"/>
        <v>0.68717621338330437</v>
      </c>
      <c r="CZ161" s="2">
        <f t="shared" si="60"/>
        <v>32</v>
      </c>
      <c r="DA161" s="2">
        <f t="shared" si="61"/>
        <v>0.31282387951420004</v>
      </c>
    </row>
    <row r="162" spans="2:105" ht="18" customHeight="1" x14ac:dyDescent="0.25">
      <c r="B162" s="6"/>
      <c r="AP162" s="8"/>
      <c r="AR162" s="6"/>
      <c r="AT162" s="24"/>
      <c r="AU162" s="177" t="s">
        <v>164</v>
      </c>
      <c r="AV162" s="177"/>
      <c r="AW162" s="177"/>
      <c r="AX162" s="177"/>
      <c r="AY162" s="177"/>
      <c r="AZ162" s="177"/>
      <c r="BA162" s="177"/>
      <c r="BB162" s="24" t="s">
        <v>165</v>
      </c>
      <c r="CF162" s="8"/>
      <c r="CM162" s="2">
        <f t="shared" si="62"/>
        <v>32.200000000000003</v>
      </c>
      <c r="CN162" s="1" t="str">
        <f t="shared" si="49"/>
        <v>0.0107986736111111+34.7717290277778i</v>
      </c>
      <c r="CO162" s="56" t="str">
        <f t="shared" si="50"/>
        <v>-0.838406336266391i</v>
      </c>
      <c r="CP162" s="1" t="str">
        <f t="shared" si="51"/>
        <v>0.0107986736111111+33.9333226915114i</v>
      </c>
      <c r="CQ162" s="1" t="str">
        <f t="shared" si="52"/>
        <v>0.0191834803010191+15.4427016423204i</v>
      </c>
      <c r="CR162" s="1" t="str">
        <f t="shared" si="53"/>
        <v>0.0101167044555057+10.612889176316i</v>
      </c>
      <c r="CT162" s="1">
        <f t="shared" si="54"/>
        <v>32.200000000000003</v>
      </c>
      <c r="CU162" s="1">
        <f t="shared" si="55"/>
        <v>33.9</v>
      </c>
      <c r="CV162" s="56">
        <f t="shared" si="56"/>
        <v>15.44271355752096</v>
      </c>
      <c r="CW162" s="2">
        <f t="shared" si="57"/>
        <v>10.612893998173842</v>
      </c>
      <c r="CX162" s="2">
        <f t="shared" si="58"/>
        <v>32.200000000000003</v>
      </c>
      <c r="CY162" s="2">
        <f t="shared" si="59"/>
        <v>0.68724281899311102</v>
      </c>
      <c r="CZ162" s="2">
        <f t="shared" si="60"/>
        <v>32.200000000000003</v>
      </c>
      <c r="DA162" s="2">
        <f t="shared" si="61"/>
        <v>0.31275727276291437</v>
      </c>
    </row>
    <row r="163" spans="2:105" ht="18" customHeight="1" x14ac:dyDescent="0.25">
      <c r="B163" s="6"/>
      <c r="AP163" s="8"/>
      <c r="AR163" s="6"/>
      <c r="AT163" s="24"/>
      <c r="AU163" s="177" t="s">
        <v>166</v>
      </c>
      <c r="AV163" s="177"/>
      <c r="AW163" s="177"/>
      <c r="AX163" s="177"/>
      <c r="AY163" s="177"/>
      <c r="AZ163" s="177"/>
      <c r="BA163" s="177"/>
      <c r="BB163" s="24" t="s">
        <v>167</v>
      </c>
      <c r="CF163" s="8"/>
      <c r="CM163" s="2">
        <f t="shared" si="62"/>
        <v>32.4</v>
      </c>
      <c r="CN163" s="1" t="str">
        <f t="shared" si="49"/>
        <v>0.0107986736111111+34.9877025i</v>
      </c>
      <c r="CO163" s="56" t="str">
        <f t="shared" si="50"/>
        <v>-0.83323098851166i</v>
      </c>
      <c r="CP163" s="1" t="str">
        <f t="shared" si="51"/>
        <v>0.0107986736111111+34.1544715114883i</v>
      </c>
      <c r="CQ163" s="1" t="str">
        <f t="shared" si="52"/>
        <v>0.0191834803010191+15.5386190438255i</v>
      </c>
      <c r="CR163" s="1" t="str">
        <f t="shared" si="53"/>
        <v>0.0101179862340752+10.6798231249542i</v>
      </c>
      <c r="CT163" s="1">
        <f t="shared" si="54"/>
        <v>32.4</v>
      </c>
      <c r="CU163" s="1">
        <f t="shared" si="55"/>
        <v>34.200000000000003</v>
      </c>
      <c r="CV163" s="56">
        <f t="shared" si="56"/>
        <v>15.538630885475497</v>
      </c>
      <c r="CW163" s="2">
        <f t="shared" si="57"/>
        <v>10.679827917806163</v>
      </c>
      <c r="CX163" s="2">
        <f t="shared" si="58"/>
        <v>32.4</v>
      </c>
      <c r="CY163" s="2">
        <f t="shared" si="59"/>
        <v>0.68730816740032175</v>
      </c>
      <c r="CZ163" s="2">
        <f t="shared" si="60"/>
        <v>32.4</v>
      </c>
      <c r="DA163" s="2">
        <f t="shared" si="61"/>
        <v>0.31269192323506645</v>
      </c>
    </row>
    <row r="164" spans="2:105" ht="18" customHeight="1" x14ac:dyDescent="0.25">
      <c r="B164" s="6"/>
      <c r="AP164" s="8"/>
      <c r="AR164" s="6"/>
      <c r="AT164" s="24"/>
      <c r="AU164" s="177" t="s">
        <v>168</v>
      </c>
      <c r="AV164" s="177"/>
      <c r="AW164" s="177"/>
      <c r="AX164" s="177"/>
      <c r="AY164" s="177"/>
      <c r="AZ164" s="177"/>
      <c r="BA164" s="177"/>
      <c r="BB164" s="24" t="s">
        <v>292</v>
      </c>
      <c r="CF164" s="8"/>
      <c r="CM164" s="2">
        <f t="shared" si="62"/>
        <v>32.6</v>
      </c>
      <c r="CN164" s="1" t="str">
        <f t="shared" si="49"/>
        <v>0.0107986736111111+35.2036759722222i</v>
      </c>
      <c r="CO164" s="56" t="str">
        <f t="shared" si="50"/>
        <v>-0.828119141956374i</v>
      </c>
      <c r="CP164" s="1" t="str">
        <f t="shared" si="51"/>
        <v>0.0107986736111111+34.3755568302658i</v>
      </c>
      <c r="CQ164" s="1" t="str">
        <f t="shared" si="52"/>
        <v>0.0191834803010191+15.6345364453306i</v>
      </c>
      <c r="CR164" s="1" t="str">
        <f t="shared" si="53"/>
        <v>0.0101192442221088+10.7467504483576i</v>
      </c>
      <c r="CT164" s="1">
        <f t="shared" si="54"/>
        <v>32.6</v>
      </c>
      <c r="CU164" s="1">
        <f t="shared" si="55"/>
        <v>34.4</v>
      </c>
      <c r="CV164" s="56">
        <f t="shared" si="56"/>
        <v>15.634548214332492</v>
      </c>
      <c r="CW164" s="2">
        <f t="shared" si="57"/>
        <v>10.746755212545688</v>
      </c>
      <c r="CX164" s="2">
        <f t="shared" si="58"/>
        <v>32.6</v>
      </c>
      <c r="CY164" s="2">
        <f t="shared" si="59"/>
        <v>0.68737229021391832</v>
      </c>
      <c r="CZ164" s="2">
        <f t="shared" si="60"/>
        <v>32.6</v>
      </c>
      <c r="DA164" s="2">
        <f t="shared" si="61"/>
        <v>0.31262779932117213</v>
      </c>
    </row>
    <row r="165" spans="2:105" ht="18" customHeight="1" x14ac:dyDescent="0.25">
      <c r="B165" s="6"/>
      <c r="AP165" s="8"/>
      <c r="AR165" s="6"/>
      <c r="AT165" s="24"/>
      <c r="AU165" s="177" t="s">
        <v>169</v>
      </c>
      <c r="AV165" s="177"/>
      <c r="AW165" s="177"/>
      <c r="AX165" s="177"/>
      <c r="AY165" s="177"/>
      <c r="AZ165" s="177"/>
      <c r="BA165" s="177"/>
      <c r="BB165" s="24" t="s">
        <v>170</v>
      </c>
      <c r="CF165" s="8"/>
      <c r="CM165" s="2">
        <f t="shared" si="62"/>
        <v>32.799999999999997</v>
      </c>
      <c r="CN165" s="1" t="str">
        <f t="shared" si="49"/>
        <v>0.0107986736111111+35.4196494444445i</v>
      </c>
      <c r="CO165" s="56" t="str">
        <f t="shared" si="50"/>
        <v>-0.823069634993225i</v>
      </c>
      <c r="CP165" s="1" t="str">
        <f t="shared" si="51"/>
        <v>0.0107986736111111+34.5965798094513i</v>
      </c>
      <c r="CQ165" s="1" t="str">
        <f t="shared" si="52"/>
        <v>0.0191834803010191+15.7304538468357i</v>
      </c>
      <c r="CR165" s="1" t="str">
        <f t="shared" si="53"/>
        <v>0.0101204790062954+10.8136712754691i</v>
      </c>
      <c r="CT165" s="1">
        <f t="shared" si="54"/>
        <v>32.799999999999997</v>
      </c>
      <c r="CU165" s="1">
        <f t="shared" si="55"/>
        <v>34.6</v>
      </c>
      <c r="CV165" s="56">
        <f t="shared" si="56"/>
        <v>15.730465544075434</v>
      </c>
      <c r="CW165" s="2">
        <f t="shared" si="57"/>
        <v>10.813676011329395</v>
      </c>
      <c r="CX165" s="2">
        <f t="shared" si="58"/>
        <v>32.799999999999997</v>
      </c>
      <c r="CY165" s="2">
        <f t="shared" si="59"/>
        <v>0.68743521805062957</v>
      </c>
      <c r="CZ165" s="2">
        <f t="shared" si="60"/>
        <v>32.799999999999997</v>
      </c>
      <c r="DA165" s="2">
        <f t="shared" si="61"/>
        <v>0.31256487040401504</v>
      </c>
    </row>
    <row r="166" spans="2:105" ht="18" customHeight="1" x14ac:dyDescent="0.25">
      <c r="B166" s="6"/>
      <c r="AP166" s="8"/>
      <c r="AR166" s="6"/>
      <c r="AT166" s="177" t="s">
        <v>51</v>
      </c>
      <c r="AU166" s="177"/>
      <c r="AV166" s="177"/>
      <c r="AW166" s="177"/>
      <c r="AX166" s="177"/>
      <c r="AY166" s="177"/>
      <c r="AZ166" s="177"/>
      <c r="BA166" s="177"/>
      <c r="BB166" s="24" t="s">
        <v>171</v>
      </c>
      <c r="CF166" s="8"/>
      <c r="CM166" s="2">
        <f t="shared" si="62"/>
        <v>33</v>
      </c>
      <c r="CN166" s="1" t="str">
        <f t="shared" si="49"/>
        <v>0.0107986736111111+35.6356229166667i</v>
      </c>
      <c r="CO166" s="56" t="str">
        <f t="shared" si="50"/>
        <v>-0.818081334175084i</v>
      </c>
      <c r="CP166" s="1" t="str">
        <f t="shared" si="51"/>
        <v>0.0107986736111111+34.8175415824916i</v>
      </c>
      <c r="CQ166" s="1" t="str">
        <f t="shared" si="52"/>
        <v>0.0191834803010191+15.8263712483408i</v>
      </c>
      <c r="CR166" s="1" t="str">
        <f t="shared" si="53"/>
        <v>0.0101216911553038+10.8805857318659i</v>
      </c>
      <c r="CT166" s="1">
        <f t="shared" si="54"/>
        <v>33</v>
      </c>
      <c r="CU166" s="1">
        <f t="shared" si="55"/>
        <v>34.799999999999997</v>
      </c>
      <c r="CV166" s="56">
        <f t="shared" si="56"/>
        <v>15.826382874688226</v>
      </c>
      <c r="CW166" s="2">
        <f t="shared" si="57"/>
        <v>10.880590439728701</v>
      </c>
      <c r="CX166" s="2">
        <f t="shared" si="58"/>
        <v>33</v>
      </c>
      <c r="CY166" s="2">
        <f t="shared" si="59"/>
        <v>0.68749698057226072</v>
      </c>
      <c r="CZ166" s="2">
        <f t="shared" si="60"/>
        <v>33</v>
      </c>
      <c r="DA166" s="2">
        <f t="shared" si="61"/>
        <v>0.31250310682131704</v>
      </c>
    </row>
    <row r="167" spans="2:105" ht="18" customHeight="1" x14ac:dyDescent="0.25">
      <c r="B167" s="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8"/>
      <c r="AR167" s="6"/>
      <c r="AT167" s="24"/>
      <c r="AU167" s="177" t="s">
        <v>172</v>
      </c>
      <c r="AV167" s="177"/>
      <c r="AW167" s="177"/>
      <c r="AX167" s="177"/>
      <c r="AY167" s="177"/>
      <c r="AZ167" s="177"/>
      <c r="BA167" s="177"/>
      <c r="BB167" s="24" t="s">
        <v>173</v>
      </c>
      <c r="CF167" s="8"/>
      <c r="CM167" s="2">
        <f t="shared" si="62"/>
        <v>33.200000000000003</v>
      </c>
      <c r="CN167" s="1" t="str">
        <f t="shared" si="49"/>
        <v>0.0107986736111111+35.8515963888889i</v>
      </c>
      <c r="CO167" s="56" t="str">
        <f t="shared" si="50"/>
        <v>-0.813153133366801i</v>
      </c>
      <c r="CP167" s="1" t="str">
        <f t="shared" si="51"/>
        <v>0.0107986736111111+35.0384432555221i</v>
      </c>
      <c r="CQ167" s="1" t="str">
        <f t="shared" si="52"/>
        <v>0.0191834803010191+15.9222886498459i</v>
      </c>
      <c r="CR167" s="1" t="str">
        <f t="shared" si="53"/>
        <v>0.0101228812204454+10.9474939398691i</v>
      </c>
      <c r="CT167" s="1">
        <f t="shared" si="54"/>
        <v>33.200000000000003</v>
      </c>
      <c r="CU167" s="1">
        <f t="shared" si="55"/>
        <v>35</v>
      </c>
      <c r="CV167" s="56">
        <f t="shared" si="56"/>
        <v>15.922300206155141</v>
      </c>
      <c r="CW167" s="2">
        <f t="shared" si="57"/>
        <v>10.947498620059051</v>
      </c>
      <c r="CX167" s="2">
        <f t="shared" si="58"/>
        <v>33.200000000000003</v>
      </c>
      <c r="CY167" s="2">
        <f t="shared" si="59"/>
        <v>0.68755760652138853</v>
      </c>
      <c r="CZ167" s="2">
        <f t="shared" si="60"/>
        <v>33.200000000000003</v>
      </c>
      <c r="DA167" s="2">
        <f t="shared" si="61"/>
        <v>0.31244247983004253</v>
      </c>
    </row>
    <row r="168" spans="2:105" ht="18" customHeight="1" x14ac:dyDescent="0.3">
      <c r="B168" s="6"/>
      <c r="C168" s="30" t="s">
        <v>174</v>
      </c>
      <c r="AP168" s="8"/>
      <c r="AR168" s="6"/>
      <c r="AT168" s="24"/>
      <c r="AU168" s="177" t="s">
        <v>53</v>
      </c>
      <c r="AV168" s="177"/>
      <c r="AW168" s="177"/>
      <c r="AX168" s="177"/>
      <c r="AY168" s="177"/>
      <c r="AZ168" s="177"/>
      <c r="BA168" s="177"/>
      <c r="BB168" s="24" t="s">
        <v>175</v>
      </c>
      <c r="CF168" s="8"/>
      <c r="CM168" s="2">
        <f t="shared" si="62"/>
        <v>33.4</v>
      </c>
      <c r="CN168" s="1" t="str">
        <f t="shared" si="49"/>
        <v>0.0107986736111111+36.0675698611111i</v>
      </c>
      <c r="CO168" s="56" t="str">
        <f t="shared" si="50"/>
        <v>-0.808283952927479i</v>
      </c>
      <c r="CP168" s="1" t="str">
        <f t="shared" si="51"/>
        <v>0.0107986736111111+35.2592859081836i</v>
      </c>
      <c r="CQ168" s="1" t="str">
        <f t="shared" si="52"/>
        <v>0.0191834803010191+16.018206051351i</v>
      </c>
      <c r="CR168" s="1" t="str">
        <f t="shared" si="53"/>
        <v>0.0101240497363065+11.01439601865i</v>
      </c>
      <c r="CT168" s="1">
        <f t="shared" si="54"/>
        <v>33.4</v>
      </c>
      <c r="CU168" s="1">
        <f t="shared" si="55"/>
        <v>35.299999999999997</v>
      </c>
      <c r="CV168" s="56">
        <f t="shared" si="56"/>
        <v>16.018217538460835</v>
      </c>
      <c r="CW168" s="2">
        <f t="shared" si="57"/>
        <v>11.014400671486218</v>
      </c>
      <c r="CX168" s="2">
        <f t="shared" si="58"/>
        <v>33.4</v>
      </c>
      <c r="CY168" s="2">
        <f t="shared" si="59"/>
        <v>0.68761712375549333</v>
      </c>
      <c r="CZ168" s="2">
        <f t="shared" si="60"/>
        <v>33.4</v>
      </c>
      <c r="DA168" s="2">
        <f t="shared" si="61"/>
        <v>0.31238296157226542</v>
      </c>
    </row>
    <row r="169" spans="2:105" ht="18" customHeight="1" x14ac:dyDescent="0.25">
      <c r="B169" s="6"/>
      <c r="AP169" s="8"/>
      <c r="AR169" s="6"/>
      <c r="AT169" s="24"/>
      <c r="AU169" s="177" t="s">
        <v>176</v>
      </c>
      <c r="AV169" s="177"/>
      <c r="AW169" s="177"/>
      <c r="AX169" s="177"/>
      <c r="AY169" s="177"/>
      <c r="AZ169" s="177"/>
      <c r="BA169" s="177"/>
      <c r="BB169" s="24" t="s">
        <v>177</v>
      </c>
      <c r="CF169" s="8"/>
      <c r="CM169" s="2">
        <f t="shared" si="62"/>
        <v>33.6</v>
      </c>
      <c r="CN169" s="1" t="str">
        <f t="shared" si="49"/>
        <v>0.0107986736111111+36.2835433333333i</v>
      </c>
      <c r="CO169" s="56" t="str">
        <f t="shared" si="50"/>
        <v>-0.803472738921958i</v>
      </c>
      <c r="CP169" s="1" t="str">
        <f t="shared" si="51"/>
        <v>0.0107986736111111+35.4800705944113i</v>
      </c>
      <c r="CQ169" s="1" t="str">
        <f t="shared" si="52"/>
        <v>0.0191834803010191+16.1141234528561i</v>
      </c>
      <c r="CR169" s="1" t="str">
        <f t="shared" si="53"/>
        <v>0.0101251972213559+11.081292084332i</v>
      </c>
      <c r="CT169" s="1">
        <f t="shared" si="54"/>
        <v>33.6</v>
      </c>
      <c r="CU169" s="1">
        <f t="shared" si="55"/>
        <v>35.5</v>
      </c>
      <c r="CV169" s="56">
        <f t="shared" si="56"/>
        <v>16.114134871590327</v>
      </c>
      <c r="CW169" s="2">
        <f t="shared" si="57"/>
        <v>11.081296710128191</v>
      </c>
      <c r="CX169" s="2">
        <f t="shared" si="58"/>
        <v>33.6</v>
      </c>
      <c r="CY169" s="2">
        <f t="shared" si="59"/>
        <v>0.68767555927962321</v>
      </c>
      <c r="CZ169" s="2">
        <f t="shared" si="60"/>
        <v>33.6</v>
      </c>
      <c r="DA169" s="2">
        <f t="shared" si="61"/>
        <v>0.3123245250425053</v>
      </c>
    </row>
    <row r="170" spans="2:105" ht="18" customHeight="1" x14ac:dyDescent="0.25">
      <c r="B170" s="6"/>
      <c r="C170" s="163" t="s">
        <v>295</v>
      </c>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163"/>
      <c r="AB170" s="163"/>
      <c r="AC170" s="163"/>
      <c r="AD170" s="163"/>
      <c r="AE170" s="163"/>
      <c r="AF170" s="163"/>
      <c r="AG170" s="163"/>
      <c r="AH170" s="163"/>
      <c r="AI170" s="163"/>
      <c r="AJ170" s="163"/>
      <c r="AK170" s="163"/>
      <c r="AL170" s="163"/>
      <c r="AM170" s="163"/>
      <c r="AN170" s="163"/>
      <c r="AP170" s="8"/>
      <c r="AR170" s="6"/>
      <c r="AT170" s="24"/>
      <c r="BA170" s="32" t="s">
        <v>178</v>
      </c>
      <c r="BB170" s="24" t="s">
        <v>285</v>
      </c>
      <c r="BC170" s="23"/>
      <c r="BD170" s="23"/>
      <c r="BE170" s="23"/>
      <c r="BF170" s="23"/>
      <c r="BH170" s="23"/>
      <c r="BI170" s="23"/>
      <c r="BJ170" s="23"/>
      <c r="BK170" s="23"/>
      <c r="BL170" s="23"/>
      <c r="BM170" s="23"/>
      <c r="BN170" s="23"/>
      <c r="BO170" s="23"/>
      <c r="BP170" s="23"/>
      <c r="BQ170" s="23"/>
      <c r="CF170" s="8"/>
      <c r="CM170" s="2">
        <f t="shared" si="62"/>
        <v>33.799999999999997</v>
      </c>
      <c r="CN170" s="1" t="str">
        <f t="shared" si="49"/>
        <v>0.0107986736111111+36.4995168055556i</v>
      </c>
      <c r="CO170" s="56" t="str">
        <f t="shared" si="50"/>
        <v>-0.79871846236029i</v>
      </c>
      <c r="CP170" s="1" t="str">
        <f t="shared" si="51"/>
        <v>0.0107986736111111+35.7007983431953i</v>
      </c>
      <c r="CQ170" s="1" t="str">
        <f t="shared" si="52"/>
        <v>0.0191834803010191+16.2100408543612i</v>
      </c>
      <c r="CR170" s="1" t="str">
        <f t="shared" si="53"/>
        <v>0.0101263241785252+11.148182250088i</v>
      </c>
      <c r="CT170" s="1">
        <f t="shared" si="54"/>
        <v>33.799999999999997</v>
      </c>
      <c r="CU170" s="1">
        <f t="shared" si="55"/>
        <v>35.700000000000003</v>
      </c>
      <c r="CV170" s="56">
        <f t="shared" si="56"/>
        <v>16.210052205529003</v>
      </c>
      <c r="CW170" s="2">
        <f t="shared" si="57"/>
        <v>11.14818684915258</v>
      </c>
      <c r="CX170" s="2">
        <f t="shared" si="58"/>
        <v>33.799999999999997</v>
      </c>
      <c r="CY170" s="2">
        <f t="shared" si="59"/>
        <v>0.68773293927765111</v>
      </c>
      <c r="CZ170" s="2">
        <f t="shared" si="60"/>
        <v>33.799999999999997</v>
      </c>
      <c r="DA170" s="2">
        <f t="shared" si="61"/>
        <v>0.31226714405646977</v>
      </c>
    </row>
    <row r="171" spans="2:105" ht="18" customHeight="1" x14ac:dyDescent="0.25">
      <c r="B171" s="6"/>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163"/>
      <c r="AB171" s="163"/>
      <c r="AC171" s="163"/>
      <c r="AD171" s="163"/>
      <c r="AE171" s="163"/>
      <c r="AF171" s="163"/>
      <c r="AG171" s="163"/>
      <c r="AH171" s="163"/>
      <c r="AI171" s="163"/>
      <c r="AJ171" s="163"/>
      <c r="AK171" s="163"/>
      <c r="AL171" s="163"/>
      <c r="AM171" s="163"/>
      <c r="AN171" s="163"/>
      <c r="AP171" s="8"/>
      <c r="AR171" s="6"/>
      <c r="AT171" s="24"/>
      <c r="BA171" s="32" t="s">
        <v>179</v>
      </c>
      <c r="BB171" s="24" t="s">
        <v>286</v>
      </c>
      <c r="BC171" s="23"/>
      <c r="BD171" s="23"/>
      <c r="BE171" s="23"/>
      <c r="BF171" s="23"/>
      <c r="BG171" s="23"/>
      <c r="BH171" s="23"/>
      <c r="BI171" s="23"/>
      <c r="BJ171" s="23"/>
      <c r="BK171" s="23"/>
      <c r="BL171" s="23"/>
      <c r="BM171" s="23"/>
      <c r="BN171" s="23"/>
      <c r="BO171" s="23"/>
      <c r="BP171" s="23"/>
      <c r="BQ171" s="23"/>
      <c r="CF171" s="8"/>
      <c r="CM171" s="2">
        <f t="shared" si="62"/>
        <v>34</v>
      </c>
      <c r="CN171" s="1" t="str">
        <f t="shared" si="49"/>
        <v>0.0107986736111111+36.7154902777778i</v>
      </c>
      <c r="CO171" s="56" t="str">
        <f t="shared" si="50"/>
        <v>-0.794020118464053i</v>
      </c>
      <c r="CP171" s="1" t="str">
        <f t="shared" si="51"/>
        <v>0.0107986736111111+35.9214701593137i</v>
      </c>
      <c r="CQ171" s="1" t="str">
        <f t="shared" si="52"/>
        <v>0.0191834803010191+16.3059582558663i</v>
      </c>
      <c r="CR171" s="1" t="str">
        <f t="shared" si="53"/>
        <v>0.0101274310957656+11.2150666262352i</v>
      </c>
      <c r="CT171" s="1">
        <f t="shared" si="54"/>
        <v>34</v>
      </c>
      <c r="CU171" s="1">
        <f t="shared" si="55"/>
        <v>35.9</v>
      </c>
      <c r="CV171" s="56">
        <f t="shared" si="56"/>
        <v>16.305969540262577</v>
      </c>
      <c r="CW171" s="2">
        <f t="shared" si="57"/>
        <v>11.215071198871419</v>
      </c>
      <c r="CX171" s="2">
        <f t="shared" si="58"/>
        <v>34</v>
      </c>
      <c r="CY171" s="2">
        <f t="shared" si="59"/>
        <v>0.68778928914218973</v>
      </c>
      <c r="CZ171" s="2">
        <f t="shared" si="60"/>
        <v>34</v>
      </c>
      <c r="DA171" s="2">
        <f t="shared" si="61"/>
        <v>0.31221079322113554</v>
      </c>
    </row>
    <row r="172" spans="2:105" ht="18" customHeight="1" x14ac:dyDescent="0.25">
      <c r="B172" s="6"/>
      <c r="AP172" s="8"/>
      <c r="AR172" s="6"/>
      <c r="AT172" s="24"/>
      <c r="AU172" s="177" t="s">
        <v>180</v>
      </c>
      <c r="AV172" s="177"/>
      <c r="AW172" s="177"/>
      <c r="AX172" s="177"/>
      <c r="AY172" s="177"/>
      <c r="AZ172" s="177"/>
      <c r="BA172" s="177"/>
      <c r="BB172" s="24" t="s">
        <v>181</v>
      </c>
      <c r="CF172" s="8"/>
      <c r="CM172" s="2">
        <f t="shared" si="62"/>
        <v>34.200000000000003</v>
      </c>
      <c r="CN172" s="1" t="str">
        <f t="shared" si="49"/>
        <v>0.0107986736111111+36.93146375i</v>
      </c>
      <c r="CO172" s="56" t="str">
        <f t="shared" si="50"/>
        <v>-0.789376725958415i</v>
      </c>
      <c r="CP172" s="1" t="str">
        <f t="shared" si="51"/>
        <v>0.0107986736111111+36.1420870240416i</v>
      </c>
      <c r="CQ172" s="1" t="str">
        <f t="shared" si="52"/>
        <v>0.0191834803010191+16.4018756573714i</v>
      </c>
      <c r="CR172" s="1" t="str">
        <f t="shared" si="53"/>
        <v>0.0101285184465817+11.2819453203247i</v>
      </c>
      <c r="CT172" s="1">
        <f t="shared" si="54"/>
        <v>34.200000000000003</v>
      </c>
      <c r="CU172" s="1">
        <f t="shared" si="55"/>
        <v>36.1</v>
      </c>
      <c r="CV172" s="56">
        <f t="shared" si="56"/>
        <v>16.401886875777095</v>
      </c>
      <c r="CW172" s="2">
        <f t="shared" si="57"/>
        <v>11.281949866830747</v>
      </c>
      <c r="CX172" s="2">
        <f t="shared" si="58"/>
        <v>34.200000000000003</v>
      </c>
      <c r="CY172" s="2">
        <f t="shared" si="59"/>
        <v>0.68784463350325531</v>
      </c>
      <c r="CZ172" s="2">
        <f t="shared" si="60"/>
        <v>34.200000000000003</v>
      </c>
      <c r="DA172" s="2">
        <f t="shared" si="61"/>
        <v>0.31215544790609306</v>
      </c>
    </row>
    <row r="173" spans="2:105" ht="18" customHeight="1" x14ac:dyDescent="0.25">
      <c r="B173" s="6"/>
      <c r="AP173" s="8"/>
      <c r="AR173" s="6"/>
      <c r="AT173" s="24"/>
      <c r="AU173" s="177" t="s">
        <v>182</v>
      </c>
      <c r="AV173" s="177"/>
      <c r="AW173" s="177"/>
      <c r="AX173" s="177"/>
      <c r="AY173" s="177"/>
      <c r="AZ173" s="177"/>
      <c r="BA173" s="177"/>
      <c r="BB173" s="24" t="s">
        <v>183</v>
      </c>
      <c r="CF173" s="8"/>
      <c r="CM173" s="2">
        <f t="shared" si="62"/>
        <v>34.4</v>
      </c>
      <c r="CN173" s="1" t="str">
        <f t="shared" si="49"/>
        <v>0.0107986736111111+37.1474372222222i</v>
      </c>
      <c r="CO173" s="56" t="str">
        <f t="shared" si="50"/>
        <v>-0.784787326388889i</v>
      </c>
      <c r="CP173" s="1" t="str">
        <f t="shared" si="51"/>
        <v>0.0107986736111111+36.3626498958333i</v>
      </c>
      <c r="CQ173" s="1" t="str">
        <f t="shared" si="52"/>
        <v>0.0191834803010191+16.4977930588765i</v>
      </c>
      <c r="CR173" s="1" t="str">
        <f t="shared" si="53"/>
        <v>0.0101295866905424+11.3488184372293i</v>
      </c>
      <c r="CT173" s="1">
        <f t="shared" si="54"/>
        <v>34.4</v>
      </c>
      <c r="CU173" s="1">
        <f t="shared" si="55"/>
        <v>36.4</v>
      </c>
      <c r="CV173" s="56">
        <f t="shared" si="56"/>
        <v>16.497804212058952</v>
      </c>
      <c r="CW173" s="2">
        <f t="shared" si="57"/>
        <v>11.348822957898417</v>
      </c>
      <c r="CX173" s="2">
        <f t="shared" si="58"/>
        <v>34.4</v>
      </c>
      <c r="CY173" s="2">
        <f t="shared" si="59"/>
        <v>0.68789899625570206</v>
      </c>
      <c r="CZ173" s="2">
        <f t="shared" si="60"/>
        <v>34.4</v>
      </c>
      <c r="DA173" s="2">
        <f t="shared" si="61"/>
        <v>0.31210108421610194</v>
      </c>
    </row>
    <row r="174" spans="2:105" ht="18" customHeight="1" x14ac:dyDescent="0.25">
      <c r="B174" s="6"/>
      <c r="AP174" s="8"/>
      <c r="AR174" s="6"/>
      <c r="AT174" s="24"/>
      <c r="AU174" s="177" t="s">
        <v>56</v>
      </c>
      <c r="AV174" s="177"/>
      <c r="AW174" s="177"/>
      <c r="AX174" s="177"/>
      <c r="AY174" s="177"/>
      <c r="AZ174" s="177"/>
      <c r="BA174" s="177"/>
      <c r="BB174" s="24" t="s">
        <v>184</v>
      </c>
      <c r="CF174" s="8"/>
      <c r="CM174" s="2">
        <f t="shared" si="62"/>
        <v>34.6</v>
      </c>
      <c r="CN174" s="1" t="str">
        <f t="shared" si="49"/>
        <v>0.0107986736111111+37.3634106944445i</v>
      </c>
      <c r="CO174" s="56" t="str">
        <f t="shared" si="50"/>
        <v>-0.780250983461786i</v>
      </c>
      <c r="CP174" s="1" t="str">
        <f t="shared" si="51"/>
        <v>0.0107986736111111+36.5831597109827i</v>
      </c>
      <c r="CQ174" s="1" t="str">
        <f t="shared" si="52"/>
        <v>0.0191834803010191+16.5937104603816i</v>
      </c>
      <c r="CR174" s="1" t="str">
        <f t="shared" si="53"/>
        <v>0.0101306362737717+11.4156860792269i</v>
      </c>
      <c r="CT174" s="1">
        <f t="shared" si="54"/>
        <v>34.6</v>
      </c>
      <c r="CU174" s="1">
        <f t="shared" si="55"/>
        <v>36.6</v>
      </c>
      <c r="CV174" s="56">
        <f t="shared" si="56"/>
        <v>16.593721549094834</v>
      </c>
      <c r="CW174" s="2">
        <f t="shared" si="57"/>
        <v>11.41569057434749</v>
      </c>
      <c r="CX174" s="2">
        <f t="shared" si="58"/>
        <v>34.6</v>
      </c>
      <c r="CY174" s="2">
        <f t="shared" si="59"/>
        <v>0.6879524005855201</v>
      </c>
      <c r="CZ174" s="2">
        <f t="shared" si="60"/>
        <v>34.6</v>
      </c>
      <c r="DA174" s="2">
        <f t="shared" si="61"/>
        <v>0.31204767896479835</v>
      </c>
    </row>
    <row r="175" spans="2:105" ht="18" customHeight="1" x14ac:dyDescent="0.25">
      <c r="B175" s="6"/>
      <c r="AP175" s="8"/>
      <c r="AR175" s="6"/>
      <c r="AU175" s="177" t="s">
        <v>52</v>
      </c>
      <c r="AV175" s="177"/>
      <c r="AW175" s="177"/>
      <c r="AX175" s="177"/>
      <c r="AY175" s="177"/>
      <c r="AZ175" s="177"/>
      <c r="BA175" s="177"/>
      <c r="BB175" s="24" t="s">
        <v>185</v>
      </c>
      <c r="CF175" s="8"/>
      <c r="CM175" s="2">
        <f t="shared" si="62"/>
        <v>34.799999999999997</v>
      </c>
      <c r="CN175" s="1" t="str">
        <f t="shared" si="49"/>
        <v>0.0107986736111111+37.5793841666667i</v>
      </c>
      <c r="CO175" s="56" t="str">
        <f t="shared" si="50"/>
        <v>-0.775766782407408i</v>
      </c>
      <c r="CP175" s="1" t="str">
        <f t="shared" si="51"/>
        <v>0.0107986736111111+36.8036173842593i</v>
      </c>
      <c r="CQ175" s="1" t="str">
        <f t="shared" si="52"/>
        <v>0.0191834803010191+16.6896278618867i</v>
      </c>
      <c r="CR175" s="1" t="str">
        <f t="shared" si="53"/>
        <v>0.0101316676294187+11.4825483460808i</v>
      </c>
      <c r="CT175" s="1">
        <f t="shared" si="54"/>
        <v>34.799999999999997</v>
      </c>
      <c r="CU175" s="1">
        <f t="shared" si="55"/>
        <v>36.799999999999997</v>
      </c>
      <c r="CV175" s="56">
        <f t="shared" si="56"/>
        <v>16.689638886871737</v>
      </c>
      <c r="CW175" s="2">
        <f t="shared" si="57"/>
        <v>11.482552815936527</v>
      </c>
      <c r="CX175" s="2">
        <f t="shared" si="58"/>
        <v>34.799999999999997</v>
      </c>
      <c r="CY175" s="2">
        <f t="shared" si="59"/>
        <v>0.68800486899502777</v>
      </c>
      <c r="CZ175" s="2">
        <f t="shared" si="60"/>
        <v>34.799999999999997</v>
      </c>
      <c r="DA175" s="2">
        <f t="shared" si="61"/>
        <v>0.31199520964949995</v>
      </c>
    </row>
    <row r="176" spans="2:105" ht="18" customHeight="1" x14ac:dyDescent="0.25">
      <c r="B176" s="6"/>
      <c r="AP176" s="8"/>
      <c r="AR176" s="6"/>
      <c r="AU176" s="177" t="s">
        <v>186</v>
      </c>
      <c r="AV176" s="177"/>
      <c r="AW176" s="177"/>
      <c r="AX176" s="177"/>
      <c r="AY176" s="177"/>
      <c r="AZ176" s="177"/>
      <c r="BA176" s="177"/>
      <c r="BB176" s="1" t="s">
        <v>187</v>
      </c>
      <c r="CF176" s="8"/>
      <c r="CM176" s="2">
        <f t="shared" si="62"/>
        <v>35</v>
      </c>
      <c r="CN176" s="1" t="str">
        <f t="shared" si="49"/>
        <v>0.0107986736111111+37.7953576388889i</v>
      </c>
      <c r="CO176" s="56" t="str">
        <f t="shared" si="50"/>
        <v>-0.77133382936508i</v>
      </c>
      <c r="CP176" s="1" t="str">
        <f t="shared" si="51"/>
        <v>0.0107986736111111+37.0240238095238i</v>
      </c>
      <c r="CQ176" s="1" t="str">
        <f t="shared" si="52"/>
        <v>0.0191834803010191+16.7855452633918i</v>
      </c>
      <c r="CR176" s="1" t="str">
        <f t="shared" si="53"/>
        <v>0.0101326811781089+11.5494053351178i</v>
      </c>
      <c r="CT176" s="1">
        <f t="shared" si="54"/>
        <v>35</v>
      </c>
      <c r="CU176" s="1">
        <f t="shared" si="55"/>
        <v>37</v>
      </c>
      <c r="CV176" s="56">
        <f t="shared" si="56"/>
        <v>16.785556225376965</v>
      </c>
      <c r="CW176" s="2">
        <f t="shared" si="57"/>
        <v>11.549409779987693</v>
      </c>
      <c r="CX176" s="2">
        <f t="shared" si="58"/>
        <v>35</v>
      </c>
      <c r="CY176" s="2">
        <f t="shared" si="59"/>
        <v>0.68805642332703354</v>
      </c>
      <c r="CZ176" s="2">
        <f t="shared" si="60"/>
        <v>35</v>
      </c>
      <c r="DA176" s="2">
        <f t="shared" si="61"/>
        <v>0.31194365442704558</v>
      </c>
    </row>
    <row r="177" spans="2:105" ht="18" customHeight="1" x14ac:dyDescent="0.25">
      <c r="B177" s="6"/>
      <c r="AP177" s="8"/>
      <c r="AR177" s="6"/>
      <c r="BA177" s="35"/>
      <c r="CF177" s="8"/>
      <c r="CM177" s="2">
        <f t="shared" si="62"/>
        <v>35.200000000000003</v>
      </c>
      <c r="CN177" s="1" t="str">
        <f t="shared" si="49"/>
        <v>0.0107986736111111+38.0113311111111i</v>
      </c>
      <c r="CO177" s="56" t="str">
        <f t="shared" si="50"/>
        <v>-0.766951250789142i</v>
      </c>
      <c r="CP177" s="1" t="str">
        <f t="shared" si="51"/>
        <v>0.0107986736111111+37.244379860322i</v>
      </c>
      <c r="CQ177" s="1" t="str">
        <f t="shared" si="52"/>
        <v>0.0191834803010191+16.8814626648969i</v>
      </c>
      <c r="CR177" s="1" t="str">
        <f t="shared" si="53"/>
        <v>0.0101336773283772+11.6162571413026i</v>
      </c>
      <c r="CT177" s="1">
        <f t="shared" si="54"/>
        <v>35.200000000000003</v>
      </c>
      <c r="CU177" s="1">
        <f t="shared" si="55"/>
        <v>37.200000000000003</v>
      </c>
      <c r="CV177" s="56">
        <f t="shared" si="56"/>
        <v>16.881473564598096</v>
      </c>
      <c r="CW177" s="2">
        <f t="shared" si="57"/>
        <v>11.616261561461151</v>
      </c>
      <c r="CX177" s="2">
        <f t="shared" si="58"/>
        <v>35.200000000000003</v>
      </c>
      <c r="CY177" s="2">
        <f t="shared" si="59"/>
        <v>0.68810708478799265</v>
      </c>
      <c r="CZ177" s="2">
        <f t="shared" si="60"/>
        <v>35.200000000000003</v>
      </c>
      <c r="DA177" s="2">
        <f t="shared" si="61"/>
        <v>0.31189299209063626</v>
      </c>
    </row>
    <row r="178" spans="2:105" ht="18" customHeight="1" x14ac:dyDescent="0.25">
      <c r="B178" s="6"/>
      <c r="AP178" s="8"/>
      <c r="AR178" s="6"/>
      <c r="AS178" s="215" t="s">
        <v>265</v>
      </c>
      <c r="AT178" s="288"/>
      <c r="AU178" s="288"/>
      <c r="AV178" s="288"/>
      <c r="AW178" s="288"/>
      <c r="AX178" s="288"/>
      <c r="AY178" s="288"/>
      <c r="AZ178" s="288"/>
      <c r="BA178" s="288"/>
      <c r="BB178" s="288"/>
      <c r="BC178" s="288"/>
      <c r="BD178" s="288"/>
      <c r="BE178" s="288"/>
      <c r="BF178" s="288"/>
      <c r="BG178" s="288"/>
      <c r="BH178" s="288"/>
      <c r="BI178" s="288"/>
      <c r="BJ178" s="288"/>
      <c r="BK178" s="288"/>
      <c r="BL178" s="288"/>
      <c r="BM178" s="288"/>
      <c r="BN178" s="288"/>
      <c r="BO178" s="288"/>
      <c r="BP178" s="288"/>
      <c r="BQ178" s="288"/>
      <c r="BR178" s="288"/>
      <c r="BS178" s="288"/>
      <c r="BT178" s="288"/>
      <c r="BU178" s="288"/>
      <c r="BV178" s="288"/>
      <c r="BW178" s="288"/>
      <c r="BX178" s="288"/>
      <c r="BY178" s="288"/>
      <c r="BZ178" s="288"/>
      <c r="CA178" s="288"/>
      <c r="CB178" s="288"/>
      <c r="CC178" s="288"/>
      <c r="CD178" s="288"/>
      <c r="CE178" s="288"/>
      <c r="CF178" s="8"/>
      <c r="CM178" s="2">
        <f t="shared" si="62"/>
        <v>35.4</v>
      </c>
      <c r="CN178" s="1" t="str">
        <f t="shared" si="49"/>
        <v>0.0107986736111111+38.2273045833333i</v>
      </c>
      <c r="CO178" s="56" t="str">
        <f t="shared" si="50"/>
        <v>-0.762618192875079i</v>
      </c>
      <c r="CP178" s="1" t="str">
        <f t="shared" si="51"/>
        <v>0.0107986736111111+37.4646863904582i</v>
      </c>
      <c r="CQ178" s="1" t="str">
        <f t="shared" si="52"/>
        <v>0.0191834803010191+16.977380066402i</v>
      </c>
      <c r="CR178" s="1" t="str">
        <f t="shared" si="53"/>
        <v>0.0101346564770832+11.6831038573097i</v>
      </c>
      <c r="CT178" s="1">
        <f t="shared" si="54"/>
        <v>35.4</v>
      </c>
      <c r="CU178" s="1">
        <f t="shared" si="55"/>
        <v>37.5</v>
      </c>
      <c r="CV178" s="56">
        <f t="shared" si="56"/>
        <v>16.977390904523006</v>
      </c>
      <c r="CW178" s="2">
        <f t="shared" si="57"/>
        <v>11.68310825302696</v>
      </c>
      <c r="CX178" s="2">
        <f t="shared" si="58"/>
        <v>35.4</v>
      </c>
      <c r="CY178" s="2">
        <f t="shared" si="59"/>
        <v>0.68815687397021852</v>
      </c>
      <c r="CZ178" s="2">
        <f t="shared" si="60"/>
        <v>35.4</v>
      </c>
      <c r="DA178" s="2">
        <f t="shared" si="61"/>
        <v>0.31184320204762428</v>
      </c>
    </row>
    <row r="179" spans="2:105" ht="18" customHeight="1" x14ac:dyDescent="0.25">
      <c r="B179" s="6"/>
      <c r="AP179" s="8"/>
      <c r="AR179" s="6"/>
      <c r="AS179" s="289" t="s">
        <v>266</v>
      </c>
      <c r="AT179" s="289"/>
      <c r="AU179" s="289"/>
      <c r="AV179" s="289"/>
      <c r="AW179" s="289"/>
      <c r="AX179" s="289"/>
      <c r="AY179" s="289"/>
      <c r="AZ179" s="289"/>
      <c r="BA179" s="289"/>
      <c r="BB179" s="289"/>
      <c r="BC179" s="289"/>
      <c r="BD179" s="289"/>
      <c r="BE179" s="289"/>
      <c r="BF179" s="289"/>
      <c r="BG179" s="289"/>
      <c r="BH179" s="289"/>
      <c r="BI179" s="289"/>
      <c r="BJ179" s="289"/>
      <c r="BK179" s="289"/>
      <c r="BL179" s="289"/>
      <c r="BM179" s="289"/>
      <c r="BN179" s="289"/>
      <c r="BO179" s="289"/>
      <c r="BP179" s="289"/>
      <c r="BQ179" s="289"/>
      <c r="BR179" s="289"/>
      <c r="BS179" s="289"/>
      <c r="BT179" s="289"/>
      <c r="BU179" s="289"/>
      <c r="BV179" s="289"/>
      <c r="BW179" s="289"/>
      <c r="BX179" s="289"/>
      <c r="BY179" s="289"/>
      <c r="BZ179" s="289"/>
      <c r="CA179" s="289"/>
      <c r="CB179" s="289"/>
      <c r="CC179" s="289"/>
      <c r="CD179" s="289"/>
      <c r="CE179" s="289"/>
      <c r="CF179" s="8"/>
      <c r="CM179" s="2">
        <f t="shared" si="62"/>
        <v>35.6</v>
      </c>
      <c r="CN179" s="1" t="str">
        <f t="shared" si="49"/>
        <v>0.0107986736111111+38.4432780555556i</v>
      </c>
      <c r="CO179" s="56" t="str">
        <f t="shared" si="50"/>
        <v>-0.758333821004994i</v>
      </c>
      <c r="CP179" s="1" t="str">
        <f t="shared" si="51"/>
        <v>0.0107986736111111+37.6849442345506i</v>
      </c>
      <c r="CQ179" s="1" t="str">
        <f t="shared" si="52"/>
        <v>0.0191834803010191+17.0732974679071i</v>
      </c>
      <c r="CR179" s="1" t="str">
        <f t="shared" si="53"/>
        <v>0.0101356190098105+11.7499455735928i</v>
      </c>
      <c r="CT179" s="1">
        <f t="shared" si="54"/>
        <v>35.6</v>
      </c>
      <c r="CU179" s="1">
        <f t="shared" si="55"/>
        <v>37.700000000000003</v>
      </c>
      <c r="CV179" s="56">
        <f t="shared" si="56"/>
        <v>17.07330824513982</v>
      </c>
      <c r="CW179" s="2">
        <f t="shared" si="57"/>
        <v>11.749949945134478</v>
      </c>
      <c r="CX179" s="2">
        <f t="shared" si="58"/>
        <v>35.6</v>
      </c>
      <c r="CY179" s="2">
        <f t="shared" si="59"/>
        <v>0.68820581087319843</v>
      </c>
      <c r="CZ179" s="2">
        <f t="shared" si="60"/>
        <v>35.6</v>
      </c>
      <c r="DA179" s="2">
        <f t="shared" si="61"/>
        <v>0.31179426429819823</v>
      </c>
    </row>
    <row r="180" spans="2:105" ht="18" customHeight="1" x14ac:dyDescent="0.25">
      <c r="B180" s="6"/>
      <c r="AP180" s="8"/>
      <c r="AR180" s="6"/>
      <c r="AS180" s="289"/>
      <c r="AT180" s="289"/>
      <c r="AU180" s="289"/>
      <c r="AV180" s="289"/>
      <c r="AW180" s="289"/>
      <c r="AX180" s="289"/>
      <c r="AY180" s="289"/>
      <c r="AZ180" s="289"/>
      <c r="BA180" s="289"/>
      <c r="BB180" s="289"/>
      <c r="BC180" s="289"/>
      <c r="BD180" s="289"/>
      <c r="BE180" s="289"/>
      <c r="BF180" s="289"/>
      <c r="BG180" s="289"/>
      <c r="BH180" s="289"/>
      <c r="BI180" s="289"/>
      <c r="BJ180" s="289"/>
      <c r="BK180" s="289"/>
      <c r="BL180" s="289"/>
      <c r="BM180" s="289"/>
      <c r="BN180" s="289"/>
      <c r="BO180" s="289"/>
      <c r="BP180" s="289"/>
      <c r="BQ180" s="289"/>
      <c r="BR180" s="289"/>
      <c r="BS180" s="289"/>
      <c r="BT180" s="289"/>
      <c r="BU180" s="289"/>
      <c r="BV180" s="289"/>
      <c r="BW180" s="289"/>
      <c r="BX180" s="289"/>
      <c r="BY180" s="289"/>
      <c r="BZ180" s="289"/>
      <c r="CA180" s="289"/>
      <c r="CB180" s="289"/>
      <c r="CC180" s="289"/>
      <c r="CD180" s="289"/>
      <c r="CE180" s="289"/>
      <c r="CF180" s="8"/>
      <c r="CM180" s="2">
        <f t="shared" si="62"/>
        <v>35.799999999999997</v>
      </c>
      <c r="CN180" s="1" t="str">
        <f t="shared" si="49"/>
        <v>0.0107986736111111+38.6592515277778i</v>
      </c>
      <c r="CO180" s="56" t="str">
        <f t="shared" si="50"/>
        <v>-0.75409731921167i</v>
      </c>
      <c r="CP180" s="1" t="str">
        <f t="shared" si="51"/>
        <v>0.0107986736111111+37.9051542085661i</v>
      </c>
      <c r="CQ180" s="1" t="str">
        <f t="shared" si="52"/>
        <v>0.0191834803010191+17.1692148694122i</v>
      </c>
      <c r="CR180" s="1" t="str">
        <f t="shared" si="53"/>
        <v>0.0101365653012497+11.8167823784516i</v>
      </c>
      <c r="CT180" s="1">
        <f t="shared" si="54"/>
        <v>35.799999999999997</v>
      </c>
      <c r="CU180" s="1">
        <f t="shared" si="55"/>
        <v>37.9</v>
      </c>
      <c r="CV180" s="56">
        <f t="shared" si="56"/>
        <v>17.169225586436959</v>
      </c>
      <c r="CW180" s="2">
        <f t="shared" si="57"/>
        <v>11.816786726079147</v>
      </c>
      <c r="CX180" s="2">
        <f t="shared" si="58"/>
        <v>35.799999999999997</v>
      </c>
      <c r="CY180" s="2">
        <f t="shared" si="59"/>
        <v>0.68825391492403587</v>
      </c>
      <c r="CZ180" s="2">
        <f t="shared" si="60"/>
        <v>35.799999999999997</v>
      </c>
      <c r="DA180" s="2">
        <f t="shared" si="61"/>
        <v>0.31174615941493833</v>
      </c>
    </row>
    <row r="181" spans="2:105" ht="18" customHeight="1" x14ac:dyDescent="0.25">
      <c r="B181" s="6"/>
      <c r="AP181" s="8"/>
      <c r="AR181" s="6"/>
      <c r="AS181" s="289"/>
      <c r="AT181" s="289"/>
      <c r="AU181" s="289"/>
      <c r="AV181" s="289"/>
      <c r="AW181" s="289"/>
      <c r="AX181" s="289"/>
      <c r="AY181" s="289"/>
      <c r="AZ181" s="289"/>
      <c r="BA181" s="289"/>
      <c r="BB181" s="289"/>
      <c r="BC181" s="289"/>
      <c r="BD181" s="289"/>
      <c r="BE181" s="289"/>
      <c r="BF181" s="289"/>
      <c r="BG181" s="289"/>
      <c r="BH181" s="289"/>
      <c r="BI181" s="289"/>
      <c r="BJ181" s="289"/>
      <c r="BK181" s="289"/>
      <c r="BL181" s="289"/>
      <c r="BM181" s="289"/>
      <c r="BN181" s="289"/>
      <c r="BO181" s="289"/>
      <c r="BP181" s="289"/>
      <c r="BQ181" s="289"/>
      <c r="BR181" s="289"/>
      <c r="BS181" s="289"/>
      <c r="BT181" s="289"/>
      <c r="BU181" s="289"/>
      <c r="BV181" s="289"/>
      <c r="BW181" s="289"/>
      <c r="BX181" s="289"/>
      <c r="BY181" s="289"/>
      <c r="BZ181" s="289"/>
      <c r="CA181" s="289"/>
      <c r="CB181" s="289"/>
      <c r="CC181" s="289"/>
      <c r="CD181" s="289"/>
      <c r="CE181" s="289"/>
      <c r="CF181" s="8"/>
      <c r="CM181" s="2">
        <f t="shared" si="62"/>
        <v>36</v>
      </c>
      <c r="CN181" s="1" t="str">
        <f t="shared" si="49"/>
        <v>0.0107986736111111+38.875225i</v>
      </c>
      <c r="CO181" s="56" t="str">
        <f t="shared" si="50"/>
        <v>-0.749907889660494i</v>
      </c>
      <c r="CP181" s="1" t="str">
        <f t="shared" si="51"/>
        <v>0.0107986736111111+38.1253171103395i</v>
      </c>
      <c r="CQ181" s="1" t="str">
        <f t="shared" si="52"/>
        <v>0.0191834803010191+17.2651322709173i</v>
      </c>
      <c r="CR181" s="1" t="str">
        <f t="shared" si="53"/>
        <v>0.010137495715566+11.883614358096i</v>
      </c>
      <c r="CT181" s="1">
        <f t="shared" si="54"/>
        <v>36</v>
      </c>
      <c r="CU181" s="1">
        <f t="shared" si="55"/>
        <v>38.1</v>
      </c>
      <c r="CV181" s="56">
        <f t="shared" si="56"/>
        <v>17.265142928403066</v>
      </c>
      <c r="CW181" s="2">
        <f t="shared" si="57"/>
        <v>11.883618682066704</v>
      </c>
      <c r="CX181" s="2">
        <f t="shared" si="58"/>
        <v>36</v>
      </c>
      <c r="CY181" s="2">
        <f t="shared" si="59"/>
        <v>0.68830120499708281</v>
      </c>
      <c r="CZ181" s="2">
        <f t="shared" si="60"/>
        <v>36</v>
      </c>
      <c r="DA181" s="2">
        <f t="shared" si="61"/>
        <v>0.31169886852318585</v>
      </c>
    </row>
    <row r="182" spans="2:105" ht="18" customHeight="1" x14ac:dyDescent="0.25">
      <c r="B182" s="6"/>
      <c r="AP182" s="8"/>
      <c r="AR182" s="6"/>
      <c r="AS182" s="289"/>
      <c r="AT182" s="289"/>
      <c r="AU182" s="289"/>
      <c r="AV182" s="289"/>
      <c r="AW182" s="289"/>
      <c r="AX182" s="289"/>
      <c r="AY182" s="289"/>
      <c r="AZ182" s="289"/>
      <c r="BA182" s="289"/>
      <c r="BB182" s="289"/>
      <c r="BC182" s="289"/>
      <c r="BD182" s="289"/>
      <c r="BE182" s="289"/>
      <c r="BF182" s="289"/>
      <c r="BG182" s="289"/>
      <c r="BH182" s="289"/>
      <c r="BI182" s="289"/>
      <c r="BJ182" s="289"/>
      <c r="BK182" s="289"/>
      <c r="BL182" s="289"/>
      <c r="BM182" s="289"/>
      <c r="BN182" s="289"/>
      <c r="BO182" s="289"/>
      <c r="BP182" s="289"/>
      <c r="BQ182" s="289"/>
      <c r="BR182" s="289"/>
      <c r="BS182" s="289"/>
      <c r="BT182" s="289"/>
      <c r="BU182" s="289"/>
      <c r="BV182" s="289"/>
      <c r="BW182" s="289"/>
      <c r="BX182" s="289"/>
      <c r="BY182" s="289"/>
      <c r="BZ182" s="289"/>
      <c r="CA182" s="289"/>
      <c r="CB182" s="289"/>
      <c r="CC182" s="289"/>
      <c r="CD182" s="289"/>
      <c r="CE182" s="289"/>
      <c r="CF182" s="8"/>
      <c r="CM182" s="2">
        <f t="shared" si="62"/>
        <v>36.200000000000003</v>
      </c>
      <c r="CN182" s="1" t="str">
        <f t="shared" si="49"/>
        <v>0.0107986736111111+39.0911984722222i</v>
      </c>
      <c r="CO182" s="56" t="str">
        <f t="shared" si="50"/>
        <v>-0.745764752148558i</v>
      </c>
      <c r="CP182" s="1" t="str">
        <f t="shared" si="51"/>
        <v>0.0107986736111111+38.3454337200736i</v>
      </c>
      <c r="CQ182" s="1" t="str">
        <f t="shared" si="52"/>
        <v>0.0191834803010191+17.3610496724224i</v>
      </c>
      <c r="CR182" s="1" t="str">
        <f t="shared" si="53"/>
        <v>0.0101384106067534+11.9504415967083i</v>
      </c>
      <c r="CT182" s="1">
        <f t="shared" si="54"/>
        <v>36.200000000000003</v>
      </c>
      <c r="CU182" s="1">
        <f t="shared" si="55"/>
        <v>38.299999999999997</v>
      </c>
      <c r="CV182" s="56">
        <f t="shared" si="56"/>
        <v>17.361060271027064</v>
      </c>
      <c r="CW182" s="2">
        <f t="shared" si="57"/>
        <v>11.950445897275367</v>
      </c>
      <c r="CX182" s="2">
        <f t="shared" si="58"/>
        <v>36.200000000000003</v>
      </c>
      <c r="CY182" s="2">
        <f t="shared" si="59"/>
        <v>0.68834769943278162</v>
      </c>
      <c r="CZ182" s="2">
        <f t="shared" si="60"/>
        <v>36.200000000000003</v>
      </c>
      <c r="DA182" s="2">
        <f t="shared" si="61"/>
        <v>0.31165237328219902</v>
      </c>
    </row>
    <row r="183" spans="2:105" ht="18" customHeight="1" x14ac:dyDescent="0.25">
      <c r="B183" s="6"/>
      <c r="AP183" s="8"/>
      <c r="AR183" s="6"/>
      <c r="AS183" s="289"/>
      <c r="AT183" s="289"/>
      <c r="AU183" s="289"/>
      <c r="AV183" s="289"/>
      <c r="AW183" s="289"/>
      <c r="AX183" s="289"/>
      <c r="AY183" s="289"/>
      <c r="AZ183" s="289"/>
      <c r="BA183" s="289"/>
      <c r="BB183" s="289"/>
      <c r="BC183" s="289"/>
      <c r="BD183" s="289"/>
      <c r="BE183" s="289"/>
      <c r="BF183" s="289"/>
      <c r="BG183" s="289"/>
      <c r="BH183" s="289"/>
      <c r="BI183" s="289"/>
      <c r="BJ183" s="289"/>
      <c r="BK183" s="289"/>
      <c r="BL183" s="289"/>
      <c r="BM183" s="289"/>
      <c r="BN183" s="289"/>
      <c r="BO183" s="289"/>
      <c r="BP183" s="289"/>
      <c r="BQ183" s="289"/>
      <c r="BR183" s="289"/>
      <c r="BS183" s="289"/>
      <c r="BT183" s="289"/>
      <c r="BU183" s="289"/>
      <c r="BV183" s="289"/>
      <c r="BW183" s="289"/>
      <c r="BX183" s="289"/>
      <c r="BY183" s="289"/>
      <c r="BZ183" s="289"/>
      <c r="CA183" s="289"/>
      <c r="CB183" s="289"/>
      <c r="CC183" s="289"/>
      <c r="CD183" s="289"/>
      <c r="CE183" s="289"/>
      <c r="CF183" s="8"/>
      <c r="CM183" s="2">
        <f t="shared" si="62"/>
        <v>36.4</v>
      </c>
      <c r="CN183" s="1" t="str">
        <f t="shared" si="49"/>
        <v>0.0107986736111111+39.3071719444445i</v>
      </c>
      <c r="CO183" s="56" t="str">
        <f t="shared" si="50"/>
        <v>-0.741667143620269i</v>
      </c>
      <c r="CP183" s="1" t="str">
        <f t="shared" si="51"/>
        <v>0.0107986736111111+38.5655048008242i</v>
      </c>
      <c r="CQ183" s="1" t="str">
        <f t="shared" si="52"/>
        <v>0.0191834803010191+17.4569670739274i</v>
      </c>
      <c r="CR183" s="1" t="str">
        <f t="shared" si="53"/>
        <v>0.0101393103189737+12.017264176503i</v>
      </c>
      <c r="CT183" s="1">
        <f t="shared" si="54"/>
        <v>36.4</v>
      </c>
      <c r="CU183" s="1">
        <f t="shared" si="55"/>
        <v>38.6</v>
      </c>
      <c r="CV183" s="56">
        <f t="shared" si="56"/>
        <v>17.456977614298012</v>
      </c>
      <c r="CW183" s="2">
        <f t="shared" si="57"/>
        <v>12.017268453915642</v>
      </c>
      <c r="CX183" s="2">
        <f t="shared" si="58"/>
        <v>36.4</v>
      </c>
      <c r="CY183" s="2">
        <f t="shared" si="59"/>
        <v>0.68839341605576376</v>
      </c>
      <c r="CZ183" s="2">
        <f t="shared" si="60"/>
        <v>36.4</v>
      </c>
      <c r="DA183" s="2">
        <f t="shared" si="61"/>
        <v>0.31160665586705599</v>
      </c>
    </row>
    <row r="184" spans="2:105" ht="18" customHeight="1" x14ac:dyDescent="0.25">
      <c r="B184" s="6"/>
      <c r="AP184" s="8"/>
      <c r="AR184" s="6"/>
      <c r="CF184" s="8"/>
      <c r="CM184" s="2">
        <f t="shared" si="62"/>
        <v>36.6</v>
      </c>
      <c r="CN184" s="1" t="str">
        <f t="shared" si="49"/>
        <v>0.0107986736111111+39.5231454166667i</v>
      </c>
      <c r="CO184" s="56" t="str">
        <f t="shared" si="50"/>
        <v>-0.737614317698847i</v>
      </c>
      <c r="CP184" s="1" t="str">
        <f t="shared" si="51"/>
        <v>0.0107986736111111+38.7855310989679i</v>
      </c>
      <c r="CQ184" s="1" t="str">
        <f t="shared" si="52"/>
        <v>0.0191834803010191+17.5528844754325i</v>
      </c>
      <c r="CR184" s="1" t="str">
        <f t="shared" si="53"/>
        <v>0.0101401951868836+12.0840821777845i</v>
      </c>
      <c r="CT184" s="1">
        <f t="shared" si="54"/>
        <v>36.6</v>
      </c>
      <c r="CU184" s="1">
        <f t="shared" si="55"/>
        <v>38.799999999999997</v>
      </c>
      <c r="CV184" s="56">
        <f t="shared" si="56"/>
        <v>17.552894958205489</v>
      </c>
      <c r="CW184" s="2">
        <f t="shared" si="57"/>
        <v>12.084086432288021</v>
      </c>
      <c r="CX184" s="2">
        <f t="shared" si="58"/>
        <v>36.6</v>
      </c>
      <c r="CY184" s="2">
        <f t="shared" si="59"/>
        <v>0.68843837219222004</v>
      </c>
      <c r="CZ184" s="2">
        <f t="shared" si="60"/>
        <v>36.6</v>
      </c>
      <c r="DA184" s="2">
        <f t="shared" si="61"/>
        <v>0.31156169895128272</v>
      </c>
    </row>
    <row r="185" spans="2:105" ht="18" customHeight="1" x14ac:dyDescent="0.25">
      <c r="B185" s="6"/>
      <c r="AP185" s="8"/>
      <c r="AR185" s="6"/>
      <c r="CF185" s="8"/>
      <c r="CM185" s="2">
        <f t="shared" si="62"/>
        <v>36.799999999999997</v>
      </c>
      <c r="CN185" s="1" t="str">
        <f t="shared" si="49"/>
        <v>0.0107986736111111+39.7391188888889i</v>
      </c>
      <c r="CO185" s="56" t="str">
        <f t="shared" si="50"/>
        <v>-0.733605544233092i</v>
      </c>
      <c r="CP185" s="1" t="str">
        <f t="shared" si="51"/>
        <v>0.0107986736111111+39.0055133446558i</v>
      </c>
      <c r="CQ185" s="1" t="str">
        <f t="shared" si="52"/>
        <v>0.0191834803010191+17.6488018769376i</v>
      </c>
      <c r="CR185" s="1" t="str">
        <f t="shared" si="53"/>
        <v>0.0101410655359484+12.1508956790028i</v>
      </c>
      <c r="CT185" s="1">
        <f t="shared" si="54"/>
        <v>36.799999999999997</v>
      </c>
      <c r="CU185" s="1">
        <f t="shared" si="55"/>
        <v>39</v>
      </c>
      <c r="CV185" s="56">
        <f t="shared" si="56"/>
        <v>17.648812302739035</v>
      </c>
      <c r="CW185" s="2">
        <f t="shared" si="57"/>
        <v>12.150899910838666</v>
      </c>
      <c r="CX185" s="2">
        <f t="shared" si="58"/>
        <v>36.799999999999997</v>
      </c>
      <c r="CY185" s="2">
        <f t="shared" si="59"/>
        <v>0.68848258468661205</v>
      </c>
      <c r="CZ185" s="2">
        <f t="shared" si="60"/>
        <v>36.799999999999997</v>
      </c>
      <c r="DA185" s="2">
        <f t="shared" si="61"/>
        <v>0.31151748569014237</v>
      </c>
    </row>
    <row r="186" spans="2:105" ht="18" customHeight="1" x14ac:dyDescent="0.25">
      <c r="B186" s="6"/>
      <c r="C186" s="176" t="s">
        <v>188</v>
      </c>
      <c r="D186" s="176"/>
      <c r="E186" s="176"/>
      <c r="F186" s="176"/>
      <c r="G186" s="176"/>
      <c r="H186" s="176"/>
      <c r="I186" s="176"/>
      <c r="J186" s="176"/>
      <c r="K186" s="176"/>
      <c r="L186" s="176"/>
      <c r="AP186" s="8"/>
      <c r="AR186" s="6"/>
      <c r="CF186" s="8"/>
      <c r="CM186" s="2">
        <f t="shared" si="62"/>
        <v>37</v>
      </c>
      <c r="CN186" s="1" t="str">
        <f t="shared" si="49"/>
        <v>0.0107986736111111+39.9550923611111i</v>
      </c>
      <c r="CO186" s="56" t="str">
        <f t="shared" si="50"/>
        <v>-0.729640108858859i</v>
      </c>
      <c r="CP186" s="1" t="str">
        <f t="shared" si="51"/>
        <v>0.0107986736111111+39.2254522522522i</v>
      </c>
      <c r="CQ186" s="1" t="str">
        <f t="shared" si="52"/>
        <v>0.0191834803010191+17.7447192784427i</v>
      </c>
      <c r="CR186" s="1" t="str">
        <f t="shared" si="53"/>
        <v>0.0101419216827437+12.2177047568071i</v>
      </c>
      <c r="CT186" s="1">
        <f t="shared" si="54"/>
        <v>37</v>
      </c>
      <c r="CU186" s="1">
        <f t="shared" si="55"/>
        <v>39.200000000000003</v>
      </c>
      <c r="CV186" s="56">
        <f t="shared" si="56"/>
        <v>17.744729647888487</v>
      </c>
      <c r="CW186" s="2">
        <f t="shared" si="57"/>
        <v>12.217708966213031</v>
      </c>
      <c r="CX186" s="2">
        <f t="shared" si="58"/>
        <v>37</v>
      </c>
      <c r="CY186" s="2">
        <f t="shared" si="59"/>
        <v>0.68852606991771592</v>
      </c>
      <c r="CZ186" s="2">
        <f t="shared" si="60"/>
        <v>37</v>
      </c>
      <c r="DA186" s="2">
        <f t="shared" si="61"/>
        <v>0.31147399970459066</v>
      </c>
    </row>
    <row r="187" spans="2:105" ht="18" customHeight="1" x14ac:dyDescent="0.25">
      <c r="B187" s="6"/>
      <c r="C187" s="176"/>
      <c r="D187" s="176"/>
      <c r="E187" s="176"/>
      <c r="F187" s="176"/>
      <c r="G187" s="176"/>
      <c r="H187" s="176"/>
      <c r="I187" s="176"/>
      <c r="J187" s="176"/>
      <c r="K187" s="176"/>
      <c r="L187" s="176"/>
      <c r="AP187" s="8"/>
      <c r="AR187" s="6"/>
      <c r="CF187" s="8"/>
      <c r="CM187" s="2">
        <f t="shared" si="62"/>
        <v>37.200000000000003</v>
      </c>
      <c r="CN187" s="1" t="str">
        <f t="shared" si="49"/>
        <v>0.0107986736111111+40.1710658333333i</v>
      </c>
      <c r="CO187" s="56" t="str">
        <f t="shared" si="50"/>
        <v>-0.725717312574672i</v>
      </c>
      <c r="CP187" s="1" t="str">
        <f t="shared" si="51"/>
        <v>0.0107986736111111+39.4453485207586i</v>
      </c>
      <c r="CQ187" s="1" t="str">
        <f t="shared" si="52"/>
        <v>0.0191834803010191+17.8406366799478i</v>
      </c>
      <c r="CR187" s="1" t="str">
        <f t="shared" si="53"/>
        <v>0.0101427639352462+12.2845094860978i</v>
      </c>
      <c r="CT187" s="1">
        <f t="shared" si="54"/>
        <v>37.200000000000003</v>
      </c>
      <c r="CU187" s="1">
        <f t="shared" si="55"/>
        <v>39.4</v>
      </c>
      <c r="CV187" s="56">
        <f t="shared" si="56"/>
        <v>17.840646993643904</v>
      </c>
      <c r="CW187" s="2">
        <f t="shared" si="57"/>
        <v>12.284513673307831</v>
      </c>
      <c r="CX187" s="2">
        <f t="shared" si="58"/>
        <v>37.200000000000003</v>
      </c>
      <c r="CY187" s="2">
        <f t="shared" si="59"/>
        <v>0.68856884381404271</v>
      </c>
      <c r="CZ187" s="2">
        <f t="shared" si="60"/>
        <v>37.200000000000003</v>
      </c>
      <c r="DA187" s="2">
        <f t="shared" si="61"/>
        <v>0.31143122506585541</v>
      </c>
    </row>
    <row r="188" spans="2:105" ht="18" customHeight="1" x14ac:dyDescent="0.25">
      <c r="B188" s="6"/>
      <c r="C188" s="176"/>
      <c r="D188" s="176"/>
      <c r="E188" s="176"/>
      <c r="F188" s="176"/>
      <c r="G188" s="176"/>
      <c r="H188" s="176"/>
      <c r="I188" s="176"/>
      <c r="J188" s="176"/>
      <c r="K188" s="176"/>
      <c r="L188" s="176"/>
      <c r="AP188" s="8"/>
      <c r="AR188" s="6"/>
      <c r="CF188" s="8"/>
      <c r="CM188" s="2">
        <f t="shared" si="62"/>
        <v>37.4</v>
      </c>
      <c r="CN188" s="1" t="str">
        <f t="shared" si="49"/>
        <v>0.0107986736111111+40.3870393055556i</v>
      </c>
      <c r="CO188" s="56" t="str">
        <f t="shared" si="50"/>
        <v>-0.721836471330957i</v>
      </c>
      <c r="CP188" s="1" t="str">
        <f t="shared" si="51"/>
        <v>0.0107986736111111+39.6652028342246i</v>
      </c>
      <c r="CQ188" s="1" t="str">
        <f t="shared" si="52"/>
        <v>0.0191834803010191+17.9365540814529i</v>
      </c>
      <c r="CR188" s="1" t="str">
        <f t="shared" si="53"/>
        <v>0.0101435925931124+12.3513099400765i</v>
      </c>
      <c r="CT188" s="1">
        <f t="shared" si="54"/>
        <v>37.4</v>
      </c>
      <c r="CU188" s="1">
        <f t="shared" si="55"/>
        <v>39.700000000000003</v>
      </c>
      <c r="CV188" s="56">
        <f t="shared" si="56"/>
        <v>17.936564339995581</v>
      </c>
      <c r="CW188" s="2">
        <f t="shared" si="57"/>
        <v>12.35131410532107</v>
      </c>
      <c r="CX188" s="2">
        <f t="shared" si="58"/>
        <v>37.4</v>
      </c>
      <c r="CY188" s="2">
        <f t="shared" si="59"/>
        <v>0.68861092186867223</v>
      </c>
      <c r="CZ188" s="2">
        <f t="shared" si="60"/>
        <v>37.4</v>
      </c>
      <c r="DA188" s="2">
        <f t="shared" si="61"/>
        <v>0.31138914628060266</v>
      </c>
    </row>
    <row r="189" spans="2:105" ht="18" customHeight="1" x14ac:dyDescent="0.25">
      <c r="B189" s="6"/>
      <c r="AP189" s="8"/>
      <c r="AR189" s="6"/>
      <c r="CF189" s="8"/>
      <c r="CM189" s="2">
        <f t="shared" si="62"/>
        <v>37.6</v>
      </c>
      <c r="CN189" s="1" t="str">
        <f t="shared" si="49"/>
        <v>0.0107986736111111+40.6030127777778i</v>
      </c>
      <c r="CO189" s="56" t="str">
        <f t="shared" si="50"/>
        <v>-0.717996915632388i</v>
      </c>
      <c r="CP189" s="1" t="str">
        <f t="shared" si="51"/>
        <v>0.0107986736111111+39.8850158621454i</v>
      </c>
      <c r="CQ189" s="1" t="str">
        <f t="shared" si="52"/>
        <v>0.0191834803010191+18.032471482958i</v>
      </c>
      <c r="CR189" s="1" t="str">
        <f t="shared" si="53"/>
        <v>0.0101444079479481+12.4181061902943i</v>
      </c>
      <c r="CT189" s="1">
        <f t="shared" si="54"/>
        <v>37.6</v>
      </c>
      <c r="CU189" s="1">
        <f t="shared" si="55"/>
        <v>39.9</v>
      </c>
      <c r="CV189" s="56">
        <f t="shared" si="56"/>
        <v>18.032481686933995</v>
      </c>
      <c r="CW189" s="2">
        <f t="shared" si="57"/>
        <v>12.418110333800318</v>
      </c>
      <c r="CX189" s="2">
        <f t="shared" si="58"/>
        <v>37.6</v>
      </c>
      <c r="CY189" s="2">
        <f t="shared" si="59"/>
        <v>0.68865231915351344</v>
      </c>
      <c r="CZ189" s="2">
        <f t="shared" si="60"/>
        <v>37.6</v>
      </c>
      <c r="DA189" s="2">
        <f t="shared" si="61"/>
        <v>0.31134774827667611</v>
      </c>
    </row>
    <row r="190" spans="2:105" ht="18" customHeight="1" x14ac:dyDescent="0.25">
      <c r="B190" s="6"/>
      <c r="AP190" s="8"/>
      <c r="AR190" s="6"/>
      <c r="CF190" s="8"/>
      <c r="CM190" s="2">
        <f t="shared" si="62"/>
        <v>37.799999999999997</v>
      </c>
      <c r="CN190" s="1" t="str">
        <f t="shared" si="49"/>
        <v>0.0107986736111111+40.81898625i</v>
      </c>
      <c r="CO190" s="56" t="str">
        <f t="shared" si="50"/>
        <v>-0.714197990152852i</v>
      </c>
      <c r="CP190" s="1" t="str">
        <f t="shared" si="51"/>
        <v>0.0107986736111111+40.1047882598471i</v>
      </c>
      <c r="CQ190" s="1" t="str">
        <f t="shared" si="52"/>
        <v>0.0191834803010191+18.1283888844631i</v>
      </c>
      <c r="CR190" s="1" t="str">
        <f t="shared" si="53"/>
        <v>0.0101452102835664+12.4848983066985i</v>
      </c>
      <c r="CT190" s="1">
        <f t="shared" si="54"/>
        <v>37.799999999999997</v>
      </c>
      <c r="CU190" s="1">
        <f t="shared" si="55"/>
        <v>40.1</v>
      </c>
      <c r="CV190" s="56">
        <f t="shared" si="56"/>
        <v>18.128399034449838</v>
      </c>
      <c r="CW190" s="2">
        <f t="shared" si="57"/>
        <v>12.484902428689415</v>
      </c>
      <c r="CX190" s="2">
        <f t="shared" si="58"/>
        <v>37.799999999999997</v>
      </c>
      <c r="CY190" s="2">
        <f t="shared" si="59"/>
        <v>0.6886930503330192</v>
      </c>
      <c r="CZ190" s="2">
        <f t="shared" si="60"/>
        <v>37.799999999999997</v>
      </c>
      <c r="DA190" s="2">
        <f t="shared" si="61"/>
        <v>0.31130701638938252</v>
      </c>
    </row>
    <row r="191" spans="2:105" ht="18" customHeight="1" x14ac:dyDescent="0.25">
      <c r="B191" s="6"/>
      <c r="AP191" s="8"/>
      <c r="AR191" s="6"/>
      <c r="CF191" s="8"/>
      <c r="CM191" s="2">
        <f t="shared" si="62"/>
        <v>38</v>
      </c>
      <c r="CN191" s="1" t="str">
        <f t="shared" si="49"/>
        <v>0.0107986736111111+41.0349597222222i</v>
      </c>
      <c r="CO191" s="56" t="str">
        <f t="shared" si="50"/>
        <v>-0.710439053362573i</v>
      </c>
      <c r="CP191" s="1" t="str">
        <f t="shared" si="51"/>
        <v>0.0107986736111111+40.3245206688596i</v>
      </c>
      <c r="CQ191" s="1" t="str">
        <f t="shared" si="52"/>
        <v>0.0191834803010191+18.2243062859682i</v>
      </c>
      <c r="CR191" s="1" t="str">
        <f t="shared" si="53"/>
        <v>0.0101459998762373+12.5516863576776i</v>
      </c>
      <c r="CT191" s="1">
        <f t="shared" si="54"/>
        <v>38</v>
      </c>
      <c r="CU191" s="1">
        <f t="shared" si="55"/>
        <v>40.299999999999997</v>
      </c>
      <c r="CV191" s="56">
        <f t="shared" si="56"/>
        <v>18.224316382533981</v>
      </c>
      <c r="CW191" s="2">
        <f t="shared" si="57"/>
        <v>12.551690458373464</v>
      </c>
      <c r="CX191" s="2">
        <f t="shared" si="58"/>
        <v>38</v>
      </c>
      <c r="CY191" s="2">
        <f t="shared" si="59"/>
        <v>0.68873312967738609</v>
      </c>
      <c r="CZ191" s="2">
        <f t="shared" si="60"/>
        <v>38</v>
      </c>
      <c r="DA191" s="2">
        <f t="shared" si="61"/>
        <v>0.31126693634828795</v>
      </c>
    </row>
    <row r="192" spans="2:105" ht="18" customHeight="1" x14ac:dyDescent="0.25">
      <c r="B192" s="6"/>
      <c r="AP192" s="8"/>
      <c r="AR192" s="6"/>
      <c r="CF192" s="8"/>
      <c r="CM192" s="2">
        <f t="shared" si="62"/>
        <v>38.200000000000003</v>
      </c>
      <c r="CN192" s="1" t="str">
        <f t="shared" si="49"/>
        <v>0.0107986736111111+41.2509331944445i</v>
      </c>
      <c r="CO192" s="56" t="str">
        <f t="shared" si="50"/>
        <v>-0.706719477166958i</v>
      </c>
      <c r="CP192" s="1" t="str">
        <f t="shared" si="51"/>
        <v>0.0107986736111111+40.5442137172775i</v>
      </c>
      <c r="CQ192" s="1" t="str">
        <f t="shared" si="52"/>
        <v>0.0191834803010191+18.3202236874733i</v>
      </c>
      <c r="CR192" s="1" t="str">
        <f t="shared" si="53"/>
        <v>0.0101467769949269+12.6184704101051i</v>
      </c>
      <c r="CT192" s="1">
        <f t="shared" si="54"/>
        <v>38.200000000000003</v>
      </c>
      <c r="CU192" s="1">
        <f t="shared" si="55"/>
        <v>40.5</v>
      </c>
      <c r="CV192" s="56">
        <f t="shared" si="56"/>
        <v>18.320233731177513</v>
      </c>
      <c r="CW192" s="2">
        <f t="shared" si="57"/>
        <v>12.618474489722653</v>
      </c>
      <c r="CX192" s="2">
        <f t="shared" si="58"/>
        <v>38.200000000000003</v>
      </c>
      <c r="CY192" s="2">
        <f t="shared" si="59"/>
        <v>0.68877257107525203</v>
      </c>
      <c r="CZ192" s="2">
        <f t="shared" si="60"/>
        <v>38.200000000000003</v>
      </c>
      <c r="DA192" s="2">
        <f t="shared" si="61"/>
        <v>0.31122749426452845</v>
      </c>
    </row>
    <row r="193" spans="2:105" ht="18" customHeight="1" x14ac:dyDescent="0.25">
      <c r="B193" s="6"/>
      <c r="AP193" s="8"/>
      <c r="AR193" s="6"/>
      <c r="CF193" s="8"/>
      <c r="CM193" s="2">
        <f t="shared" si="62"/>
        <v>38.4</v>
      </c>
      <c r="CN193" s="1" t="str">
        <f t="shared" si="49"/>
        <v>0.0107986736111111+41.4669066666667i</v>
      </c>
      <c r="CO193" s="56" t="str">
        <f t="shared" si="50"/>
        <v>-0.703038646556713i</v>
      </c>
      <c r="CP193" s="1" t="str">
        <f t="shared" si="51"/>
        <v>0.0107986736111111+40.76386802011i</v>
      </c>
      <c r="CQ193" s="1" t="str">
        <f t="shared" si="52"/>
        <v>0.0191834803010191+18.4161410889784i</v>
      </c>
      <c r="CR193" s="1" t="str">
        <f t="shared" si="53"/>
        <v>0.0101475419015288+12.6852505293814i</v>
      </c>
      <c r="CT193" s="1">
        <f t="shared" si="54"/>
        <v>38.4</v>
      </c>
      <c r="CU193" s="1">
        <f t="shared" si="55"/>
        <v>40.799999999999997</v>
      </c>
      <c r="CV193" s="56">
        <f t="shared" si="56"/>
        <v>18.41615108037168</v>
      </c>
      <c r="CW193" s="2">
        <f t="shared" si="57"/>
        <v>12.68525458813412</v>
      </c>
      <c r="CX193" s="2">
        <f t="shared" si="58"/>
        <v>38.4</v>
      </c>
      <c r="CY193" s="2">
        <f t="shared" si="59"/>
        <v>0.68881138804591724</v>
      </c>
      <c r="CZ193" s="2">
        <f t="shared" si="60"/>
        <v>38.4</v>
      </c>
      <c r="DA193" s="2">
        <f t="shared" si="61"/>
        <v>0.31118867661857991</v>
      </c>
    </row>
    <row r="194" spans="2:105" ht="18" customHeight="1" thickBot="1" x14ac:dyDescent="0.3">
      <c r="B194" s="6"/>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1"/>
      <c r="AO194" s="10"/>
      <c r="AP194" s="8"/>
      <c r="AR194" s="6"/>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1"/>
      <c r="CE194" s="10"/>
      <c r="CF194" s="8"/>
      <c r="CM194" s="2">
        <f t="shared" si="62"/>
        <v>38.6</v>
      </c>
      <c r="CN194" s="1" t="str">
        <f t="shared" si="49"/>
        <v>0.0107986736111111+41.6828801388889i</v>
      </c>
      <c r="CO194" s="56" t="str">
        <f t="shared" si="50"/>
        <v>-0.699395959268855i</v>
      </c>
      <c r="CP194" s="1" t="str">
        <f t="shared" si="51"/>
        <v>0.0107986736111111+40.98348417962i</v>
      </c>
      <c r="CQ194" s="1" t="str">
        <f t="shared" si="52"/>
        <v>0.0191834803010191+18.5120584904835i</v>
      </c>
      <c r="CR194" s="1" t="str">
        <f t="shared" si="53"/>
        <v>0.0101482948510862+12.7520267794745i</v>
      </c>
      <c r="CT194" s="1">
        <f t="shared" si="54"/>
        <v>38.6</v>
      </c>
      <c r="CU194" s="1">
        <f t="shared" si="55"/>
        <v>41</v>
      </c>
      <c r="CV194" s="56">
        <f t="shared" si="56"/>
        <v>18.512068430107931</v>
      </c>
      <c r="CW194" s="2">
        <f t="shared" si="57"/>
        <v>12.752030817572674</v>
      </c>
      <c r="CX194" s="2">
        <f t="shared" si="58"/>
        <v>38.6</v>
      </c>
      <c r="CY194" s="2">
        <f t="shared" si="59"/>
        <v>0.68884959375111277</v>
      </c>
      <c r="CZ194" s="2">
        <f t="shared" si="60"/>
        <v>38.6</v>
      </c>
      <c r="DA194" s="2">
        <f t="shared" si="61"/>
        <v>0.31115047024849424</v>
      </c>
    </row>
    <row r="195" spans="2:105" ht="18" customHeight="1" x14ac:dyDescent="0.25">
      <c r="B195" s="6"/>
      <c r="D195" s="43" t="s">
        <v>84</v>
      </c>
      <c r="AO195" s="29" t="s">
        <v>189</v>
      </c>
      <c r="AP195" s="8"/>
      <c r="AR195" s="6"/>
      <c r="AT195" s="43" t="s">
        <v>84</v>
      </c>
      <c r="CE195" s="29" t="s">
        <v>190</v>
      </c>
      <c r="CF195" s="8"/>
      <c r="CM195" s="2">
        <f t="shared" si="62"/>
        <v>38.799999999999997</v>
      </c>
      <c r="CN195" s="1" t="str">
        <f t="shared" si="49"/>
        <v>0.0107986736111111+41.8988536111111i</v>
      </c>
      <c r="CO195" s="56" t="str">
        <f t="shared" si="50"/>
        <v>-0.69579082545819i</v>
      </c>
      <c r="CP195" s="1" t="str">
        <f t="shared" si="51"/>
        <v>0.0107986736111111+41.2030627856529i</v>
      </c>
      <c r="CQ195" s="1" t="str">
        <f t="shared" si="52"/>
        <v>0.0191834803010191+18.6079758919886i</v>
      </c>
      <c r="CR195" s="1" t="str">
        <f t="shared" si="53"/>
        <v>0.0101490360920064+12.8187992229593i</v>
      </c>
      <c r="CT195" s="1">
        <f t="shared" si="54"/>
        <v>38.799999999999997</v>
      </c>
      <c r="CU195" s="1">
        <f t="shared" si="55"/>
        <v>41.2</v>
      </c>
      <c r="CV195" s="56">
        <f t="shared" si="56"/>
        <v>18.607985780377881</v>
      </c>
      <c r="CW195" s="2">
        <f t="shared" si="57"/>
        <v>12.818803240610082</v>
      </c>
      <c r="CX195" s="2">
        <f t="shared" si="58"/>
        <v>38.799999999999997</v>
      </c>
      <c r="CY195" s="2">
        <f t="shared" si="59"/>
        <v>0.6888872010063305</v>
      </c>
      <c r="CZ195" s="2">
        <f t="shared" si="60"/>
        <v>38.799999999999997</v>
      </c>
      <c r="DA195" s="2">
        <f t="shared" si="61"/>
        <v>0.3111128623385675</v>
      </c>
    </row>
    <row r="196" spans="2:105" ht="18" customHeight="1" x14ac:dyDescent="0.25">
      <c r="B196" s="45"/>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7"/>
      <c r="AR196" s="45"/>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7"/>
      <c r="CM196" s="2">
        <f t="shared" si="62"/>
        <v>39</v>
      </c>
      <c r="CN196" s="1" t="str">
        <f t="shared" si="49"/>
        <v>0.0107986736111111+42.1148270833333i</v>
      </c>
      <c r="CO196" s="56" t="str">
        <f t="shared" si="50"/>
        <v>-0.692222667378918i</v>
      </c>
      <c r="CP196" s="1" t="str">
        <f t="shared" si="51"/>
        <v>0.0107986736111111+41.4226044159544i</v>
      </c>
      <c r="CQ196" s="1" t="str">
        <f t="shared" si="52"/>
        <v>0.0191834803010191+18.7038932934937i</v>
      </c>
      <c r="CR196" s="1" t="str">
        <f t="shared" si="53"/>
        <v>0.0101497658662672+12.885567921056i</v>
      </c>
      <c r="CT196" s="1">
        <f t="shared" si="54"/>
        <v>39</v>
      </c>
      <c r="CU196" s="1">
        <f t="shared" si="55"/>
        <v>41.4</v>
      </c>
      <c r="CV196" s="56">
        <f t="shared" si="56"/>
        <v>18.70390313117332</v>
      </c>
      <c r="CW196" s="2">
        <f t="shared" si="57"/>
        <v>12.885571918463478</v>
      </c>
      <c r="CX196" s="2">
        <f t="shared" si="58"/>
        <v>39</v>
      </c>
      <c r="CY196" s="2">
        <f t="shared" si="59"/>
        <v>0.68892422229173333</v>
      </c>
      <c r="CZ196" s="2">
        <f t="shared" si="60"/>
        <v>39</v>
      </c>
      <c r="DA196" s="2">
        <f t="shared" si="61"/>
        <v>0.31107584040843095</v>
      </c>
    </row>
    <row r="197" spans="2:105" ht="18" customHeight="1" x14ac:dyDescent="0.25">
      <c r="CM197" s="2">
        <f t="shared" si="62"/>
        <v>39.200000000000003</v>
      </c>
      <c r="CN197" s="1" t="str">
        <f t="shared" si="49"/>
        <v>0.0107986736111111+42.3308005555556i</v>
      </c>
      <c r="CO197" s="56" t="str">
        <f t="shared" si="50"/>
        <v>-0.688690919075964i</v>
      </c>
      <c r="CP197" s="1" t="str">
        <f t="shared" si="51"/>
        <v>0.0107986736111111+41.6421096364796i</v>
      </c>
      <c r="CQ197" s="1" t="str">
        <f t="shared" si="52"/>
        <v>0.0191834803010191+18.7998106949988i</v>
      </c>
      <c r="CR197" s="1" t="str">
        <f t="shared" si="53"/>
        <v>0.0101504844096158+12.9523329336663i</v>
      </c>
      <c r="CT197" s="1">
        <f t="shared" si="54"/>
        <v>39.200000000000003</v>
      </c>
      <c r="CU197" s="1">
        <f t="shared" si="55"/>
        <v>41.6</v>
      </c>
      <c r="CV197" s="56">
        <f t="shared" si="56"/>
        <v>18.799820482486201</v>
      </c>
      <c r="CW197" s="2">
        <f t="shared" si="57"/>
        <v>12.952336911031555</v>
      </c>
      <c r="CX197" s="2">
        <f t="shared" si="58"/>
        <v>39.200000000000003</v>
      </c>
      <c r="CY197" s="2">
        <f t="shared" si="59"/>
        <v>0.68896066976266757</v>
      </c>
      <c r="CZ197" s="2">
        <f t="shared" si="60"/>
        <v>39.200000000000003</v>
      </c>
      <c r="DA197" s="2">
        <f t="shared" si="61"/>
        <v>0.31103939230253674</v>
      </c>
    </row>
    <row r="198" spans="2:105" ht="18" customHeight="1" x14ac:dyDescent="0.25">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5"/>
      <c r="AR198" s="3"/>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5"/>
      <c r="CM198" s="2">
        <f t="shared" si="62"/>
        <v>39.4</v>
      </c>
      <c r="CN198" s="1" t="str">
        <f t="shared" si="49"/>
        <v>0.0107986736111111+42.5467740277778i</v>
      </c>
      <c r="CO198" s="56" t="str">
        <f t="shared" si="50"/>
        <v>-0.685195026085731i</v>
      </c>
      <c r="CP198" s="1" t="str">
        <f t="shared" si="51"/>
        <v>0.0107986736111111+41.8615790016921i</v>
      </c>
      <c r="CQ198" s="1" t="str">
        <f t="shared" si="52"/>
        <v>0.0191834803010191+18.8957280965039i</v>
      </c>
      <c r="CR198" s="1" t="str">
        <f t="shared" si="53"/>
        <v>0.010151191951761+13.0190943194096i</v>
      </c>
      <c r="CT198" s="1">
        <f t="shared" si="54"/>
        <v>39.4</v>
      </c>
      <c r="CU198" s="1">
        <f t="shared" si="55"/>
        <v>41.9</v>
      </c>
      <c r="CV198" s="56">
        <f t="shared" si="56"/>
        <v>18.895737834308648</v>
      </c>
      <c r="CW198" s="2">
        <f t="shared" si="57"/>
        <v>13.019098276930753</v>
      </c>
      <c r="CX198" s="2">
        <f t="shared" si="58"/>
        <v>39.4</v>
      </c>
      <c r="CY198" s="2">
        <f t="shared" si="59"/>
        <v>0.6889965552597902</v>
      </c>
      <c r="CZ198" s="2">
        <f t="shared" si="60"/>
        <v>39.4</v>
      </c>
      <c r="DA198" s="2">
        <f t="shared" si="61"/>
        <v>0.31100350618003181</v>
      </c>
    </row>
    <row r="199" spans="2:105" ht="18" customHeight="1" x14ac:dyDescent="0.25">
      <c r="B199" s="6"/>
      <c r="AN199" s="7"/>
      <c r="AP199" s="8"/>
      <c r="AR199" s="6"/>
      <c r="CD199" s="7"/>
      <c r="CF199" s="8"/>
      <c r="CM199" s="2">
        <f t="shared" si="62"/>
        <v>39.6</v>
      </c>
      <c r="CN199" s="1" t="str">
        <f t="shared" ref="CN199:CN251" si="63">COMPLEX($AJ$34/$S$34,$AJ$34*CM199)</f>
        <v>0.0107986736111111+42.7627475i</v>
      </c>
      <c r="CO199" s="56" t="str">
        <f t="shared" ref="CO199:CO251" si="64">COMPLEX("0",-$AJ$30/CM199)</f>
        <v>-0.681734445145904i</v>
      </c>
      <c r="CP199" s="1" t="str">
        <f t="shared" ref="CP199:CP251" si="65">IMSUM(CO199,CN199)</f>
        <v>0.0107986736111111+42.0810130548541i</v>
      </c>
      <c r="CQ199" s="1" t="str">
        <f t="shared" ref="CQ199:CQ251" si="66">COMPLEX($CV$1,$CV$2*CT199)</f>
        <v>0.0191834803010191+18.991645498009i</v>
      </c>
      <c r="CR199" s="1" t="str">
        <f t="shared" ref="CR199:CR251" si="67">IMDIV(IMPRODUCT(CQ199,CP199),IMSUM(CP199,CQ199))</f>
        <v>0.010151888716558+13.0858521356568i</v>
      </c>
      <c r="CT199" s="1">
        <f t="shared" ref="CT199:CT251" si="68">CM199</f>
        <v>39.6</v>
      </c>
      <c r="CU199" s="1">
        <f t="shared" ref="CU199:CU251" si="69">ROUND(IMABS(CP199),1)</f>
        <v>42.1</v>
      </c>
      <c r="CV199" s="56">
        <f t="shared" ref="CV199:CV251" si="70">IMABS(COMPLEX($CV$1,$CV$2*CT199))</f>
        <v>18.991655186632943</v>
      </c>
      <c r="CW199" s="2">
        <f t="shared" ref="CW199:CW251" si="71">IMABS(CR199)</f>
        <v>13.08585607352909</v>
      </c>
      <c r="CX199" s="2">
        <f t="shared" ref="CX199:CX251" si="72">CT199</f>
        <v>39.6</v>
      </c>
      <c r="CY199" s="2">
        <f t="shared" ref="CY199:CY251" si="73">IMABS(IMDIV(CP199,IMSUM(CP199,CQ199)))</f>
        <v>0.68903189031883127</v>
      </c>
      <c r="CZ199" s="2">
        <f t="shared" ref="CZ199:CZ251" si="74">CX199</f>
        <v>39.6</v>
      </c>
      <c r="DA199" s="2">
        <f t="shared" ref="DA199:DA251" si="75">IMABS(IMDIV(CQ199,IMSUM(CP199,CQ199)))</f>
        <v>0.3109681705049942</v>
      </c>
    </row>
    <row r="200" spans="2:105" ht="18" customHeight="1" x14ac:dyDescent="0.25">
      <c r="B200" s="6"/>
      <c r="AN200" s="9"/>
      <c r="AP200" s="8"/>
      <c r="AR200" s="6"/>
      <c r="CD200" s="9"/>
      <c r="CF200" s="8"/>
      <c r="CM200" s="2">
        <f t="shared" ref="CM200:CM251" si="76">ROUND(CM199+0.2,1)</f>
        <v>39.799999999999997</v>
      </c>
      <c r="CN200" s="1" t="str">
        <f t="shared" si="63"/>
        <v>0.0107986736111111+42.9787209722222i</v>
      </c>
      <c r="CO200" s="56" t="str">
        <f t="shared" si="64"/>
        <v>-0.678308643914015i</v>
      </c>
      <c r="CP200" s="1" t="str">
        <f t="shared" si="65"/>
        <v>0.0107986736111111+42.3004123283082i</v>
      </c>
      <c r="CQ200" s="1" t="str">
        <f t="shared" si="66"/>
        <v>0.0191834803010191+19.0875628995141i</v>
      </c>
      <c r="CR200" s="1" t="str">
        <f t="shared" si="67"/>
        <v>0.0101525749221862+13.1526064385644i</v>
      </c>
      <c r="CT200" s="1">
        <f t="shared" si="68"/>
        <v>39.799999999999997</v>
      </c>
      <c r="CU200" s="1">
        <f t="shared" si="69"/>
        <v>42.3</v>
      </c>
      <c r="CV200" s="56">
        <f t="shared" si="70"/>
        <v>19.087572539451518</v>
      </c>
      <c r="CW200" s="2">
        <f t="shared" si="71"/>
        <v>13.152610356980215</v>
      </c>
      <c r="CX200" s="2">
        <f t="shared" si="72"/>
        <v>39.799999999999997</v>
      </c>
      <c r="CY200" s="2">
        <f t="shared" si="73"/>
        <v>0.68906668617999878</v>
      </c>
      <c r="CZ200" s="2">
        <f t="shared" si="74"/>
        <v>39.799999999999997</v>
      </c>
      <c r="DA200" s="2">
        <f t="shared" si="75"/>
        <v>0.31093337403703186</v>
      </c>
    </row>
    <row r="201" spans="2:105" ht="18" customHeight="1" thickBot="1" x14ac:dyDescent="0.3">
      <c r="B201" s="6"/>
      <c r="C201" s="10" t="str">
        <f>"Harmonic Filter Design - Notch Type | "&amp; H12 &amp; " | " &amp; AE13</f>
        <v>Harmonic Filter Design - Notch Type | Enter Customer PO #  | Stage 1</v>
      </c>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1"/>
      <c r="AO201" s="10"/>
      <c r="AP201" s="8"/>
      <c r="AR201" s="6"/>
      <c r="AS201" s="10" t="str">
        <f>"Harmonic Filter Design - Notch Type | "&amp; H12 &amp; " | " &amp; AE13</f>
        <v>Harmonic Filter Design - Notch Type | Enter Customer PO #  | Stage 1</v>
      </c>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1"/>
      <c r="CE201" s="10"/>
      <c r="CF201" s="8"/>
      <c r="CM201" s="2">
        <f t="shared" si="76"/>
        <v>40</v>
      </c>
      <c r="CN201" s="1" t="str">
        <f t="shared" si="63"/>
        <v>0.0107986736111111+43.1946944444445i</v>
      </c>
      <c r="CO201" s="56" t="str">
        <f t="shared" si="64"/>
        <v>-0.674917100694445i</v>
      </c>
      <c r="CP201" s="1" t="str">
        <f t="shared" si="65"/>
        <v>0.0107986736111111+42.5197773437501i</v>
      </c>
      <c r="CQ201" s="1" t="str">
        <f t="shared" si="66"/>
        <v>0.0191834803010191+19.1834803010192i</v>
      </c>
      <c r="CR201" s="1" t="str">
        <f t="shared" si="67"/>
        <v>0.0101532507813227+13.2193572831058i</v>
      </c>
      <c r="CT201" s="1">
        <f t="shared" si="68"/>
        <v>40</v>
      </c>
      <c r="CU201" s="1">
        <f t="shared" si="69"/>
        <v>42.5</v>
      </c>
      <c r="CV201" s="56">
        <f t="shared" si="70"/>
        <v>19.183489892756953</v>
      </c>
      <c r="CW201" s="2">
        <f t="shared" si="71"/>
        <v>13.219361182254755</v>
      </c>
      <c r="CX201" s="2">
        <f t="shared" si="72"/>
        <v>40</v>
      </c>
      <c r="CY201" s="2">
        <f t="shared" si="73"/>
        <v>0.68910095379704572</v>
      </c>
      <c r="CZ201" s="2">
        <f t="shared" si="74"/>
        <v>40</v>
      </c>
      <c r="DA201" s="2">
        <f t="shared" si="75"/>
        <v>0.31089910582220737</v>
      </c>
    </row>
    <row r="202" spans="2:105" ht="18" customHeight="1" x14ac:dyDescent="0.25">
      <c r="B202" s="6"/>
      <c r="AN202" s="9"/>
      <c r="AP202" s="8"/>
      <c r="AR202" s="6"/>
      <c r="CD202" s="9"/>
      <c r="CF202" s="8"/>
      <c r="CM202" s="2">
        <f t="shared" si="76"/>
        <v>40.200000000000003</v>
      </c>
      <c r="CN202" s="1" t="str">
        <f t="shared" si="63"/>
        <v>0.0107986736111111+43.4106679166667i</v>
      </c>
      <c r="CO202" s="56" t="str">
        <f t="shared" si="64"/>
        <v>-0.671559304173577i</v>
      </c>
      <c r="CP202" s="1" t="str">
        <f t="shared" si="65"/>
        <v>0.0107986736111111+42.7391086124931i</v>
      </c>
      <c r="CQ202" s="1" t="str">
        <f t="shared" si="66"/>
        <v>0.0191834803010191+19.2793977025243i</v>
      </c>
      <c r="CR202" s="1" t="str">
        <f t="shared" si="67"/>
        <v>0.010153916501307+13.2861047231036i</v>
      </c>
      <c r="CT202" s="1">
        <f t="shared" si="68"/>
        <v>40.200000000000003</v>
      </c>
      <c r="CU202" s="1">
        <f t="shared" si="69"/>
        <v>42.7</v>
      </c>
      <c r="CV202" s="56">
        <f t="shared" si="70"/>
        <v>19.279407246541989</v>
      </c>
      <c r="CW202" s="2">
        <f t="shared" si="71"/>
        <v>13.286108603172567</v>
      </c>
      <c r="CX202" s="2">
        <f t="shared" si="72"/>
        <v>40.200000000000003</v>
      </c>
      <c r="CY202" s="2">
        <f t="shared" si="73"/>
        <v>0.68913470384602049</v>
      </c>
      <c r="CZ202" s="2">
        <f t="shared" si="74"/>
        <v>40.200000000000003</v>
      </c>
      <c r="DA202" s="2">
        <f t="shared" si="75"/>
        <v>0.31086535518429564</v>
      </c>
    </row>
    <row r="203" spans="2:105" ht="18" customHeight="1" x14ac:dyDescent="0.3">
      <c r="B203" s="6"/>
      <c r="C203" s="154" t="s">
        <v>470</v>
      </c>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c r="AA203" s="154"/>
      <c r="AB203" s="154"/>
      <c r="AC203" s="154"/>
      <c r="AD203" s="154"/>
      <c r="AE203" s="154"/>
      <c r="AF203" s="154"/>
      <c r="AG203" s="154"/>
      <c r="AH203" s="154"/>
      <c r="AI203" s="154"/>
      <c r="AJ203" s="154"/>
      <c r="AK203" s="154"/>
      <c r="AL203" s="154"/>
      <c r="AM203" s="154"/>
      <c r="AN203" s="154"/>
      <c r="AO203" s="154"/>
      <c r="AP203" s="8"/>
      <c r="AR203" s="6"/>
      <c r="CF203" s="8"/>
      <c r="CM203" s="2">
        <f t="shared" si="76"/>
        <v>40.4</v>
      </c>
      <c r="CN203" s="1" t="str">
        <f t="shared" si="63"/>
        <v>0.0107986736111111+43.6266413888889i</v>
      </c>
      <c r="CO203" s="56" t="str">
        <f t="shared" si="64"/>
        <v>-0.668234753162816i</v>
      </c>
      <c r="CP203" s="1" t="str">
        <f t="shared" si="65"/>
        <v>0.0107986736111111+42.9584066357261i</v>
      </c>
      <c r="CQ203" s="1" t="str">
        <f t="shared" si="66"/>
        <v>0.0191834803010191+19.3753151040294i</v>
      </c>
      <c r="CR203" s="1" t="str">
        <f t="shared" si="67"/>
        <v>0.0101545722843017+13.3528488112587i</v>
      </c>
      <c r="CT203" s="1">
        <f t="shared" si="68"/>
        <v>40.4</v>
      </c>
      <c r="CU203" s="1">
        <f t="shared" si="69"/>
        <v>43</v>
      </c>
      <c r="CV203" s="56">
        <f t="shared" si="70"/>
        <v>19.375324600799502</v>
      </c>
      <c r="CW203" s="2">
        <f t="shared" si="71"/>
        <v>13.352852672431878</v>
      </c>
      <c r="CX203" s="2">
        <f t="shared" si="72"/>
        <v>40.4</v>
      </c>
      <c r="CY203" s="2">
        <f t="shared" si="73"/>
        <v>0.68916794673369863</v>
      </c>
      <c r="CZ203" s="2">
        <f t="shared" si="74"/>
        <v>40.4</v>
      </c>
      <c r="DA203" s="2">
        <f t="shared" si="75"/>
        <v>0.310832111716348</v>
      </c>
    </row>
    <row r="204" spans="2:105" ht="18" customHeight="1" x14ac:dyDescent="0.25">
      <c r="B204" s="6"/>
      <c r="AP204" s="8"/>
      <c r="AR204" s="6"/>
      <c r="CF204" s="8"/>
      <c r="CM204" s="2">
        <f t="shared" si="76"/>
        <v>40.6</v>
      </c>
      <c r="CN204" s="1" t="str">
        <f t="shared" si="63"/>
        <v>0.0107986736111111+43.8426148611111i</v>
      </c>
      <c r="CO204" s="56" t="str">
        <f t="shared" si="64"/>
        <v>-0.664942956349207i</v>
      </c>
      <c r="CP204" s="1" t="str">
        <f t="shared" si="65"/>
        <v>0.0107986736111111+43.1776719047619i</v>
      </c>
      <c r="CQ204" s="1" t="str">
        <f t="shared" si="66"/>
        <v>0.0191834803010191+19.4712325055345i</v>
      </c>
      <c r="CR204" s="1" t="str">
        <f t="shared" si="67"/>
        <v>0.0101552183274472+13.4195895991807i</v>
      </c>
      <c r="CT204" s="1">
        <f t="shared" si="68"/>
        <v>40.6</v>
      </c>
      <c r="CU204" s="1">
        <f t="shared" si="69"/>
        <v>43.2</v>
      </c>
      <c r="CV204" s="56">
        <f t="shared" si="70"/>
        <v>19.471241955522505</v>
      </c>
      <c r="CW204" s="2">
        <f t="shared" si="71"/>
        <v>13.419593441639655</v>
      </c>
      <c r="CX204" s="2">
        <f t="shared" si="72"/>
        <v>40.6</v>
      </c>
      <c r="CY204" s="2">
        <f t="shared" si="73"/>
        <v>0.68920069260571981</v>
      </c>
      <c r="CZ204" s="2">
        <f t="shared" si="74"/>
        <v>40.6</v>
      </c>
      <c r="DA204" s="2">
        <f t="shared" si="75"/>
        <v>0.31079936527255625</v>
      </c>
    </row>
    <row r="205" spans="2:105" ht="18" customHeight="1" x14ac:dyDescent="0.3">
      <c r="B205" s="6"/>
      <c r="C205" s="30" t="s">
        <v>479</v>
      </c>
      <c r="AP205" s="8"/>
      <c r="AR205" s="6"/>
      <c r="CF205" s="8"/>
      <c r="CM205" s="2">
        <f t="shared" si="76"/>
        <v>40.799999999999997</v>
      </c>
      <c r="CN205" s="1" t="str">
        <f t="shared" si="63"/>
        <v>0.0107986736111111+44.0585883333333i</v>
      </c>
      <c r="CO205" s="56" t="str">
        <f t="shared" si="64"/>
        <v>-0.661683432053377i</v>
      </c>
      <c r="CP205" s="1" t="str">
        <f t="shared" si="65"/>
        <v>0.0107986736111111+43.3969049012799i</v>
      </c>
      <c r="CQ205" s="1" t="str">
        <f t="shared" si="66"/>
        <v>0.0191834803010191+19.5671499070396i</v>
      </c>
      <c r="CR205" s="1" t="str">
        <f t="shared" si="67"/>
        <v>0.0101558548230108+13.4863271374153i</v>
      </c>
      <c r="CT205" s="1">
        <f t="shared" si="68"/>
        <v>40.799999999999997</v>
      </c>
      <c r="CU205" s="1">
        <f t="shared" si="69"/>
        <v>43.4</v>
      </c>
      <c r="CV205" s="56">
        <f t="shared" si="70"/>
        <v>19.567159310704152</v>
      </c>
      <c r="CW205" s="2">
        <f t="shared" si="71"/>
        <v>13.486330961339021</v>
      </c>
      <c r="CX205" s="2">
        <f t="shared" si="72"/>
        <v>40.799999999999997</v>
      </c>
      <c r="CY205" s="2">
        <f t="shared" si="73"/>
        <v>0.68923295135443585</v>
      </c>
      <c r="CZ205" s="2">
        <f t="shared" si="74"/>
        <v>40.799999999999997</v>
      </c>
      <c r="DA205" s="2">
        <f t="shared" si="75"/>
        <v>0.31076710596040308</v>
      </c>
    </row>
    <row r="206" spans="2:105" ht="18" customHeight="1" x14ac:dyDescent="0.25">
      <c r="B206" s="6"/>
      <c r="AP206" s="8"/>
      <c r="AR206" s="6"/>
      <c r="CF206" s="8"/>
      <c r="CM206" s="2">
        <f t="shared" si="76"/>
        <v>41</v>
      </c>
      <c r="CN206" s="1" t="str">
        <f t="shared" si="63"/>
        <v>0.0107986736111111+44.2745618055556i</v>
      </c>
      <c r="CO206" s="56" t="str">
        <f t="shared" si="64"/>
        <v>-0.65845570799458i</v>
      </c>
      <c r="CP206" s="1" t="str">
        <f t="shared" si="65"/>
        <v>0.0107986736111111+43.616106097561i</v>
      </c>
      <c r="CQ206" s="1" t="str">
        <f t="shared" si="66"/>
        <v>0.0191834803010191+19.6630673085447i</v>
      </c>
      <c r="CR206" s="1" t="str">
        <f t="shared" si="67"/>
        <v>0.0101564819585303+13.5530614754724i</v>
      </c>
      <c r="CT206" s="1">
        <f t="shared" si="68"/>
        <v>41</v>
      </c>
      <c r="CU206" s="1">
        <f t="shared" si="69"/>
        <v>43.6</v>
      </c>
      <c r="CV206" s="56">
        <f t="shared" si="70"/>
        <v>19.663076666337744</v>
      </c>
      <c r="CW206" s="2">
        <f t="shared" si="71"/>
        <v>13.553065281037343</v>
      </c>
      <c r="CX206" s="2">
        <f t="shared" si="72"/>
        <v>41</v>
      </c>
      <c r="CY206" s="2">
        <f t="shared" si="73"/>
        <v>0.68926473262648646</v>
      </c>
      <c r="CZ206" s="2">
        <f t="shared" si="74"/>
        <v>41</v>
      </c>
      <c r="DA206" s="2">
        <f t="shared" si="75"/>
        <v>0.3107353241330888</v>
      </c>
    </row>
    <row r="207" spans="2:105" ht="18" customHeight="1" x14ac:dyDescent="0.25">
      <c r="B207" s="6"/>
      <c r="C207" s="153" t="s">
        <v>476</v>
      </c>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c r="AK207" s="153"/>
      <c r="AL207" s="153"/>
      <c r="AM207" s="153"/>
      <c r="AN207" s="153"/>
      <c r="AO207" s="153"/>
      <c r="AP207" s="8"/>
      <c r="AR207" s="6"/>
      <c r="CF207" s="8"/>
      <c r="CM207" s="2">
        <f t="shared" si="76"/>
        <v>41.2</v>
      </c>
      <c r="CN207" s="1" t="str">
        <f t="shared" si="63"/>
        <v>0.0107986736111111+44.4905352777778i</v>
      </c>
      <c r="CO207" s="56" t="str">
        <f t="shared" si="64"/>
        <v>-0.655259321062568i</v>
      </c>
      <c r="CP207" s="1" t="str">
        <f t="shared" si="65"/>
        <v>0.0107986736111111+43.8352759567152i</v>
      </c>
      <c r="CQ207" s="1" t="str">
        <f t="shared" si="66"/>
        <v>0.0191834803010191+19.7589847100497i</v>
      </c>
      <c r="CR207" s="1" t="str">
        <f t="shared" si="67"/>
        <v>0.0101570999169545+13.6197926618524i</v>
      </c>
      <c r="CT207" s="1">
        <f t="shared" si="68"/>
        <v>41.2</v>
      </c>
      <c r="CU207" s="1">
        <f t="shared" si="69"/>
        <v>43.8</v>
      </c>
      <c r="CV207" s="56">
        <f t="shared" si="70"/>
        <v>19.75899402241658</v>
      </c>
      <c r="CW207" s="2">
        <f t="shared" si="71"/>
        <v>13.619796449232537</v>
      </c>
      <c r="CX207" s="2">
        <f t="shared" si="72"/>
        <v>41.2</v>
      </c>
      <c r="CY207" s="2">
        <f t="shared" si="73"/>
        <v>0.68929604583011195</v>
      </c>
      <c r="CZ207" s="2">
        <f t="shared" si="74"/>
        <v>41.2</v>
      </c>
      <c r="DA207" s="2">
        <f t="shared" si="75"/>
        <v>0.31070401038221535</v>
      </c>
    </row>
    <row r="208" spans="2:105" ht="18" customHeight="1" x14ac:dyDescent="0.25">
      <c r="B208" s="6"/>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8"/>
      <c r="AR208" s="6"/>
      <c r="CF208" s="8"/>
      <c r="CM208" s="2">
        <f t="shared" si="76"/>
        <v>41.4</v>
      </c>
      <c r="CN208" s="1" t="str">
        <f t="shared" si="63"/>
        <v>0.0107986736111111+44.70650875i</v>
      </c>
      <c r="CO208" s="56" t="str">
        <f t="shared" si="64"/>
        <v>-0.652093817096082i</v>
      </c>
      <c r="CP208" s="1" t="str">
        <f t="shared" si="65"/>
        <v>0.0107986736111111+44.0544149329039i</v>
      </c>
      <c r="CQ208" s="1" t="str">
        <f t="shared" si="66"/>
        <v>0.0191834803010191+19.8549021115548i</v>
      </c>
      <c r="CR208" s="1" t="str">
        <f t="shared" si="67"/>
        <v>0.0101577088767759+13.6865207440722i</v>
      </c>
      <c r="CT208" s="1">
        <f t="shared" si="68"/>
        <v>41.4</v>
      </c>
      <c r="CU208" s="1">
        <f t="shared" si="69"/>
        <v>44.1</v>
      </c>
      <c r="CV208" s="56">
        <f t="shared" si="70"/>
        <v>19.854911378934421</v>
      </c>
      <c r="CW208" s="2">
        <f t="shared" si="71"/>
        <v>13.686524513439059</v>
      </c>
      <c r="CX208" s="2">
        <f t="shared" si="72"/>
        <v>41.4</v>
      </c>
      <c r="CY208" s="2">
        <f t="shared" si="73"/>
        <v>0.68932690014220699</v>
      </c>
      <c r="CZ208" s="2">
        <f t="shared" si="74"/>
        <v>41.4</v>
      </c>
      <c r="DA208" s="2">
        <f t="shared" si="75"/>
        <v>0.31067315553073499</v>
      </c>
    </row>
    <row r="209" spans="2:105" ht="18" customHeight="1" x14ac:dyDescent="0.25">
      <c r="B209" s="6"/>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8"/>
      <c r="AR209" s="6"/>
      <c r="CF209" s="8"/>
      <c r="CM209" s="2">
        <f t="shared" si="76"/>
        <v>41.6</v>
      </c>
      <c r="CN209" s="1" t="str">
        <f t="shared" si="63"/>
        <v>0.0107986736111111+44.9224822222222i</v>
      </c>
      <c r="CO209" s="56" t="str">
        <f t="shared" si="64"/>
        <v>-0.648958750667735i</v>
      </c>
      <c r="CP209" s="1" t="str">
        <f t="shared" si="65"/>
        <v>0.0107986736111111+44.2735234715545i</v>
      </c>
      <c r="CQ209" s="1" t="str">
        <f t="shared" si="66"/>
        <v>0.0191834803010191+19.9508195130599i</v>
      </c>
      <c r="CR209" s="1" t="str">
        <f t="shared" si="67"/>
        <v>0.0101583090121617+13.75324576869i</v>
      </c>
      <c r="CT209" s="1">
        <f t="shared" si="68"/>
        <v>41.6</v>
      </c>
      <c r="CU209" s="1">
        <f t="shared" si="69"/>
        <v>44.3</v>
      </c>
      <c r="CV209" s="56">
        <f t="shared" si="70"/>
        <v>19.950828735884837</v>
      </c>
      <c r="CW209" s="2">
        <f t="shared" si="71"/>
        <v>13.753249520212719</v>
      </c>
      <c r="CX209" s="2">
        <f t="shared" si="72"/>
        <v>41.6</v>
      </c>
      <c r="CY209" s="2">
        <f t="shared" si="73"/>
        <v>0.68935730451514021</v>
      </c>
      <c r="CZ209" s="2">
        <f t="shared" si="74"/>
        <v>41.6</v>
      </c>
      <c r="DA209" s="2">
        <f t="shared" si="75"/>
        <v>0.31064275062612962</v>
      </c>
    </row>
    <row r="210" spans="2:105" ht="18" customHeight="1" x14ac:dyDescent="0.25">
      <c r="B210" s="6"/>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c r="AK210" s="153"/>
      <c r="AL210" s="153"/>
      <c r="AM210" s="153"/>
      <c r="AN210" s="153"/>
      <c r="AO210" s="153"/>
      <c r="AP210" s="8"/>
      <c r="AR210" s="6"/>
      <c r="CF210" s="8"/>
      <c r="CM210" s="2">
        <f t="shared" si="76"/>
        <v>41.8</v>
      </c>
      <c r="CN210" s="1" t="str">
        <f t="shared" si="63"/>
        <v>0.0107986736111111+45.1384556944445i</v>
      </c>
      <c r="CO210" s="56" t="str">
        <f t="shared" si="64"/>
        <v>-0.645853684875067i</v>
      </c>
      <c r="CP210" s="1" t="str">
        <f t="shared" si="65"/>
        <v>0.0107986736111111+44.4926020095694i</v>
      </c>
      <c r="CQ210" s="1" t="str">
        <f t="shared" si="66"/>
        <v>0.0191834803010191+20.046736914565i</v>
      </c>
      <c r="CR210" s="1" t="str">
        <f t="shared" si="67"/>
        <v>0.0101589004930785+13.8199677813298i</v>
      </c>
      <c r="CT210" s="1">
        <f t="shared" si="68"/>
        <v>41.8</v>
      </c>
      <c r="CU210" s="1">
        <f t="shared" si="69"/>
        <v>44.5</v>
      </c>
      <c r="CV210" s="56">
        <f t="shared" si="70"/>
        <v>20.046746093261604</v>
      </c>
      <c r="CW210" s="2">
        <f t="shared" si="71"/>
        <v>13.819971515175165</v>
      </c>
      <c r="CX210" s="2">
        <f t="shared" si="72"/>
        <v>41.8</v>
      </c>
      <c r="CY210" s="2">
        <f t="shared" si="73"/>
        <v>0.68938726768333225</v>
      </c>
      <c r="CZ210" s="2">
        <f t="shared" si="74"/>
        <v>41.8</v>
      </c>
      <c r="DA210" s="2">
        <f t="shared" si="75"/>
        <v>0.31061278693383243</v>
      </c>
    </row>
    <row r="211" spans="2:105" ht="18" customHeight="1" x14ac:dyDescent="0.25">
      <c r="B211" s="6"/>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8"/>
      <c r="AR211" s="6"/>
      <c r="CF211" s="8"/>
      <c r="CM211" s="2">
        <f t="shared" si="76"/>
        <v>42</v>
      </c>
      <c r="CN211" s="1" t="str">
        <f t="shared" si="63"/>
        <v>0.0107986736111111+45.3544291666667i</v>
      </c>
      <c r="CO211" s="56" t="str">
        <f t="shared" si="64"/>
        <v>-0.642778191137566i</v>
      </c>
      <c r="CP211" s="1" t="str">
        <f t="shared" si="65"/>
        <v>0.0107986736111111+44.7116509755291i</v>
      </c>
      <c r="CQ211" s="1" t="str">
        <f t="shared" si="66"/>
        <v>0.0191834803010191+20.1426543160701i</v>
      </c>
      <c r="CR211" s="1" t="str">
        <f t="shared" si="67"/>
        <v>0.0101594834854137+13.8866868267044i</v>
      </c>
      <c r="CT211" s="1">
        <f t="shared" si="68"/>
        <v>42</v>
      </c>
      <c r="CU211" s="1">
        <f t="shared" si="69"/>
        <v>44.7</v>
      </c>
      <c r="CV211" s="56">
        <f t="shared" si="70"/>
        <v>20.142663451058645</v>
      </c>
      <c r="CW211" s="2">
        <f t="shared" si="71"/>
        <v>13.886690543036892</v>
      </c>
      <c r="CX211" s="2">
        <f t="shared" si="72"/>
        <v>42</v>
      </c>
      <c r="CY211" s="2">
        <f t="shared" si="73"/>
        <v>0.68941679816961099</v>
      </c>
      <c r="CZ211" s="2">
        <f t="shared" si="74"/>
        <v>42</v>
      </c>
      <c r="DA211" s="2">
        <f t="shared" si="75"/>
        <v>0.31058325593087299</v>
      </c>
    </row>
    <row r="212" spans="2:105" ht="18" customHeight="1" x14ac:dyDescent="0.25">
      <c r="B212" s="6"/>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c r="AK212" s="153"/>
      <c r="AL212" s="153"/>
      <c r="AM212" s="153"/>
      <c r="AN212" s="153"/>
      <c r="AO212" s="153"/>
      <c r="AP212" s="8"/>
      <c r="AR212" s="6"/>
      <c r="CF212" s="8"/>
      <c r="CM212" s="2">
        <f t="shared" si="76"/>
        <v>42.2</v>
      </c>
      <c r="CN212" s="1" t="str">
        <f t="shared" si="63"/>
        <v>0.0107986736111111+45.5704026388889i</v>
      </c>
      <c r="CO212" s="56" t="str">
        <f t="shared" si="64"/>
        <v>-0.639731848999474i</v>
      </c>
      <c r="CP212" s="1" t="str">
        <f t="shared" si="65"/>
        <v>0.0107986736111111+44.9306707898894i</v>
      </c>
      <c r="CQ212" s="1" t="str">
        <f t="shared" si="66"/>
        <v>0.0191834803010191+20.2385717175752i</v>
      </c>
      <c r="CR212" s="1" t="str">
        <f t="shared" si="67"/>
        <v>0.0101600581510929+13.9534029486389i</v>
      </c>
      <c r="CT212" s="1">
        <f t="shared" si="68"/>
        <v>42.2</v>
      </c>
      <c r="CU212" s="1">
        <f t="shared" si="69"/>
        <v>44.9</v>
      </c>
      <c r="CV212" s="56">
        <f t="shared" si="70"/>
        <v>20.238580809269983</v>
      </c>
      <c r="CW212" s="2">
        <f t="shared" si="71"/>
        <v>13.95340664762073</v>
      </c>
      <c r="CX212" s="2">
        <f t="shared" si="72"/>
        <v>42.2</v>
      </c>
      <c r="CY212" s="2">
        <f t="shared" si="73"/>
        <v>0.68944590429135344</v>
      </c>
      <c r="CZ212" s="2">
        <f t="shared" si="74"/>
        <v>42.2</v>
      </c>
      <c r="DA212" s="2">
        <f t="shared" si="75"/>
        <v>0.31055414929973491</v>
      </c>
    </row>
    <row r="213" spans="2:105" ht="18" customHeight="1" x14ac:dyDescent="0.25">
      <c r="B213" s="6"/>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8"/>
      <c r="AR213" s="6"/>
      <c r="CF213" s="8"/>
      <c r="CM213" s="2">
        <f t="shared" si="76"/>
        <v>42.4</v>
      </c>
      <c r="CN213" s="1" t="str">
        <f t="shared" si="63"/>
        <v>0.0107986736111111+45.7863761111111i</v>
      </c>
      <c r="CO213" s="56" t="str">
        <f t="shared" si="64"/>
        <v>-0.636714245938155i</v>
      </c>
      <c r="CP213" s="1" t="str">
        <f t="shared" si="65"/>
        <v>0.0107986736111111+45.1496618651729i</v>
      </c>
      <c r="CQ213" s="1" t="str">
        <f t="shared" si="66"/>
        <v>0.0191834803010191+20.3344891190803i</v>
      </c>
      <c r="CR213" s="1" t="str">
        <f t="shared" si="67"/>
        <v>0.0101606246481925+14.0201161900924i</v>
      </c>
      <c r="CT213" s="1">
        <f t="shared" si="68"/>
        <v>42.4</v>
      </c>
      <c r="CU213" s="1">
        <f t="shared" si="69"/>
        <v>45.1</v>
      </c>
      <c r="CV213" s="56">
        <f t="shared" si="70"/>
        <v>20.334498167889748</v>
      </c>
      <c r="CW213" s="2">
        <f t="shared" si="71"/>
        <v>14.020119871883562</v>
      </c>
      <c r="CX213" s="2">
        <f t="shared" si="72"/>
        <v>42.4</v>
      </c>
      <c r="CY213" s="2">
        <f t="shared" si="73"/>
        <v>0.68947459416641754</v>
      </c>
      <c r="CZ213" s="2">
        <f t="shared" si="74"/>
        <v>42.4</v>
      </c>
      <c r="DA213" s="2">
        <f t="shared" si="75"/>
        <v>0.31052545892242417</v>
      </c>
    </row>
    <row r="214" spans="2:105" ht="18" customHeight="1" x14ac:dyDescent="0.25">
      <c r="B214" s="6"/>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8"/>
      <c r="AR214" s="6"/>
      <c r="CF214" s="8"/>
      <c r="CM214" s="2">
        <f t="shared" si="76"/>
        <v>42.6</v>
      </c>
      <c r="CN214" s="1" t="str">
        <f t="shared" si="63"/>
        <v>0.0107986736111111+46.0023495833333i</v>
      </c>
      <c r="CO214" s="56" t="str">
        <f t="shared" si="64"/>
        <v>-0.633724977177882i</v>
      </c>
      <c r="CP214" s="1" t="str">
        <f t="shared" si="65"/>
        <v>0.0107986736111111+45.3686246061554i</v>
      </c>
      <c r="CQ214" s="1" t="str">
        <f t="shared" si="66"/>
        <v>0.0191834803010191+20.4304065205854i</v>
      </c>
      <c r="CR214" s="1" t="str">
        <f t="shared" si="67"/>
        <v>0.0101611831310495+14.0868265931793i</v>
      </c>
      <c r="CT214" s="1">
        <f t="shared" si="68"/>
        <v>42.6</v>
      </c>
      <c r="CU214" s="1">
        <f t="shared" si="69"/>
        <v>45.4</v>
      </c>
      <c r="CV214" s="56">
        <f t="shared" si="70"/>
        <v>20.430415526912196</v>
      </c>
      <c r="CW214" s="2">
        <f t="shared" si="71"/>
        <v>14.086830257937594</v>
      </c>
      <c r="CX214" s="2">
        <f t="shared" si="72"/>
        <v>42.6</v>
      </c>
      <c r="CY214" s="2">
        <f t="shared" si="73"/>
        <v>0.68950287571887736</v>
      </c>
      <c r="CZ214" s="2">
        <f t="shared" si="74"/>
        <v>42.6</v>
      </c>
      <c r="DA214" s="2">
        <f t="shared" si="75"/>
        <v>0.31049717687473377</v>
      </c>
    </row>
    <row r="215" spans="2:105" ht="18" customHeight="1" x14ac:dyDescent="0.25">
      <c r="B215" s="6"/>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c r="AP215" s="8"/>
      <c r="AR215" s="6"/>
      <c r="CF215" s="8"/>
      <c r="CM215" s="2">
        <f t="shared" si="76"/>
        <v>42.8</v>
      </c>
      <c r="CN215" s="1" t="str">
        <f t="shared" si="63"/>
        <v>0.0107986736111111+46.2183230555556i</v>
      </c>
      <c r="CO215" s="56" t="str">
        <f t="shared" si="64"/>
        <v>-0.630763645508827i</v>
      </c>
      <c r="CP215" s="1" t="str">
        <f t="shared" si="65"/>
        <v>0.0107986736111111+45.5875594100468i</v>
      </c>
      <c r="CQ215" s="1" t="str">
        <f t="shared" si="66"/>
        <v>0.0191834803010191+20.5263239220905i</v>
      </c>
      <c r="CR215" s="1" t="str">
        <f t="shared" si="67"/>
        <v>0.0101617337503676+14.1535341991904i</v>
      </c>
      <c r="CT215" s="1">
        <f t="shared" si="68"/>
        <v>42.8</v>
      </c>
      <c r="CU215" s="1">
        <f t="shared" si="69"/>
        <v>45.6</v>
      </c>
      <c r="CV215" s="56">
        <f t="shared" si="70"/>
        <v>20.526332886331673</v>
      </c>
      <c r="CW215" s="2">
        <f t="shared" si="71"/>
        <v>14.15353784707149</v>
      </c>
      <c r="CX215" s="2">
        <f t="shared" si="72"/>
        <v>42.8</v>
      </c>
      <c r="CY215" s="2">
        <f t="shared" si="73"/>
        <v>0.6895307566845611</v>
      </c>
      <c r="CZ215" s="2">
        <f t="shared" si="74"/>
        <v>42.8</v>
      </c>
      <c r="DA215" s="2">
        <f t="shared" si="75"/>
        <v>0.31046929542070567</v>
      </c>
    </row>
    <row r="216" spans="2:105" ht="18" customHeight="1" x14ac:dyDescent="0.25">
      <c r="B216" s="6"/>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153"/>
      <c r="AM216" s="153"/>
      <c r="AN216" s="153"/>
      <c r="AO216" s="153"/>
      <c r="AP216" s="8"/>
      <c r="AR216" s="6"/>
      <c r="CF216" s="8"/>
      <c r="CM216" s="2">
        <f t="shared" si="76"/>
        <v>43</v>
      </c>
      <c r="CN216" s="1" t="str">
        <f t="shared" si="63"/>
        <v>0.0107986736111111+46.4342965277778i</v>
      </c>
      <c r="CO216" s="56" t="str">
        <f t="shared" si="64"/>
        <v>-0.627829861111111i</v>
      </c>
      <c r="CP216" s="1" t="str">
        <f t="shared" si="65"/>
        <v>0.0107986736111111+45.8064666666667i</v>
      </c>
      <c r="CQ216" s="1" t="str">
        <f t="shared" si="66"/>
        <v>0.0191834803010191+20.6222413235956i</v>
      </c>
      <c r="CR216" s="1" t="str">
        <f t="shared" si="67"/>
        <v>0.0101622766533187+14.220239048613i</v>
      </c>
      <c r="CT216" s="1">
        <f t="shared" si="68"/>
        <v>43</v>
      </c>
      <c r="CU216" s="1">
        <f t="shared" si="69"/>
        <v>45.8</v>
      </c>
      <c r="CV216" s="56">
        <f t="shared" si="70"/>
        <v>20.622250246142645</v>
      </c>
      <c r="CW216" s="2">
        <f t="shared" si="71"/>
        <v>14.220242679770438</v>
      </c>
      <c r="CX216" s="2">
        <f t="shared" si="72"/>
        <v>43</v>
      </c>
      <c r="CY216" s="2">
        <f t="shared" si="73"/>
        <v>0.68955824461640969</v>
      </c>
      <c r="CZ216" s="2">
        <f t="shared" si="74"/>
        <v>43</v>
      </c>
      <c r="DA216" s="2">
        <f t="shared" si="75"/>
        <v>0.31044180700727203</v>
      </c>
    </row>
    <row r="217" spans="2:105" ht="18" customHeight="1" x14ac:dyDescent="0.25">
      <c r="B217" s="6"/>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153"/>
      <c r="AM217" s="153"/>
      <c r="AN217" s="153"/>
      <c r="AO217" s="153"/>
      <c r="AP217" s="8"/>
      <c r="AR217" s="6"/>
      <c r="CF217" s="8"/>
      <c r="CM217" s="2">
        <f t="shared" si="76"/>
        <v>43.2</v>
      </c>
      <c r="CN217" s="1" t="str">
        <f t="shared" si="63"/>
        <v>0.0107986736111111+46.65027i</v>
      </c>
      <c r="CO217" s="56" t="str">
        <f t="shared" si="64"/>
        <v>-0.624923241383745i</v>
      </c>
      <c r="CP217" s="1" t="str">
        <f t="shared" si="65"/>
        <v>0.0107986736111111+46.0253467586163i</v>
      </c>
      <c r="CQ217" s="1" t="str">
        <f t="shared" si="66"/>
        <v>0.0191834803010191+20.7181587251007i</v>
      </c>
      <c r="CR217" s="1" t="str">
        <f t="shared" si="67"/>
        <v>0.0101628119836427+14.2869411811505i</v>
      </c>
      <c r="CT217" s="1">
        <f t="shared" si="68"/>
        <v>43.2</v>
      </c>
      <c r="CU217" s="1">
        <f t="shared" si="69"/>
        <v>46</v>
      </c>
      <c r="CV217" s="56">
        <f t="shared" si="70"/>
        <v>20.718167606339676</v>
      </c>
      <c r="CW217" s="2">
        <f t="shared" si="71"/>
        <v>14.286944795735771</v>
      </c>
      <c r="CX217" s="2">
        <f t="shared" si="72"/>
        <v>43.2</v>
      </c>
      <c r="CY217" s="2">
        <f t="shared" si="73"/>
        <v>0.68958534688965623</v>
      </c>
      <c r="CZ217" s="2">
        <f t="shared" si="74"/>
        <v>43.2</v>
      </c>
      <c r="DA217" s="2">
        <f t="shared" si="75"/>
        <v>0.31041470425907597</v>
      </c>
    </row>
    <row r="218" spans="2:105" ht="18" customHeight="1" x14ac:dyDescent="0.25">
      <c r="B218" s="6"/>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8"/>
      <c r="AR218" s="6"/>
      <c r="CF218" s="8"/>
      <c r="CM218" s="2">
        <f t="shared" si="76"/>
        <v>43.4</v>
      </c>
      <c r="CN218" s="1" t="str">
        <f t="shared" si="63"/>
        <v>0.0107986736111111+46.8662434722222i</v>
      </c>
      <c r="CO218" s="56" t="str">
        <f t="shared" si="64"/>
        <v>-0.62204341077829i</v>
      </c>
      <c r="CP218" s="1" t="str">
        <f t="shared" si="65"/>
        <v>0.0107986736111111+46.2442000614439i</v>
      </c>
      <c r="CQ218" s="1" t="str">
        <f t="shared" si="66"/>
        <v>0.0191834803010191+20.8140761266058i</v>
      </c>
      <c r="CR218" s="1" t="str">
        <f t="shared" si="67"/>
        <v>0.0101633398817427+14.3536406357414i</v>
      </c>
      <c r="CT218" s="1">
        <f t="shared" si="68"/>
        <v>43.4</v>
      </c>
      <c r="CU218" s="1">
        <f t="shared" si="69"/>
        <v>46.2</v>
      </c>
      <c r="CV218" s="56">
        <f t="shared" si="70"/>
        <v>20.814084966917424</v>
      </c>
      <c r="CW218" s="2">
        <f t="shared" si="71"/>
        <v>14.353644233903957</v>
      </c>
      <c r="CX218" s="2">
        <f t="shared" si="72"/>
        <v>43.4</v>
      </c>
      <c r="CY218" s="2">
        <f t="shared" si="73"/>
        <v>0.68961207070683572</v>
      </c>
      <c r="CZ218" s="2">
        <f t="shared" si="74"/>
        <v>43.4</v>
      </c>
      <c r="DA218" s="2">
        <f t="shared" si="75"/>
        <v>0.31038797997346029</v>
      </c>
    </row>
    <row r="219" spans="2:105" ht="18" customHeight="1" x14ac:dyDescent="0.25">
      <c r="B219" s="6"/>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153"/>
      <c r="AM219" s="153"/>
      <c r="AN219" s="153"/>
      <c r="AO219" s="153"/>
      <c r="AP219" s="8"/>
      <c r="AR219" s="6"/>
      <c r="CF219" s="8"/>
      <c r="CM219" s="2">
        <f t="shared" si="76"/>
        <v>43.6</v>
      </c>
      <c r="CN219" s="1" t="str">
        <f t="shared" si="63"/>
        <v>0.0107986736111111+47.0822169444445i</v>
      </c>
      <c r="CO219" s="56" t="str">
        <f t="shared" si="64"/>
        <v>-0.619190000637105i</v>
      </c>
      <c r="CP219" s="1" t="str">
        <f t="shared" si="65"/>
        <v>0.0107986736111111+46.4630269438074i</v>
      </c>
      <c r="CQ219" s="1" t="str">
        <f t="shared" si="66"/>
        <v>0.0191834803010191+20.9099935281109i</v>
      </c>
      <c r="CR219" s="1" t="str">
        <f t="shared" si="67"/>
        <v>0.0101638604847782+14.4203374505777i</v>
      </c>
      <c r="CT219" s="1">
        <f t="shared" si="68"/>
        <v>43.6</v>
      </c>
      <c r="CU219" s="1">
        <f t="shared" si="69"/>
        <v>46.5</v>
      </c>
      <c r="CV219" s="56">
        <f t="shared" si="70"/>
        <v>20.910002327870654</v>
      </c>
      <c r="CW219" s="2">
        <f t="shared" si="71"/>
        <v>14.420341032465</v>
      </c>
      <c r="CX219" s="2">
        <f t="shared" si="72"/>
        <v>43.6</v>
      </c>
      <c r="CY219" s="2">
        <f t="shared" si="73"/>
        <v>0.68963842310262791</v>
      </c>
      <c r="CZ219" s="2">
        <f t="shared" si="74"/>
        <v>43.6</v>
      </c>
      <c r="DA219" s="2">
        <f t="shared" si="75"/>
        <v>0.31036162711562981</v>
      </c>
    </row>
    <row r="220" spans="2:105" ht="18" customHeight="1" x14ac:dyDescent="0.25">
      <c r="B220" s="6"/>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8"/>
      <c r="AR220" s="6"/>
      <c r="CF220" s="8"/>
      <c r="CM220" s="2">
        <f t="shared" si="76"/>
        <v>43.8</v>
      </c>
      <c r="CN220" s="1" t="str">
        <f t="shared" si="63"/>
        <v>0.0107986736111111+47.2981904166667i</v>
      </c>
      <c r="CO220" s="56" t="str">
        <f t="shared" si="64"/>
        <v>-0.616362649036023i</v>
      </c>
      <c r="CP220" s="1" t="str">
        <f t="shared" si="65"/>
        <v>0.0107986736111111+46.6818277676307i</v>
      </c>
      <c r="CQ220" s="1" t="str">
        <f t="shared" si="66"/>
        <v>0.0191834803010191+21.005910929616i</v>
      </c>
      <c r="CR220" s="1" t="str">
        <f t="shared" si="67"/>
        <v>0.0101643739267542+14.487031663123i</v>
      </c>
      <c r="CT220" s="1">
        <f t="shared" si="68"/>
        <v>43.8</v>
      </c>
      <c r="CU220" s="1">
        <f t="shared" si="69"/>
        <v>46.7</v>
      </c>
      <c r="CV220" s="56">
        <f t="shared" si="70"/>
        <v>21.005919689194219</v>
      </c>
      <c r="CW220" s="2">
        <f t="shared" si="71"/>
        <v>14.487035228880535</v>
      </c>
      <c r="CX220" s="2">
        <f t="shared" si="72"/>
        <v>43.8</v>
      </c>
      <c r="CY220" s="2">
        <f t="shared" si="73"/>
        <v>0.68966441094854158</v>
      </c>
      <c r="CZ220" s="2">
        <f t="shared" si="74"/>
        <v>43.8</v>
      </c>
      <c r="DA220" s="2">
        <f t="shared" si="75"/>
        <v>0.31033563881395709</v>
      </c>
    </row>
    <row r="221" spans="2:105" ht="18" customHeight="1" x14ac:dyDescent="0.25">
      <c r="B221" s="6"/>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8"/>
      <c r="AR221" s="6"/>
      <c r="CF221" s="8"/>
      <c r="CM221" s="2">
        <f t="shared" si="76"/>
        <v>44</v>
      </c>
      <c r="CN221" s="1" t="str">
        <f t="shared" si="63"/>
        <v>0.0107986736111111+47.5141638888889i</v>
      </c>
      <c r="CO221" s="56" t="str">
        <f t="shared" si="64"/>
        <v>-0.613561000631313i</v>
      </c>
      <c r="CP221" s="1" t="str">
        <f t="shared" si="65"/>
        <v>0.0107986736111111+46.9006028882576i</v>
      </c>
      <c r="CQ221" s="1" t="str">
        <f t="shared" si="66"/>
        <v>0.0191834803010191+21.1018283311211i</v>
      </c>
      <c r="CR221" s="1" t="str">
        <f t="shared" si="67"/>
        <v>0.0101648803386082+14.5537233101296i</v>
      </c>
      <c r="CT221" s="1">
        <f t="shared" si="68"/>
        <v>44</v>
      </c>
      <c r="CU221" s="1">
        <f t="shared" si="69"/>
        <v>46.9</v>
      </c>
      <c r="CV221" s="56">
        <f t="shared" si="70"/>
        <v>21.101837050883073</v>
      </c>
      <c r="CW221" s="2">
        <f t="shared" si="71"/>
        <v>14.553726859900939</v>
      </c>
      <c r="CX221" s="2">
        <f t="shared" si="72"/>
        <v>44</v>
      </c>
      <c r="CY221" s="2">
        <f t="shared" si="73"/>
        <v>0.68969004095744924</v>
      </c>
      <c r="CZ221" s="2">
        <f t="shared" si="74"/>
        <v>44</v>
      </c>
      <c r="DA221" s="2">
        <f t="shared" si="75"/>
        <v>0.3103100083554573</v>
      </c>
    </row>
    <row r="222" spans="2:105" ht="18" customHeight="1" x14ac:dyDescent="0.25">
      <c r="B222" s="6"/>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8"/>
      <c r="AR222" s="6"/>
      <c r="CF222" s="8"/>
      <c r="CM222" s="2">
        <f t="shared" si="76"/>
        <v>44.2</v>
      </c>
      <c r="CN222" s="1" t="str">
        <f t="shared" si="63"/>
        <v>0.0107986736111111+47.7301373611111i</v>
      </c>
      <c r="CO222" s="56" t="str">
        <f t="shared" si="64"/>
        <v>-0.61078470651081i</v>
      </c>
      <c r="CP222" s="1" t="str">
        <f t="shared" si="65"/>
        <v>0.0107986736111111+47.1193526546003i</v>
      </c>
      <c r="CQ222" s="1" t="str">
        <f t="shared" si="66"/>
        <v>0.0191834803010191+21.1977457326262i</v>
      </c>
      <c r="CR222" s="1" t="str">
        <f t="shared" si="67"/>
        <v>0.0101653798482942+14.620412427656i</v>
      </c>
      <c r="CT222" s="1">
        <f t="shared" si="68"/>
        <v>44.2</v>
      </c>
      <c r="CU222" s="1">
        <f t="shared" si="69"/>
        <v>47.1</v>
      </c>
      <c r="CV222" s="56">
        <f t="shared" si="70"/>
        <v>21.197754412932248</v>
      </c>
      <c r="CW222" s="2">
        <f t="shared" si="71"/>
        <v>14.620415961582809</v>
      </c>
      <c r="CX222" s="2">
        <f t="shared" si="72"/>
        <v>44.2</v>
      </c>
      <c r="CY222" s="2">
        <f t="shared" si="73"/>
        <v>0.68971531968797739</v>
      </c>
      <c r="CZ222" s="2">
        <f t="shared" si="74"/>
        <v>44.2</v>
      </c>
      <c r="DA222" s="2">
        <f t="shared" si="75"/>
        <v>0.31028472918139371</v>
      </c>
    </row>
    <row r="223" spans="2:105" ht="18" customHeight="1" x14ac:dyDescent="0.25">
      <c r="B223" s="6"/>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8"/>
      <c r="AR223" s="6"/>
      <c r="CF223" s="8"/>
      <c r="CM223" s="2">
        <f t="shared" si="76"/>
        <v>44.4</v>
      </c>
      <c r="CN223" s="1" t="str">
        <f t="shared" si="63"/>
        <v>0.0107986736111111+47.9461108333333i</v>
      </c>
      <c r="CO223" s="56" t="str">
        <f t="shared" si="64"/>
        <v>-0.608033424049049i</v>
      </c>
      <c r="CP223" s="1" t="str">
        <f t="shared" si="65"/>
        <v>0.0107986736111111+47.3380774092843i</v>
      </c>
      <c r="CQ223" s="1" t="str">
        <f t="shared" si="66"/>
        <v>0.0191834803010191+21.2936631341313i</v>
      </c>
      <c r="CR223" s="1" t="str">
        <f t="shared" si="67"/>
        <v>0.0101658725808643+14.6870990510826i</v>
      </c>
      <c r="CT223" s="1">
        <f t="shared" si="68"/>
        <v>44.4</v>
      </c>
      <c r="CU223" s="1">
        <f t="shared" si="69"/>
        <v>47.3</v>
      </c>
      <c r="CV223" s="56">
        <f t="shared" si="70"/>
        <v>21.29367177533689</v>
      </c>
      <c r="CW223" s="2">
        <f t="shared" si="71"/>
        <v>14.687102569304701</v>
      </c>
      <c r="CX223" s="2">
        <f t="shared" si="72"/>
        <v>44.4</v>
      </c>
      <c r="CY223" s="2">
        <f t="shared" si="73"/>
        <v>0.68974025354874724</v>
      </c>
      <c r="CZ223" s="2">
        <f t="shared" si="74"/>
        <v>44.4</v>
      </c>
      <c r="DA223" s="2">
        <f t="shared" si="75"/>
        <v>0.31025979488303679</v>
      </c>
    </row>
    <row r="224" spans="2:105" ht="18" customHeight="1" x14ac:dyDescent="0.25">
      <c r="B224" s="6"/>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8"/>
      <c r="AR224" s="6"/>
      <c r="CF224" s="8"/>
      <c r="CM224" s="2">
        <f t="shared" si="76"/>
        <v>44.6</v>
      </c>
      <c r="CN224" s="1" t="str">
        <f t="shared" si="63"/>
        <v>0.0107986736111111+48.1620843055556i</v>
      </c>
      <c r="CO224" s="56" t="str">
        <f t="shared" si="64"/>
        <v>-0.605306816766318i</v>
      </c>
      <c r="CP224" s="1" t="str">
        <f t="shared" si="65"/>
        <v>0.0107986736111111+47.5567774887893i</v>
      </c>
      <c r="CQ224" s="1" t="str">
        <f t="shared" si="66"/>
        <v>0.0191834803010191+21.3895805356364i</v>
      </c>
      <c r="CR224" s="1" t="str">
        <f t="shared" si="67"/>
        <v>0.0101663586585466+14.7537832151282i</v>
      </c>
      <c r="CT224" s="1">
        <f t="shared" si="68"/>
        <v>44.6</v>
      </c>
      <c r="CU224" s="1">
        <f t="shared" si="69"/>
        <v>47.6</v>
      </c>
      <c r="CV224" s="56">
        <f t="shared" si="70"/>
        <v>21.389589138092205</v>
      </c>
      <c r="CW224" s="2">
        <f t="shared" si="71"/>
        <v>14.753786717783573</v>
      </c>
      <c r="CX224" s="2">
        <f t="shared" si="72"/>
        <v>44.6</v>
      </c>
      <c r="CY224" s="2">
        <f t="shared" si="73"/>
        <v>0.68976484880248767</v>
      </c>
      <c r="CZ224" s="2">
        <f t="shared" si="74"/>
        <v>44.6</v>
      </c>
      <c r="DA224" s="2">
        <f t="shared" si="75"/>
        <v>0.31023519919755183</v>
      </c>
    </row>
    <row r="225" spans="2:105" ht="18" customHeight="1" x14ac:dyDescent="0.25">
      <c r="B225" s="6"/>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8"/>
      <c r="AR225" s="6"/>
      <c r="CF225" s="8"/>
      <c r="CM225" s="2">
        <f t="shared" si="76"/>
        <v>44.8</v>
      </c>
      <c r="CN225" s="1" t="str">
        <f t="shared" si="63"/>
        <v>0.0107986736111111+48.3780577777778i</v>
      </c>
      <c r="CO225" s="56" t="str">
        <f t="shared" si="64"/>
        <v>-0.602604554191468i</v>
      </c>
      <c r="CP225" s="1" t="str">
        <f t="shared" si="65"/>
        <v>0.0107986736111111+47.7754532235863i</v>
      </c>
      <c r="CQ225" s="1" t="str">
        <f t="shared" si="66"/>
        <v>0.0191834803010191+21.4854979371415i</v>
      </c>
      <c r="CR225" s="1" t="str">
        <f t="shared" si="67"/>
        <v>0.0101668382008227+14.8204649538651i</v>
      </c>
      <c r="CT225" s="1">
        <f t="shared" si="68"/>
        <v>44.8</v>
      </c>
      <c r="CU225" s="1">
        <f t="shared" si="69"/>
        <v>47.8</v>
      </c>
      <c r="CV225" s="56">
        <f t="shared" si="70"/>
        <v>21.485506501193498</v>
      </c>
      <c r="CW225" s="2">
        <f t="shared" si="71"/>
        <v>14.820468441089931</v>
      </c>
      <c r="CX225" s="2">
        <f t="shared" si="72"/>
        <v>44.8</v>
      </c>
      <c r="CY225" s="2">
        <f t="shared" si="73"/>
        <v>0.68978911157000966</v>
      </c>
      <c r="CZ225" s="2">
        <f t="shared" si="74"/>
        <v>44.8</v>
      </c>
      <c r="DA225" s="2">
        <f t="shared" si="75"/>
        <v>0.31021093600402466</v>
      </c>
    </row>
    <row r="226" spans="2:105" ht="18" customHeight="1" x14ac:dyDescent="0.25">
      <c r="B226" s="6"/>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8"/>
      <c r="AR226" s="6"/>
      <c r="AS226" s="153" t="s">
        <v>477</v>
      </c>
      <c r="AT226" s="179"/>
      <c r="AU226" s="179"/>
      <c r="AV226" s="179"/>
      <c r="AW226" s="179"/>
      <c r="AX226" s="179"/>
      <c r="AY226" s="179"/>
      <c r="AZ226" s="179"/>
      <c r="BA226" s="179"/>
      <c r="BB226" s="179"/>
      <c r="BC226" s="179"/>
      <c r="BD226" s="179"/>
      <c r="BE226" s="179"/>
      <c r="BF226" s="179"/>
      <c r="BG226" s="179"/>
      <c r="BH226" s="179"/>
      <c r="BI226" s="179"/>
      <c r="BJ226" s="179"/>
      <c r="BK226" s="179"/>
      <c r="BL226" s="179"/>
      <c r="BM226" s="179"/>
      <c r="BN226" s="179"/>
      <c r="BO226" s="179"/>
      <c r="BP226" s="179"/>
      <c r="BQ226" s="179"/>
      <c r="BR226" s="179"/>
      <c r="BS226" s="179"/>
      <c r="BT226" s="179"/>
      <c r="BU226" s="179"/>
      <c r="BV226" s="179"/>
      <c r="BW226" s="179"/>
      <c r="BX226" s="179"/>
      <c r="BY226" s="179"/>
      <c r="BZ226" s="179"/>
      <c r="CA226" s="179"/>
      <c r="CB226" s="179"/>
      <c r="CC226" s="179"/>
      <c r="CD226" s="179"/>
      <c r="CE226" s="179"/>
      <c r="CF226" s="8"/>
      <c r="CM226" s="2">
        <f t="shared" si="76"/>
        <v>45</v>
      </c>
      <c r="CN226" s="1" t="str">
        <f t="shared" si="63"/>
        <v>0.0107986736111111+48.59403125i</v>
      </c>
      <c r="CO226" s="56" t="str">
        <f t="shared" si="64"/>
        <v>-0.599926311728395i</v>
      </c>
      <c r="CP226" s="1" t="str">
        <f t="shared" si="65"/>
        <v>0.0107986736111111+47.9941049382716i</v>
      </c>
      <c r="CQ226" s="1" t="str">
        <f t="shared" si="66"/>
        <v>0.0191834803010191+21.5814153386466i</v>
      </c>
      <c r="CR226" s="1" t="str">
        <f t="shared" si="67"/>
        <v>0.0101673113245005+14.8871443007348i</v>
      </c>
      <c r="CT226" s="1">
        <f t="shared" si="68"/>
        <v>45</v>
      </c>
      <c r="CU226" s="1">
        <f t="shared" si="69"/>
        <v>48</v>
      </c>
      <c r="CV226" s="56">
        <f t="shared" si="70"/>
        <v>21.581423864636164</v>
      </c>
      <c r="CW226" s="2">
        <f t="shared" si="71"/>
        <v>14.887147772663516</v>
      </c>
      <c r="CX226" s="2">
        <f t="shared" si="72"/>
        <v>45</v>
      </c>
      <c r="CY226" s="2">
        <f t="shared" si="73"/>
        <v>0.68981304783406427</v>
      </c>
      <c r="CZ226" s="2">
        <f t="shared" si="74"/>
        <v>45</v>
      </c>
      <c r="DA226" s="2">
        <f t="shared" si="75"/>
        <v>0.31018699931960275</v>
      </c>
    </row>
    <row r="227" spans="2:105" ht="18" customHeight="1" x14ac:dyDescent="0.25">
      <c r="B227" s="6"/>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8"/>
      <c r="AR227" s="6"/>
      <c r="AS227" s="179"/>
      <c r="AT227" s="179"/>
      <c r="AU227" s="179"/>
      <c r="AV227" s="179"/>
      <c r="AW227" s="179"/>
      <c r="AX227" s="179"/>
      <c r="AY227" s="179"/>
      <c r="AZ227" s="179"/>
      <c r="BA227" s="179"/>
      <c r="BB227" s="179"/>
      <c r="BC227" s="179"/>
      <c r="BD227" s="179"/>
      <c r="BE227" s="179"/>
      <c r="BF227" s="179"/>
      <c r="BG227" s="179"/>
      <c r="BH227" s="179"/>
      <c r="BI227" s="179"/>
      <c r="BJ227" s="179"/>
      <c r="BK227" s="179"/>
      <c r="BL227" s="179"/>
      <c r="BM227" s="179"/>
      <c r="BN227" s="179"/>
      <c r="BO227" s="179"/>
      <c r="BP227" s="179"/>
      <c r="BQ227" s="179"/>
      <c r="BR227" s="179"/>
      <c r="BS227" s="179"/>
      <c r="BT227" s="179"/>
      <c r="BU227" s="179"/>
      <c r="BV227" s="179"/>
      <c r="BW227" s="179"/>
      <c r="BX227" s="179"/>
      <c r="BY227" s="179"/>
      <c r="BZ227" s="179"/>
      <c r="CA227" s="179"/>
      <c r="CB227" s="179"/>
      <c r="CC227" s="179"/>
      <c r="CD227" s="179"/>
      <c r="CE227" s="179"/>
      <c r="CF227" s="8"/>
      <c r="CM227" s="2">
        <f t="shared" si="76"/>
        <v>45.2</v>
      </c>
      <c r="CN227" s="1" t="str">
        <f t="shared" si="63"/>
        <v>0.0107986736111111+48.8100047222222i</v>
      </c>
      <c r="CO227" s="56" t="str">
        <f t="shared" si="64"/>
        <v>-0.597271770526057i</v>
      </c>
      <c r="CP227" s="1" t="str">
        <f t="shared" si="65"/>
        <v>0.0107986736111111+48.2127329516961i</v>
      </c>
      <c r="CQ227" s="1" t="str">
        <f t="shared" si="66"/>
        <v>0.0191834803010191+21.6773327401517i</v>
      </c>
      <c r="CR227" s="1" t="str">
        <f t="shared" si="67"/>
        <v>0.0101677781437863+14.9538212885618i</v>
      </c>
      <c r="CT227" s="1">
        <f t="shared" si="68"/>
        <v>45.2</v>
      </c>
      <c r="CU227" s="1">
        <f t="shared" si="69"/>
        <v>48.2</v>
      </c>
      <c r="CV227" s="56">
        <f t="shared" si="70"/>
        <v>21.677341228415656</v>
      </c>
      <c r="CW227" s="2">
        <f t="shared" si="71"/>
        <v>14.953824745327077</v>
      </c>
      <c r="CX227" s="2">
        <f t="shared" si="72"/>
        <v>45.2</v>
      </c>
      <c r="CY227" s="2">
        <f t="shared" si="73"/>
        <v>0.68983666344306838</v>
      </c>
      <c r="CZ227" s="2">
        <f t="shared" si="74"/>
        <v>45.2</v>
      </c>
      <c r="DA227" s="2">
        <f t="shared" si="75"/>
        <v>0.31016338329577087</v>
      </c>
    </row>
    <row r="228" spans="2:105" ht="18" customHeight="1" x14ac:dyDescent="0.25">
      <c r="B228" s="6"/>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8"/>
      <c r="AR228" s="6"/>
      <c r="AS228" s="179"/>
      <c r="AT228" s="179"/>
      <c r="AU228" s="179"/>
      <c r="AV228" s="179"/>
      <c r="AW228" s="179"/>
      <c r="AX228" s="179"/>
      <c r="AY228" s="179"/>
      <c r="AZ228" s="179"/>
      <c r="BA228" s="179"/>
      <c r="BB228" s="179"/>
      <c r="BC228" s="179"/>
      <c r="BD228" s="179"/>
      <c r="BE228" s="179"/>
      <c r="BF228" s="179"/>
      <c r="BG228" s="179"/>
      <c r="BH228" s="179"/>
      <c r="BI228" s="179"/>
      <c r="BJ228" s="179"/>
      <c r="BK228" s="179"/>
      <c r="BL228" s="179"/>
      <c r="BM228" s="179"/>
      <c r="BN228" s="179"/>
      <c r="BO228" s="179"/>
      <c r="BP228" s="179"/>
      <c r="BQ228" s="179"/>
      <c r="BR228" s="179"/>
      <c r="BS228" s="179"/>
      <c r="BT228" s="179"/>
      <c r="BU228" s="179"/>
      <c r="BV228" s="179"/>
      <c r="BW228" s="179"/>
      <c r="BX228" s="179"/>
      <c r="BY228" s="179"/>
      <c r="BZ228" s="179"/>
      <c r="CA228" s="179"/>
      <c r="CB228" s="179"/>
      <c r="CC228" s="179"/>
      <c r="CD228" s="179"/>
      <c r="CE228" s="179"/>
      <c r="CF228" s="8"/>
      <c r="CM228" s="2">
        <f t="shared" si="76"/>
        <v>45.4</v>
      </c>
      <c r="CN228" s="1" t="str">
        <f t="shared" si="63"/>
        <v>0.0107986736111111+49.0259781944445i</v>
      </c>
      <c r="CO228" s="56" t="str">
        <f t="shared" si="64"/>
        <v>-0.594640617351934i</v>
      </c>
      <c r="CP228" s="1" t="str">
        <f t="shared" si="65"/>
        <v>0.0107986736111111+48.4313375770926i</v>
      </c>
      <c r="CQ228" s="1" t="str">
        <f t="shared" si="66"/>
        <v>0.0191834803010191+21.7732501416568i</v>
      </c>
      <c r="CR228" s="1" t="str">
        <f t="shared" si="67"/>
        <v>0.0101682387703538+15.0204959495688i</v>
      </c>
      <c r="CT228" s="1">
        <f t="shared" si="68"/>
        <v>45.4</v>
      </c>
      <c r="CU228" s="1">
        <f t="shared" si="69"/>
        <v>48.4</v>
      </c>
      <c r="CV228" s="56">
        <f t="shared" si="70"/>
        <v>21.77325859252754</v>
      </c>
      <c r="CW228" s="2">
        <f t="shared" si="71"/>
        <v>15.020499391301625</v>
      </c>
      <c r="CX228" s="2">
        <f t="shared" si="72"/>
        <v>45.4</v>
      </c>
      <c r="CY228" s="2">
        <f t="shared" si="73"/>
        <v>0.68985996411471862</v>
      </c>
      <c r="CZ228" s="2">
        <f t="shared" si="74"/>
        <v>45.4</v>
      </c>
      <c r="DA228" s="2">
        <f t="shared" si="75"/>
        <v>0.31014008221473544</v>
      </c>
    </row>
    <row r="229" spans="2:105" ht="18" customHeight="1" x14ac:dyDescent="0.25">
      <c r="B229" s="6"/>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8"/>
      <c r="AR229" s="6"/>
      <c r="AS229" s="179"/>
      <c r="AT229" s="179"/>
      <c r="AU229" s="179"/>
      <c r="AV229" s="179"/>
      <c r="AW229" s="179"/>
      <c r="AX229" s="179"/>
      <c r="AY229" s="179"/>
      <c r="AZ229" s="179"/>
      <c r="BA229" s="179"/>
      <c r="BB229" s="179"/>
      <c r="BC229" s="179"/>
      <c r="BD229" s="179"/>
      <c r="BE229" s="179"/>
      <c r="BF229" s="179"/>
      <c r="BG229" s="179"/>
      <c r="BH229" s="179"/>
      <c r="BI229" s="179"/>
      <c r="BJ229" s="179"/>
      <c r="BK229" s="179"/>
      <c r="BL229" s="179"/>
      <c r="BM229" s="179"/>
      <c r="BN229" s="179"/>
      <c r="BO229" s="179"/>
      <c r="BP229" s="179"/>
      <c r="BQ229" s="179"/>
      <c r="BR229" s="179"/>
      <c r="BS229" s="179"/>
      <c r="BT229" s="179"/>
      <c r="BU229" s="179"/>
      <c r="BV229" s="179"/>
      <c r="BW229" s="179"/>
      <c r="BX229" s="179"/>
      <c r="BY229" s="179"/>
      <c r="BZ229" s="179"/>
      <c r="CA229" s="179"/>
      <c r="CB229" s="179"/>
      <c r="CC229" s="179"/>
      <c r="CD229" s="179"/>
      <c r="CE229" s="179"/>
      <c r="CF229" s="8"/>
      <c r="CM229" s="2">
        <f t="shared" si="76"/>
        <v>45.6</v>
      </c>
      <c r="CN229" s="1" t="str">
        <f t="shared" si="63"/>
        <v>0.0107986736111111+49.2419516666667i</v>
      </c>
      <c r="CO229" s="56" t="str">
        <f t="shared" si="64"/>
        <v>-0.592032544468811i</v>
      </c>
      <c r="CP229" s="1" t="str">
        <f t="shared" si="65"/>
        <v>0.0107986736111111+48.6499191221979i</v>
      </c>
      <c r="CQ229" s="1" t="str">
        <f t="shared" si="66"/>
        <v>0.0191834803010191+21.8691675431619i</v>
      </c>
      <c r="CR229" s="1" t="str">
        <f t="shared" si="67"/>
        <v>0.0101686933134118+15.0871683153893i</v>
      </c>
      <c r="CT229" s="1">
        <f t="shared" si="68"/>
        <v>45.6</v>
      </c>
      <c r="CU229" s="1">
        <f t="shared" si="69"/>
        <v>48.6</v>
      </c>
      <c r="CV229" s="56">
        <f t="shared" si="70"/>
        <v>21.869175956967432</v>
      </c>
      <c r="CW229" s="2">
        <f t="shared" si="71"/>
        <v>15.087171742218967</v>
      </c>
      <c r="CX229" s="2">
        <f t="shared" si="72"/>
        <v>45.6</v>
      </c>
      <c r="CY229" s="2">
        <f t="shared" si="73"/>
        <v>0.68988295543949152</v>
      </c>
      <c r="CZ229" s="2">
        <f t="shared" si="74"/>
        <v>45.6</v>
      </c>
      <c r="DA229" s="2">
        <f t="shared" si="75"/>
        <v>0.31011709048592606</v>
      </c>
    </row>
    <row r="230" spans="2:105" ht="18" customHeight="1" x14ac:dyDescent="0.25">
      <c r="B230" s="6"/>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8"/>
      <c r="AR230" s="6"/>
      <c r="AS230" s="179"/>
      <c r="AT230" s="179"/>
      <c r="AU230" s="179"/>
      <c r="AV230" s="179"/>
      <c r="AW230" s="179"/>
      <c r="AX230" s="179"/>
      <c r="AY230" s="179"/>
      <c r="AZ230" s="179"/>
      <c r="BA230" s="179"/>
      <c r="BB230" s="179"/>
      <c r="BC230" s="179"/>
      <c r="BD230" s="179"/>
      <c r="BE230" s="179"/>
      <c r="BF230" s="179"/>
      <c r="BG230" s="179"/>
      <c r="BH230" s="179"/>
      <c r="BI230" s="179"/>
      <c r="BJ230" s="179"/>
      <c r="BK230" s="179"/>
      <c r="BL230" s="179"/>
      <c r="BM230" s="179"/>
      <c r="BN230" s="179"/>
      <c r="BO230" s="179"/>
      <c r="BP230" s="179"/>
      <c r="BQ230" s="179"/>
      <c r="BR230" s="179"/>
      <c r="BS230" s="179"/>
      <c r="BT230" s="179"/>
      <c r="BU230" s="179"/>
      <c r="BV230" s="179"/>
      <c r="BW230" s="179"/>
      <c r="BX230" s="179"/>
      <c r="BY230" s="179"/>
      <c r="BZ230" s="179"/>
      <c r="CA230" s="179"/>
      <c r="CB230" s="179"/>
      <c r="CC230" s="179"/>
      <c r="CD230" s="179"/>
      <c r="CE230" s="179"/>
      <c r="CF230" s="8"/>
      <c r="CM230" s="2">
        <f t="shared" si="76"/>
        <v>45.8</v>
      </c>
      <c r="CN230" s="1" t="str">
        <f t="shared" si="63"/>
        <v>0.0107986736111111+49.4579251388889i</v>
      </c>
      <c r="CO230" s="56" t="str">
        <f t="shared" si="64"/>
        <v>-0.589447249514799i</v>
      </c>
      <c r="CP230" s="1" t="str">
        <f t="shared" si="65"/>
        <v>0.0107986736111111+48.8684778893741i</v>
      </c>
      <c r="CQ230" s="1" t="str">
        <f t="shared" si="66"/>
        <v>0.0191834803010191+21.965084944667i</v>
      </c>
      <c r="CR230" s="1" t="str">
        <f t="shared" si="67"/>
        <v>0.0101691418797685+15.1538384170825i</v>
      </c>
      <c r="CT230" s="1">
        <f t="shared" si="68"/>
        <v>45.8</v>
      </c>
      <c r="CU230" s="1">
        <f t="shared" si="69"/>
        <v>48.9</v>
      </c>
      <c r="CV230" s="56">
        <f t="shared" si="70"/>
        <v>21.965093321731036</v>
      </c>
      <c r="CW230" s="2">
        <f t="shared" si="71"/>
        <v>15.153841829136663</v>
      </c>
      <c r="CX230" s="2">
        <f t="shared" si="72"/>
        <v>45.8</v>
      </c>
      <c r="CY230" s="2">
        <f t="shared" si="73"/>
        <v>0.68990564288403344</v>
      </c>
      <c r="CZ230" s="2">
        <f t="shared" si="74"/>
        <v>45.8</v>
      </c>
      <c r="DA230" s="2">
        <f t="shared" si="75"/>
        <v>0.31009440264260091</v>
      </c>
    </row>
    <row r="231" spans="2:105" ht="18" customHeight="1" x14ac:dyDescent="0.25">
      <c r="B231" s="6"/>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8"/>
      <c r="AR231" s="6"/>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79"/>
      <c r="CB231" s="179"/>
      <c r="CC231" s="179"/>
      <c r="CD231" s="179"/>
      <c r="CE231" s="179"/>
      <c r="CF231" s="8"/>
      <c r="CM231" s="2">
        <f t="shared" si="76"/>
        <v>46</v>
      </c>
      <c r="CN231" s="1" t="str">
        <f t="shared" si="63"/>
        <v>0.0107986736111111+49.6738986111111i</v>
      </c>
      <c r="CO231" s="56" t="str">
        <f t="shared" si="64"/>
        <v>-0.586884435386474i</v>
      </c>
      <c r="CP231" s="1" t="str">
        <f t="shared" si="65"/>
        <v>0.0107986736111111+49.0870141757246i</v>
      </c>
      <c r="CQ231" s="1" t="str">
        <f t="shared" si="66"/>
        <v>0.0191834803010191+22.061002346172i</v>
      </c>
      <c r="CR231" s="1" t="str">
        <f t="shared" si="67"/>
        <v>0.0101695845738957+15.2205062851453i</v>
      </c>
      <c r="CT231" s="1">
        <f t="shared" si="68"/>
        <v>46</v>
      </c>
      <c r="CU231" s="1">
        <f t="shared" si="69"/>
        <v>49.1</v>
      </c>
      <c r="CV231" s="56">
        <f t="shared" si="70"/>
        <v>22.061010686814029</v>
      </c>
      <c r="CW231" s="2">
        <f t="shared" si="71"/>
        <v>15.220509682549988</v>
      </c>
      <c r="CX231" s="2">
        <f t="shared" si="72"/>
        <v>46</v>
      </c>
      <c r="CY231" s="2">
        <f t="shared" si="73"/>
        <v>0.6899280317944505</v>
      </c>
      <c r="CZ231" s="2">
        <f t="shared" si="74"/>
        <v>46</v>
      </c>
      <c r="DA231" s="2">
        <f t="shared" si="75"/>
        <v>0.31007201333856643</v>
      </c>
    </row>
    <row r="232" spans="2:105" ht="18" customHeight="1" x14ac:dyDescent="0.25">
      <c r="B232" s="6"/>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8"/>
      <c r="AR232" s="6"/>
      <c r="AS232" s="179"/>
      <c r="AT232" s="179"/>
      <c r="AU232" s="179"/>
      <c r="AV232" s="179"/>
      <c r="AW232" s="179"/>
      <c r="AX232" s="179"/>
      <c r="AY232" s="179"/>
      <c r="AZ232" s="179"/>
      <c r="BA232" s="179"/>
      <c r="BB232" s="179"/>
      <c r="BC232" s="179"/>
      <c r="BD232" s="179"/>
      <c r="BE232" s="179"/>
      <c r="BF232" s="179"/>
      <c r="BG232" s="179"/>
      <c r="BH232" s="179"/>
      <c r="BI232" s="179"/>
      <c r="BJ232" s="179"/>
      <c r="BK232" s="179"/>
      <c r="BL232" s="179"/>
      <c r="BM232" s="179"/>
      <c r="BN232" s="179"/>
      <c r="BO232" s="179"/>
      <c r="BP232" s="179"/>
      <c r="BQ232" s="179"/>
      <c r="BR232" s="179"/>
      <c r="BS232" s="179"/>
      <c r="BT232" s="179"/>
      <c r="BU232" s="179"/>
      <c r="BV232" s="179"/>
      <c r="BW232" s="179"/>
      <c r="BX232" s="179"/>
      <c r="BY232" s="179"/>
      <c r="BZ232" s="179"/>
      <c r="CA232" s="179"/>
      <c r="CB232" s="179"/>
      <c r="CC232" s="179"/>
      <c r="CD232" s="179"/>
      <c r="CE232" s="179"/>
      <c r="CF232" s="8"/>
      <c r="CM232" s="2">
        <f t="shared" si="76"/>
        <v>46.2</v>
      </c>
      <c r="CN232" s="1" t="str">
        <f t="shared" si="63"/>
        <v>0.0107986736111111+49.8898720833334i</v>
      </c>
      <c r="CO232" s="56" t="str">
        <f t="shared" si="64"/>
        <v>-0.58434381012506i</v>
      </c>
      <c r="CP232" s="1" t="str">
        <f t="shared" si="65"/>
        <v>0.0107986736111111+49.3055282732083i</v>
      </c>
      <c r="CQ232" s="1" t="str">
        <f t="shared" si="66"/>
        <v>0.0191834803010191+22.1569197476771i</v>
      </c>
      <c r="CR232" s="1" t="str">
        <f t="shared" si="67"/>
        <v>0.0101700214979887+15.2871719495256i</v>
      </c>
      <c r="CT232" s="1">
        <f t="shared" si="68"/>
        <v>46.2</v>
      </c>
      <c r="CU232" s="1">
        <f t="shared" si="69"/>
        <v>49.3</v>
      </c>
      <c r="CV232" s="56">
        <f t="shared" si="70"/>
        <v>22.156928052212471</v>
      </c>
      <c r="CW232" s="2">
        <f t="shared" si="71"/>
        <v>15.287175332405251</v>
      </c>
      <c r="CX232" s="2">
        <f t="shared" si="72"/>
        <v>46.2</v>
      </c>
      <c r="CY232" s="2">
        <f t="shared" si="73"/>
        <v>0.6899501273994848</v>
      </c>
      <c r="CZ232" s="2">
        <f t="shared" si="74"/>
        <v>46.2</v>
      </c>
      <c r="DA232" s="2">
        <f t="shared" si="75"/>
        <v>0.31004991734499038</v>
      </c>
    </row>
    <row r="233" spans="2:105" ht="18" customHeight="1" x14ac:dyDescent="0.25">
      <c r="B233" s="6"/>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8"/>
      <c r="AR233" s="6"/>
      <c r="AS233" s="179"/>
      <c r="AT233" s="179"/>
      <c r="AU233" s="179"/>
      <c r="AV233" s="179"/>
      <c r="AW233" s="179"/>
      <c r="AX233" s="179"/>
      <c r="AY233" s="179"/>
      <c r="AZ233" s="179"/>
      <c r="BA233" s="179"/>
      <c r="BB233" s="179"/>
      <c r="BC233" s="179"/>
      <c r="BD233" s="179"/>
      <c r="BE233" s="179"/>
      <c r="BF233" s="179"/>
      <c r="BG233" s="179"/>
      <c r="BH233" s="179"/>
      <c r="BI233" s="179"/>
      <c r="BJ233" s="179"/>
      <c r="BK233" s="179"/>
      <c r="BL233" s="179"/>
      <c r="BM233" s="179"/>
      <c r="BN233" s="179"/>
      <c r="BO233" s="179"/>
      <c r="BP233" s="179"/>
      <c r="BQ233" s="179"/>
      <c r="BR233" s="179"/>
      <c r="BS233" s="179"/>
      <c r="BT233" s="179"/>
      <c r="BU233" s="179"/>
      <c r="BV233" s="179"/>
      <c r="BW233" s="179"/>
      <c r="BX233" s="179"/>
      <c r="BY233" s="179"/>
      <c r="BZ233" s="179"/>
      <c r="CA233" s="179"/>
      <c r="CB233" s="179"/>
      <c r="CC233" s="179"/>
      <c r="CD233" s="179"/>
      <c r="CE233" s="179"/>
      <c r="CF233" s="8"/>
      <c r="CM233" s="2">
        <f t="shared" si="76"/>
        <v>46.4</v>
      </c>
      <c r="CN233" s="1" t="str">
        <f t="shared" si="63"/>
        <v>0.0107986736111111+50.1058455555556i</v>
      </c>
      <c r="CO233" s="56" t="str">
        <f t="shared" si="64"/>
        <v>-0.581825086805556i</v>
      </c>
      <c r="CP233" s="1" t="str">
        <f t="shared" si="65"/>
        <v>0.0107986736111111+49.52402046875i</v>
      </c>
      <c r="CQ233" s="1" t="str">
        <f t="shared" si="66"/>
        <v>0.0191834803010191+22.2528371491822i</v>
      </c>
      <c r="CR233" s="1" t="str">
        <f t="shared" si="67"/>
        <v>0.0101704527520266+15.3538354396344i</v>
      </c>
      <c r="CT233" s="1">
        <f t="shared" si="68"/>
        <v>46.4</v>
      </c>
      <c r="CU233" s="1">
        <f t="shared" si="69"/>
        <v>49.5</v>
      </c>
      <c r="CV233" s="56">
        <f t="shared" si="70"/>
        <v>22.252845417922174</v>
      </c>
      <c r="CW233" s="2">
        <f t="shared" si="71"/>
        <v>15.353838808111883</v>
      </c>
      <c r="CX233" s="2">
        <f t="shared" si="72"/>
        <v>46.4</v>
      </c>
      <c r="CY233" s="2">
        <f t="shared" si="73"/>
        <v>0.68997193481360608</v>
      </c>
      <c r="CZ233" s="2">
        <f t="shared" si="74"/>
        <v>46.4</v>
      </c>
      <c r="DA233" s="2">
        <f t="shared" si="75"/>
        <v>0.31002810954731674</v>
      </c>
    </row>
    <row r="234" spans="2:105" ht="18" customHeight="1" x14ac:dyDescent="0.25">
      <c r="B234" s="6"/>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8"/>
      <c r="AR234" s="6"/>
      <c r="AS234" s="179"/>
      <c r="AT234" s="179"/>
      <c r="AU234" s="179"/>
      <c r="AV234" s="179"/>
      <c r="AW234" s="179"/>
      <c r="AX234" s="179"/>
      <c r="AY234" s="179"/>
      <c r="AZ234" s="179"/>
      <c r="BA234" s="179"/>
      <c r="BB234" s="179"/>
      <c r="BC234" s="179"/>
      <c r="BD234" s="179"/>
      <c r="BE234" s="179"/>
      <c r="BF234" s="179"/>
      <c r="BG234" s="179"/>
      <c r="BH234" s="179"/>
      <c r="BI234" s="179"/>
      <c r="BJ234" s="179"/>
      <c r="BK234" s="179"/>
      <c r="BL234" s="179"/>
      <c r="BM234" s="179"/>
      <c r="BN234" s="179"/>
      <c r="BO234" s="179"/>
      <c r="BP234" s="179"/>
      <c r="BQ234" s="179"/>
      <c r="BR234" s="179"/>
      <c r="BS234" s="179"/>
      <c r="BT234" s="179"/>
      <c r="BU234" s="179"/>
      <c r="BV234" s="179"/>
      <c r="BW234" s="179"/>
      <c r="BX234" s="179"/>
      <c r="BY234" s="179"/>
      <c r="BZ234" s="179"/>
      <c r="CA234" s="179"/>
      <c r="CB234" s="179"/>
      <c r="CC234" s="179"/>
      <c r="CD234" s="179"/>
      <c r="CE234" s="179"/>
      <c r="CF234" s="8"/>
      <c r="CM234" s="2">
        <f t="shared" si="76"/>
        <v>46.6</v>
      </c>
      <c r="CN234" s="1" t="str">
        <f t="shared" si="63"/>
        <v>0.0107986736111111+50.3218190277778i</v>
      </c>
      <c r="CO234" s="56" t="str">
        <f t="shared" si="64"/>
        <v>-0.579327983428708i</v>
      </c>
      <c r="CP234" s="1" t="str">
        <f t="shared" si="65"/>
        <v>0.0107986736111111+49.7424910443491i</v>
      </c>
      <c r="CQ234" s="1" t="str">
        <f t="shared" si="66"/>
        <v>0.0191834803010191+22.3487545506873i</v>
      </c>
      <c r="CR234" s="1" t="str">
        <f t="shared" si="67"/>
        <v>0.0101708784338296+15.420496784358i</v>
      </c>
      <c r="CT234" s="1">
        <f t="shared" si="68"/>
        <v>46.6</v>
      </c>
      <c r="CU234" s="1">
        <f t="shared" si="69"/>
        <v>49.7</v>
      </c>
      <c r="CV234" s="56">
        <f t="shared" si="70"/>
        <v>22.348762783939129</v>
      </c>
      <c r="CW234" s="2">
        <f t="shared" si="71"/>
        <v>15.420500138554635</v>
      </c>
      <c r="CX234" s="2">
        <f t="shared" si="72"/>
        <v>46.6</v>
      </c>
      <c r="CY234" s="2">
        <f t="shared" si="73"/>
        <v>0.68999345904000076</v>
      </c>
      <c r="CZ234" s="2">
        <f t="shared" si="74"/>
        <v>46.6</v>
      </c>
      <c r="DA234" s="2">
        <f t="shared" si="75"/>
        <v>0.31000658494227384</v>
      </c>
    </row>
    <row r="235" spans="2:105" ht="18" customHeight="1" x14ac:dyDescent="0.25">
      <c r="B235" s="6"/>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8"/>
      <c r="AR235" s="6"/>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79"/>
      <c r="CB235" s="179"/>
      <c r="CC235" s="179"/>
      <c r="CD235" s="179"/>
      <c r="CE235" s="179"/>
      <c r="CF235" s="8"/>
      <c r="CM235" s="2">
        <f t="shared" si="76"/>
        <v>46.8</v>
      </c>
      <c r="CN235" s="1" t="str">
        <f t="shared" si="63"/>
        <v>0.0107986736111111+50.5377925i</v>
      </c>
      <c r="CO235" s="56" t="str">
        <f t="shared" si="64"/>
        <v>-0.576852222815765i</v>
      </c>
      <c r="CP235" s="1" t="str">
        <f t="shared" si="65"/>
        <v>0.0107986736111111+49.9609402771842i</v>
      </c>
      <c r="CQ235" s="1" t="str">
        <f t="shared" si="66"/>
        <v>0.0191834803010191+22.4446719521924i</v>
      </c>
      <c r="CR235" s="1" t="str">
        <f t="shared" si="67"/>
        <v>0.0101712986391143+15.4871560120696i</v>
      </c>
      <c r="CT235" s="1">
        <f t="shared" si="68"/>
        <v>46.8</v>
      </c>
      <c r="CU235" s="1">
        <f t="shared" si="69"/>
        <v>50</v>
      </c>
      <c r="CV235" s="56">
        <f t="shared" si="70"/>
        <v>22.444680150259408</v>
      </c>
      <c r="CW235" s="2">
        <f t="shared" si="71"/>
        <v>15.4871593521052</v>
      </c>
      <c r="CX235" s="2">
        <f t="shared" si="72"/>
        <v>46.8</v>
      </c>
      <c r="CY235" s="2">
        <f t="shared" si="73"/>
        <v>0.6900147049734755</v>
      </c>
      <c r="CZ235" s="2">
        <f t="shared" si="74"/>
        <v>46.8</v>
      </c>
      <c r="DA235" s="2">
        <f t="shared" si="75"/>
        <v>0.30998533863497219</v>
      </c>
    </row>
    <row r="236" spans="2:105" ht="18" customHeight="1" x14ac:dyDescent="0.25">
      <c r="B236" s="6"/>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8"/>
      <c r="AR236" s="6"/>
      <c r="AS236" s="179"/>
      <c r="AT236" s="179"/>
      <c r="AU236" s="179"/>
      <c r="AV236" s="179"/>
      <c r="AW236" s="179"/>
      <c r="AX236" s="179"/>
      <c r="AY236" s="179"/>
      <c r="AZ236" s="179"/>
      <c r="BA236" s="179"/>
      <c r="BB236" s="179"/>
      <c r="BC236" s="179"/>
      <c r="BD236" s="179"/>
      <c r="BE236" s="179"/>
      <c r="BF236" s="179"/>
      <c r="BG236" s="179"/>
      <c r="BH236" s="179"/>
      <c r="BI236" s="179"/>
      <c r="BJ236" s="179"/>
      <c r="BK236" s="179"/>
      <c r="BL236" s="179"/>
      <c r="BM236" s="179"/>
      <c r="BN236" s="179"/>
      <c r="BO236" s="179"/>
      <c r="BP236" s="179"/>
      <c r="BQ236" s="179"/>
      <c r="BR236" s="179"/>
      <c r="BS236" s="179"/>
      <c r="BT236" s="179"/>
      <c r="BU236" s="179"/>
      <c r="BV236" s="179"/>
      <c r="BW236" s="179"/>
      <c r="BX236" s="179"/>
      <c r="BY236" s="179"/>
      <c r="BZ236" s="179"/>
      <c r="CA236" s="179"/>
      <c r="CB236" s="179"/>
      <c r="CC236" s="179"/>
      <c r="CD236" s="179"/>
      <c r="CE236" s="179"/>
      <c r="CF236" s="8"/>
      <c r="CM236" s="2">
        <f t="shared" si="76"/>
        <v>47</v>
      </c>
      <c r="CN236" s="1" t="str">
        <f t="shared" si="63"/>
        <v>0.0107986736111111+50.7537659722222i</v>
      </c>
      <c r="CO236" s="56" t="str">
        <f t="shared" si="64"/>
        <v>-0.57439753250591i</v>
      </c>
      <c r="CP236" s="1" t="str">
        <f t="shared" si="65"/>
        <v>0.0107986736111111+50.1793684397163i</v>
      </c>
      <c r="CQ236" s="1" t="str">
        <f t="shared" si="66"/>
        <v>0.0191834803010191+22.5405893536975i</v>
      </c>
      <c r="CR236" s="1" t="str">
        <f t="shared" si="67"/>
        <v>0.0101717134615485+15.5538131506411i</v>
      </c>
      <c r="CT236" s="1">
        <f t="shared" si="68"/>
        <v>47</v>
      </c>
      <c r="CU236" s="1">
        <f t="shared" si="69"/>
        <v>50.2</v>
      </c>
      <c r="CV236" s="56">
        <f t="shared" si="70"/>
        <v>22.540597516879124</v>
      </c>
      <c r="CW236" s="2">
        <f t="shared" si="71"/>
        <v>15.553816476633983</v>
      </c>
      <c r="CX236" s="2">
        <f t="shared" si="72"/>
        <v>47</v>
      </c>
      <c r="CY236" s="2">
        <f t="shared" si="73"/>
        <v>0.6900356774032651</v>
      </c>
      <c r="CZ236" s="2">
        <f t="shared" si="74"/>
        <v>47</v>
      </c>
      <c r="DA236" s="2">
        <f t="shared" si="75"/>
        <v>0.30996436583609538</v>
      </c>
    </row>
    <row r="237" spans="2:105" ht="18" customHeight="1" x14ac:dyDescent="0.25">
      <c r="B237" s="6"/>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8"/>
      <c r="AR237" s="6"/>
      <c r="AS237" s="179"/>
      <c r="AT237" s="179"/>
      <c r="AU237" s="179"/>
      <c r="AV237" s="179"/>
      <c r="AW237" s="179"/>
      <c r="AX237" s="179"/>
      <c r="AY237" s="179"/>
      <c r="AZ237" s="179"/>
      <c r="BA237" s="179"/>
      <c r="BB237" s="179"/>
      <c r="BC237" s="179"/>
      <c r="BD237" s="179"/>
      <c r="BE237" s="179"/>
      <c r="BF237" s="179"/>
      <c r="BG237" s="179"/>
      <c r="BH237" s="179"/>
      <c r="BI237" s="179"/>
      <c r="BJ237" s="179"/>
      <c r="BK237" s="179"/>
      <c r="BL237" s="179"/>
      <c r="BM237" s="179"/>
      <c r="BN237" s="179"/>
      <c r="BO237" s="179"/>
      <c r="BP237" s="179"/>
      <c r="BQ237" s="179"/>
      <c r="BR237" s="179"/>
      <c r="BS237" s="179"/>
      <c r="BT237" s="179"/>
      <c r="BU237" s="179"/>
      <c r="BV237" s="179"/>
      <c r="BW237" s="179"/>
      <c r="BX237" s="179"/>
      <c r="BY237" s="179"/>
      <c r="BZ237" s="179"/>
      <c r="CA237" s="179"/>
      <c r="CB237" s="179"/>
      <c r="CC237" s="179"/>
      <c r="CD237" s="179"/>
      <c r="CE237" s="179"/>
      <c r="CF237" s="8"/>
      <c r="CM237" s="2">
        <f t="shared" si="76"/>
        <v>47.2</v>
      </c>
      <c r="CN237" s="1" t="str">
        <f t="shared" si="63"/>
        <v>0.0107986736111111+50.9697394444445i</v>
      </c>
      <c r="CO237" s="56" t="str">
        <f t="shared" si="64"/>
        <v>-0.571963644656309i</v>
      </c>
      <c r="CP237" s="1" t="str">
        <f t="shared" si="65"/>
        <v>0.0107986736111111+50.3977757997882i</v>
      </c>
      <c r="CQ237" s="1" t="str">
        <f t="shared" si="66"/>
        <v>0.0191834803010191+22.6365067552026i</v>
      </c>
      <c r="CR237" s="1" t="str">
        <f t="shared" si="67"/>
        <v>0.0101721229928032+15.6204682274537i</v>
      </c>
      <c r="CT237" s="1">
        <f t="shared" si="68"/>
        <v>47.2</v>
      </c>
      <c r="CU237" s="1">
        <f t="shared" si="69"/>
        <v>50.4</v>
      </c>
      <c r="CV237" s="56">
        <f t="shared" si="70"/>
        <v>22.63651488379449</v>
      </c>
      <c r="CW237" s="2">
        <f t="shared" si="71"/>
        <v>15.620471539520715</v>
      </c>
      <c r="CX237" s="2">
        <f t="shared" si="72"/>
        <v>47.2</v>
      </c>
      <c r="CY237" s="2">
        <f t="shared" si="73"/>
        <v>0.69005638101576294</v>
      </c>
      <c r="CZ237" s="2">
        <f t="shared" si="74"/>
        <v>47.2</v>
      </c>
      <c r="DA237" s="2">
        <f t="shared" si="75"/>
        <v>0.30994366185917033</v>
      </c>
    </row>
    <row r="238" spans="2:105" ht="18" customHeight="1" x14ac:dyDescent="0.25">
      <c r="B238" s="6"/>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8"/>
      <c r="AR238" s="6"/>
      <c r="AS238" s="179"/>
      <c r="AT238" s="179"/>
      <c r="AU238" s="179"/>
      <c r="AV238" s="179"/>
      <c r="AW238" s="179"/>
      <c r="AX238" s="179"/>
      <c r="AY238" s="179"/>
      <c r="AZ238" s="179"/>
      <c r="BA238" s="179"/>
      <c r="BB238" s="179"/>
      <c r="BC238" s="179"/>
      <c r="BD238" s="179"/>
      <c r="BE238" s="179"/>
      <c r="BF238" s="179"/>
      <c r="BG238" s="179"/>
      <c r="BH238" s="179"/>
      <c r="BI238" s="179"/>
      <c r="BJ238" s="179"/>
      <c r="BK238" s="179"/>
      <c r="BL238" s="179"/>
      <c r="BM238" s="179"/>
      <c r="BN238" s="179"/>
      <c r="BO238" s="179"/>
      <c r="BP238" s="179"/>
      <c r="BQ238" s="179"/>
      <c r="BR238" s="179"/>
      <c r="BS238" s="179"/>
      <c r="BT238" s="179"/>
      <c r="BU238" s="179"/>
      <c r="BV238" s="179"/>
      <c r="BW238" s="179"/>
      <c r="BX238" s="179"/>
      <c r="BY238" s="179"/>
      <c r="BZ238" s="179"/>
      <c r="CA238" s="179"/>
      <c r="CB238" s="179"/>
      <c r="CC238" s="179"/>
      <c r="CD238" s="179"/>
      <c r="CE238" s="179"/>
      <c r="CF238" s="8"/>
      <c r="CM238" s="2">
        <f t="shared" si="76"/>
        <v>47.4</v>
      </c>
      <c r="CN238" s="1" t="str">
        <f t="shared" si="63"/>
        <v>0.0107986736111111+51.1857129166667i</v>
      </c>
      <c r="CO238" s="56" t="str">
        <f t="shared" si="64"/>
        <v>-0.569550295944679i</v>
      </c>
      <c r="CP238" s="1" t="str">
        <f t="shared" si="65"/>
        <v>0.0107986736111111+50.616162620722i</v>
      </c>
      <c r="CQ238" s="1" t="str">
        <f t="shared" si="66"/>
        <v>0.0191834803010191+22.7324241567077i</v>
      </c>
      <c r="CR238" s="1" t="str">
        <f t="shared" si="67"/>
        <v>0.0101725273226035+15.6871212694086i</v>
      </c>
      <c r="CT238" s="1">
        <f t="shared" si="68"/>
        <v>47.4</v>
      </c>
      <c r="CU238" s="1">
        <f t="shared" si="69"/>
        <v>50.6</v>
      </c>
      <c r="CV238" s="56">
        <f t="shared" si="70"/>
        <v>22.732432251001743</v>
      </c>
      <c r="CW238" s="2">
        <f t="shared" si="71"/>
        <v>15.68712456766516</v>
      </c>
      <c r="CX238" s="2">
        <f t="shared" si="72"/>
        <v>47.4</v>
      </c>
      <c r="CY238" s="2">
        <f t="shared" si="73"/>
        <v>0.69007682039716323</v>
      </c>
      <c r="CZ238" s="2">
        <f t="shared" si="74"/>
        <v>47.4</v>
      </c>
      <c r="DA238" s="2">
        <f t="shared" si="75"/>
        <v>0.30992322211792483</v>
      </c>
    </row>
    <row r="239" spans="2:105" ht="18" customHeight="1" x14ac:dyDescent="0.25">
      <c r="B239" s="6"/>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8"/>
      <c r="AR239" s="6"/>
      <c r="AS239" s="179"/>
      <c r="AT239" s="179"/>
      <c r="AU239" s="179"/>
      <c r="AV239" s="179"/>
      <c r="AW239" s="179"/>
      <c r="AX239" s="179"/>
      <c r="AY239" s="179"/>
      <c r="AZ239" s="179"/>
      <c r="BA239" s="179"/>
      <c r="BB239" s="179"/>
      <c r="BC239" s="179"/>
      <c r="BD239" s="179"/>
      <c r="BE239" s="179"/>
      <c r="BF239" s="179"/>
      <c r="BG239" s="179"/>
      <c r="BH239" s="179"/>
      <c r="BI239" s="179"/>
      <c r="BJ239" s="179"/>
      <c r="BK239" s="179"/>
      <c r="BL239" s="179"/>
      <c r="BM239" s="179"/>
      <c r="BN239" s="179"/>
      <c r="BO239" s="179"/>
      <c r="BP239" s="179"/>
      <c r="BQ239" s="179"/>
      <c r="BR239" s="179"/>
      <c r="BS239" s="179"/>
      <c r="BT239" s="179"/>
      <c r="BU239" s="179"/>
      <c r="BV239" s="179"/>
      <c r="BW239" s="179"/>
      <c r="BX239" s="179"/>
      <c r="BY239" s="179"/>
      <c r="BZ239" s="179"/>
      <c r="CA239" s="179"/>
      <c r="CB239" s="179"/>
      <c r="CC239" s="179"/>
      <c r="CD239" s="179"/>
      <c r="CE239" s="179"/>
      <c r="CF239" s="8"/>
      <c r="CM239" s="2">
        <f t="shared" si="76"/>
        <v>47.6</v>
      </c>
      <c r="CN239" s="1" t="str">
        <f t="shared" si="63"/>
        <v>0.0107986736111111+51.4016863888889i</v>
      </c>
      <c r="CO239" s="56" t="str">
        <f t="shared" si="64"/>
        <v>-0.567157227474323i</v>
      </c>
      <c r="CP239" s="1" t="str">
        <f t="shared" si="65"/>
        <v>0.0107986736111111+50.8345291614146i</v>
      </c>
      <c r="CQ239" s="1" t="str">
        <f t="shared" si="66"/>
        <v>0.0191834803010191+22.8283415582128i</v>
      </c>
      <c r="CR239" s="1" t="str">
        <f t="shared" si="67"/>
        <v>0.0101729265387787+15.7537723029385i</v>
      </c>
      <c r="CT239" s="1">
        <f t="shared" si="68"/>
        <v>47.6</v>
      </c>
      <c r="CU239" s="1">
        <f t="shared" si="69"/>
        <v>50.8</v>
      </c>
      <c r="CV239" s="56">
        <f t="shared" si="70"/>
        <v>22.828349618497217</v>
      </c>
      <c r="CW239" s="2">
        <f t="shared" si="71"/>
        <v>15.753775587498591</v>
      </c>
      <c r="CX239" s="2">
        <f t="shared" si="72"/>
        <v>47.6</v>
      </c>
      <c r="CY239" s="2">
        <f t="shared" si="73"/>
        <v>0.69009700003603236</v>
      </c>
      <c r="CZ239" s="2">
        <f t="shared" si="74"/>
        <v>47.6</v>
      </c>
      <c r="DA239" s="2">
        <f t="shared" si="75"/>
        <v>0.30990304212371605</v>
      </c>
    </row>
    <row r="240" spans="2:105" ht="18" customHeight="1" x14ac:dyDescent="0.25">
      <c r="B240" s="6"/>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8"/>
      <c r="AR240" s="6"/>
      <c r="AS240" s="179"/>
      <c r="AT240" s="179"/>
      <c r="AU240" s="179"/>
      <c r="AV240" s="179"/>
      <c r="AW240" s="179"/>
      <c r="AX240" s="179"/>
      <c r="AY240" s="179"/>
      <c r="AZ240" s="179"/>
      <c r="BA240" s="179"/>
      <c r="BB240" s="179"/>
      <c r="BC240" s="179"/>
      <c r="BD240" s="179"/>
      <c r="BE240" s="179"/>
      <c r="BF240" s="179"/>
      <c r="BG240" s="179"/>
      <c r="BH240" s="179"/>
      <c r="BI240" s="179"/>
      <c r="BJ240" s="179"/>
      <c r="BK240" s="179"/>
      <c r="BL240" s="179"/>
      <c r="BM240" s="179"/>
      <c r="BN240" s="179"/>
      <c r="BO240" s="179"/>
      <c r="BP240" s="179"/>
      <c r="BQ240" s="179"/>
      <c r="BR240" s="179"/>
      <c r="BS240" s="179"/>
      <c r="BT240" s="179"/>
      <c r="BU240" s="179"/>
      <c r="BV240" s="179"/>
      <c r="BW240" s="179"/>
      <c r="BX240" s="179"/>
      <c r="BY240" s="179"/>
      <c r="BZ240" s="179"/>
      <c r="CA240" s="179"/>
      <c r="CB240" s="179"/>
      <c r="CC240" s="179"/>
      <c r="CD240" s="179"/>
      <c r="CE240" s="179"/>
      <c r="CF240" s="8"/>
      <c r="CM240" s="2">
        <f t="shared" si="76"/>
        <v>47.8</v>
      </c>
      <c r="CN240" s="1" t="str">
        <f t="shared" si="63"/>
        <v>0.0107986736111111+51.6176598611111i</v>
      </c>
      <c r="CO240" s="56" t="str">
        <f t="shared" si="64"/>
        <v>-0.564784184681544i</v>
      </c>
      <c r="CP240" s="1" t="str">
        <f t="shared" si="65"/>
        <v>0.0107986736111111+51.0528756764296i</v>
      </c>
      <c r="CQ240" s="1" t="str">
        <f t="shared" si="66"/>
        <v>0.0191834803010191+22.9242589597179i</v>
      </c>
      <c r="CR240" s="1" t="str">
        <f t="shared" si="67"/>
        <v>0.0101733207273093+15.8204213540167i</v>
      </c>
      <c r="CT240" s="1">
        <f t="shared" si="68"/>
        <v>47.8</v>
      </c>
      <c r="CU240" s="1">
        <f t="shared" si="69"/>
        <v>51.1</v>
      </c>
      <c r="CV240" s="56">
        <f t="shared" si="70"/>
        <v>22.924266986277289</v>
      </c>
      <c r="CW240" s="2">
        <f t="shared" si="71"/>
        <v>15.820424624992915</v>
      </c>
      <c r="CX240" s="2">
        <f t="shared" si="72"/>
        <v>47.8</v>
      </c>
      <c r="CY240" s="2">
        <f t="shared" si="73"/>
        <v>0.69011692432579175</v>
      </c>
      <c r="CZ240" s="2">
        <f t="shared" si="74"/>
        <v>47.8</v>
      </c>
      <c r="DA240" s="2">
        <f t="shared" si="75"/>
        <v>0.30988311748304809</v>
      </c>
    </row>
    <row r="241" spans="2:105" ht="18" customHeight="1" x14ac:dyDescent="0.25">
      <c r="B241" s="6"/>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8"/>
      <c r="AR241" s="6"/>
      <c r="AS241" s="179"/>
      <c r="AT241" s="179"/>
      <c r="AU241" s="179"/>
      <c r="AV241" s="179"/>
      <c r="AW241" s="179"/>
      <c r="AX241" s="179"/>
      <c r="AY241" s="179"/>
      <c r="AZ241" s="179"/>
      <c r="BA241" s="179"/>
      <c r="BB241" s="179"/>
      <c r="BC241" s="179"/>
      <c r="BD241" s="179"/>
      <c r="BE241" s="179"/>
      <c r="BF241" s="179"/>
      <c r="BG241" s="179"/>
      <c r="BH241" s="179"/>
      <c r="BI241" s="179"/>
      <c r="BJ241" s="179"/>
      <c r="BK241" s="179"/>
      <c r="BL241" s="179"/>
      <c r="BM241" s="179"/>
      <c r="BN241" s="179"/>
      <c r="BO241" s="179"/>
      <c r="BP241" s="179"/>
      <c r="BQ241" s="179"/>
      <c r="BR241" s="179"/>
      <c r="BS241" s="179"/>
      <c r="BT241" s="179"/>
      <c r="BU241" s="179"/>
      <c r="BV241" s="179"/>
      <c r="BW241" s="179"/>
      <c r="BX241" s="179"/>
      <c r="BY241" s="179"/>
      <c r="BZ241" s="179"/>
      <c r="CA241" s="179"/>
      <c r="CB241" s="179"/>
      <c r="CC241" s="179"/>
      <c r="CD241" s="179"/>
      <c r="CE241" s="179"/>
      <c r="CF241" s="8"/>
      <c r="CM241" s="2">
        <f t="shared" si="76"/>
        <v>48</v>
      </c>
      <c r="CN241" s="1" t="str">
        <f t="shared" si="63"/>
        <v>0.0107986736111111+51.8336333333333i</v>
      </c>
      <c r="CO241" s="56" t="str">
        <f t="shared" si="64"/>
        <v>-0.562430917245371i</v>
      </c>
      <c r="CP241" s="1" t="str">
        <f t="shared" si="65"/>
        <v>0.0107986736111111+51.2712024160879i</v>
      </c>
      <c r="CQ241" s="1" t="str">
        <f t="shared" si="66"/>
        <v>0.0191834803010191+23.020176361223i</v>
      </c>
      <c r="CR241" s="1" t="str">
        <f t="shared" si="67"/>
        <v>0.0101737099723739+15.8870684481678i</v>
      </c>
      <c r="CT241" s="1">
        <f t="shared" si="68"/>
        <v>48</v>
      </c>
      <c r="CU241" s="1">
        <f t="shared" si="69"/>
        <v>51.3</v>
      </c>
      <c r="CV241" s="56">
        <f t="shared" si="70"/>
        <v>23.020184354338404</v>
      </c>
      <c r="CW241" s="2">
        <f t="shared" si="71"/>
        <v>15.887071705671358</v>
      </c>
      <c r="CX241" s="2">
        <f t="shared" si="72"/>
        <v>48</v>
      </c>
      <c r="CY241" s="2">
        <f t="shared" si="73"/>
        <v>0.69013659756713974</v>
      </c>
      <c r="CZ241" s="2">
        <f t="shared" si="74"/>
        <v>48</v>
      </c>
      <c r="DA241" s="2">
        <f t="shared" si="75"/>
        <v>0.30986344389514903</v>
      </c>
    </row>
    <row r="242" spans="2:105" ht="18" customHeight="1" x14ac:dyDescent="0.25">
      <c r="B242" s="6"/>
      <c r="C242" s="153"/>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153"/>
      <c r="AM242" s="153"/>
      <c r="AN242" s="153"/>
      <c r="AO242" s="153"/>
      <c r="AP242" s="8"/>
      <c r="AR242" s="6"/>
      <c r="AS242" s="179"/>
      <c r="AT242" s="179"/>
      <c r="AU242" s="179"/>
      <c r="AV242" s="179"/>
      <c r="AW242" s="179"/>
      <c r="AX242" s="179"/>
      <c r="AY242" s="179"/>
      <c r="AZ242" s="179"/>
      <c r="BA242" s="179"/>
      <c r="BB242" s="179"/>
      <c r="BC242" s="179"/>
      <c r="BD242" s="179"/>
      <c r="BE242" s="179"/>
      <c r="BF242" s="179"/>
      <c r="BG242" s="179"/>
      <c r="BH242" s="179"/>
      <c r="BI242" s="179"/>
      <c r="BJ242" s="179"/>
      <c r="BK242" s="179"/>
      <c r="BL242" s="179"/>
      <c r="BM242" s="179"/>
      <c r="BN242" s="179"/>
      <c r="BO242" s="179"/>
      <c r="BP242" s="179"/>
      <c r="BQ242" s="179"/>
      <c r="BR242" s="179"/>
      <c r="BS242" s="179"/>
      <c r="BT242" s="179"/>
      <c r="BU242" s="179"/>
      <c r="BV242" s="179"/>
      <c r="BW242" s="179"/>
      <c r="BX242" s="179"/>
      <c r="BY242" s="179"/>
      <c r="BZ242" s="179"/>
      <c r="CA242" s="179"/>
      <c r="CB242" s="179"/>
      <c r="CC242" s="179"/>
      <c r="CD242" s="179"/>
      <c r="CE242" s="179"/>
      <c r="CF242" s="8"/>
      <c r="CM242" s="2">
        <f t="shared" si="76"/>
        <v>48.2</v>
      </c>
      <c r="CN242" s="1" t="str">
        <f t="shared" si="63"/>
        <v>0.0107986736111111+52.0496068055556i</v>
      </c>
      <c r="CO242" s="56" t="str">
        <f t="shared" si="64"/>
        <v>-0.560097178999539i</v>
      </c>
      <c r="CP242" s="1" t="str">
        <f t="shared" si="65"/>
        <v>0.0107986736111111+51.4895096265561i</v>
      </c>
      <c r="CQ242" s="1" t="str">
        <f t="shared" si="66"/>
        <v>0.0191834803010191+23.1160937627281i</v>
      </c>
      <c r="CR242" s="1" t="str">
        <f t="shared" si="67"/>
        <v>0.0101740943563947+15.9537136104771i</v>
      </c>
      <c r="CT242" s="1">
        <f t="shared" si="68"/>
        <v>48.2</v>
      </c>
      <c r="CU242" s="1">
        <f t="shared" si="69"/>
        <v>51.5</v>
      </c>
      <c r="CV242" s="56">
        <f t="shared" si="70"/>
        <v>23.116101722677062</v>
      </c>
      <c r="CW242" s="2">
        <f t="shared" si="71"/>
        <v>15.953716854617868</v>
      </c>
      <c r="CX242" s="2">
        <f t="shared" si="72"/>
        <v>48.2</v>
      </c>
      <c r="CY242" s="2">
        <f t="shared" si="73"/>
        <v>0.69015602397039044</v>
      </c>
      <c r="CZ242" s="2">
        <f t="shared" si="74"/>
        <v>48.2</v>
      </c>
      <c r="DA242" s="2">
        <f t="shared" si="75"/>
        <v>0.30984401714963306</v>
      </c>
    </row>
    <row r="243" spans="2:105" ht="18" customHeight="1" thickBot="1" x14ac:dyDescent="0.3">
      <c r="B243" s="6"/>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1"/>
      <c r="AO243" s="10"/>
      <c r="AP243" s="8"/>
      <c r="AR243" s="6"/>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1"/>
      <c r="CE243" s="10"/>
      <c r="CF243" s="8"/>
      <c r="CM243" s="2">
        <f t="shared" si="76"/>
        <v>48.4</v>
      </c>
      <c r="CN243" s="1" t="str">
        <f t="shared" si="63"/>
        <v>0.0107986736111111+52.2655802777778i</v>
      </c>
      <c r="CO243" s="56" t="str">
        <f t="shared" si="64"/>
        <v>-0.557782727846649i</v>
      </c>
      <c r="CP243" s="1" t="str">
        <f t="shared" si="65"/>
        <v>0.0107986736111111+51.7077975499312i</v>
      </c>
      <c r="CQ243" s="1" t="str">
        <f t="shared" si="66"/>
        <v>0.0191834803010191+23.2120111642332i</v>
      </c>
      <c r="CR243" s="1" t="str">
        <f t="shared" si="67"/>
        <v>0.0101744739600813+16.0203568656002i</v>
      </c>
      <c r="CT243" s="1">
        <f t="shared" si="68"/>
        <v>48.4</v>
      </c>
      <c r="CU243" s="1">
        <f t="shared" si="69"/>
        <v>51.7</v>
      </c>
      <c r="CV243" s="56">
        <f t="shared" si="70"/>
        <v>23.212019091289822</v>
      </c>
      <c r="CW243" s="2">
        <f t="shared" si="71"/>
        <v>16.020360096486716</v>
      </c>
      <c r="CX243" s="2">
        <f t="shared" si="72"/>
        <v>48.4</v>
      </c>
      <c r="CY243" s="2">
        <f t="shared" si="73"/>
        <v>0.69017520765775342</v>
      </c>
      <c r="CZ243" s="2">
        <f t="shared" si="74"/>
        <v>48.4</v>
      </c>
      <c r="DA243" s="2">
        <f t="shared" si="75"/>
        <v>0.30982483312422043</v>
      </c>
    </row>
    <row r="244" spans="2:105" ht="18" customHeight="1" x14ac:dyDescent="0.25">
      <c r="B244" s="6"/>
      <c r="D244" s="43" t="s">
        <v>84</v>
      </c>
      <c r="AO244" s="29" t="s">
        <v>445</v>
      </c>
      <c r="AP244" s="8"/>
      <c r="AR244" s="6"/>
      <c r="AT244" s="43" t="s">
        <v>84</v>
      </c>
      <c r="CE244" s="29" t="s">
        <v>446</v>
      </c>
      <c r="CF244" s="8"/>
      <c r="CM244" s="2">
        <f t="shared" si="76"/>
        <v>48.6</v>
      </c>
      <c r="CN244" s="1" t="str">
        <f t="shared" si="63"/>
        <v>0.0107986736111111+52.48155375i</v>
      </c>
      <c r="CO244" s="56" t="str">
        <f t="shared" si="64"/>
        <v>-0.55548732567444i</v>
      </c>
      <c r="CP244" s="1" t="str">
        <f t="shared" si="65"/>
        <v>0.0107986736111111+51.9260664243256i</v>
      </c>
      <c r="CQ244" s="1" t="str">
        <f t="shared" si="66"/>
        <v>0.0191834803010191+23.3079285657383i</v>
      </c>
      <c r="CR244" s="1" t="str">
        <f t="shared" si="67"/>
        <v>0.0101748488624725+16.086998237772i</v>
      </c>
      <c r="CT244" s="1">
        <f t="shared" si="68"/>
        <v>48.6</v>
      </c>
      <c r="CU244" s="1">
        <f t="shared" si="69"/>
        <v>51.9</v>
      </c>
      <c r="CV244" s="56">
        <f t="shared" si="70"/>
        <v>23.307936460173305</v>
      </c>
      <c r="CW244" s="2">
        <f t="shared" si="71"/>
        <v>16.087001455511491</v>
      </c>
      <c r="CX244" s="2">
        <f t="shared" si="72"/>
        <v>48.6</v>
      </c>
      <c r="CY244" s="2">
        <f t="shared" si="73"/>
        <v>0.69019415266553674</v>
      </c>
      <c r="CZ244" s="2">
        <f t="shared" si="74"/>
        <v>48.6</v>
      </c>
      <c r="DA244" s="2">
        <f t="shared" si="75"/>
        <v>0.30980588778253415</v>
      </c>
    </row>
    <row r="245" spans="2:105" ht="18" customHeight="1" x14ac:dyDescent="0.25">
      <c r="B245" s="45"/>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7"/>
      <c r="AR245" s="45"/>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7"/>
      <c r="CM245" s="2">
        <f t="shared" si="76"/>
        <v>48.8</v>
      </c>
      <c r="CN245" s="1" t="str">
        <f t="shared" si="63"/>
        <v>0.0107986736111111+52.6975272222222i</v>
      </c>
      <c r="CO245" s="56" t="str">
        <f t="shared" si="64"/>
        <v>-0.553210738274135i</v>
      </c>
      <c r="CP245" s="1" t="str">
        <f t="shared" si="65"/>
        <v>0.0107986736111111+52.1443164839481i</v>
      </c>
      <c r="CQ245" s="1" t="str">
        <f t="shared" si="66"/>
        <v>0.0191834803010191+23.4038459672434i</v>
      </c>
      <c r="CR245" s="1" t="str">
        <f t="shared" si="67"/>
        <v>0.0101752191409787+16.1536377508161i</v>
      </c>
      <c r="CT245" s="1">
        <f t="shared" si="68"/>
        <v>48.8</v>
      </c>
      <c r="CU245" s="1">
        <f t="shared" si="69"/>
        <v>52.1</v>
      </c>
      <c r="CV245" s="56">
        <f t="shared" si="70"/>
        <v>23.40385382932417</v>
      </c>
      <c r="CW245" s="2">
        <f t="shared" si="71"/>
        <v>16.153640955514504</v>
      </c>
      <c r="CX245" s="2">
        <f t="shared" si="72"/>
        <v>48.8</v>
      </c>
      <c r="CY245" s="2">
        <f t="shared" si="73"/>
        <v>0.6902128629462988</v>
      </c>
      <c r="CZ245" s="2">
        <f t="shared" si="74"/>
        <v>48.8</v>
      </c>
      <c r="DA245" s="2">
        <f t="shared" si="75"/>
        <v>0.30978717717194837</v>
      </c>
    </row>
    <row r="246" spans="2:105" ht="18" customHeight="1" x14ac:dyDescent="0.25">
      <c r="CM246" s="2">
        <f t="shared" si="76"/>
        <v>49</v>
      </c>
      <c r="CN246" s="1" t="str">
        <f t="shared" si="63"/>
        <v>0.0107986736111111+52.9135006944445i</v>
      </c>
      <c r="CO246" s="56" t="str">
        <f t="shared" si="64"/>
        <v>-0.550952735260771i</v>
      </c>
      <c r="CP246" s="1" t="str">
        <f t="shared" si="65"/>
        <v>0.0107986736111111+52.3625479591837i</v>
      </c>
      <c r="CQ246" s="1" t="str">
        <f t="shared" si="66"/>
        <v>0.0191834803010191+23.4997633687485i</v>
      </c>
      <c r="CR246" s="1" t="str">
        <f t="shared" si="67"/>
        <v>0.0101755848714218+16.2202754281533i</v>
      </c>
      <c r="CT246" s="1">
        <f t="shared" si="68"/>
        <v>49</v>
      </c>
      <c r="CU246" s="1">
        <f t="shared" si="69"/>
        <v>52.4</v>
      </c>
      <c r="CV246" s="56">
        <f t="shared" si="70"/>
        <v>23.499771198739158</v>
      </c>
      <c r="CW246" s="2">
        <f t="shared" si="71"/>
        <v>16.220278619915295</v>
      </c>
      <c r="CX246" s="2">
        <f t="shared" si="72"/>
        <v>49</v>
      </c>
      <c r="CY246" s="2">
        <f t="shared" si="73"/>
        <v>0.69023134237092143</v>
      </c>
      <c r="CZ246" s="2">
        <f t="shared" si="74"/>
        <v>49</v>
      </c>
      <c r="DA246" s="2">
        <f t="shared" si="75"/>
        <v>0.30976869742151497</v>
      </c>
    </row>
    <row r="247" spans="2:105" ht="18" customHeight="1" x14ac:dyDescent="0.25">
      <c r="B247" s="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5"/>
      <c r="AR247" s="3"/>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5"/>
      <c r="CM247" s="2">
        <f t="shared" si="76"/>
        <v>49.2</v>
      </c>
      <c r="CN247" s="1" t="str">
        <f t="shared" si="63"/>
        <v>0.0107986736111111+53.1294741666667i</v>
      </c>
      <c r="CO247" s="56" t="str">
        <f t="shared" si="64"/>
        <v>-0.548713089995483i</v>
      </c>
      <c r="CP247" s="1" t="str">
        <f t="shared" si="65"/>
        <v>0.0107986736111111+52.5807610766712i</v>
      </c>
      <c r="CQ247" s="1" t="str">
        <f t="shared" si="66"/>
        <v>0.0191834803010191+23.5956807702536i</v>
      </c>
      <c r="CR247" s="1" t="str">
        <f t="shared" si="67"/>
        <v>0.0101759461280733+16.2869112928099i</v>
      </c>
      <c r="CT247" s="1">
        <f t="shared" si="68"/>
        <v>49.2</v>
      </c>
      <c r="CU247" s="1">
        <f t="shared" si="69"/>
        <v>52.6</v>
      </c>
      <c r="CV247" s="56">
        <f t="shared" si="70"/>
        <v>23.595688568415035</v>
      </c>
      <c r="CW247" s="2">
        <f t="shared" si="71"/>
        <v>16.286914471738907</v>
      </c>
      <c r="CX247" s="2">
        <f t="shared" si="72"/>
        <v>49.2</v>
      </c>
      <c r="CY247" s="2">
        <f t="shared" si="73"/>
        <v>0.69024959473063807</v>
      </c>
      <c r="CZ247" s="2">
        <f t="shared" si="74"/>
        <v>49.2</v>
      </c>
      <c r="DA247" s="2">
        <f t="shared" si="75"/>
        <v>0.30975044473993602</v>
      </c>
    </row>
    <row r="248" spans="2:105" ht="18" customHeight="1" x14ac:dyDescent="0.25">
      <c r="B248" s="6"/>
      <c r="AN248" s="7"/>
      <c r="AP248" s="8"/>
      <c r="AR248" s="6"/>
      <c r="CD248" s="7"/>
      <c r="CF248" s="8"/>
      <c r="CM248" s="2">
        <f t="shared" si="76"/>
        <v>49.4</v>
      </c>
      <c r="CN248" s="1" t="str">
        <f t="shared" si="63"/>
        <v>0.0107986736111111+53.3454476388889i</v>
      </c>
      <c r="CO248" s="56" t="str">
        <f t="shared" si="64"/>
        <v>-0.546491579509672i</v>
      </c>
      <c r="CP248" s="1" t="str">
        <f t="shared" si="65"/>
        <v>0.0107986736111111+52.7989560593792i</v>
      </c>
      <c r="CQ248" s="1" t="str">
        <f t="shared" si="66"/>
        <v>0.0191834803010191+23.6915981717587i</v>
      </c>
      <c r="CR248" s="1" t="str">
        <f t="shared" si="67"/>
        <v>0.0101763029836937+16.3535453674263i</v>
      </c>
      <c r="CT248" s="1">
        <f t="shared" si="68"/>
        <v>49.4</v>
      </c>
      <c r="CU248" s="1">
        <f t="shared" si="69"/>
        <v>52.8</v>
      </c>
      <c r="CV248" s="56">
        <f t="shared" si="70"/>
        <v>23.691605938348644</v>
      </c>
      <c r="CW248" s="2">
        <f t="shared" si="71"/>
        <v>16.353548533624519</v>
      </c>
      <c r="CX248" s="2">
        <f t="shared" si="72"/>
        <v>49.4</v>
      </c>
      <c r="CY248" s="2">
        <f t="shared" si="73"/>
        <v>0.69026762373899253</v>
      </c>
      <c r="CZ248" s="2">
        <f t="shared" si="74"/>
        <v>49.4</v>
      </c>
      <c r="DA248" s="2">
        <f t="shared" si="75"/>
        <v>0.30973241541360413</v>
      </c>
    </row>
    <row r="249" spans="2:105" ht="18" customHeight="1" x14ac:dyDescent="0.25">
      <c r="B249" s="6"/>
      <c r="AN249" s="9"/>
      <c r="AP249" s="8"/>
      <c r="AR249" s="6"/>
      <c r="CD249" s="9"/>
      <c r="CF249" s="8"/>
      <c r="CM249" s="2">
        <f t="shared" si="76"/>
        <v>49.6</v>
      </c>
      <c r="CN249" s="1" t="str">
        <f t="shared" si="63"/>
        <v>0.0107986736111111+53.5614211111111i</v>
      </c>
      <c r="CO249" s="56" t="str">
        <f t="shared" si="64"/>
        <v>-0.544287984431004i</v>
      </c>
      <c r="CP249" s="1" t="str">
        <f t="shared" si="65"/>
        <v>0.0107986736111111+53.0171331266801i</v>
      </c>
      <c r="CQ249" s="1" t="str">
        <f t="shared" si="66"/>
        <v>0.0191834803010191+23.7875155732638i</v>
      </c>
      <c r="CR249" s="1" t="str">
        <f t="shared" si="67"/>
        <v>0.010176655509568+16.4201776742653i</v>
      </c>
      <c r="CT249" s="1">
        <f t="shared" si="68"/>
        <v>49.6</v>
      </c>
      <c r="CU249" s="1">
        <f t="shared" si="69"/>
        <v>53</v>
      </c>
      <c r="CV249" s="56">
        <f t="shared" si="70"/>
        <v>23.787523308536855</v>
      </c>
      <c r="CW249" s="2">
        <f t="shared" si="71"/>
        <v>16.420180827833718</v>
      </c>
      <c r="CX249" s="2">
        <f t="shared" si="72"/>
        <v>49.6</v>
      </c>
      <c r="CY249" s="2">
        <f t="shared" si="73"/>
        <v>0.69028543303374901</v>
      </c>
      <c r="CZ249" s="2">
        <f t="shared" si="74"/>
        <v>49.6</v>
      </c>
      <c r="DA249" s="2">
        <f t="shared" si="75"/>
        <v>0.30971460580469307</v>
      </c>
    </row>
    <row r="250" spans="2:105" ht="18" customHeight="1" thickBot="1" x14ac:dyDescent="0.3">
      <c r="B250" s="6"/>
      <c r="C250" s="10" t="str">
        <f>"Harmonic Filter Design - Notch Type | "&amp; H12 &amp; " | " &amp; AE13</f>
        <v>Harmonic Filter Design - Notch Type | Enter Customer PO #  | Stage 1</v>
      </c>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1"/>
      <c r="AO250" s="10"/>
      <c r="AP250" s="8"/>
      <c r="AR250" s="6"/>
      <c r="AS250" s="10" t="str">
        <f>"Harmonic Filter Design - Notch Type | "&amp; H12 &amp; " | " &amp; AE13</f>
        <v>Harmonic Filter Design - Notch Type | Enter Customer PO #  | Stage 1</v>
      </c>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1"/>
      <c r="CE250" s="10"/>
      <c r="CF250" s="8"/>
      <c r="CM250" s="2">
        <f t="shared" si="76"/>
        <v>49.8</v>
      </c>
      <c r="CN250" s="1" t="str">
        <f t="shared" si="63"/>
        <v>0.0107986736111111+53.7773945833333i</v>
      </c>
      <c r="CO250" s="56" t="str">
        <f t="shared" si="64"/>
        <v>-0.542102088911201i</v>
      </c>
      <c r="CP250" s="1" t="str">
        <f t="shared" si="65"/>
        <v>0.0107986736111111+53.2352924944221i</v>
      </c>
      <c r="CQ250" s="1" t="str">
        <f t="shared" si="66"/>
        <v>0.0191834803010191+23.8834329747689i</v>
      </c>
      <c r="CR250" s="1" t="str">
        <f t="shared" si="67"/>
        <v>0.0101770037755424+16.4868082352197i</v>
      </c>
      <c r="CT250" s="1">
        <f t="shared" si="68"/>
        <v>49.8</v>
      </c>
      <c r="CU250" s="1">
        <f t="shared" si="69"/>
        <v>53.2</v>
      </c>
      <c r="CV250" s="56">
        <f t="shared" si="70"/>
        <v>23.883440678976616</v>
      </c>
      <c r="CW250" s="2">
        <f t="shared" si="71"/>
        <v>16.486811376258114</v>
      </c>
      <c r="CX250" s="2">
        <f t="shared" si="72"/>
        <v>49.8</v>
      </c>
      <c r="CY250" s="2">
        <f t="shared" si="73"/>
        <v>0.69030302617874206</v>
      </c>
      <c r="CZ250" s="2">
        <f t="shared" si="74"/>
        <v>49.8</v>
      </c>
      <c r="DA250" s="2">
        <f t="shared" si="75"/>
        <v>0.30969701234930719</v>
      </c>
    </row>
    <row r="251" spans="2:105" ht="18" customHeight="1" x14ac:dyDescent="0.25">
      <c r="B251" s="6"/>
      <c r="AN251" s="9"/>
      <c r="AP251" s="8"/>
      <c r="AR251" s="6"/>
      <c r="CD251" s="9"/>
      <c r="CF251" s="8"/>
      <c r="CM251" s="2">
        <f t="shared" si="76"/>
        <v>50</v>
      </c>
      <c r="CN251" s="1" t="str">
        <f t="shared" si="63"/>
        <v>0.0107986736111111+53.9933680555556i</v>
      </c>
      <c r="CO251" s="56" t="str">
        <f t="shared" si="64"/>
        <v>-0.539933680555556i</v>
      </c>
      <c r="CP251" s="1" t="str">
        <f t="shared" si="65"/>
        <v>0.0107986736111111+53.453434375i</v>
      </c>
      <c r="CQ251" s="1" t="str">
        <f t="shared" si="66"/>
        <v>0.0191834803010191+23.979350376274i</v>
      </c>
      <c r="CR251" s="1" t="str">
        <f t="shared" si="67"/>
        <v>0.0101773478500587+16.5534370718195i</v>
      </c>
      <c r="CT251" s="1">
        <f t="shared" si="68"/>
        <v>50</v>
      </c>
      <c r="CU251" s="1">
        <f t="shared" si="69"/>
        <v>53.5</v>
      </c>
      <c r="CV251" s="56">
        <f t="shared" si="70"/>
        <v>23.979358049664892</v>
      </c>
      <c r="CW251" s="2">
        <f t="shared" si="71"/>
        <v>16.55344020042654</v>
      </c>
      <c r="CX251" s="2">
        <f t="shared" si="72"/>
        <v>50</v>
      </c>
      <c r="CY251" s="2">
        <f t="shared" si="73"/>
        <v>0.6903204066656784</v>
      </c>
      <c r="CZ251" s="2">
        <f t="shared" si="74"/>
        <v>50</v>
      </c>
      <c r="DA251" s="2">
        <f t="shared" si="75"/>
        <v>0.3096796315556799</v>
      </c>
    </row>
    <row r="252" spans="2:105" ht="18" customHeight="1" x14ac:dyDescent="0.25">
      <c r="B252" s="6"/>
      <c r="AO252" s="17"/>
      <c r="AP252" s="8"/>
      <c r="AR252" s="6"/>
      <c r="CF252" s="8"/>
    </row>
    <row r="253" spans="2:105" ht="18" customHeight="1" x14ac:dyDescent="0.25">
      <c r="B253" s="6"/>
      <c r="AP253" s="8"/>
      <c r="AR253" s="6"/>
      <c r="CF253" s="8"/>
    </row>
    <row r="254" spans="2:105" ht="18" customHeight="1" x14ac:dyDescent="0.25">
      <c r="B254" s="6"/>
      <c r="AP254" s="8"/>
      <c r="AR254" s="6"/>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c r="CA254" s="95"/>
      <c r="CB254" s="95"/>
      <c r="CC254" s="95"/>
      <c r="CD254" s="95"/>
      <c r="CE254" s="95"/>
      <c r="CF254" s="8"/>
    </row>
    <row r="255" spans="2:105" ht="18" customHeight="1" x14ac:dyDescent="0.25">
      <c r="B255" s="6"/>
      <c r="AP255" s="8"/>
      <c r="AR255" s="6"/>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c r="CA255" s="95"/>
      <c r="CB255" s="95"/>
      <c r="CC255" s="95"/>
      <c r="CD255" s="95"/>
      <c r="CE255" s="95"/>
      <c r="CF255" s="8"/>
    </row>
    <row r="256" spans="2:105" ht="18" customHeight="1" x14ac:dyDescent="0.25">
      <c r="B256" s="6"/>
      <c r="AP256" s="8"/>
      <c r="AR256" s="6"/>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c r="CA256" s="95"/>
      <c r="CB256" s="95"/>
      <c r="CC256" s="95"/>
      <c r="CD256" s="95"/>
      <c r="CE256" s="95"/>
      <c r="CF256" s="8"/>
    </row>
    <row r="257" spans="2:84" ht="18" customHeight="1" x14ac:dyDescent="0.25">
      <c r="B257" s="6"/>
      <c r="AP257" s="8"/>
      <c r="AR257" s="6"/>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c r="CA257" s="95"/>
      <c r="CB257" s="95"/>
      <c r="CC257" s="95"/>
      <c r="CD257" s="95"/>
      <c r="CE257" s="95"/>
      <c r="CF257" s="8"/>
    </row>
    <row r="258" spans="2:84" ht="18" customHeight="1" x14ac:dyDescent="0.25">
      <c r="B258" s="6"/>
      <c r="AP258" s="8"/>
      <c r="AR258" s="6"/>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c r="CA258" s="95"/>
      <c r="CB258" s="95"/>
      <c r="CC258" s="95"/>
      <c r="CD258" s="95"/>
      <c r="CE258" s="95"/>
      <c r="CF258" s="8"/>
    </row>
    <row r="259" spans="2:84" ht="18" customHeight="1" x14ac:dyDescent="0.25">
      <c r="B259" s="6"/>
      <c r="AP259" s="8"/>
      <c r="AR259" s="6"/>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c r="CA259" s="95"/>
      <c r="CB259" s="95"/>
      <c r="CC259" s="95"/>
      <c r="CD259" s="95"/>
      <c r="CE259" s="95"/>
      <c r="CF259" s="8"/>
    </row>
    <row r="260" spans="2:84" ht="18" customHeight="1" x14ac:dyDescent="0.25">
      <c r="B260" s="6"/>
      <c r="AP260" s="8"/>
      <c r="AR260" s="6"/>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c r="CA260" s="95"/>
      <c r="CB260" s="95"/>
      <c r="CC260" s="95"/>
      <c r="CD260" s="95"/>
      <c r="CE260" s="95"/>
      <c r="CF260" s="8"/>
    </row>
    <row r="261" spans="2:84" ht="18" customHeight="1" x14ac:dyDescent="0.25">
      <c r="B261" s="6"/>
      <c r="AP261" s="8"/>
      <c r="AR261" s="6"/>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c r="CA261" s="95"/>
      <c r="CB261" s="95"/>
      <c r="CC261" s="95"/>
      <c r="CD261" s="95"/>
      <c r="CE261" s="95"/>
      <c r="CF261" s="8"/>
    </row>
    <row r="262" spans="2:84" ht="18" customHeight="1" x14ac:dyDescent="0.25">
      <c r="B262" s="6"/>
      <c r="AP262" s="8"/>
      <c r="AR262" s="6"/>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c r="CA262" s="95"/>
      <c r="CB262" s="95"/>
      <c r="CC262" s="95"/>
      <c r="CD262" s="95"/>
      <c r="CE262" s="95"/>
      <c r="CF262" s="8"/>
    </row>
    <row r="263" spans="2:84" ht="18" customHeight="1" x14ac:dyDescent="0.25">
      <c r="B263" s="6"/>
      <c r="AP263" s="8"/>
      <c r="AR263" s="6"/>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c r="CA263" s="95"/>
      <c r="CB263" s="95"/>
      <c r="CC263" s="95"/>
      <c r="CD263" s="95"/>
      <c r="CE263" s="95"/>
      <c r="CF263" s="8"/>
    </row>
    <row r="264" spans="2:84" ht="18" customHeight="1" x14ac:dyDescent="0.25">
      <c r="B264" s="6"/>
      <c r="AP264" s="8"/>
      <c r="AR264" s="6"/>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c r="CA264" s="95"/>
      <c r="CB264" s="95"/>
      <c r="CC264" s="95"/>
      <c r="CD264" s="95"/>
      <c r="CE264" s="95"/>
      <c r="CF264" s="8"/>
    </row>
    <row r="265" spans="2:84" ht="18" customHeight="1" x14ac:dyDescent="0.25">
      <c r="B265" s="6"/>
      <c r="AP265" s="8"/>
      <c r="AR265" s="6"/>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c r="CA265" s="95"/>
      <c r="CB265" s="95"/>
      <c r="CC265" s="95"/>
      <c r="CD265" s="95"/>
      <c r="CE265" s="95"/>
      <c r="CF265" s="8"/>
    </row>
    <row r="266" spans="2:84" ht="18" customHeight="1" x14ac:dyDescent="0.25">
      <c r="B266" s="6"/>
      <c r="AP266" s="8"/>
      <c r="AR266" s="6"/>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c r="CA266" s="95"/>
      <c r="CB266" s="95"/>
      <c r="CC266" s="95"/>
      <c r="CD266" s="95"/>
      <c r="CE266" s="95"/>
      <c r="CF266" s="8"/>
    </row>
    <row r="267" spans="2:84" ht="18" customHeight="1" x14ac:dyDescent="0.25">
      <c r="B267" s="6"/>
      <c r="AP267" s="8"/>
      <c r="AR267" s="6"/>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c r="CA267" s="95"/>
      <c r="CB267" s="95"/>
      <c r="CC267" s="95"/>
      <c r="CD267" s="95"/>
      <c r="CE267" s="95"/>
      <c r="CF267" s="8"/>
    </row>
    <row r="268" spans="2:84" ht="18" customHeight="1" x14ac:dyDescent="0.25">
      <c r="B268" s="6"/>
      <c r="AP268" s="8"/>
      <c r="AR268" s="6"/>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c r="CA268" s="95"/>
      <c r="CB268" s="95"/>
      <c r="CC268" s="95"/>
      <c r="CD268" s="95"/>
      <c r="CE268" s="95"/>
      <c r="CF268" s="8"/>
    </row>
    <row r="269" spans="2:84" ht="18" customHeight="1" x14ac:dyDescent="0.25">
      <c r="B269" s="6"/>
      <c r="AP269" s="8"/>
      <c r="AR269" s="6"/>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c r="CA269" s="95"/>
      <c r="CB269" s="95"/>
      <c r="CC269" s="95"/>
      <c r="CD269" s="95"/>
      <c r="CE269" s="95"/>
      <c r="CF269" s="8"/>
    </row>
    <row r="270" spans="2:84" ht="18" customHeight="1" x14ac:dyDescent="0.25">
      <c r="B270" s="6"/>
      <c r="AP270" s="8"/>
      <c r="AR270" s="6"/>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c r="CA270" s="95"/>
      <c r="CB270" s="95"/>
      <c r="CC270" s="95"/>
      <c r="CD270" s="95"/>
      <c r="CE270" s="95"/>
      <c r="CF270" s="8"/>
    </row>
    <row r="271" spans="2:84" ht="18" customHeight="1" x14ac:dyDescent="0.25">
      <c r="B271" s="6"/>
      <c r="AP271" s="8"/>
      <c r="AR271" s="6"/>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c r="CA271" s="95"/>
      <c r="CB271" s="95"/>
      <c r="CC271" s="95"/>
      <c r="CD271" s="95"/>
      <c r="CE271" s="95"/>
      <c r="CF271" s="8"/>
    </row>
    <row r="272" spans="2:84" ht="18" customHeight="1" x14ac:dyDescent="0.25">
      <c r="B272" s="6"/>
      <c r="AP272" s="8"/>
      <c r="AR272" s="6"/>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c r="CA272" s="95"/>
      <c r="CB272" s="95"/>
      <c r="CC272" s="95"/>
      <c r="CD272" s="95"/>
      <c r="CE272" s="95"/>
      <c r="CF272" s="8"/>
    </row>
    <row r="273" spans="2:84" ht="18" customHeight="1" x14ac:dyDescent="0.25">
      <c r="B273" s="6"/>
      <c r="AP273" s="8"/>
      <c r="AR273" s="6"/>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c r="CA273" s="95"/>
      <c r="CB273" s="95"/>
      <c r="CC273" s="95"/>
      <c r="CD273" s="95"/>
      <c r="CE273" s="95"/>
      <c r="CF273" s="8"/>
    </row>
    <row r="274" spans="2:84" ht="18" customHeight="1" x14ac:dyDescent="0.25">
      <c r="B274" s="6"/>
      <c r="AP274" s="8"/>
      <c r="AR274" s="6"/>
      <c r="AS274" s="309" t="s">
        <v>482</v>
      </c>
      <c r="AT274" s="309"/>
      <c r="AU274" s="309"/>
      <c r="AV274" s="309"/>
      <c r="AW274" s="309"/>
      <c r="AX274" s="309"/>
      <c r="AY274" s="309"/>
      <c r="AZ274" s="309"/>
      <c r="BA274" s="309"/>
      <c r="BB274" s="309"/>
      <c r="BC274" s="309"/>
      <c r="BD274" s="309"/>
      <c r="BE274" s="309"/>
      <c r="BF274" s="309"/>
      <c r="BG274" s="309"/>
      <c r="BH274" s="309"/>
      <c r="BI274" s="309"/>
      <c r="BJ274" s="309"/>
      <c r="BK274" s="309"/>
      <c r="BL274" s="309"/>
      <c r="BM274" s="309"/>
      <c r="BN274" s="309"/>
      <c r="BO274" s="309"/>
      <c r="BP274" s="309"/>
      <c r="BQ274" s="309"/>
      <c r="BR274" s="309"/>
      <c r="BS274" s="309"/>
      <c r="BT274" s="309"/>
      <c r="BU274" s="309"/>
      <c r="BV274" s="309"/>
      <c r="BW274" s="309"/>
      <c r="BX274" s="309"/>
      <c r="BY274" s="309"/>
      <c r="BZ274" s="309"/>
      <c r="CA274" s="309"/>
      <c r="CB274" s="309"/>
      <c r="CC274" s="309"/>
      <c r="CD274" s="309"/>
      <c r="CE274" s="309"/>
      <c r="CF274" s="8"/>
    </row>
    <row r="275" spans="2:84" ht="18" customHeight="1" x14ac:dyDescent="0.25">
      <c r="B275" s="6"/>
      <c r="AP275" s="8"/>
      <c r="AR275" s="6"/>
      <c r="AS275" s="309"/>
      <c r="AT275" s="309"/>
      <c r="AU275" s="309"/>
      <c r="AV275" s="309"/>
      <c r="AW275" s="309"/>
      <c r="AX275" s="309"/>
      <c r="AY275" s="309"/>
      <c r="AZ275" s="309"/>
      <c r="BA275" s="309"/>
      <c r="BB275" s="309"/>
      <c r="BC275" s="309"/>
      <c r="BD275" s="309"/>
      <c r="BE275" s="309"/>
      <c r="BF275" s="309"/>
      <c r="BG275" s="309"/>
      <c r="BH275" s="309"/>
      <c r="BI275" s="309"/>
      <c r="BJ275" s="309"/>
      <c r="BK275" s="309"/>
      <c r="BL275" s="309"/>
      <c r="BM275" s="309"/>
      <c r="BN275" s="309"/>
      <c r="BO275" s="309"/>
      <c r="BP275" s="309"/>
      <c r="BQ275" s="309"/>
      <c r="BR275" s="309"/>
      <c r="BS275" s="309"/>
      <c r="BT275" s="309"/>
      <c r="BU275" s="309"/>
      <c r="BV275" s="309"/>
      <c r="BW275" s="309"/>
      <c r="BX275" s="309"/>
      <c r="BY275" s="309"/>
      <c r="BZ275" s="309"/>
      <c r="CA275" s="309"/>
      <c r="CB275" s="309"/>
      <c r="CC275" s="309"/>
      <c r="CD275" s="309"/>
      <c r="CE275" s="309"/>
      <c r="CF275" s="8"/>
    </row>
    <row r="276" spans="2:84" ht="18" customHeight="1" x14ac:dyDescent="0.3">
      <c r="B276" s="6"/>
      <c r="C276" s="30" t="s">
        <v>480</v>
      </c>
      <c r="AP276" s="8"/>
      <c r="AR276" s="6"/>
      <c r="AS276" s="309"/>
      <c r="AT276" s="309"/>
      <c r="AU276" s="309"/>
      <c r="AV276" s="309"/>
      <c r="AW276" s="309"/>
      <c r="AX276" s="309"/>
      <c r="AY276" s="309"/>
      <c r="AZ276" s="309"/>
      <c r="BA276" s="309"/>
      <c r="BB276" s="309"/>
      <c r="BC276" s="309"/>
      <c r="BD276" s="309"/>
      <c r="BE276" s="309"/>
      <c r="BF276" s="309"/>
      <c r="BG276" s="309"/>
      <c r="BH276" s="309"/>
      <c r="BI276" s="309"/>
      <c r="BJ276" s="309"/>
      <c r="BK276" s="309"/>
      <c r="BL276" s="309"/>
      <c r="BM276" s="309"/>
      <c r="BN276" s="309"/>
      <c r="BO276" s="309"/>
      <c r="BP276" s="309"/>
      <c r="BQ276" s="309"/>
      <c r="BR276" s="309"/>
      <c r="BS276" s="309"/>
      <c r="BT276" s="309"/>
      <c r="BU276" s="309"/>
      <c r="BV276" s="309"/>
      <c r="BW276" s="309"/>
      <c r="BX276" s="309"/>
      <c r="BY276" s="309"/>
      <c r="BZ276" s="309"/>
      <c r="CA276" s="309"/>
      <c r="CB276" s="309"/>
      <c r="CC276" s="309"/>
      <c r="CD276" s="309"/>
      <c r="CE276" s="309"/>
      <c r="CF276" s="8"/>
    </row>
    <row r="277" spans="2:84" ht="18" customHeight="1" x14ac:dyDescent="0.25">
      <c r="B277" s="6"/>
      <c r="C277" s="153" t="s">
        <v>481</v>
      </c>
      <c r="D277" s="153"/>
      <c r="E277" s="153"/>
      <c r="F277" s="153"/>
      <c r="G277" s="153"/>
      <c r="H277" s="153"/>
      <c r="I277" s="153"/>
      <c r="J277" s="153"/>
      <c r="K277" s="153"/>
      <c r="L277" s="153"/>
      <c r="M277" s="153"/>
      <c r="N277" s="153"/>
      <c r="O277" s="153"/>
      <c r="P277" s="153"/>
      <c r="Q277" s="153"/>
      <c r="R277" s="153"/>
      <c r="S277" s="153"/>
      <c r="T277" s="153"/>
      <c r="U277" s="153"/>
      <c r="V277" s="153"/>
      <c r="W277" s="153"/>
      <c r="X277" s="153"/>
      <c r="Y277" s="153"/>
      <c r="Z277" s="153"/>
      <c r="AA277" s="153"/>
      <c r="AB277" s="153"/>
      <c r="AC277" s="153"/>
      <c r="AD277" s="153"/>
      <c r="AE277" s="153"/>
      <c r="AF277" s="153"/>
      <c r="AG277" s="153"/>
      <c r="AH277" s="153"/>
      <c r="AI277" s="153"/>
      <c r="AJ277" s="153"/>
      <c r="AK277" s="153"/>
      <c r="AL277" s="153"/>
      <c r="AM277" s="153"/>
      <c r="AN277" s="153"/>
      <c r="AO277" s="153"/>
      <c r="AP277" s="8"/>
      <c r="AR277" s="6"/>
      <c r="AS277" s="309"/>
      <c r="AT277" s="309"/>
      <c r="AU277" s="309"/>
      <c r="AV277" s="309"/>
      <c r="AW277" s="309"/>
      <c r="AX277" s="309"/>
      <c r="AY277" s="309"/>
      <c r="AZ277" s="309"/>
      <c r="BA277" s="309"/>
      <c r="BB277" s="309"/>
      <c r="BC277" s="309"/>
      <c r="BD277" s="309"/>
      <c r="BE277" s="309"/>
      <c r="BF277" s="309"/>
      <c r="BG277" s="309"/>
      <c r="BH277" s="309"/>
      <c r="BI277" s="309"/>
      <c r="BJ277" s="309"/>
      <c r="BK277" s="309"/>
      <c r="BL277" s="309"/>
      <c r="BM277" s="309"/>
      <c r="BN277" s="309"/>
      <c r="BO277" s="309"/>
      <c r="BP277" s="309"/>
      <c r="BQ277" s="309"/>
      <c r="BR277" s="309"/>
      <c r="BS277" s="309"/>
      <c r="BT277" s="309"/>
      <c r="BU277" s="309"/>
      <c r="BV277" s="309"/>
      <c r="BW277" s="309"/>
      <c r="BX277" s="309"/>
      <c r="BY277" s="309"/>
      <c r="BZ277" s="309"/>
      <c r="CA277" s="309"/>
      <c r="CB277" s="309"/>
      <c r="CC277" s="309"/>
      <c r="CD277" s="309"/>
      <c r="CE277" s="309"/>
      <c r="CF277" s="8"/>
    </row>
    <row r="278" spans="2:84" ht="18" customHeight="1" x14ac:dyDescent="0.25">
      <c r="B278" s="6"/>
      <c r="C278" s="153"/>
      <c r="D278" s="153"/>
      <c r="E278" s="153"/>
      <c r="F278" s="153"/>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c r="AF278" s="153"/>
      <c r="AG278" s="153"/>
      <c r="AH278" s="153"/>
      <c r="AI278" s="153"/>
      <c r="AJ278" s="153"/>
      <c r="AK278" s="153"/>
      <c r="AL278" s="153"/>
      <c r="AM278" s="153"/>
      <c r="AN278" s="153"/>
      <c r="AO278" s="153"/>
      <c r="AP278" s="8"/>
      <c r="AR278" s="6"/>
      <c r="AS278" s="309"/>
      <c r="AT278" s="309"/>
      <c r="AU278" s="309"/>
      <c r="AV278" s="309"/>
      <c r="AW278" s="309"/>
      <c r="AX278" s="309"/>
      <c r="AY278" s="309"/>
      <c r="AZ278" s="309"/>
      <c r="BA278" s="309"/>
      <c r="BB278" s="309"/>
      <c r="BC278" s="309"/>
      <c r="BD278" s="309"/>
      <c r="BE278" s="309"/>
      <c r="BF278" s="309"/>
      <c r="BG278" s="309"/>
      <c r="BH278" s="309"/>
      <c r="BI278" s="309"/>
      <c r="BJ278" s="309"/>
      <c r="BK278" s="309"/>
      <c r="BL278" s="309"/>
      <c r="BM278" s="309"/>
      <c r="BN278" s="309"/>
      <c r="BO278" s="309"/>
      <c r="BP278" s="309"/>
      <c r="BQ278" s="309"/>
      <c r="BR278" s="309"/>
      <c r="BS278" s="309"/>
      <c r="BT278" s="309"/>
      <c r="BU278" s="309"/>
      <c r="BV278" s="309"/>
      <c r="BW278" s="309"/>
      <c r="BX278" s="309"/>
      <c r="BY278" s="309"/>
      <c r="BZ278" s="309"/>
      <c r="CA278" s="309"/>
      <c r="CB278" s="309"/>
      <c r="CC278" s="309"/>
      <c r="CD278" s="309"/>
      <c r="CE278" s="309"/>
      <c r="CF278" s="8"/>
    </row>
    <row r="279" spans="2:84" ht="18" customHeight="1" x14ac:dyDescent="0.25">
      <c r="B279" s="6"/>
      <c r="C279" s="153"/>
      <c r="D279" s="153"/>
      <c r="E279" s="153"/>
      <c r="F279" s="153"/>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c r="AF279" s="153"/>
      <c r="AG279" s="153"/>
      <c r="AH279" s="153"/>
      <c r="AI279" s="153"/>
      <c r="AJ279" s="153"/>
      <c r="AK279" s="153"/>
      <c r="AL279" s="153"/>
      <c r="AM279" s="153"/>
      <c r="AN279" s="153"/>
      <c r="AO279" s="153"/>
      <c r="AP279" s="8"/>
      <c r="AR279" s="6"/>
      <c r="AS279" s="309"/>
      <c r="AT279" s="309"/>
      <c r="AU279" s="309"/>
      <c r="AV279" s="309"/>
      <c r="AW279" s="309"/>
      <c r="AX279" s="309"/>
      <c r="AY279" s="309"/>
      <c r="AZ279" s="309"/>
      <c r="BA279" s="309"/>
      <c r="BB279" s="309"/>
      <c r="BC279" s="309"/>
      <c r="BD279" s="309"/>
      <c r="BE279" s="309"/>
      <c r="BF279" s="309"/>
      <c r="BG279" s="309"/>
      <c r="BH279" s="309"/>
      <c r="BI279" s="309"/>
      <c r="BJ279" s="309"/>
      <c r="BK279" s="309"/>
      <c r="BL279" s="309"/>
      <c r="BM279" s="309"/>
      <c r="BN279" s="309"/>
      <c r="BO279" s="309"/>
      <c r="BP279" s="309"/>
      <c r="BQ279" s="309"/>
      <c r="BR279" s="309"/>
      <c r="BS279" s="309"/>
      <c r="BT279" s="309"/>
      <c r="BU279" s="309"/>
      <c r="BV279" s="309"/>
      <c r="BW279" s="309"/>
      <c r="BX279" s="309"/>
      <c r="BY279" s="309"/>
      <c r="BZ279" s="309"/>
      <c r="CA279" s="309"/>
      <c r="CB279" s="309"/>
      <c r="CC279" s="309"/>
      <c r="CD279" s="309"/>
      <c r="CE279" s="309"/>
      <c r="CF279" s="8"/>
    </row>
    <row r="280" spans="2:84" ht="18" customHeight="1" x14ac:dyDescent="0.25">
      <c r="B280" s="6"/>
      <c r="C280" s="153"/>
      <c r="D280" s="153"/>
      <c r="E280" s="153"/>
      <c r="F280" s="153"/>
      <c r="G280" s="153"/>
      <c r="H280" s="153"/>
      <c r="I280" s="153"/>
      <c r="J280" s="153"/>
      <c r="K280" s="153"/>
      <c r="L280" s="153"/>
      <c r="M280" s="153"/>
      <c r="N280" s="153"/>
      <c r="O280" s="153"/>
      <c r="P280" s="153"/>
      <c r="Q280" s="153"/>
      <c r="R280" s="153"/>
      <c r="S280" s="153"/>
      <c r="T280" s="153"/>
      <c r="U280" s="153"/>
      <c r="V280" s="153"/>
      <c r="W280" s="153"/>
      <c r="X280" s="153"/>
      <c r="Y280" s="153"/>
      <c r="Z280" s="153"/>
      <c r="AA280" s="153"/>
      <c r="AB280" s="153"/>
      <c r="AC280" s="153"/>
      <c r="AD280" s="153"/>
      <c r="AE280" s="153"/>
      <c r="AF280" s="153"/>
      <c r="AG280" s="153"/>
      <c r="AH280" s="153"/>
      <c r="AI280" s="153"/>
      <c r="AJ280" s="153"/>
      <c r="AK280" s="153"/>
      <c r="AL280" s="153"/>
      <c r="AM280" s="153"/>
      <c r="AN280" s="153"/>
      <c r="AO280" s="153"/>
      <c r="AP280" s="8"/>
      <c r="AR280" s="6"/>
      <c r="AS280" s="309"/>
      <c r="AT280" s="309"/>
      <c r="AU280" s="309"/>
      <c r="AV280" s="309"/>
      <c r="AW280" s="309"/>
      <c r="AX280" s="309"/>
      <c r="AY280" s="309"/>
      <c r="AZ280" s="309"/>
      <c r="BA280" s="309"/>
      <c r="BB280" s="309"/>
      <c r="BC280" s="309"/>
      <c r="BD280" s="309"/>
      <c r="BE280" s="309"/>
      <c r="BF280" s="309"/>
      <c r="BG280" s="309"/>
      <c r="BH280" s="309"/>
      <c r="BI280" s="309"/>
      <c r="BJ280" s="309"/>
      <c r="BK280" s="309"/>
      <c r="BL280" s="309"/>
      <c r="BM280" s="309"/>
      <c r="BN280" s="309"/>
      <c r="BO280" s="309"/>
      <c r="BP280" s="309"/>
      <c r="BQ280" s="309"/>
      <c r="BR280" s="309"/>
      <c r="BS280" s="309"/>
      <c r="BT280" s="309"/>
      <c r="BU280" s="309"/>
      <c r="BV280" s="309"/>
      <c r="BW280" s="309"/>
      <c r="BX280" s="309"/>
      <c r="BY280" s="309"/>
      <c r="BZ280" s="309"/>
      <c r="CA280" s="309"/>
      <c r="CB280" s="309"/>
      <c r="CC280" s="309"/>
      <c r="CD280" s="309"/>
      <c r="CE280" s="309"/>
      <c r="CF280" s="8"/>
    </row>
    <row r="281" spans="2:84" ht="18" customHeight="1" x14ac:dyDescent="0.25">
      <c r="B281" s="6"/>
      <c r="C281" s="153"/>
      <c r="D281" s="153"/>
      <c r="E281" s="153"/>
      <c r="F281" s="153"/>
      <c r="G281" s="153"/>
      <c r="H281" s="153"/>
      <c r="I281" s="153"/>
      <c r="J281" s="153"/>
      <c r="K281" s="153"/>
      <c r="L281" s="153"/>
      <c r="M281" s="153"/>
      <c r="N281" s="153"/>
      <c r="O281" s="153"/>
      <c r="P281" s="153"/>
      <c r="Q281" s="153"/>
      <c r="R281" s="153"/>
      <c r="S281" s="153"/>
      <c r="T281" s="153"/>
      <c r="U281" s="153"/>
      <c r="V281" s="153"/>
      <c r="W281" s="153"/>
      <c r="X281" s="153"/>
      <c r="Y281" s="153"/>
      <c r="Z281" s="153"/>
      <c r="AA281" s="153"/>
      <c r="AB281" s="153"/>
      <c r="AC281" s="153"/>
      <c r="AD281" s="153"/>
      <c r="AE281" s="153"/>
      <c r="AF281" s="153"/>
      <c r="AG281" s="153"/>
      <c r="AH281" s="153"/>
      <c r="AI281" s="153"/>
      <c r="AJ281" s="153"/>
      <c r="AK281" s="153"/>
      <c r="AL281" s="153"/>
      <c r="AM281" s="153"/>
      <c r="AN281" s="153"/>
      <c r="AO281" s="153"/>
      <c r="AP281" s="8"/>
      <c r="AR281" s="6"/>
      <c r="AS281" s="309"/>
      <c r="AT281" s="309"/>
      <c r="AU281" s="309"/>
      <c r="AV281" s="309"/>
      <c r="AW281" s="309"/>
      <c r="AX281" s="309"/>
      <c r="AY281" s="309"/>
      <c r="AZ281" s="309"/>
      <c r="BA281" s="309"/>
      <c r="BB281" s="309"/>
      <c r="BC281" s="309"/>
      <c r="BD281" s="309"/>
      <c r="BE281" s="309"/>
      <c r="BF281" s="309"/>
      <c r="BG281" s="309"/>
      <c r="BH281" s="309"/>
      <c r="BI281" s="309"/>
      <c r="BJ281" s="309"/>
      <c r="BK281" s="309"/>
      <c r="BL281" s="309"/>
      <c r="BM281" s="309"/>
      <c r="BN281" s="309"/>
      <c r="BO281" s="309"/>
      <c r="BP281" s="309"/>
      <c r="BQ281" s="309"/>
      <c r="BR281" s="309"/>
      <c r="BS281" s="309"/>
      <c r="BT281" s="309"/>
      <c r="BU281" s="309"/>
      <c r="BV281" s="309"/>
      <c r="BW281" s="309"/>
      <c r="BX281" s="309"/>
      <c r="BY281" s="309"/>
      <c r="BZ281" s="309"/>
      <c r="CA281" s="309"/>
      <c r="CB281" s="309"/>
      <c r="CC281" s="309"/>
      <c r="CD281" s="309"/>
      <c r="CE281" s="309"/>
      <c r="CF281" s="8"/>
    </row>
    <row r="282" spans="2:84" ht="18" customHeight="1" x14ac:dyDescent="0.25">
      <c r="B282" s="6"/>
      <c r="C282" s="153"/>
      <c r="D282" s="153"/>
      <c r="E282" s="153"/>
      <c r="F282" s="153"/>
      <c r="G282" s="153"/>
      <c r="H282" s="153"/>
      <c r="I282" s="153"/>
      <c r="J282" s="153"/>
      <c r="K282" s="153"/>
      <c r="L282" s="153"/>
      <c r="M282" s="153"/>
      <c r="N282" s="153"/>
      <c r="O282" s="153"/>
      <c r="P282" s="153"/>
      <c r="Q282" s="153"/>
      <c r="R282" s="153"/>
      <c r="S282" s="153"/>
      <c r="T282" s="153"/>
      <c r="U282" s="153"/>
      <c r="V282" s="153"/>
      <c r="W282" s="153"/>
      <c r="X282" s="153"/>
      <c r="Y282" s="153"/>
      <c r="Z282" s="153"/>
      <c r="AA282" s="153"/>
      <c r="AB282" s="153"/>
      <c r="AC282" s="153"/>
      <c r="AD282" s="153"/>
      <c r="AE282" s="153"/>
      <c r="AF282" s="153"/>
      <c r="AG282" s="153"/>
      <c r="AH282" s="153"/>
      <c r="AI282" s="153"/>
      <c r="AJ282" s="153"/>
      <c r="AK282" s="153"/>
      <c r="AL282" s="153"/>
      <c r="AM282" s="153"/>
      <c r="AN282" s="153"/>
      <c r="AO282" s="153"/>
      <c r="AP282" s="8"/>
      <c r="AR282" s="6"/>
      <c r="AS282" s="309"/>
      <c r="AT282" s="309"/>
      <c r="AU282" s="309"/>
      <c r="AV282" s="309"/>
      <c r="AW282" s="309"/>
      <c r="AX282" s="309"/>
      <c r="AY282" s="309"/>
      <c r="AZ282" s="309"/>
      <c r="BA282" s="309"/>
      <c r="BB282" s="309"/>
      <c r="BC282" s="309"/>
      <c r="BD282" s="309"/>
      <c r="BE282" s="309"/>
      <c r="BF282" s="309"/>
      <c r="BG282" s="309"/>
      <c r="BH282" s="309"/>
      <c r="BI282" s="309"/>
      <c r="BJ282" s="309"/>
      <c r="BK282" s="309"/>
      <c r="BL282" s="309"/>
      <c r="BM282" s="309"/>
      <c r="BN282" s="309"/>
      <c r="BO282" s="309"/>
      <c r="BP282" s="309"/>
      <c r="BQ282" s="309"/>
      <c r="BR282" s="309"/>
      <c r="BS282" s="309"/>
      <c r="BT282" s="309"/>
      <c r="BU282" s="309"/>
      <c r="BV282" s="309"/>
      <c r="BW282" s="309"/>
      <c r="BX282" s="309"/>
      <c r="BY282" s="309"/>
      <c r="BZ282" s="309"/>
      <c r="CA282" s="309"/>
      <c r="CB282" s="309"/>
      <c r="CC282" s="309"/>
      <c r="CD282" s="309"/>
      <c r="CE282" s="309"/>
      <c r="CF282" s="8"/>
    </row>
    <row r="283" spans="2:84" ht="18" customHeight="1" x14ac:dyDescent="0.25">
      <c r="B283" s="6"/>
      <c r="C283" s="153"/>
      <c r="D283" s="153"/>
      <c r="E283" s="153"/>
      <c r="F283" s="153"/>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c r="AF283" s="153"/>
      <c r="AG283" s="153"/>
      <c r="AH283" s="153"/>
      <c r="AI283" s="153"/>
      <c r="AJ283" s="153"/>
      <c r="AK283" s="153"/>
      <c r="AL283" s="153"/>
      <c r="AM283" s="153"/>
      <c r="AN283" s="153"/>
      <c r="AO283" s="153"/>
      <c r="AP283" s="8"/>
      <c r="AR283" s="6"/>
      <c r="AS283" s="309"/>
      <c r="AT283" s="309"/>
      <c r="AU283" s="309"/>
      <c r="AV283" s="309"/>
      <c r="AW283" s="309"/>
      <c r="AX283" s="309"/>
      <c r="AY283" s="309"/>
      <c r="AZ283" s="309"/>
      <c r="BA283" s="309"/>
      <c r="BB283" s="309"/>
      <c r="BC283" s="309"/>
      <c r="BD283" s="309"/>
      <c r="BE283" s="309"/>
      <c r="BF283" s="309"/>
      <c r="BG283" s="309"/>
      <c r="BH283" s="309"/>
      <c r="BI283" s="309"/>
      <c r="BJ283" s="309"/>
      <c r="BK283" s="309"/>
      <c r="BL283" s="309"/>
      <c r="BM283" s="309"/>
      <c r="BN283" s="309"/>
      <c r="BO283" s="309"/>
      <c r="BP283" s="309"/>
      <c r="BQ283" s="309"/>
      <c r="BR283" s="309"/>
      <c r="BS283" s="309"/>
      <c r="BT283" s="309"/>
      <c r="BU283" s="309"/>
      <c r="BV283" s="309"/>
      <c r="BW283" s="309"/>
      <c r="BX283" s="309"/>
      <c r="BY283" s="309"/>
      <c r="BZ283" s="309"/>
      <c r="CA283" s="309"/>
      <c r="CB283" s="309"/>
      <c r="CC283" s="309"/>
      <c r="CD283" s="309"/>
      <c r="CE283" s="309"/>
      <c r="CF283" s="8"/>
    </row>
    <row r="284" spans="2:84" ht="18" customHeight="1" x14ac:dyDescent="0.25">
      <c r="B284" s="6"/>
      <c r="C284" s="153"/>
      <c r="D284" s="153"/>
      <c r="E284" s="153"/>
      <c r="F284" s="153"/>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c r="AF284" s="153"/>
      <c r="AG284" s="153"/>
      <c r="AH284" s="153"/>
      <c r="AI284" s="153"/>
      <c r="AJ284" s="153"/>
      <c r="AK284" s="153"/>
      <c r="AL284" s="153"/>
      <c r="AM284" s="153"/>
      <c r="AN284" s="153"/>
      <c r="AO284" s="153"/>
      <c r="AP284" s="8"/>
      <c r="AR284" s="6"/>
      <c r="AS284" s="309"/>
      <c r="AT284" s="309"/>
      <c r="AU284" s="309"/>
      <c r="AV284" s="309"/>
      <c r="AW284" s="309"/>
      <c r="AX284" s="309"/>
      <c r="AY284" s="309"/>
      <c r="AZ284" s="309"/>
      <c r="BA284" s="309"/>
      <c r="BB284" s="309"/>
      <c r="BC284" s="309"/>
      <c r="BD284" s="309"/>
      <c r="BE284" s="309"/>
      <c r="BF284" s="309"/>
      <c r="BG284" s="309"/>
      <c r="BH284" s="309"/>
      <c r="BI284" s="309"/>
      <c r="BJ284" s="309"/>
      <c r="BK284" s="309"/>
      <c r="BL284" s="309"/>
      <c r="BM284" s="309"/>
      <c r="BN284" s="309"/>
      <c r="BO284" s="309"/>
      <c r="BP284" s="309"/>
      <c r="BQ284" s="309"/>
      <c r="BR284" s="309"/>
      <c r="BS284" s="309"/>
      <c r="BT284" s="309"/>
      <c r="BU284" s="309"/>
      <c r="BV284" s="309"/>
      <c r="BW284" s="309"/>
      <c r="BX284" s="309"/>
      <c r="BY284" s="309"/>
      <c r="BZ284" s="309"/>
      <c r="CA284" s="309"/>
      <c r="CB284" s="309"/>
      <c r="CC284" s="309"/>
      <c r="CD284" s="309"/>
      <c r="CE284" s="309"/>
      <c r="CF284" s="8"/>
    </row>
    <row r="285" spans="2:84" ht="18" customHeight="1" x14ac:dyDescent="0.25">
      <c r="B285" s="6"/>
      <c r="C285" s="153"/>
      <c r="D285" s="153"/>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c r="AF285" s="153"/>
      <c r="AG285" s="153"/>
      <c r="AH285" s="153"/>
      <c r="AI285" s="153"/>
      <c r="AJ285" s="153"/>
      <c r="AK285" s="153"/>
      <c r="AL285" s="153"/>
      <c r="AM285" s="153"/>
      <c r="AN285" s="153"/>
      <c r="AO285" s="153"/>
      <c r="AP285" s="8"/>
      <c r="AR285" s="6"/>
      <c r="AS285" s="309"/>
      <c r="AT285" s="309"/>
      <c r="AU285" s="309"/>
      <c r="AV285" s="309"/>
      <c r="AW285" s="309"/>
      <c r="AX285" s="309"/>
      <c r="AY285" s="309"/>
      <c r="AZ285" s="309"/>
      <c r="BA285" s="309"/>
      <c r="BB285" s="309"/>
      <c r="BC285" s="309"/>
      <c r="BD285" s="309"/>
      <c r="BE285" s="309"/>
      <c r="BF285" s="309"/>
      <c r="BG285" s="309"/>
      <c r="BH285" s="309"/>
      <c r="BI285" s="309"/>
      <c r="BJ285" s="309"/>
      <c r="BK285" s="309"/>
      <c r="BL285" s="309"/>
      <c r="BM285" s="309"/>
      <c r="BN285" s="309"/>
      <c r="BO285" s="309"/>
      <c r="BP285" s="309"/>
      <c r="BQ285" s="309"/>
      <c r="BR285" s="309"/>
      <c r="BS285" s="309"/>
      <c r="BT285" s="309"/>
      <c r="BU285" s="309"/>
      <c r="BV285" s="309"/>
      <c r="BW285" s="309"/>
      <c r="BX285" s="309"/>
      <c r="BY285" s="309"/>
      <c r="BZ285" s="309"/>
      <c r="CA285" s="309"/>
      <c r="CB285" s="309"/>
      <c r="CC285" s="309"/>
      <c r="CD285" s="309"/>
      <c r="CE285" s="309"/>
      <c r="CF285" s="8"/>
    </row>
    <row r="286" spans="2:84" ht="18" customHeight="1" x14ac:dyDescent="0.25">
      <c r="B286" s="6"/>
      <c r="C286" s="153"/>
      <c r="D286" s="153"/>
      <c r="E286" s="153"/>
      <c r="F286" s="153"/>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c r="AF286" s="153"/>
      <c r="AG286" s="153"/>
      <c r="AH286" s="153"/>
      <c r="AI286" s="153"/>
      <c r="AJ286" s="153"/>
      <c r="AK286" s="153"/>
      <c r="AL286" s="153"/>
      <c r="AM286" s="153"/>
      <c r="AN286" s="153"/>
      <c r="AO286" s="153"/>
      <c r="AP286" s="8"/>
      <c r="AR286" s="6"/>
      <c r="AS286" s="309"/>
      <c r="AT286" s="309"/>
      <c r="AU286" s="309"/>
      <c r="AV286" s="309"/>
      <c r="AW286" s="309"/>
      <c r="AX286" s="309"/>
      <c r="AY286" s="309"/>
      <c r="AZ286" s="309"/>
      <c r="BA286" s="309"/>
      <c r="BB286" s="309"/>
      <c r="BC286" s="309"/>
      <c r="BD286" s="309"/>
      <c r="BE286" s="309"/>
      <c r="BF286" s="309"/>
      <c r="BG286" s="309"/>
      <c r="BH286" s="309"/>
      <c r="BI286" s="309"/>
      <c r="BJ286" s="309"/>
      <c r="BK286" s="309"/>
      <c r="BL286" s="309"/>
      <c r="BM286" s="309"/>
      <c r="BN286" s="309"/>
      <c r="BO286" s="309"/>
      <c r="BP286" s="309"/>
      <c r="BQ286" s="309"/>
      <c r="BR286" s="309"/>
      <c r="BS286" s="309"/>
      <c r="BT286" s="309"/>
      <c r="BU286" s="309"/>
      <c r="BV286" s="309"/>
      <c r="BW286" s="309"/>
      <c r="BX286" s="309"/>
      <c r="BY286" s="309"/>
      <c r="BZ286" s="309"/>
      <c r="CA286" s="309"/>
      <c r="CB286" s="309"/>
      <c r="CC286" s="309"/>
      <c r="CD286" s="309"/>
      <c r="CE286" s="309"/>
      <c r="CF286" s="8"/>
    </row>
    <row r="287" spans="2:84" ht="18" customHeight="1" x14ac:dyDescent="0.25">
      <c r="B287" s="6"/>
      <c r="C287" s="153"/>
      <c r="D287" s="153"/>
      <c r="E287" s="153"/>
      <c r="F287" s="153"/>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53"/>
      <c r="AI287" s="153"/>
      <c r="AJ287" s="153"/>
      <c r="AK287" s="153"/>
      <c r="AL287" s="153"/>
      <c r="AM287" s="153"/>
      <c r="AN287" s="153"/>
      <c r="AO287" s="153"/>
      <c r="AP287" s="8"/>
      <c r="AR287" s="6"/>
      <c r="AS287" s="309"/>
      <c r="AT287" s="309"/>
      <c r="AU287" s="309"/>
      <c r="AV287" s="309"/>
      <c r="AW287" s="309"/>
      <c r="AX287" s="309"/>
      <c r="AY287" s="309"/>
      <c r="AZ287" s="309"/>
      <c r="BA287" s="309"/>
      <c r="BB287" s="309"/>
      <c r="BC287" s="309"/>
      <c r="BD287" s="309"/>
      <c r="BE287" s="309"/>
      <c r="BF287" s="309"/>
      <c r="BG287" s="309"/>
      <c r="BH287" s="309"/>
      <c r="BI287" s="309"/>
      <c r="BJ287" s="309"/>
      <c r="BK287" s="309"/>
      <c r="BL287" s="309"/>
      <c r="BM287" s="309"/>
      <c r="BN287" s="309"/>
      <c r="BO287" s="309"/>
      <c r="BP287" s="309"/>
      <c r="BQ287" s="309"/>
      <c r="BR287" s="309"/>
      <c r="BS287" s="309"/>
      <c r="BT287" s="309"/>
      <c r="BU287" s="309"/>
      <c r="BV287" s="309"/>
      <c r="BW287" s="309"/>
      <c r="BX287" s="309"/>
      <c r="BY287" s="309"/>
      <c r="BZ287" s="309"/>
      <c r="CA287" s="309"/>
      <c r="CB287" s="309"/>
      <c r="CC287" s="309"/>
      <c r="CD287" s="309"/>
      <c r="CE287" s="309"/>
      <c r="CF287" s="8"/>
    </row>
    <row r="288" spans="2:84" ht="18" customHeight="1" x14ac:dyDescent="0.25">
      <c r="B288" s="6"/>
      <c r="C288" s="153"/>
      <c r="D288" s="153"/>
      <c r="E288" s="153"/>
      <c r="F288" s="153"/>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c r="AF288" s="153"/>
      <c r="AG288" s="153"/>
      <c r="AH288" s="153"/>
      <c r="AI288" s="153"/>
      <c r="AJ288" s="153"/>
      <c r="AK288" s="153"/>
      <c r="AL288" s="153"/>
      <c r="AM288" s="153"/>
      <c r="AN288" s="153"/>
      <c r="AO288" s="153"/>
      <c r="AP288" s="8"/>
      <c r="AR288" s="6"/>
      <c r="AS288" s="309"/>
      <c r="AT288" s="309"/>
      <c r="AU288" s="309"/>
      <c r="AV288" s="309"/>
      <c r="AW288" s="309"/>
      <c r="AX288" s="309"/>
      <c r="AY288" s="309"/>
      <c r="AZ288" s="309"/>
      <c r="BA288" s="309"/>
      <c r="BB288" s="309"/>
      <c r="BC288" s="309"/>
      <c r="BD288" s="309"/>
      <c r="BE288" s="309"/>
      <c r="BF288" s="309"/>
      <c r="BG288" s="309"/>
      <c r="BH288" s="309"/>
      <c r="BI288" s="309"/>
      <c r="BJ288" s="309"/>
      <c r="BK288" s="309"/>
      <c r="BL288" s="309"/>
      <c r="BM288" s="309"/>
      <c r="BN288" s="309"/>
      <c r="BO288" s="309"/>
      <c r="BP288" s="309"/>
      <c r="BQ288" s="309"/>
      <c r="BR288" s="309"/>
      <c r="BS288" s="309"/>
      <c r="BT288" s="309"/>
      <c r="BU288" s="309"/>
      <c r="BV288" s="309"/>
      <c r="BW288" s="309"/>
      <c r="BX288" s="309"/>
      <c r="BY288" s="309"/>
      <c r="BZ288" s="309"/>
      <c r="CA288" s="309"/>
      <c r="CB288" s="309"/>
      <c r="CC288" s="309"/>
      <c r="CD288" s="309"/>
      <c r="CE288" s="309"/>
      <c r="CF288" s="8"/>
    </row>
    <row r="289" spans="2:84" ht="18" customHeight="1" x14ac:dyDescent="0.25">
      <c r="B289" s="6"/>
      <c r="C289" s="153"/>
      <c r="D289" s="153"/>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153"/>
      <c r="AG289" s="153"/>
      <c r="AH289" s="153"/>
      <c r="AI289" s="153"/>
      <c r="AJ289" s="153"/>
      <c r="AK289" s="153"/>
      <c r="AL289" s="153"/>
      <c r="AM289" s="153"/>
      <c r="AN289" s="153"/>
      <c r="AO289" s="153"/>
      <c r="AP289" s="8"/>
      <c r="AR289" s="6"/>
      <c r="AS289" s="309"/>
      <c r="AT289" s="309"/>
      <c r="AU289" s="309"/>
      <c r="AV289" s="309"/>
      <c r="AW289" s="309"/>
      <c r="AX289" s="309"/>
      <c r="AY289" s="309"/>
      <c r="AZ289" s="309"/>
      <c r="BA289" s="309"/>
      <c r="BB289" s="309"/>
      <c r="BC289" s="309"/>
      <c r="BD289" s="309"/>
      <c r="BE289" s="309"/>
      <c r="BF289" s="309"/>
      <c r="BG289" s="309"/>
      <c r="BH289" s="309"/>
      <c r="BI289" s="309"/>
      <c r="BJ289" s="309"/>
      <c r="BK289" s="309"/>
      <c r="BL289" s="309"/>
      <c r="BM289" s="309"/>
      <c r="BN289" s="309"/>
      <c r="BO289" s="309"/>
      <c r="BP289" s="309"/>
      <c r="BQ289" s="309"/>
      <c r="BR289" s="309"/>
      <c r="BS289" s="309"/>
      <c r="BT289" s="309"/>
      <c r="BU289" s="309"/>
      <c r="BV289" s="309"/>
      <c r="BW289" s="309"/>
      <c r="BX289" s="309"/>
      <c r="BY289" s="309"/>
      <c r="BZ289" s="309"/>
      <c r="CA289" s="309"/>
      <c r="CB289" s="309"/>
      <c r="CC289" s="309"/>
      <c r="CD289" s="309"/>
      <c r="CE289" s="309"/>
      <c r="CF289" s="8"/>
    </row>
    <row r="290" spans="2:84" ht="18" customHeight="1" x14ac:dyDescent="0.25">
      <c r="B290" s="6"/>
      <c r="C290" s="153"/>
      <c r="D290" s="153"/>
      <c r="E290" s="153"/>
      <c r="F290" s="153"/>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53"/>
      <c r="AI290" s="153"/>
      <c r="AJ290" s="153"/>
      <c r="AK290" s="153"/>
      <c r="AL290" s="153"/>
      <c r="AM290" s="153"/>
      <c r="AN290" s="153"/>
      <c r="AO290" s="153"/>
      <c r="AP290" s="8"/>
      <c r="AR290" s="6"/>
      <c r="AS290" s="309"/>
      <c r="AT290" s="309"/>
      <c r="AU290" s="309"/>
      <c r="AV290" s="309"/>
      <c r="AW290" s="309"/>
      <c r="AX290" s="309"/>
      <c r="AY290" s="309"/>
      <c r="AZ290" s="309"/>
      <c r="BA290" s="309"/>
      <c r="BB290" s="309"/>
      <c r="BC290" s="309"/>
      <c r="BD290" s="309"/>
      <c r="BE290" s="309"/>
      <c r="BF290" s="309"/>
      <c r="BG290" s="309"/>
      <c r="BH290" s="309"/>
      <c r="BI290" s="309"/>
      <c r="BJ290" s="309"/>
      <c r="BK290" s="309"/>
      <c r="BL290" s="309"/>
      <c r="BM290" s="309"/>
      <c r="BN290" s="309"/>
      <c r="BO290" s="309"/>
      <c r="BP290" s="309"/>
      <c r="BQ290" s="309"/>
      <c r="BR290" s="309"/>
      <c r="BS290" s="309"/>
      <c r="BT290" s="309"/>
      <c r="BU290" s="309"/>
      <c r="BV290" s="309"/>
      <c r="BW290" s="309"/>
      <c r="BX290" s="309"/>
      <c r="BY290" s="309"/>
      <c r="BZ290" s="309"/>
      <c r="CA290" s="309"/>
      <c r="CB290" s="309"/>
      <c r="CC290" s="309"/>
      <c r="CD290" s="309"/>
      <c r="CE290" s="309"/>
      <c r="CF290" s="8"/>
    </row>
    <row r="291" spans="2:84" ht="18" customHeight="1" x14ac:dyDescent="0.25">
      <c r="B291" s="6"/>
      <c r="C291" s="153"/>
      <c r="D291" s="153"/>
      <c r="E291" s="153"/>
      <c r="F291" s="153"/>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3"/>
      <c r="AK291" s="153"/>
      <c r="AL291" s="153"/>
      <c r="AM291" s="153"/>
      <c r="AN291" s="153"/>
      <c r="AO291" s="153"/>
      <c r="AP291" s="8"/>
      <c r="AR291" s="6"/>
      <c r="AS291" s="309"/>
      <c r="AT291" s="309"/>
      <c r="AU291" s="309"/>
      <c r="AV291" s="309"/>
      <c r="AW291" s="309"/>
      <c r="AX291" s="309"/>
      <c r="AY291" s="309"/>
      <c r="AZ291" s="309"/>
      <c r="BA291" s="309"/>
      <c r="BB291" s="309"/>
      <c r="BC291" s="309"/>
      <c r="BD291" s="309"/>
      <c r="BE291" s="309"/>
      <c r="BF291" s="309"/>
      <c r="BG291" s="309"/>
      <c r="BH291" s="309"/>
      <c r="BI291" s="309"/>
      <c r="BJ291" s="309"/>
      <c r="BK291" s="309"/>
      <c r="BL291" s="309"/>
      <c r="BM291" s="309"/>
      <c r="BN291" s="309"/>
      <c r="BO291" s="309"/>
      <c r="BP291" s="309"/>
      <c r="BQ291" s="309"/>
      <c r="BR291" s="309"/>
      <c r="BS291" s="309"/>
      <c r="BT291" s="309"/>
      <c r="BU291" s="309"/>
      <c r="BV291" s="309"/>
      <c r="BW291" s="309"/>
      <c r="BX291" s="309"/>
      <c r="BY291" s="309"/>
      <c r="BZ291" s="309"/>
      <c r="CA291" s="309"/>
      <c r="CB291" s="309"/>
      <c r="CC291" s="309"/>
      <c r="CD291" s="309"/>
      <c r="CE291" s="309"/>
      <c r="CF291" s="8"/>
    </row>
    <row r="292" spans="2:84" ht="18" customHeight="1" thickBot="1" x14ac:dyDescent="0.3">
      <c r="B292" s="6"/>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1"/>
      <c r="AO292" s="10"/>
      <c r="AP292" s="8"/>
      <c r="AR292" s="6"/>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1"/>
      <c r="CE292" s="10"/>
      <c r="CF292" s="8"/>
    </row>
    <row r="293" spans="2:84" ht="18" customHeight="1" x14ac:dyDescent="0.25">
      <c r="B293" s="6"/>
      <c r="D293" s="43" t="s">
        <v>84</v>
      </c>
      <c r="AO293" s="29" t="s">
        <v>473</v>
      </c>
      <c r="AP293" s="8"/>
      <c r="AR293" s="6"/>
      <c r="AT293" s="43" t="s">
        <v>84</v>
      </c>
      <c r="CE293" s="29" t="s">
        <v>474</v>
      </c>
      <c r="CF293" s="8"/>
    </row>
    <row r="294" spans="2:84" ht="18" customHeight="1" x14ac:dyDescent="0.25">
      <c r="B294" s="45"/>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7"/>
      <c r="AR294" s="45"/>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7"/>
    </row>
    <row r="295" spans="2:84" ht="18" customHeight="1" x14ac:dyDescent="0.25"/>
    <row r="296" spans="2:84" ht="18" customHeight="1" x14ac:dyDescent="0.25"/>
    <row r="297" spans="2:84" ht="18" customHeight="1" x14ac:dyDescent="0.25"/>
    <row r="301" spans="2:84" ht="18.75" customHeight="1" x14ac:dyDescent="0.25"/>
    <row r="302" spans="2:84" ht="18.75" customHeight="1" x14ac:dyDescent="0.25"/>
    <row r="303" spans="2:84" ht="18.75" customHeight="1" x14ac:dyDescent="0.25"/>
    <row r="304" spans="2:84" ht="18.75" customHeight="1" x14ac:dyDescent="0.25"/>
    <row r="305" ht="18.75" customHeight="1" x14ac:dyDescent="0.25"/>
    <row r="306" ht="18.75" customHeight="1" x14ac:dyDescent="0.25"/>
    <row r="307" ht="18.75" customHeight="1" x14ac:dyDescent="0.25"/>
    <row r="308" ht="18.75" customHeight="1" x14ac:dyDescent="0.25"/>
    <row r="309" ht="18.75" customHeight="1" x14ac:dyDescent="0.25"/>
  </sheetData>
  <sheetProtection algorithmName="SHA-512" hashValue="DZtgmlKNalvsY3vJ3KOv5NWx2q6RbWATeLiWapkkAR0HKnjbJTJ4W6KwrvU88JpsIU5HXX1eOvzIxrPSjYF9ow==" saltValue="hKf9KKlwrc9cfKX7hwV6Xw==" spinCount="100000" sheet="1" objects="1" scenarios="1"/>
  <mergeCells count="317">
    <mergeCell ref="DS4:DS5"/>
    <mergeCell ref="DT4:DT5"/>
    <mergeCell ref="DU4:DU5"/>
    <mergeCell ref="CU4:CU5"/>
    <mergeCell ref="CV4:CV5"/>
    <mergeCell ref="CW4:CW5"/>
    <mergeCell ref="E19:R19"/>
    <mergeCell ref="S19:U19"/>
    <mergeCell ref="AK19:AM19"/>
    <mergeCell ref="AS19:BI19"/>
    <mergeCell ref="BJ19:BL19"/>
    <mergeCell ref="CA19:CC19"/>
    <mergeCell ref="C7:AO8"/>
    <mergeCell ref="AS9:CE9"/>
    <mergeCell ref="BF10:BT10"/>
    <mergeCell ref="H11:W11"/>
    <mergeCell ref="AE11:AN11"/>
    <mergeCell ref="BF11:BL12"/>
    <mergeCell ref="BN11:BT12"/>
    <mergeCell ref="H12:W12"/>
    <mergeCell ref="AE12:AN12"/>
    <mergeCell ref="AT12:BD12"/>
    <mergeCell ref="BF14:BL14"/>
    <mergeCell ref="BN14:BT14"/>
    <mergeCell ref="BV14:BZ14"/>
    <mergeCell ref="BF15:BL15"/>
    <mergeCell ref="BN15:BT15"/>
    <mergeCell ref="BV15:BZ15"/>
    <mergeCell ref="BV12:BZ12"/>
    <mergeCell ref="H13:W13"/>
    <mergeCell ref="AE13:AN13"/>
    <mergeCell ref="BF13:BL13"/>
    <mergeCell ref="BN13:BT13"/>
    <mergeCell ref="BV13:BZ13"/>
    <mergeCell ref="E18:R18"/>
    <mergeCell ref="S18:U18"/>
    <mergeCell ref="AS18:BI18"/>
    <mergeCell ref="BJ18:BL18"/>
    <mergeCell ref="CA18:CC18"/>
    <mergeCell ref="D16:AO16"/>
    <mergeCell ref="BF16:BL16"/>
    <mergeCell ref="BN16:BT16"/>
    <mergeCell ref="BV16:BZ16"/>
    <mergeCell ref="S17:U17"/>
    <mergeCell ref="AK17:AM17"/>
    <mergeCell ref="BM22:BO22"/>
    <mergeCell ref="E20:R20"/>
    <mergeCell ref="S20:U20"/>
    <mergeCell ref="AK20:AM20"/>
    <mergeCell ref="AS20:BI20"/>
    <mergeCell ref="BJ20:BL20"/>
    <mergeCell ref="BM20:BO20"/>
    <mergeCell ref="C23:AO23"/>
    <mergeCell ref="AS23:BI23"/>
    <mergeCell ref="BJ23:BL23"/>
    <mergeCell ref="BM23:BO23"/>
    <mergeCell ref="AS22:BI22"/>
    <mergeCell ref="BJ22:BL22"/>
    <mergeCell ref="AK21:AM21"/>
    <mergeCell ref="AS21:BI21"/>
    <mergeCell ref="BJ21:BL21"/>
    <mergeCell ref="BM21:BO21"/>
    <mergeCell ref="C24:I24"/>
    <mergeCell ref="J24:K24"/>
    <mergeCell ref="L24:M24"/>
    <mergeCell ref="N24:O24"/>
    <mergeCell ref="P24:Q24"/>
    <mergeCell ref="R24:S24"/>
    <mergeCell ref="BJ24:BL24"/>
    <mergeCell ref="BM24:BO24"/>
    <mergeCell ref="AH24:AI24"/>
    <mergeCell ref="AJ24:AK24"/>
    <mergeCell ref="AL24:AM24"/>
    <mergeCell ref="AN24:AO24"/>
    <mergeCell ref="AS24:BI24"/>
    <mergeCell ref="T25:U25"/>
    <mergeCell ref="V25:W25"/>
    <mergeCell ref="AF24:AG24"/>
    <mergeCell ref="T24:U24"/>
    <mergeCell ref="V24:W24"/>
    <mergeCell ref="X24:Y24"/>
    <mergeCell ref="Z24:AA24"/>
    <mergeCell ref="AB24:AC24"/>
    <mergeCell ref="AD24:AE24"/>
    <mergeCell ref="B29:R29"/>
    <mergeCell ref="S29:U29"/>
    <mergeCell ref="AJ29:AL29"/>
    <mergeCell ref="AJ30:AL30"/>
    <mergeCell ref="AJ31:AL31"/>
    <mergeCell ref="AJ25:AK25"/>
    <mergeCell ref="AL25:AM25"/>
    <mergeCell ref="AN25:AO25"/>
    <mergeCell ref="C27:AO27"/>
    <mergeCell ref="B28:R28"/>
    <mergeCell ref="S28:U28"/>
    <mergeCell ref="AJ28:AL28"/>
    <mergeCell ref="X25:Y25"/>
    <mergeCell ref="Z25:AA25"/>
    <mergeCell ref="AB25:AC25"/>
    <mergeCell ref="AD25:AE25"/>
    <mergeCell ref="AF25:AG25"/>
    <mergeCell ref="AH25:AI25"/>
    <mergeCell ref="C25:I25"/>
    <mergeCell ref="J25:K25"/>
    <mergeCell ref="L25:M25"/>
    <mergeCell ref="N25:O25"/>
    <mergeCell ref="P25:Q25"/>
    <mergeCell ref="R25:S25"/>
    <mergeCell ref="S36:U36"/>
    <mergeCell ref="C33:AO33"/>
    <mergeCell ref="C34:R34"/>
    <mergeCell ref="S34:U34"/>
    <mergeCell ref="W34:AI34"/>
    <mergeCell ref="AJ34:AL34"/>
    <mergeCell ref="S35:U35"/>
    <mergeCell ref="V35:AI35"/>
    <mergeCell ref="AJ35:AL35"/>
    <mergeCell ref="C61:G61"/>
    <mergeCell ref="I61:L61"/>
    <mergeCell ref="O61:R61"/>
    <mergeCell ref="U61:Y61"/>
    <mergeCell ref="AA61:AE61"/>
    <mergeCell ref="AS54:BG54"/>
    <mergeCell ref="C56:AO56"/>
    <mergeCell ref="C59:G60"/>
    <mergeCell ref="AA59:AE60"/>
    <mergeCell ref="AS59:CE59"/>
    <mergeCell ref="U57:Y60"/>
    <mergeCell ref="I58:L60"/>
    <mergeCell ref="O58:R60"/>
    <mergeCell ref="AS58:CE58"/>
    <mergeCell ref="C63:G63"/>
    <mergeCell ref="I63:L63"/>
    <mergeCell ref="O63:R63"/>
    <mergeCell ref="U63:Y63"/>
    <mergeCell ref="AA63:AE63"/>
    <mergeCell ref="C62:G62"/>
    <mergeCell ref="I62:L62"/>
    <mergeCell ref="O62:R62"/>
    <mergeCell ref="U62:Y62"/>
    <mergeCell ref="AA62:AE62"/>
    <mergeCell ref="C65:G65"/>
    <mergeCell ref="I65:L65"/>
    <mergeCell ref="O65:R65"/>
    <mergeCell ref="U65:Y65"/>
    <mergeCell ref="AA65:AE65"/>
    <mergeCell ref="C64:G64"/>
    <mergeCell ref="I64:L64"/>
    <mergeCell ref="O64:R64"/>
    <mergeCell ref="U64:Y64"/>
    <mergeCell ref="AA64:AE64"/>
    <mergeCell ref="C67:G67"/>
    <mergeCell ref="I67:L67"/>
    <mergeCell ref="O67:R67"/>
    <mergeCell ref="U67:Y67"/>
    <mergeCell ref="AA67:AE67"/>
    <mergeCell ref="C66:G66"/>
    <mergeCell ref="I66:L66"/>
    <mergeCell ref="O66:R66"/>
    <mergeCell ref="U66:Y66"/>
    <mergeCell ref="AA66:AE66"/>
    <mergeCell ref="C69:G69"/>
    <mergeCell ref="I69:L69"/>
    <mergeCell ref="O69:R69"/>
    <mergeCell ref="U69:Y69"/>
    <mergeCell ref="AA69:AE69"/>
    <mergeCell ref="C68:G68"/>
    <mergeCell ref="I68:L68"/>
    <mergeCell ref="O68:R68"/>
    <mergeCell ref="U68:Y68"/>
    <mergeCell ref="AA68:AE68"/>
    <mergeCell ref="C71:G71"/>
    <mergeCell ref="I71:L71"/>
    <mergeCell ref="O71:R71"/>
    <mergeCell ref="U71:Y71"/>
    <mergeCell ref="AA71:AE71"/>
    <mergeCell ref="C70:G70"/>
    <mergeCell ref="O70:R70"/>
    <mergeCell ref="U70:Y70"/>
    <mergeCell ref="AA70:AE70"/>
    <mergeCell ref="C73:G73"/>
    <mergeCell ref="I73:L73"/>
    <mergeCell ref="O73:R73"/>
    <mergeCell ref="U73:Y73"/>
    <mergeCell ref="AA73:AE73"/>
    <mergeCell ref="AT73:AX73"/>
    <mergeCell ref="C72:G72"/>
    <mergeCell ref="I72:L72"/>
    <mergeCell ref="O72:R72"/>
    <mergeCell ref="U72:Y72"/>
    <mergeCell ref="AA72:AE72"/>
    <mergeCell ref="C74:G74"/>
    <mergeCell ref="I74:L74"/>
    <mergeCell ref="O74:R74"/>
    <mergeCell ref="U74:Y74"/>
    <mergeCell ref="AA74:AE74"/>
    <mergeCell ref="C76:G76"/>
    <mergeCell ref="I76:L76"/>
    <mergeCell ref="O76:R76"/>
    <mergeCell ref="U76:Y76"/>
    <mergeCell ref="AA76:AE76"/>
    <mergeCell ref="C75:G75"/>
    <mergeCell ref="I75:L75"/>
    <mergeCell ref="O75:R75"/>
    <mergeCell ref="U75:Y75"/>
    <mergeCell ref="AA75:AE75"/>
    <mergeCell ref="X108:AO108"/>
    <mergeCell ref="AT108:BG108"/>
    <mergeCell ref="BH108:BK108"/>
    <mergeCell ref="AT109:BG109"/>
    <mergeCell ref="BH109:BK109"/>
    <mergeCell ref="H110:O110"/>
    <mergeCell ref="AT110:BG110"/>
    <mergeCell ref="BH110:BK110"/>
    <mergeCell ref="I77:L77"/>
    <mergeCell ref="O77:R77"/>
    <mergeCell ref="U77:Y77"/>
    <mergeCell ref="AA77:AE77"/>
    <mergeCell ref="D106:AN106"/>
    <mergeCell ref="AS107:CE107"/>
    <mergeCell ref="BK94:BO94"/>
    <mergeCell ref="BP94:BR94"/>
    <mergeCell ref="BW94:BX94"/>
    <mergeCell ref="D114:G114"/>
    <mergeCell ref="H114:K114"/>
    <mergeCell ref="W114:Y114"/>
    <mergeCell ref="AT114:CF114"/>
    <mergeCell ref="D115:G115"/>
    <mergeCell ref="H115:K115"/>
    <mergeCell ref="W115:Y115"/>
    <mergeCell ref="BH115:BK115"/>
    <mergeCell ref="AT111:BG111"/>
    <mergeCell ref="BH111:BK111"/>
    <mergeCell ref="D112:K112"/>
    <mergeCell ref="M112:AO112"/>
    <mergeCell ref="D113:G113"/>
    <mergeCell ref="H113:K113"/>
    <mergeCell ref="W113:Y113"/>
    <mergeCell ref="BH118:BK118"/>
    <mergeCell ref="D119:G119"/>
    <mergeCell ref="H119:K119"/>
    <mergeCell ref="W119:Y119"/>
    <mergeCell ref="D116:G116"/>
    <mergeCell ref="H116:K116"/>
    <mergeCell ref="W116:Y116"/>
    <mergeCell ref="BH116:BK116"/>
    <mergeCell ref="D117:G117"/>
    <mergeCell ref="H117:K117"/>
    <mergeCell ref="W117:Y117"/>
    <mergeCell ref="D120:G120"/>
    <mergeCell ref="H120:K120"/>
    <mergeCell ref="W120:Y120"/>
    <mergeCell ref="D121:G121"/>
    <mergeCell ref="H121:K121"/>
    <mergeCell ref="W121:AN121"/>
    <mergeCell ref="D118:G118"/>
    <mergeCell ref="H118:K118"/>
    <mergeCell ref="W118:Y118"/>
    <mergeCell ref="D124:G124"/>
    <mergeCell ref="H124:K124"/>
    <mergeCell ref="W124:AE124"/>
    <mergeCell ref="D125:G125"/>
    <mergeCell ref="H125:K125"/>
    <mergeCell ref="W125:AE125"/>
    <mergeCell ref="D122:G122"/>
    <mergeCell ref="H122:K122"/>
    <mergeCell ref="W122:Y122"/>
    <mergeCell ref="D123:G123"/>
    <mergeCell ref="H123:K123"/>
    <mergeCell ref="W123:Y123"/>
    <mergeCell ref="D128:G128"/>
    <mergeCell ref="H128:K128"/>
    <mergeCell ref="D129:G129"/>
    <mergeCell ref="H129:K129"/>
    <mergeCell ref="D130:G130"/>
    <mergeCell ref="H130:K130"/>
    <mergeCell ref="D126:G126"/>
    <mergeCell ref="H126:K126"/>
    <mergeCell ref="W126:AE126"/>
    <mergeCell ref="D127:G127"/>
    <mergeCell ref="H127:K127"/>
    <mergeCell ref="W127:AE127"/>
    <mergeCell ref="AU157:BA157"/>
    <mergeCell ref="AU158:BA158"/>
    <mergeCell ref="AU159:BA159"/>
    <mergeCell ref="AU160:BA160"/>
    <mergeCell ref="AU161:BA161"/>
    <mergeCell ref="C131:AO131"/>
    <mergeCell ref="C132:AO135"/>
    <mergeCell ref="C136:AO136"/>
    <mergeCell ref="C137:AO144"/>
    <mergeCell ref="AS154:CE154"/>
    <mergeCell ref="AU155:BA155"/>
    <mergeCell ref="C203:AO203"/>
    <mergeCell ref="C207:AO242"/>
    <mergeCell ref="AS226:CE242"/>
    <mergeCell ref="AS274:CE291"/>
    <mergeCell ref="C277:AO291"/>
    <mergeCell ref="J30:U30"/>
    <mergeCell ref="AU175:BA175"/>
    <mergeCell ref="AU176:BA176"/>
    <mergeCell ref="C186:L188"/>
    <mergeCell ref="AU168:BA168"/>
    <mergeCell ref="AU169:BA169"/>
    <mergeCell ref="C170:AN171"/>
    <mergeCell ref="AU172:BA172"/>
    <mergeCell ref="AU173:BA173"/>
    <mergeCell ref="AU174:BA174"/>
    <mergeCell ref="AS178:CE178"/>
    <mergeCell ref="AS179:CE183"/>
    <mergeCell ref="AU162:BA162"/>
    <mergeCell ref="AU163:BA163"/>
    <mergeCell ref="AU164:BA164"/>
    <mergeCell ref="AU165:BA165"/>
    <mergeCell ref="AT166:BA166"/>
    <mergeCell ref="AU167:BA167"/>
    <mergeCell ref="AU156:BA156"/>
  </mergeCells>
  <conditionalFormatting sqref="BF13 BN13">
    <cfRule type="cellIs" dxfId="58" priority="5" operator="greaterThan">
      <formula>$BV$13</formula>
    </cfRule>
    <cfRule type="cellIs" dxfId="57" priority="6" operator="lessThan">
      <formula>"89.0%$F$45"</formula>
    </cfRule>
    <cfRule type="cellIs" dxfId="56" priority="7" operator="greaterThan">
      <formula>$BV$13</formula>
    </cfRule>
  </conditionalFormatting>
  <conditionalFormatting sqref="BF13">
    <cfRule type="cellIs" dxfId="55" priority="4" operator="greaterThan">
      <formula>"e44"</formula>
    </cfRule>
  </conditionalFormatting>
  <conditionalFormatting sqref="BF14 BN14">
    <cfRule type="cellIs" dxfId="54" priority="9" operator="greaterThan">
      <formula>$BV$14</formula>
    </cfRule>
    <cfRule type="cellIs" dxfId="53" priority="10" operator="lessThan">
      <formula>"92.9%$F$46"</formula>
    </cfRule>
    <cfRule type="cellIs" dxfId="52" priority="11" operator="greaterThan">
      <formula>$BV$14</formula>
    </cfRule>
  </conditionalFormatting>
  <conditionalFormatting sqref="BF14">
    <cfRule type="cellIs" dxfId="51" priority="3" operator="greaterThan">
      <formula>"e45"</formula>
    </cfRule>
  </conditionalFormatting>
  <conditionalFormatting sqref="BF14:BF16 BN15:BN16">
    <cfRule type="cellIs" dxfId="50" priority="8" operator="greaterThan">
      <formula>#REF!</formula>
    </cfRule>
  </conditionalFormatting>
  <conditionalFormatting sqref="BF15 BN15">
    <cfRule type="cellIs" dxfId="49" priority="13" operator="greaterThan">
      <formula>$BV$15</formula>
    </cfRule>
    <cfRule type="cellIs" dxfId="48" priority="14" operator="lessThan">
      <formula>"90.3%$L$45"</formula>
    </cfRule>
    <cfRule type="cellIs" dxfId="47" priority="15" operator="greaterThan">
      <formula>$BV$15</formula>
    </cfRule>
  </conditionalFormatting>
  <conditionalFormatting sqref="BF15:BF16 BN15:BN16">
    <cfRule type="cellIs" dxfId="46" priority="12" operator="lessThan">
      <formula>#REF!</formula>
    </cfRule>
  </conditionalFormatting>
  <conditionalFormatting sqref="BF16 BN16">
    <cfRule type="cellIs" dxfId="45" priority="16" operator="lessThan">
      <formula>$BV$16</formula>
    </cfRule>
    <cfRule type="cellIs" dxfId="44" priority="17" operator="greaterThan">
      <formula>$BV$16</formula>
    </cfRule>
  </conditionalFormatting>
  <conditionalFormatting sqref="BN15">
    <cfRule type="cellIs" dxfId="43" priority="2" operator="greaterThan">
      <formula>"i44"</formula>
    </cfRule>
  </conditionalFormatting>
  <conditionalFormatting sqref="BN16">
    <cfRule type="cellIs" dxfId="42" priority="1" operator="greaterThan">
      <formula>"i45"</formula>
    </cfRule>
  </conditionalFormatting>
  <dataValidations disablePrompts="1" count="2">
    <dataValidation allowBlank="1" showErrorMessage="1" sqref="S17:U17" xr:uid="{CF6938D1-C19C-4B0A-9BB4-FDCE8D79B983}"/>
    <dataValidation type="list" allowBlank="1" showInputMessage="1" showErrorMessage="1" sqref="D30:J30 V30:Z30" xr:uid="{3D0CBE3C-D1CB-4C49-A7AF-4260864A3709}">
      <formula1>$CI$4:$CI$6</formula1>
    </dataValidation>
  </dataValidations>
  <printOptions horizontalCentered="1" verticalCentered="1"/>
  <pageMargins left="0.2" right="0.2" top="0.205416666666667" bottom="0.3" header="0" footer="0"/>
  <pageSetup scale="90" orientation="portrait" r:id="rId1"/>
  <headerFooter>
    <oddHeader xml:space="preserve">&amp;L
&amp;R       </oddHeader>
  </headerFooter>
  <rowBreaks count="2" manualBreakCount="2">
    <brk id="63" max="16383" man="1"/>
    <brk id="138"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FE9C63-48E2-49D5-AFCC-AA7410273757}">
  <sheetPr codeName="Sheet2">
    <pageSetUpPr fitToPage="1"/>
  </sheetPr>
  <dimension ref="B1:MM305"/>
  <sheetViews>
    <sheetView workbookViewId="0">
      <selection activeCell="S42" sqref="S42"/>
    </sheetView>
  </sheetViews>
  <sheetFormatPr defaultRowHeight="15" x14ac:dyDescent="0.25"/>
  <cols>
    <col min="1" max="84" width="2.7109375" style="1" customWidth="1"/>
    <col min="85" max="85" width="2.7109375" style="1" hidden="1" customWidth="1"/>
    <col min="86" max="86" width="37" style="1" hidden="1" customWidth="1"/>
    <col min="87" max="87" width="6.42578125" style="1" hidden="1" customWidth="1"/>
    <col min="88" max="89" width="9.140625" style="1" hidden="1" customWidth="1"/>
    <col min="90" max="90" width="41" style="1" hidden="1" customWidth="1"/>
    <col min="91" max="91" width="22.5703125" style="1" hidden="1" customWidth="1"/>
    <col min="92" max="92" width="21.28515625" style="1" hidden="1" customWidth="1"/>
    <col min="93" max="93" width="37.85546875" style="1" hidden="1" customWidth="1"/>
    <col min="94" max="94" width="39.5703125" style="1" hidden="1" customWidth="1"/>
    <col min="95" max="95" width="39.85546875" style="1" hidden="1" customWidth="1"/>
    <col min="96" max="96" width="14" style="2" hidden="1" customWidth="1"/>
    <col min="97" max="97" width="23.5703125" style="2" hidden="1" customWidth="1"/>
    <col min="98" max="98" width="21.28515625" style="1" hidden="1" customWidth="1"/>
    <col min="99" max="99" width="20.42578125" style="1" hidden="1" customWidth="1"/>
    <col min="100" max="101" width="9.140625" style="1" hidden="1" customWidth="1"/>
    <col min="102" max="102" width="9.140625" style="2" hidden="1" customWidth="1"/>
    <col min="103" max="103" width="15.7109375" style="2" hidden="1" customWidth="1"/>
    <col min="104" max="104" width="14.5703125" style="2" hidden="1" customWidth="1"/>
    <col min="105" max="105" width="17.7109375" style="2" hidden="1" customWidth="1"/>
    <col min="106" max="111" width="9.140625" style="1" hidden="1" customWidth="1"/>
    <col min="112" max="113" width="9.140625" style="2" hidden="1" customWidth="1"/>
    <col min="114" max="114" width="37.7109375" style="2" hidden="1" customWidth="1"/>
    <col min="115" max="115" width="23.42578125" style="2" hidden="1" customWidth="1"/>
    <col min="116" max="116" width="24.7109375" style="1" hidden="1" customWidth="1"/>
    <col min="117" max="118" width="39.7109375" style="1" hidden="1" customWidth="1"/>
    <col min="119" max="119" width="17.5703125" style="2" hidden="1" customWidth="1"/>
    <col min="120" max="121" width="10.85546875" style="2" hidden="1" customWidth="1"/>
    <col min="122" max="122" width="15.7109375" style="2" hidden="1" customWidth="1"/>
    <col min="123" max="123" width="20.42578125" style="1" hidden="1" customWidth="1"/>
    <col min="124" max="124" width="17.42578125" style="1" hidden="1" customWidth="1"/>
    <col min="125" max="125" width="29.28515625" style="1" hidden="1" customWidth="1"/>
    <col min="126" max="126" width="22.42578125" style="1" hidden="1" customWidth="1"/>
    <col min="127" max="127" width="22.28515625" style="1" hidden="1" customWidth="1"/>
    <col min="128" max="128" width="16.5703125" style="1" hidden="1" customWidth="1"/>
    <col min="129" max="129" width="14.42578125" hidden="1" customWidth="1"/>
    <col min="130" max="130" width="20.42578125" style="1" hidden="1" customWidth="1"/>
    <col min="131" max="134" width="9.140625" style="1" hidden="1" customWidth="1"/>
    <col min="135" max="135" width="17" style="1" hidden="1" customWidth="1"/>
    <col min="136" max="307" width="9.140625" style="1" hidden="1" customWidth="1"/>
    <col min="308" max="351" width="2.7109375" style="1" hidden="1" customWidth="1"/>
    <col min="352" max="362" width="0" style="1" hidden="1" customWidth="1"/>
    <col min="363" max="16384" width="9.140625" style="1"/>
  </cols>
  <sheetData>
    <row r="1" spans="2:136" ht="18" customHeight="1" x14ac:dyDescent="0.25">
      <c r="CO1" s="141" t="s">
        <v>705</v>
      </c>
      <c r="CP1" s="142">
        <f>(S17/SQRT(3))/BK94</f>
        <v>0.47997052378630894</v>
      </c>
      <c r="CQ1" s="72"/>
      <c r="CR1" s="142"/>
      <c r="CS1" s="142"/>
      <c r="CT1" s="72"/>
      <c r="CU1" s="72"/>
      <c r="CV1" s="72"/>
      <c r="CW1" s="72"/>
      <c r="CX1" s="142"/>
      <c r="CY1" s="142" t="s">
        <v>196</v>
      </c>
      <c r="CZ1" s="143">
        <f>COS(ATAN(BW94))*CP1</f>
        <v>1.9183480301019129E-2</v>
      </c>
    </row>
    <row r="2" spans="2:136"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c r="CH2" s="1" t="s">
        <v>269</v>
      </c>
      <c r="CO2" s="72"/>
      <c r="CP2" s="72"/>
      <c r="CQ2" s="72"/>
      <c r="CR2" s="142"/>
      <c r="CS2" s="142"/>
      <c r="CT2" s="72"/>
      <c r="CU2" s="72"/>
      <c r="CV2" s="72"/>
      <c r="CW2" s="72"/>
      <c r="CX2" s="142"/>
      <c r="CY2" s="142" t="s">
        <v>0</v>
      </c>
      <c r="CZ2" s="143">
        <f>SIN(ATAN(BW94))*CP1</f>
        <v>0.47958700752547934</v>
      </c>
      <c r="DI2" s="155" t="s">
        <v>475</v>
      </c>
      <c r="DJ2" s="155" t="s">
        <v>682</v>
      </c>
      <c r="DK2" s="158" t="s">
        <v>683</v>
      </c>
      <c r="DL2" s="158" t="s">
        <v>664</v>
      </c>
      <c r="DM2" s="155" t="s">
        <v>684</v>
      </c>
      <c r="DN2" s="136"/>
      <c r="DO2" s="155" t="s">
        <v>685</v>
      </c>
      <c r="DP2" s="155" t="s">
        <v>686</v>
      </c>
      <c r="DQ2" s="155" t="s">
        <v>687</v>
      </c>
      <c r="DR2" s="267" t="s">
        <v>688</v>
      </c>
      <c r="DS2" s="155" t="s">
        <v>689</v>
      </c>
      <c r="DT2" s="155" t="s">
        <v>690</v>
      </c>
      <c r="DU2" s="155" t="s">
        <v>691</v>
      </c>
      <c r="DV2" s="155" t="s">
        <v>693</v>
      </c>
      <c r="DW2" s="155" t="s">
        <v>695</v>
      </c>
      <c r="DX2" s="155" t="s">
        <v>694</v>
      </c>
      <c r="DY2" s="370" t="s">
        <v>696</v>
      </c>
      <c r="DZ2" s="2" t="s">
        <v>588</v>
      </c>
      <c r="EE2" s="155" t="s">
        <v>90</v>
      </c>
      <c r="EF2" s="155" t="s">
        <v>702</v>
      </c>
    </row>
    <row r="3" spans="2:136" ht="18" customHeight="1" x14ac:dyDescent="0.25">
      <c r="B3" s="6"/>
      <c r="AO3" s="7" t="s">
        <v>280</v>
      </c>
      <c r="AP3" s="8"/>
      <c r="AR3" s="6"/>
      <c r="CD3" s="7"/>
      <c r="CF3" s="8"/>
      <c r="CH3" s="1" t="s">
        <v>270</v>
      </c>
      <c r="CL3" s="155" t="s">
        <v>682</v>
      </c>
      <c r="CM3" s="158" t="s">
        <v>683</v>
      </c>
      <c r="CN3" s="158" t="s">
        <v>664</v>
      </c>
      <c r="CO3" s="155" t="s">
        <v>706</v>
      </c>
      <c r="CP3" s="158" t="s">
        <v>499</v>
      </c>
      <c r="CQ3" s="158" t="s">
        <v>707</v>
      </c>
      <c r="CS3" s="155" t="s">
        <v>708</v>
      </c>
      <c r="CT3" s="2"/>
      <c r="CU3" s="155" t="s">
        <v>709</v>
      </c>
      <c r="CX3" s="136"/>
      <c r="CY3" s="155" t="s">
        <v>674</v>
      </c>
      <c r="CZ3" s="155" t="s">
        <v>499</v>
      </c>
      <c r="DA3" s="155" t="s">
        <v>703</v>
      </c>
      <c r="DH3" s="2" t="s">
        <v>371</v>
      </c>
      <c r="DI3" s="155"/>
      <c r="DJ3" s="155"/>
      <c r="DK3" s="158"/>
      <c r="DL3" s="158"/>
      <c r="DM3" s="155"/>
      <c r="DN3" s="136" t="s">
        <v>700</v>
      </c>
      <c r="DO3" s="155"/>
      <c r="DP3" s="155"/>
      <c r="DQ3" s="155"/>
      <c r="DR3" s="267"/>
      <c r="DS3" s="155"/>
      <c r="DT3" s="155"/>
      <c r="DU3" s="155"/>
      <c r="DV3" s="155"/>
      <c r="DW3" s="155"/>
      <c r="DX3" s="155"/>
      <c r="DY3" s="370"/>
      <c r="DZ3" s="2" t="s">
        <v>699</v>
      </c>
      <c r="EC3" s="1" t="s">
        <v>508</v>
      </c>
      <c r="ED3" s="1" t="s">
        <v>701</v>
      </c>
      <c r="EE3" s="155"/>
      <c r="EF3" s="155"/>
    </row>
    <row r="4" spans="2:136" ht="18" customHeight="1" x14ac:dyDescent="0.25">
      <c r="B4" s="6"/>
      <c r="AO4" s="9" t="s">
        <v>1</v>
      </c>
      <c r="AP4" s="8"/>
      <c r="AR4" s="6"/>
      <c r="CD4" s="9"/>
      <c r="CF4" s="8"/>
      <c r="CH4" s="1" t="s">
        <v>271</v>
      </c>
      <c r="CK4" s="2" t="s">
        <v>371</v>
      </c>
      <c r="CL4" s="155"/>
      <c r="CM4" s="158"/>
      <c r="CN4" s="158"/>
      <c r="CO4" s="155"/>
      <c r="CP4" s="158"/>
      <c r="CQ4" s="158"/>
      <c r="CR4" s="2" t="s">
        <v>508</v>
      </c>
      <c r="CS4" s="155"/>
      <c r="CT4" s="2" t="s">
        <v>508</v>
      </c>
      <c r="CU4" s="155"/>
      <c r="CX4" s="136" t="s">
        <v>704</v>
      </c>
      <c r="CY4" s="155"/>
      <c r="CZ4" s="155"/>
      <c r="DA4" s="155"/>
      <c r="DH4" s="69">
        <f>J24</f>
        <v>1</v>
      </c>
      <c r="DI4" s="69">
        <f>J25</f>
        <v>139.06207267383917</v>
      </c>
      <c r="DJ4" s="2" t="str">
        <f>COMPLEX($AJ$34/$S$34,$AJ$34*DH4)</f>
        <v>0.0215973472222222+2.15973472222222i</v>
      </c>
      <c r="DK4" s="2" t="str">
        <f>COMPLEX($AJ$40,"0")</f>
        <v>86.3893888888889</v>
      </c>
      <c r="DL4" s="1" t="str">
        <f>COMPLEX("0",-$AJ$30/DH4)</f>
        <v>-53.9933680555556i</v>
      </c>
      <c r="DM4" s="1" t="str">
        <f>IMSUM(IMDIV(IMPRODUCT(DJ4,DK4),IMSUM(DJ4,DK4)),DL4)</f>
        <v>0.0755111598403155-51.8360604392335i</v>
      </c>
      <c r="DN4" s="2">
        <f>IMABS(DM4)</f>
        <v>51.836115438901551</v>
      </c>
      <c r="DO4" s="14">
        <f>IMABS(IMPRODUCT(DM4,DI4))</f>
        <v>7208.4376522940456</v>
      </c>
      <c r="DP4" s="34">
        <f>DI4*IMABS(IMDIV(DJ4,IMSUM(DJ4,DK4)))</f>
        <v>3.4747715219953612</v>
      </c>
      <c r="DQ4" s="34">
        <f>DI4*IMABS(IMDIV(DK4,IMSUM(DJ4,DK4)))</f>
        <v>138.98391185794279</v>
      </c>
      <c r="DR4" s="14">
        <f>DI4*$AJ$30/DH4</f>
        <v>7508.429672447015</v>
      </c>
      <c r="DS4" s="34">
        <f>DR4*1.1</f>
        <v>8259.2726396917169</v>
      </c>
      <c r="DT4" s="34">
        <f>SQRT(2)*DR4</f>
        <v>10618.523074899145</v>
      </c>
      <c r="DU4" s="14">
        <f>1.1*DT4</f>
        <v>11680.37538238906</v>
      </c>
      <c r="DV4" s="34">
        <f>DI4*1.1</f>
        <v>152.9682799412231</v>
      </c>
      <c r="DW4" s="1">
        <f>DI4^2*$AJ$30/DH4</f>
        <v>1044137.7927762372</v>
      </c>
      <c r="DX4" s="1">
        <f>DV4^2*$AJ$30/DH4</f>
        <v>1263406.7292592472</v>
      </c>
      <c r="DY4">
        <f>DP4^2*$AJ$40</f>
        <v>1043.0686890884976</v>
      </c>
      <c r="DZ4" s="1">
        <f>DQ4^2*$AJ$34*COS(ATAN($S$34))</f>
        <v>417.16489933615242</v>
      </c>
      <c r="EC4" s="15">
        <f>DH4</f>
        <v>1</v>
      </c>
      <c r="ED4" s="15">
        <f>DI4</f>
        <v>139.06207267383917</v>
      </c>
      <c r="EE4" s="56">
        <f>DQ4</f>
        <v>138.98391185794279</v>
      </c>
      <c r="EF4" s="15">
        <f>H114</f>
        <v>208.47586778691419</v>
      </c>
    </row>
    <row r="5" spans="2:136" ht="18" customHeight="1" thickBot="1" x14ac:dyDescent="0.3">
      <c r="B5" s="6"/>
      <c r="AO5" s="9" t="s">
        <v>4</v>
      </c>
      <c r="AP5" s="8"/>
      <c r="AR5" s="6"/>
      <c r="AS5" s="10" t="str">
        <f>"Harmonic Filter Design - High-Pass (HP) Type | "&amp; H12 &amp; " | " &amp; AE13</f>
        <v>Harmonic Filter Design - High-Pass (HP) Type | Enter Customer PO #  | Stage 1</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1"/>
      <c r="CE5" s="10"/>
      <c r="CF5" s="8"/>
      <c r="CH5" s="18"/>
      <c r="CK5" s="1">
        <v>1</v>
      </c>
      <c r="CL5" s="1" t="str">
        <f>COMPLEX($AJ$34/$S$34,$AJ$34*CK5)</f>
        <v>0.0215973472222222+2.15973472222222i</v>
      </c>
      <c r="CM5" s="1" t="str">
        <f>COMPLEX($AJ$40,"0")</f>
        <v>86.3893888888889</v>
      </c>
      <c r="CN5" s="1" t="str">
        <f>COMPLEX("0",-$AJ$30/CK5)</f>
        <v>-53.9933680555556i</v>
      </c>
      <c r="CO5" s="1" t="str">
        <f>IMSUM(IMDIV(IMPRODUCT(CL5,CM5),IMSUM(CL5,CM5)),CN5)</f>
        <v>0.0755111598403155-51.8360604392335i</v>
      </c>
      <c r="CP5" s="1" t="str">
        <f>COMPLEX($CZ$1,$CZ$2*CK5)</f>
        <v>0.0191834803010191+0.479587007525479i</v>
      </c>
      <c r="CQ5" s="1" t="str">
        <f>IMDIV(IMPRODUCT(CP5,CO5),IMSUM(CO5,CP5))</f>
        <v>0.0195500095589465+0.484057738636328i</v>
      </c>
      <c r="CR5" s="2">
        <f>CK5</f>
        <v>1</v>
      </c>
      <c r="CS5" s="2">
        <f>IMABS(IMDIV(CP5,IMSUM(CO5,CP5)))</f>
        <v>9.3458463130557147E-3</v>
      </c>
      <c r="CT5" s="1">
        <f>CR5</f>
        <v>1</v>
      </c>
      <c r="CU5" s="1">
        <f>IMABS(IMDIV(CO5,IMSUM(CO5,CP5)))</f>
        <v>1.0093377496103806</v>
      </c>
      <c r="CX5" s="2">
        <f>CK5</f>
        <v>1</v>
      </c>
      <c r="CY5" s="2">
        <f>IMABS(CO5)</f>
        <v>51.836115438901551</v>
      </c>
      <c r="CZ5" s="2">
        <f>IMABS(CP5)</f>
        <v>0.47997052378630867</v>
      </c>
      <c r="DA5" s="2">
        <f>IMABS(CQ5)</f>
        <v>0.48445236835778865</v>
      </c>
      <c r="DH5" s="69">
        <f>L24</f>
        <v>2</v>
      </c>
      <c r="DI5" s="69">
        <f>L25</f>
        <v>0</v>
      </c>
      <c r="DJ5" s="2" t="str">
        <f t="shared" ref="DJ5:DJ19" si="0">COMPLEX($AJ$34/$S$34,$AJ$34*DH5)</f>
        <v>0.0215973472222222+4.31946944444445i</v>
      </c>
      <c r="DK5" s="2" t="str">
        <f t="shared" ref="DK5:DK19" si="1">COMPLEX($AJ$40,"0")</f>
        <v>86.3893888888889</v>
      </c>
      <c r="DL5" s="1" t="str">
        <f t="shared" ref="DL5:DL19" si="2">COMPLEX("0",-$AJ$30/DH5)</f>
        <v>-26.9966840277778i</v>
      </c>
      <c r="DM5" s="1" t="str">
        <f t="shared" ref="DM5:DM19" si="3">IMSUM(IMDIV(IMPRODUCT(DJ5,DK5),IMSUM(DJ5,DK5)),DL5)</f>
        <v>0.236865607155683-22.6901345010728i</v>
      </c>
      <c r="DN5" s="2">
        <f t="shared" ref="DN5:DN19" si="4">IMABS(DM5)</f>
        <v>22.691370804617058</v>
      </c>
      <c r="DO5" s="14">
        <f t="shared" ref="DO5:DO19" si="5">IMABS(IMPRODUCT(DM5,DI5))</f>
        <v>0</v>
      </c>
      <c r="DP5" s="34">
        <f t="shared" ref="DP5:DP19" si="6">DI5*IMABS(IMDIV(DJ5,IMSUM(DJ5,DK5)))</f>
        <v>0</v>
      </c>
      <c r="DQ5" s="34">
        <f t="shared" ref="DQ5:DQ19" si="7">DI5*IMABS(IMDIV(DK5,IMSUM(DJ5,DK5)))</f>
        <v>0</v>
      </c>
      <c r="DR5" s="14">
        <f t="shared" ref="DR5:DR19" si="8">DI5*$AJ$30/DH5</f>
        <v>0</v>
      </c>
      <c r="DS5" s="34">
        <f>DR5</f>
        <v>0</v>
      </c>
      <c r="DT5" s="34">
        <f t="shared" ref="DT5:DT19" si="9">SQRT(2)*DR5</f>
        <v>0</v>
      </c>
      <c r="DU5" s="14">
        <f>DT5</f>
        <v>0</v>
      </c>
      <c r="DV5" s="34">
        <f>DI5</f>
        <v>0</v>
      </c>
      <c r="DW5" s="1">
        <f t="shared" ref="DW5:DW19" si="10">DI5^2*$AJ$30/DH5</f>
        <v>0</v>
      </c>
      <c r="DX5" s="1">
        <f>DV5^2*$AJ$30/DH5</f>
        <v>0</v>
      </c>
      <c r="DY5">
        <f t="shared" ref="DY5:DY19" si="11">DP5^2*$AJ$40</f>
        <v>0</v>
      </c>
      <c r="DZ5" s="1">
        <f t="shared" ref="DZ5:DZ19" si="12">DQ5^2*$AJ$34*COS(ATAN($S$34))</f>
        <v>0</v>
      </c>
      <c r="EC5" s="15">
        <f t="shared" ref="EC5:EC19" si="13">DH5</f>
        <v>2</v>
      </c>
      <c r="ED5" s="15">
        <f t="shared" ref="ED5:ED19" si="14">DI5</f>
        <v>0</v>
      </c>
      <c r="EE5" s="56">
        <f t="shared" ref="EE5:EE19" si="15">DQ5</f>
        <v>0</v>
      </c>
      <c r="EF5" s="15">
        <f t="shared" ref="EF5:EF19" si="16">H115</f>
        <v>0</v>
      </c>
    </row>
    <row r="6" spans="2:136"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D6" s="9"/>
      <c r="CF6" s="8"/>
      <c r="CK6" s="1">
        <f>CK5+0.2</f>
        <v>1.2</v>
      </c>
      <c r="CL6" s="1" t="str">
        <f t="shared" ref="CL6:CL69" si="17">COMPLEX($AJ$34/$S$34,$AJ$34*CK6)</f>
        <v>0.0215973472222222+2.59168166666667i</v>
      </c>
      <c r="CM6" s="1" t="str">
        <f t="shared" ref="CM6:CM69" si="18">COMPLEX($AJ$40,"0")</f>
        <v>86.3893888888889</v>
      </c>
      <c r="CN6" s="1" t="str">
        <f t="shared" ref="CN6:CN69" si="19">COMPLEX("0",-$AJ$30/CK6)</f>
        <v>-44.9944733796296i</v>
      </c>
      <c r="CO6" s="1" t="str">
        <f t="shared" ref="CO6:CO69" si="20">IMSUM(IMDIV(IMPRODUCT(CL6,CM6),IMSUM(CL6,CM6)),CN6)</f>
        <v>0.0992142903516427-42.4064151562293i</v>
      </c>
      <c r="CP6" s="1" t="str">
        <f t="shared" ref="CP6:CP69" si="21">COMPLEX($CZ$1,$CZ$2*CK6)</f>
        <v>0.0191834803010191+0.575504409030575i</v>
      </c>
      <c r="CQ6" s="1" t="str">
        <f t="shared" ref="CQ6:CQ69" si="22">IMDIV(IMPRODUCT(CP6,CO6),IMSUM(CO6,CP6))</f>
        <v>0.0197337090352898+0.583411771484161i</v>
      </c>
      <c r="CR6" s="2">
        <f t="shared" ref="CR6:CR69" si="23">CK6</f>
        <v>1.2</v>
      </c>
      <c r="CS6" s="2">
        <f t="shared" ref="CS6:CS69" si="24">IMABS(IMDIV(CP6,IMSUM(CO6,CP6)))</f>
        <v>1.3765460234408283E-2</v>
      </c>
      <c r="CT6" s="1">
        <f t="shared" ref="CT6:CT69" si="25">CR6</f>
        <v>1.2</v>
      </c>
      <c r="CU6" s="1">
        <f t="shared" ref="CU6:CU69" si="26">IMABS(IMDIV(CO6,IMSUM(CO6,CP6)))</f>
        <v>1.0137565881113104</v>
      </c>
      <c r="CX6" s="2">
        <f t="shared" ref="CX6:CX69" si="27">CK6</f>
        <v>1.2</v>
      </c>
      <c r="CY6" s="2">
        <f t="shared" ref="CY6:CY69" si="28">IMABS(CO6)</f>
        <v>42.406531217229784</v>
      </c>
      <c r="CZ6" s="2">
        <f t="shared" ref="CZ6:CZ69" si="29">IMABS(CP6)</f>
        <v>0.57582404493915584</v>
      </c>
      <c r="DA6" s="2">
        <f t="shared" ref="DA6:DA69" si="30">IMABS(CQ6)</f>
        <v>0.58374541914997191</v>
      </c>
      <c r="DH6" s="69">
        <f>N24</f>
        <v>3</v>
      </c>
      <c r="DI6" s="69">
        <f>N25</f>
        <v>0</v>
      </c>
      <c r="DJ6" s="2" t="str">
        <f t="shared" si="0"/>
        <v>0.0215973472222222+6.47920416666667i</v>
      </c>
      <c r="DK6" s="2" t="str">
        <f t="shared" si="1"/>
        <v>86.3893888888889</v>
      </c>
      <c r="DL6" s="1" t="str">
        <f t="shared" si="2"/>
        <v>-17.9977893518519i</v>
      </c>
      <c r="DM6" s="1" t="str">
        <f t="shared" si="3"/>
        <v>0.504453251366083-11.5580291190959i</v>
      </c>
      <c r="DN6" s="2">
        <f t="shared" si="4"/>
        <v>11.569032379619419</v>
      </c>
      <c r="DO6" s="14">
        <f t="shared" si="5"/>
        <v>0</v>
      </c>
      <c r="DP6" s="34">
        <f t="shared" si="6"/>
        <v>0</v>
      </c>
      <c r="DQ6" s="34">
        <f t="shared" si="7"/>
        <v>0</v>
      </c>
      <c r="DR6" s="14">
        <f t="shared" si="8"/>
        <v>0</v>
      </c>
      <c r="DS6" s="34">
        <f t="shared" ref="DS6:DS19" si="31">DR6</f>
        <v>0</v>
      </c>
      <c r="DT6" s="34">
        <f t="shared" si="9"/>
        <v>0</v>
      </c>
      <c r="DU6" s="14">
        <f t="shared" ref="DU6:DU19" si="32">DT6</f>
        <v>0</v>
      </c>
      <c r="DV6" s="34">
        <f t="shared" ref="DV6:DV19" si="33">DI6</f>
        <v>0</v>
      </c>
      <c r="DW6" s="1">
        <f t="shared" si="10"/>
        <v>0</v>
      </c>
      <c r="DX6" s="1">
        <f t="shared" ref="DX6:DX19" si="34">DV6^2*$AJ$30/DH6</f>
        <v>0</v>
      </c>
      <c r="DY6">
        <f t="shared" si="11"/>
        <v>0</v>
      </c>
      <c r="DZ6" s="1">
        <f t="shared" si="12"/>
        <v>0</v>
      </c>
      <c r="EC6" s="15">
        <f t="shared" si="13"/>
        <v>3</v>
      </c>
      <c r="ED6" s="15">
        <f t="shared" si="14"/>
        <v>0</v>
      </c>
      <c r="EE6" s="56">
        <f t="shared" si="15"/>
        <v>0</v>
      </c>
      <c r="EF6" s="15">
        <f t="shared" si="16"/>
        <v>0</v>
      </c>
    </row>
    <row r="7" spans="2:136" ht="18" customHeight="1" x14ac:dyDescent="0.25">
      <c r="B7" s="6"/>
      <c r="C7" s="262" t="s">
        <v>278</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c r="AR7" s="6"/>
      <c r="AS7" s="16" t="s">
        <v>7</v>
      </c>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8"/>
      <c r="CK7" s="1">
        <f t="shared" ref="CK7:CK70" si="35">CK6+0.2</f>
        <v>1.4</v>
      </c>
      <c r="CL7" s="1" t="str">
        <f t="shared" si="17"/>
        <v>0.0215973472222222+3.02362861111111i</v>
      </c>
      <c r="CM7" s="1" t="str">
        <f t="shared" si="18"/>
        <v>86.3893888888889</v>
      </c>
      <c r="CN7" s="1" t="str">
        <f t="shared" si="19"/>
        <v>-38.566691468254i</v>
      </c>
      <c r="CO7" s="1" t="str">
        <f t="shared" si="20"/>
        <v>0.127210302225933-35.5482698231321i</v>
      </c>
      <c r="CP7" s="1" t="str">
        <f t="shared" si="21"/>
        <v>0.0191834803010191+0.671421810535671i</v>
      </c>
      <c r="CQ7" s="1" t="str">
        <f t="shared" si="22"/>
        <v>0.0199762876847423+0.684333618951163i</v>
      </c>
      <c r="CR7" s="2">
        <f t="shared" si="23"/>
        <v>1.4</v>
      </c>
      <c r="CS7" s="2">
        <f t="shared" si="24"/>
        <v>1.9258904561052323E-2</v>
      </c>
      <c r="CT7" s="1">
        <f t="shared" si="25"/>
        <v>1.4</v>
      </c>
      <c r="CU7" s="1">
        <f t="shared" si="26"/>
        <v>1.0192487655205138</v>
      </c>
      <c r="CX7" s="2">
        <f t="shared" si="27"/>
        <v>1.4</v>
      </c>
      <c r="CY7" s="2">
        <f t="shared" si="28"/>
        <v>35.548497434901471</v>
      </c>
      <c r="CZ7" s="2">
        <f t="shared" si="29"/>
        <v>0.67169580434855936</v>
      </c>
      <c r="DA7" s="2">
        <f t="shared" si="30"/>
        <v>0.68462511938758075</v>
      </c>
      <c r="DH7" s="69">
        <f>P24</f>
        <v>4</v>
      </c>
      <c r="DI7" s="69">
        <f>P25</f>
        <v>0</v>
      </c>
      <c r="DJ7" s="2" t="str">
        <f t="shared" si="0"/>
        <v>0.0215973472222222+8.63893888888889i</v>
      </c>
      <c r="DK7" s="2" t="str">
        <f t="shared" si="1"/>
        <v>86.3893888888889</v>
      </c>
      <c r="DL7" s="1" t="str">
        <f t="shared" si="2"/>
        <v>-13.4983420138889i</v>
      </c>
      <c r="DM7" s="1" t="str">
        <f t="shared" si="3"/>
        <v>0.876295478158783-4.9491699658279i</v>
      </c>
      <c r="DN7" s="2">
        <f t="shared" si="4"/>
        <v>5.0261493328088118</v>
      </c>
      <c r="DO7" s="14">
        <f t="shared" si="5"/>
        <v>0</v>
      </c>
      <c r="DP7" s="34">
        <f t="shared" si="6"/>
        <v>0</v>
      </c>
      <c r="DQ7" s="34">
        <f t="shared" si="7"/>
        <v>0</v>
      </c>
      <c r="DR7" s="14">
        <f t="shared" si="8"/>
        <v>0</v>
      </c>
      <c r="DS7" s="34">
        <f t="shared" si="31"/>
        <v>0</v>
      </c>
      <c r="DT7" s="34">
        <f t="shared" si="9"/>
        <v>0</v>
      </c>
      <c r="DU7" s="14">
        <f t="shared" si="32"/>
        <v>0</v>
      </c>
      <c r="DV7" s="34">
        <f t="shared" si="33"/>
        <v>0</v>
      </c>
      <c r="DW7" s="1">
        <f t="shared" si="10"/>
        <v>0</v>
      </c>
      <c r="DX7" s="1">
        <f t="shared" si="34"/>
        <v>0</v>
      </c>
      <c r="DY7">
        <f t="shared" si="11"/>
        <v>0</v>
      </c>
      <c r="DZ7" s="1">
        <f t="shared" si="12"/>
        <v>0</v>
      </c>
      <c r="EC7" s="15">
        <f t="shared" si="13"/>
        <v>4</v>
      </c>
      <c r="ED7" s="15">
        <f t="shared" si="14"/>
        <v>0</v>
      </c>
      <c r="EE7" s="56">
        <f t="shared" si="15"/>
        <v>0</v>
      </c>
      <c r="EF7" s="15">
        <f t="shared" si="16"/>
        <v>0</v>
      </c>
    </row>
    <row r="8" spans="2:136"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c r="AR8" s="6"/>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8"/>
      <c r="CK8" s="1">
        <f t="shared" si="35"/>
        <v>1.5999999999999999</v>
      </c>
      <c r="CL8" s="1" t="str">
        <f t="shared" si="17"/>
        <v>0.0215973472222222+3.45557555555556i</v>
      </c>
      <c r="CM8" s="1" t="str">
        <f t="shared" si="18"/>
        <v>86.3893888888889</v>
      </c>
      <c r="CN8" s="1" t="str">
        <f t="shared" si="19"/>
        <v>-33.7458550347222i</v>
      </c>
      <c r="CO8" s="1" t="str">
        <f t="shared" si="20"/>
        <v>0.159490828074118-30.2975211957493i</v>
      </c>
      <c r="CP8" s="1" t="str">
        <f t="shared" si="21"/>
        <v>0.0191834803010191+0.767339212040767i</v>
      </c>
      <c r="CQ8" s="1" t="str">
        <f t="shared" si="22"/>
        <v>0.0203009698240561+0.787259231296857i</v>
      </c>
      <c r="CR8" s="2">
        <f t="shared" si="23"/>
        <v>1.5999999999999999</v>
      </c>
      <c r="CS8" s="2">
        <f t="shared" si="24"/>
        <v>2.59925563146087E-2</v>
      </c>
      <c r="CT8" s="1">
        <f t="shared" si="25"/>
        <v>1.5999999999999999</v>
      </c>
      <c r="CU8" s="1">
        <f t="shared" si="26"/>
        <v>1.0259803486157462</v>
      </c>
      <c r="CX8" s="2">
        <f t="shared" si="27"/>
        <v>1.5999999999999999</v>
      </c>
      <c r="CY8" s="2">
        <f t="shared" si="28"/>
        <v>30.297940985009486</v>
      </c>
      <c r="CZ8" s="2">
        <f t="shared" si="29"/>
        <v>0.76757896808849901</v>
      </c>
      <c r="DA8" s="2">
        <f t="shared" si="30"/>
        <v>0.78752093726955308</v>
      </c>
      <c r="DH8" s="69">
        <f>R24</f>
        <v>5</v>
      </c>
      <c r="DI8" s="69">
        <f>R25</f>
        <v>100</v>
      </c>
      <c r="DJ8" s="2" t="str">
        <f t="shared" si="0"/>
        <v>0.0215973472222222+10.7986736111111i</v>
      </c>
      <c r="DK8" s="2" t="str">
        <f t="shared" si="1"/>
        <v>86.3893888888889</v>
      </c>
      <c r="DL8" s="1" t="str">
        <f t="shared" si="2"/>
        <v>-10.7986736111111i</v>
      </c>
      <c r="DM8" s="1" t="str">
        <f t="shared" si="3"/>
        <v>1.34967338033542-0.1713659994448i</v>
      </c>
      <c r="DN8" s="2">
        <f t="shared" si="4"/>
        <v>1.3605089265976003</v>
      </c>
      <c r="DO8" s="14">
        <f t="shared" si="5"/>
        <v>136.05089265976002</v>
      </c>
      <c r="DP8" s="34">
        <f t="shared" si="6"/>
        <v>12.400445842536174</v>
      </c>
      <c r="DQ8" s="34">
        <f t="shared" si="7"/>
        <v>99.203368333751428</v>
      </c>
      <c r="DR8" s="14">
        <f t="shared" si="8"/>
        <v>1079.8673611111114</v>
      </c>
      <c r="DS8" s="34">
        <f t="shared" si="31"/>
        <v>1079.8673611111114</v>
      </c>
      <c r="DT8" s="34">
        <f t="shared" si="9"/>
        <v>1527.1630676473785</v>
      </c>
      <c r="DU8" s="14">
        <f t="shared" si="32"/>
        <v>1527.1630676473785</v>
      </c>
      <c r="DV8" s="34">
        <f t="shared" si="33"/>
        <v>100</v>
      </c>
      <c r="DW8" s="1">
        <f t="shared" si="10"/>
        <v>107986.73611111115</v>
      </c>
      <c r="DX8" s="1">
        <f t="shared" si="34"/>
        <v>107986.73611111115</v>
      </c>
      <c r="DY8">
        <f t="shared" si="11"/>
        <v>13284.187651120828</v>
      </c>
      <c r="DZ8" s="1">
        <f t="shared" si="12"/>
        <v>212.53552572269345</v>
      </c>
      <c r="EC8" s="15">
        <f t="shared" si="13"/>
        <v>5</v>
      </c>
      <c r="ED8" s="15">
        <f t="shared" si="14"/>
        <v>100</v>
      </c>
      <c r="EE8" s="56">
        <f t="shared" si="15"/>
        <v>99.203368333751428</v>
      </c>
      <c r="EF8" s="15">
        <f t="shared" si="16"/>
        <v>148.80505250062714</v>
      </c>
    </row>
    <row r="9" spans="2:136" ht="18" customHeight="1" x14ac:dyDescent="0.25">
      <c r="B9" s="20"/>
      <c r="C9" s="16" t="s">
        <v>8</v>
      </c>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c r="AR9" s="6"/>
      <c r="AS9" s="178" t="s">
        <v>9</v>
      </c>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27"/>
      <c r="CK9" s="1">
        <f t="shared" si="35"/>
        <v>1.7999999999999998</v>
      </c>
      <c r="CL9" s="1" t="str">
        <f t="shared" si="17"/>
        <v>0.0215973472222222+3.8875225i</v>
      </c>
      <c r="CM9" s="1" t="str">
        <f t="shared" si="18"/>
        <v>86.3893888888889</v>
      </c>
      <c r="CN9" s="1" t="str">
        <f t="shared" si="19"/>
        <v>-29.9963155864198i</v>
      </c>
      <c r="CO9" s="1" t="str">
        <f t="shared" si="20"/>
        <v>0.196046230075199-26.1185845995199i</v>
      </c>
      <c r="CP9" s="1" t="str">
        <f t="shared" si="21"/>
        <v>0.0191834803010191+0.863256613545863i</v>
      </c>
      <c r="CQ9" s="1" t="str">
        <f t="shared" si="22"/>
        <v>0.0207461342817426+0.892735844453655i</v>
      </c>
      <c r="CR9" s="2">
        <f t="shared" si="23"/>
        <v>1.7999999999999998</v>
      </c>
      <c r="CS9" s="2">
        <f t="shared" si="24"/>
        <v>3.418836546392446E-2</v>
      </c>
      <c r="CT9" s="1">
        <f t="shared" si="25"/>
        <v>1.7999999999999998</v>
      </c>
      <c r="CU9" s="1">
        <f t="shared" si="26"/>
        <v>1.0341727469430697</v>
      </c>
      <c r="CX9" s="2">
        <f t="shared" si="27"/>
        <v>1.7999999999999998</v>
      </c>
      <c r="CY9" s="2">
        <f t="shared" si="28"/>
        <v>26.119320351161601</v>
      </c>
      <c r="CZ9" s="2">
        <f t="shared" si="29"/>
        <v>0.86346973701869312</v>
      </c>
      <c r="DA9" s="2">
        <f t="shared" si="30"/>
        <v>0.89297686983483304</v>
      </c>
      <c r="DH9" s="69">
        <f>T24</f>
        <v>7</v>
      </c>
      <c r="DI9" s="69">
        <f>T25</f>
        <v>100</v>
      </c>
      <c r="DJ9" s="2" t="str">
        <f t="shared" si="0"/>
        <v>0.0215973472222222+15.1181430555556i</v>
      </c>
      <c r="DK9" s="2" t="str">
        <f t="shared" si="1"/>
        <v>86.3893888888889</v>
      </c>
      <c r="DL9" s="1" t="str">
        <f t="shared" si="2"/>
        <v>-7.7133382936508i</v>
      </c>
      <c r="DM9" s="1" t="str">
        <f t="shared" si="3"/>
        <v>2.58676457229578+6.9484555133013i</v>
      </c>
      <c r="DN9" s="2">
        <f t="shared" si="4"/>
        <v>7.4143364485847147</v>
      </c>
      <c r="DO9" s="14">
        <f t="shared" si="5"/>
        <v>741.43364485847144</v>
      </c>
      <c r="DP9" s="34">
        <f t="shared" si="6"/>
        <v>17.233870307967347</v>
      </c>
      <c r="DQ9" s="34">
        <f t="shared" si="7"/>
        <v>98.479158413784276</v>
      </c>
      <c r="DR9" s="14">
        <f t="shared" si="8"/>
        <v>771.33382936507962</v>
      </c>
      <c r="DS9" s="34">
        <f t="shared" si="31"/>
        <v>771.33382936507962</v>
      </c>
      <c r="DT9" s="34">
        <f t="shared" si="9"/>
        <v>1090.8307626052704</v>
      </c>
      <c r="DU9" s="14">
        <f t="shared" si="32"/>
        <v>1090.8307626052704</v>
      </c>
      <c r="DV9" s="34">
        <f t="shared" si="33"/>
        <v>100</v>
      </c>
      <c r="DW9" s="1">
        <f t="shared" si="10"/>
        <v>77133.382936507958</v>
      </c>
      <c r="DX9" s="1">
        <f t="shared" si="34"/>
        <v>77133.382936507958</v>
      </c>
      <c r="DY9">
        <f t="shared" si="11"/>
        <v>25658.191525715618</v>
      </c>
      <c r="DZ9" s="1">
        <f t="shared" si="12"/>
        <v>209.44372531769588</v>
      </c>
      <c r="EC9" s="15">
        <f t="shared" si="13"/>
        <v>7</v>
      </c>
      <c r="ED9" s="15">
        <f t="shared" si="14"/>
        <v>100</v>
      </c>
      <c r="EE9" s="56">
        <f t="shared" si="15"/>
        <v>98.479158413784276</v>
      </c>
      <c r="EF9" s="15">
        <f t="shared" si="16"/>
        <v>147.71873762067642</v>
      </c>
    </row>
    <row r="10" spans="2:136" ht="18" customHeight="1" x14ac:dyDescent="0.25">
      <c r="B10" s="6"/>
      <c r="AP10" s="8"/>
      <c r="AR10" s="6"/>
      <c r="BF10" s="172" t="s">
        <v>10</v>
      </c>
      <c r="BG10" s="172"/>
      <c r="BH10" s="172"/>
      <c r="BI10" s="172"/>
      <c r="BJ10" s="172"/>
      <c r="BK10" s="172"/>
      <c r="BL10" s="172"/>
      <c r="BM10" s="172"/>
      <c r="BN10" s="172"/>
      <c r="BO10" s="172"/>
      <c r="BP10" s="172"/>
      <c r="BQ10" s="172"/>
      <c r="BR10" s="172"/>
      <c r="BS10" s="172"/>
      <c r="BT10" s="172"/>
      <c r="CE10" s="24"/>
      <c r="CF10" s="8"/>
      <c r="CK10" s="1">
        <f t="shared" si="35"/>
        <v>1.9999999999999998</v>
      </c>
      <c r="CL10" s="1" t="str">
        <f t="shared" si="17"/>
        <v>0.0215973472222222+4.31946944444444i</v>
      </c>
      <c r="CM10" s="1" t="str">
        <f t="shared" si="18"/>
        <v>86.3893888888889</v>
      </c>
      <c r="CN10" s="1" t="str">
        <f t="shared" si="19"/>
        <v>-26.9966840277778i</v>
      </c>
      <c r="CO10" s="1" t="str">
        <f t="shared" si="20"/>
        <v>0.236865607155682-22.6901345010728i</v>
      </c>
      <c r="CP10" s="1" t="str">
        <f t="shared" si="21"/>
        <v>0.0191834803010191+0.959174015050959i</v>
      </c>
      <c r="CQ10" s="1" t="str">
        <f t="shared" si="22"/>
        <v>0.0213752788913744+1.00146784637032i</v>
      </c>
      <c r="CR10" s="2">
        <f t="shared" si="23"/>
        <v>1.9999999999999998</v>
      </c>
      <c r="CS10" s="2">
        <f t="shared" si="24"/>
        <v>4.414435537874016E-2</v>
      </c>
      <c r="CT10" s="1">
        <f t="shared" si="25"/>
        <v>1.9999999999999998</v>
      </c>
      <c r="CU10" s="1">
        <f t="shared" si="26"/>
        <v>1.0441230079308781</v>
      </c>
      <c r="CX10" s="2">
        <f t="shared" si="27"/>
        <v>1.9999999999999998</v>
      </c>
      <c r="CY10" s="2">
        <f t="shared" si="28"/>
        <v>22.691370804617058</v>
      </c>
      <c r="CZ10" s="2">
        <f t="shared" si="29"/>
        <v>0.95936583067432457</v>
      </c>
      <c r="DA10" s="2">
        <f t="shared" si="30"/>
        <v>1.00169593682978</v>
      </c>
      <c r="DH10" s="69">
        <f>V24</f>
        <v>11</v>
      </c>
      <c r="DI10" s="69">
        <f>V25</f>
        <v>100</v>
      </c>
      <c r="DJ10" s="2" t="str">
        <f t="shared" si="0"/>
        <v>0.0215973472222222+23.7570819444445i</v>
      </c>
      <c r="DK10" s="2" t="str">
        <f t="shared" si="1"/>
        <v>86.3893888888889</v>
      </c>
      <c r="DL10" s="1" t="str">
        <f t="shared" si="2"/>
        <v>-4.90848800505051i</v>
      </c>
      <c r="DM10" s="1" t="str">
        <f t="shared" si="3"/>
        <v>6.09111385813607+17.1680185017799i</v>
      </c>
      <c r="DN10" s="2">
        <f t="shared" si="4"/>
        <v>18.216545427446839</v>
      </c>
      <c r="DO10" s="14">
        <f t="shared" si="5"/>
        <v>1821.6545427446838</v>
      </c>
      <c r="DP10" s="34">
        <f t="shared" si="6"/>
        <v>26.50949778757839</v>
      </c>
      <c r="DQ10" s="34">
        <f t="shared" si="7"/>
        <v>96.398133939080594</v>
      </c>
      <c r="DR10" s="14">
        <f t="shared" si="8"/>
        <v>490.84880050505069</v>
      </c>
      <c r="DS10" s="34">
        <f t="shared" si="31"/>
        <v>490.84880050505069</v>
      </c>
      <c r="DT10" s="34">
        <f t="shared" si="9"/>
        <v>694.16503074880848</v>
      </c>
      <c r="DU10" s="14">
        <f t="shared" si="32"/>
        <v>694.16503074880848</v>
      </c>
      <c r="DV10" s="34">
        <f t="shared" si="33"/>
        <v>100</v>
      </c>
      <c r="DW10" s="1">
        <f t="shared" si="10"/>
        <v>49084.880050505068</v>
      </c>
      <c r="DX10" s="1">
        <f t="shared" si="34"/>
        <v>49084.880050505068</v>
      </c>
      <c r="DY10">
        <f t="shared" si="11"/>
        <v>60710.443067662294</v>
      </c>
      <c r="DZ10" s="1">
        <f t="shared" si="12"/>
        <v>200.68547967531629</v>
      </c>
      <c r="EC10" s="15">
        <f t="shared" si="13"/>
        <v>11</v>
      </c>
      <c r="ED10" s="15">
        <f t="shared" si="14"/>
        <v>100</v>
      </c>
      <c r="EE10" s="56">
        <f t="shared" si="15"/>
        <v>96.398133939080594</v>
      </c>
      <c r="EF10" s="15">
        <f t="shared" si="16"/>
        <v>144.59720090862089</v>
      </c>
    </row>
    <row r="11" spans="2:136" ht="18" customHeight="1" x14ac:dyDescent="0.25">
      <c r="B11" s="28"/>
      <c r="C11" s="24"/>
      <c r="D11" s="24"/>
      <c r="E11" s="24"/>
      <c r="F11" s="24"/>
      <c r="G11" s="9" t="s">
        <v>11</v>
      </c>
      <c r="H11" s="234" t="s">
        <v>12</v>
      </c>
      <c r="I11" s="234"/>
      <c r="J11" s="234"/>
      <c r="K11" s="234"/>
      <c r="L11" s="234"/>
      <c r="M11" s="234"/>
      <c r="N11" s="234"/>
      <c r="O11" s="234"/>
      <c r="P11" s="234"/>
      <c r="Q11" s="234"/>
      <c r="R11" s="234"/>
      <c r="S11" s="234"/>
      <c r="T11" s="234"/>
      <c r="U11" s="234"/>
      <c r="V11" s="234"/>
      <c r="W11" s="234"/>
      <c r="X11" s="24"/>
      <c r="Y11" s="24"/>
      <c r="Z11" s="24"/>
      <c r="AA11" s="24"/>
      <c r="AC11" s="9" t="s">
        <v>13</v>
      </c>
      <c r="AD11" s="24"/>
      <c r="AE11" s="263" t="s">
        <v>14</v>
      </c>
      <c r="AF11" s="263"/>
      <c r="AG11" s="263"/>
      <c r="AH11" s="263"/>
      <c r="AI11" s="263"/>
      <c r="AJ11" s="263"/>
      <c r="AK11" s="263"/>
      <c r="AL11" s="263"/>
      <c r="AM11" s="263"/>
      <c r="AN11" s="263"/>
      <c r="AO11" s="24"/>
      <c r="AP11" s="8"/>
      <c r="AR11" s="6"/>
      <c r="BF11" s="257" t="s">
        <v>15</v>
      </c>
      <c r="BG11" s="359"/>
      <c r="BH11" s="359"/>
      <c r="BI11" s="359"/>
      <c r="BJ11" s="359"/>
      <c r="BK11" s="359"/>
      <c r="BL11" s="359"/>
      <c r="BN11" s="257" t="s">
        <v>413</v>
      </c>
      <c r="BO11" s="257"/>
      <c r="BP11" s="257"/>
      <c r="BQ11" s="257"/>
      <c r="BR11" s="257"/>
      <c r="BS11" s="257"/>
      <c r="BT11" s="257"/>
      <c r="CE11" s="24"/>
      <c r="CF11" s="8"/>
      <c r="CK11" s="1">
        <f t="shared" si="35"/>
        <v>2.1999999999999997</v>
      </c>
      <c r="CL11" s="1" t="str">
        <f t="shared" si="17"/>
        <v>0.0215973472222222+4.75141638888889i</v>
      </c>
      <c r="CM11" s="1" t="str">
        <f t="shared" si="18"/>
        <v>86.3893888888889</v>
      </c>
      <c r="CN11" s="1" t="str">
        <f t="shared" si="19"/>
        <v>-24.5424400252525i</v>
      </c>
      <c r="CO11" s="1" t="str">
        <f t="shared" si="20"/>
        <v>0.281936803095953-19.8077138420797i</v>
      </c>
      <c r="CP11" s="1" t="str">
        <f t="shared" si="21"/>
        <v>0.0191834803010191+1.05509141655605i</v>
      </c>
      <c r="CQ11" s="1" t="str">
        <f t="shared" si="22"/>
        <v>0.0222942558591206+1.11438515950705i</v>
      </c>
      <c r="CR11" s="2">
        <f t="shared" si="23"/>
        <v>2.1999999999999997</v>
      </c>
      <c r="CS11" s="2">
        <f t="shared" si="24"/>
        <v>5.6265718635339516E-2</v>
      </c>
      <c r="CT11" s="1">
        <f t="shared" si="25"/>
        <v>2.1999999999999997</v>
      </c>
      <c r="CU11" s="1">
        <f t="shared" si="26"/>
        <v>1.0562345032181399</v>
      </c>
      <c r="CX11" s="2">
        <f t="shared" si="27"/>
        <v>2.1999999999999997</v>
      </c>
      <c r="CY11" s="2">
        <f t="shared" si="28"/>
        <v>19.809720240595414</v>
      </c>
      <c r="CZ11" s="2">
        <f t="shared" si="29"/>
        <v>1.0552657974210631</v>
      </c>
      <c r="DA11" s="2">
        <f t="shared" si="30"/>
        <v>1.1146081453021348</v>
      </c>
      <c r="DH11" s="69">
        <f>X24</f>
        <v>13</v>
      </c>
      <c r="DI11" s="69">
        <f>X25</f>
        <v>0</v>
      </c>
      <c r="DJ11" s="2" t="str">
        <f t="shared" si="0"/>
        <v>0.0215973472222222+28.0765513888889i</v>
      </c>
      <c r="DK11" s="2" t="str">
        <f t="shared" si="1"/>
        <v>86.3893888888889</v>
      </c>
      <c r="DL11" s="1" t="str">
        <f t="shared" si="2"/>
        <v>-4.15333600427351i</v>
      </c>
      <c r="DM11" s="1" t="str">
        <f t="shared" si="3"/>
        <v>8.26894015697971+21.2294641335626i</v>
      </c>
      <c r="DN11" s="2">
        <f t="shared" si="4"/>
        <v>22.783009430668557</v>
      </c>
      <c r="DO11" s="14">
        <f t="shared" si="5"/>
        <v>0</v>
      </c>
      <c r="DP11" s="34">
        <f t="shared" si="6"/>
        <v>0</v>
      </c>
      <c r="DQ11" s="34">
        <f t="shared" si="7"/>
        <v>0</v>
      </c>
      <c r="DR11" s="14">
        <f t="shared" si="8"/>
        <v>0</v>
      </c>
      <c r="DS11" s="34">
        <f t="shared" si="31"/>
        <v>0</v>
      </c>
      <c r="DT11" s="34">
        <f t="shared" si="9"/>
        <v>0</v>
      </c>
      <c r="DU11" s="14">
        <f t="shared" si="32"/>
        <v>0</v>
      </c>
      <c r="DV11" s="34">
        <f t="shared" si="33"/>
        <v>0</v>
      </c>
      <c r="DW11" s="1">
        <f t="shared" si="10"/>
        <v>0</v>
      </c>
      <c r="DX11" s="1">
        <f t="shared" si="34"/>
        <v>0</v>
      </c>
      <c r="DY11">
        <f t="shared" si="11"/>
        <v>0</v>
      </c>
      <c r="DZ11" s="1">
        <f t="shared" si="12"/>
        <v>0</v>
      </c>
      <c r="EC11" s="15">
        <f t="shared" si="13"/>
        <v>13</v>
      </c>
      <c r="ED11" s="15">
        <f t="shared" si="14"/>
        <v>0</v>
      </c>
      <c r="EE11" s="56">
        <f t="shared" si="15"/>
        <v>0</v>
      </c>
      <c r="EF11" s="15">
        <f t="shared" si="16"/>
        <v>0</v>
      </c>
    </row>
    <row r="12" spans="2:136" ht="18" customHeight="1" x14ac:dyDescent="0.25">
      <c r="B12" s="28"/>
      <c r="C12" s="24"/>
      <c r="D12" s="24"/>
      <c r="E12" s="24"/>
      <c r="F12" s="24"/>
      <c r="G12" s="9" t="s">
        <v>16</v>
      </c>
      <c r="H12" s="234" t="s">
        <v>17</v>
      </c>
      <c r="I12" s="234"/>
      <c r="J12" s="234"/>
      <c r="K12" s="234"/>
      <c r="L12" s="234"/>
      <c r="M12" s="234"/>
      <c r="N12" s="234"/>
      <c r="O12" s="234"/>
      <c r="P12" s="234"/>
      <c r="Q12" s="234"/>
      <c r="R12" s="234"/>
      <c r="S12" s="234"/>
      <c r="T12" s="234"/>
      <c r="U12" s="234"/>
      <c r="V12" s="234"/>
      <c r="W12" s="234"/>
      <c r="X12" s="24"/>
      <c r="Y12" s="24"/>
      <c r="Z12" s="24"/>
      <c r="AA12" s="24"/>
      <c r="AB12" s="24"/>
      <c r="AC12" s="9" t="s">
        <v>18</v>
      </c>
      <c r="AD12" s="24"/>
      <c r="AE12" s="269" t="s">
        <v>19</v>
      </c>
      <c r="AF12" s="270"/>
      <c r="AG12" s="270"/>
      <c r="AH12" s="270"/>
      <c r="AI12" s="270"/>
      <c r="AJ12" s="270"/>
      <c r="AK12" s="270"/>
      <c r="AL12" s="270"/>
      <c r="AM12" s="270"/>
      <c r="AN12" s="271"/>
      <c r="AO12" s="24"/>
      <c r="AP12" s="8"/>
      <c r="AR12" s="6"/>
      <c r="AT12" s="172" t="s">
        <v>20</v>
      </c>
      <c r="AU12" s="172"/>
      <c r="AV12" s="172"/>
      <c r="AW12" s="172"/>
      <c r="AX12" s="172"/>
      <c r="AY12" s="172"/>
      <c r="AZ12" s="172"/>
      <c r="BA12" s="172"/>
      <c r="BB12" s="172"/>
      <c r="BC12" s="172"/>
      <c r="BD12" s="172"/>
      <c r="BF12" s="172"/>
      <c r="BG12" s="172"/>
      <c r="BH12" s="172"/>
      <c r="BI12" s="172"/>
      <c r="BJ12" s="172"/>
      <c r="BK12" s="172"/>
      <c r="BL12" s="172"/>
      <c r="BN12" s="201"/>
      <c r="BO12" s="201"/>
      <c r="BP12" s="201"/>
      <c r="BQ12" s="201"/>
      <c r="BR12" s="201"/>
      <c r="BS12" s="201"/>
      <c r="BT12" s="201"/>
      <c r="BV12" s="172" t="s">
        <v>21</v>
      </c>
      <c r="BW12" s="172"/>
      <c r="BX12" s="172"/>
      <c r="BY12" s="172"/>
      <c r="BZ12" s="172"/>
      <c r="CE12" s="24"/>
      <c r="CF12" s="8"/>
      <c r="CK12" s="1">
        <f t="shared" si="35"/>
        <v>2.4</v>
      </c>
      <c r="CL12" s="1" t="str">
        <f t="shared" si="17"/>
        <v>0.0215973472222222+5.18336333333333i</v>
      </c>
      <c r="CM12" s="1" t="str">
        <f t="shared" si="18"/>
        <v>86.3893888888889</v>
      </c>
      <c r="CN12" s="1" t="str">
        <f t="shared" si="19"/>
        <v>-22.4972366898148i</v>
      </c>
      <c r="CO12" s="1" t="str">
        <f t="shared" si="20"/>
        <v>0.331246415552361-17.3350386909143i</v>
      </c>
      <c r="CP12" s="1" t="str">
        <f t="shared" si="21"/>
        <v>0.0191834803010191+1.15100881806115i</v>
      </c>
      <c r="CQ12" s="1" t="str">
        <f t="shared" si="22"/>
        <v>0.0236820338770313+1.23274846362965i</v>
      </c>
      <c r="CR12" s="2">
        <f t="shared" si="23"/>
        <v>2.4</v>
      </c>
      <c r="CS12" s="2">
        <f t="shared" si="24"/>
        <v>7.1113246426423929E-2</v>
      </c>
      <c r="CT12" s="1">
        <f t="shared" si="25"/>
        <v>2.4</v>
      </c>
      <c r="CU12" s="1">
        <f t="shared" si="26"/>
        <v>1.0710645194364741</v>
      </c>
      <c r="CX12" s="2">
        <f t="shared" si="27"/>
        <v>2.4</v>
      </c>
      <c r="CY12" s="2">
        <f t="shared" si="28"/>
        <v>17.338203211501241</v>
      </c>
      <c r="CZ12" s="2">
        <f t="shared" si="29"/>
        <v>1.1511686692969825</v>
      </c>
      <c r="DA12" s="2">
        <f t="shared" si="30"/>
        <v>1.232975917570905</v>
      </c>
      <c r="DH12" s="69">
        <f>Z24</f>
        <v>17</v>
      </c>
      <c r="DI12" s="69">
        <f>Z25</f>
        <v>0</v>
      </c>
      <c r="DJ12" s="2" t="str">
        <f t="shared" si="0"/>
        <v>0.0215973472222222+36.7154902777778i</v>
      </c>
      <c r="DK12" s="2" t="str">
        <f t="shared" si="1"/>
        <v>86.3893888888889</v>
      </c>
      <c r="DL12" s="1" t="str">
        <f t="shared" si="2"/>
        <v>-3.17608047385621i</v>
      </c>
      <c r="DM12" s="1" t="str">
        <f t="shared" si="3"/>
        <v>13.2294933116912+27.9091038503718i</v>
      </c>
      <c r="DN12" s="2">
        <f t="shared" si="4"/>
        <v>30.885879799916985</v>
      </c>
      <c r="DO12" s="14">
        <f t="shared" si="5"/>
        <v>0</v>
      </c>
      <c r="DP12" s="34">
        <f t="shared" si="6"/>
        <v>0</v>
      </c>
      <c r="DQ12" s="34">
        <f t="shared" si="7"/>
        <v>0</v>
      </c>
      <c r="DR12" s="14">
        <f t="shared" si="8"/>
        <v>0</v>
      </c>
      <c r="DS12" s="34">
        <f t="shared" si="31"/>
        <v>0</v>
      </c>
      <c r="DT12" s="34">
        <f t="shared" si="9"/>
        <v>0</v>
      </c>
      <c r="DU12" s="14">
        <f t="shared" si="32"/>
        <v>0</v>
      </c>
      <c r="DV12" s="34">
        <f t="shared" si="33"/>
        <v>0</v>
      </c>
      <c r="DW12" s="1">
        <f t="shared" si="10"/>
        <v>0</v>
      </c>
      <c r="DX12" s="1">
        <f t="shared" si="34"/>
        <v>0</v>
      </c>
      <c r="DY12">
        <f t="shared" si="11"/>
        <v>0</v>
      </c>
      <c r="DZ12" s="1">
        <f t="shared" si="12"/>
        <v>0</v>
      </c>
      <c r="EC12" s="15">
        <f t="shared" si="13"/>
        <v>17</v>
      </c>
      <c r="ED12" s="15">
        <f t="shared" si="14"/>
        <v>0</v>
      </c>
      <c r="EE12" s="56">
        <f t="shared" si="15"/>
        <v>0</v>
      </c>
      <c r="EF12" s="15">
        <f t="shared" si="16"/>
        <v>0</v>
      </c>
    </row>
    <row r="13" spans="2:136" ht="18" customHeight="1" x14ac:dyDescent="0.25">
      <c r="B13" s="28"/>
      <c r="C13" s="24"/>
      <c r="D13" s="24"/>
      <c r="E13" s="24"/>
      <c r="F13" s="24"/>
      <c r="G13" s="9" t="s">
        <v>22</v>
      </c>
      <c r="H13" s="234" t="s">
        <v>23</v>
      </c>
      <c r="I13" s="234"/>
      <c r="J13" s="234"/>
      <c r="K13" s="234"/>
      <c r="L13" s="234"/>
      <c r="M13" s="234"/>
      <c r="N13" s="234"/>
      <c r="O13" s="234"/>
      <c r="P13" s="234"/>
      <c r="Q13" s="234"/>
      <c r="R13" s="234"/>
      <c r="S13" s="234"/>
      <c r="T13" s="234"/>
      <c r="U13" s="234"/>
      <c r="V13" s="234"/>
      <c r="W13" s="234"/>
      <c r="X13" s="24"/>
      <c r="Y13" s="24"/>
      <c r="Z13" s="24"/>
      <c r="AA13" s="24"/>
      <c r="AB13" s="24"/>
      <c r="AC13" s="9" t="s">
        <v>24</v>
      </c>
      <c r="AD13" s="24"/>
      <c r="AE13" s="269" t="s">
        <v>25</v>
      </c>
      <c r="AF13" s="270"/>
      <c r="AG13" s="270"/>
      <c r="AH13" s="270"/>
      <c r="AI13" s="270"/>
      <c r="AJ13" s="270"/>
      <c r="AK13" s="270"/>
      <c r="AL13" s="270"/>
      <c r="AM13" s="270"/>
      <c r="AN13" s="271"/>
      <c r="AO13" s="24"/>
      <c r="AP13" s="8"/>
      <c r="AR13" s="6"/>
      <c r="BD13" s="29" t="s">
        <v>26</v>
      </c>
      <c r="BF13" s="209">
        <f>BJ21/(S28)</f>
        <v>0.76712686967990718</v>
      </c>
      <c r="BG13" s="209"/>
      <c r="BH13" s="209"/>
      <c r="BI13" s="209"/>
      <c r="BJ13" s="209"/>
      <c r="BK13" s="209"/>
      <c r="BL13" s="209"/>
      <c r="BN13" s="357">
        <f>(DS21/1000)/S28</f>
        <v>0.84132464410359153</v>
      </c>
      <c r="BO13" s="357"/>
      <c r="BP13" s="357"/>
      <c r="BQ13" s="357"/>
      <c r="BR13" s="357"/>
      <c r="BS13" s="357"/>
      <c r="BT13" s="357"/>
      <c r="BV13" s="210">
        <f>IF(LEFT(J30,2)="SD",1.1,1.25)</f>
        <v>1.25</v>
      </c>
      <c r="BW13" s="210"/>
      <c r="BX13" s="210"/>
      <c r="BY13" s="210"/>
      <c r="BZ13" s="210"/>
      <c r="CE13" s="24"/>
      <c r="CF13" s="8"/>
      <c r="CK13" s="1">
        <f t="shared" si="35"/>
        <v>2.6</v>
      </c>
      <c r="CL13" s="1" t="str">
        <f t="shared" si="17"/>
        <v>0.0215973472222222+5.61531027777778i</v>
      </c>
      <c r="CM13" s="1" t="str">
        <f t="shared" si="18"/>
        <v>86.3893888888889</v>
      </c>
      <c r="CN13" s="1" t="str">
        <f t="shared" si="19"/>
        <v>-20.7666800213675i</v>
      </c>
      <c r="CO13" s="1" t="str">
        <f t="shared" si="20"/>
        <v>0.384779805982578-15.1777776565698i</v>
      </c>
      <c r="CP13" s="1" t="str">
        <f t="shared" si="21"/>
        <v>0.0191834803010191+1.24692621956625i</v>
      </c>
      <c r="CQ13" s="1" t="str">
        <f t="shared" si="22"/>
        <v>0.0258477142116459+1.35831674672185i</v>
      </c>
      <c r="CR13" s="2">
        <f t="shared" si="23"/>
        <v>2.6</v>
      </c>
      <c r="CS13" s="2">
        <f t="shared" si="24"/>
        <v>8.948123516620779E-2</v>
      </c>
      <c r="CT13" s="1">
        <f t="shared" si="25"/>
        <v>2.6</v>
      </c>
      <c r="CU13" s="1">
        <f t="shared" si="26"/>
        <v>1.0894003879404159</v>
      </c>
      <c r="CX13" s="2">
        <f t="shared" si="27"/>
        <v>2.6</v>
      </c>
      <c r="CY13" s="2">
        <f t="shared" si="28"/>
        <v>15.182654250537404</v>
      </c>
      <c r="CZ13" s="2">
        <f t="shared" si="29"/>
        <v>1.2470737760686974</v>
      </c>
      <c r="DA13" s="2">
        <f t="shared" si="30"/>
        <v>1.3585626554395633</v>
      </c>
      <c r="DH13" s="69">
        <f>AB24</f>
        <v>19</v>
      </c>
      <c r="DI13" s="69">
        <f>AB25</f>
        <v>0</v>
      </c>
      <c r="DJ13" s="2" t="str">
        <f t="shared" si="0"/>
        <v>0.0215973472222222+41.0349597222222i</v>
      </c>
      <c r="DK13" s="2" t="str">
        <f t="shared" si="1"/>
        <v>86.3893888888889</v>
      </c>
      <c r="DL13" s="1" t="str">
        <f t="shared" si="2"/>
        <v>-2.84175621345029i</v>
      </c>
      <c r="DM13" s="1" t="str">
        <f t="shared" si="3"/>
        <v>15.9145336894332+30.6254332089356i</v>
      </c>
      <c r="DN13" s="2">
        <f t="shared" si="4"/>
        <v>34.513613861592063</v>
      </c>
      <c r="DO13" s="14">
        <f t="shared" si="5"/>
        <v>0</v>
      </c>
      <c r="DP13" s="34">
        <f t="shared" si="6"/>
        <v>0</v>
      </c>
      <c r="DQ13" s="34">
        <f t="shared" si="7"/>
        <v>0</v>
      </c>
      <c r="DR13" s="14">
        <f t="shared" si="8"/>
        <v>0</v>
      </c>
      <c r="DS13" s="34">
        <f t="shared" si="31"/>
        <v>0</v>
      </c>
      <c r="DT13" s="34">
        <f t="shared" si="9"/>
        <v>0</v>
      </c>
      <c r="DU13" s="14">
        <f t="shared" si="32"/>
        <v>0</v>
      </c>
      <c r="DV13" s="34">
        <f t="shared" si="33"/>
        <v>0</v>
      </c>
      <c r="DW13" s="1">
        <f t="shared" si="10"/>
        <v>0</v>
      </c>
      <c r="DX13" s="1">
        <f t="shared" si="34"/>
        <v>0</v>
      </c>
      <c r="DY13">
        <f t="shared" si="11"/>
        <v>0</v>
      </c>
      <c r="DZ13" s="1">
        <f t="shared" si="12"/>
        <v>0</v>
      </c>
      <c r="EC13" s="15">
        <f t="shared" si="13"/>
        <v>19</v>
      </c>
      <c r="ED13" s="15">
        <f t="shared" si="14"/>
        <v>0</v>
      </c>
      <c r="EE13" s="56">
        <f t="shared" si="15"/>
        <v>0</v>
      </c>
      <c r="EF13" s="15">
        <f t="shared" si="16"/>
        <v>0</v>
      </c>
    </row>
    <row r="14" spans="2:136" ht="18" customHeight="1" x14ac:dyDescent="0.25">
      <c r="B14" s="28"/>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8"/>
      <c r="AR14" s="6"/>
      <c r="BD14" s="29" t="s">
        <v>27</v>
      </c>
      <c r="BF14" s="204">
        <f>BJ22/(S28*SQRT(2))</f>
        <v>0.98900398227191322</v>
      </c>
      <c r="BG14" s="204"/>
      <c r="BH14" s="204"/>
      <c r="BI14" s="204"/>
      <c r="BJ14" s="204"/>
      <c r="BK14" s="204"/>
      <c r="BL14" s="204"/>
      <c r="BN14" s="360">
        <f>(DU21/1000)/(S28*SQRT(2))</f>
        <v>1.0643898223567227</v>
      </c>
      <c r="BO14" s="360"/>
      <c r="BP14" s="360"/>
      <c r="BQ14" s="360"/>
      <c r="BR14" s="360"/>
      <c r="BS14" s="360"/>
      <c r="BT14" s="360"/>
      <c r="BV14" s="203">
        <f>IF(LEFT(J30,2)="SD",1.2,1.35)</f>
        <v>1.35</v>
      </c>
      <c r="BW14" s="203"/>
      <c r="BX14" s="203"/>
      <c r="BY14" s="203"/>
      <c r="BZ14" s="203"/>
      <c r="CF14" s="8"/>
      <c r="CK14" s="1">
        <f t="shared" si="35"/>
        <v>2.8000000000000003</v>
      </c>
      <c r="CL14" s="1" t="str">
        <f t="shared" si="17"/>
        <v>0.0215973472222222+6.04725722222222i</v>
      </c>
      <c r="CM14" s="1" t="str">
        <f t="shared" si="18"/>
        <v>86.3893888888889</v>
      </c>
      <c r="CN14" s="1" t="str">
        <f t="shared" si="19"/>
        <v>-19.283345734127i</v>
      </c>
      <c r="CO14" s="1" t="str">
        <f t="shared" si="20"/>
        <v>0.442521110460527-13.2685686838996i</v>
      </c>
      <c r="CP14" s="1" t="str">
        <f t="shared" si="21"/>
        <v>0.0191834803010191+1.34284362107134i</v>
      </c>
      <c r="CQ14" s="1" t="str">
        <f t="shared" si="22"/>
        <v>0.0293411056092189+1.49362448789714i</v>
      </c>
      <c r="CR14" s="2">
        <f t="shared" si="23"/>
        <v>2.8000000000000003</v>
      </c>
      <c r="CS14" s="2">
        <f t="shared" si="24"/>
        <v>0.11252777480157526</v>
      </c>
      <c r="CT14" s="1">
        <f t="shared" si="25"/>
        <v>2.8000000000000003</v>
      </c>
      <c r="CU14" s="1">
        <f t="shared" si="26"/>
        <v>1.112385844235054</v>
      </c>
      <c r="CX14" s="2">
        <f t="shared" si="27"/>
        <v>2.8000000000000003</v>
      </c>
      <c r="CY14" s="2">
        <f t="shared" si="28"/>
        <v>13.27594591178212</v>
      </c>
      <c r="CZ14" s="2">
        <f t="shared" si="29"/>
        <v>1.3429806389402819</v>
      </c>
      <c r="DA14" s="2">
        <f t="shared" si="30"/>
        <v>1.4939126518389103</v>
      </c>
      <c r="DH14" s="69">
        <f>AD24</f>
        <v>23</v>
      </c>
      <c r="DI14" s="69">
        <f>AD25</f>
        <v>0</v>
      </c>
      <c r="DJ14" s="2" t="str">
        <f t="shared" si="0"/>
        <v>0.0215973472222222+49.6738986111111i</v>
      </c>
      <c r="DK14" s="2" t="str">
        <f t="shared" si="1"/>
        <v>86.3893888888889</v>
      </c>
      <c r="DL14" s="1" t="str">
        <f t="shared" si="2"/>
        <v>-2.34753774154589i</v>
      </c>
      <c r="DM14" s="1" t="str">
        <f t="shared" si="3"/>
        <v>21.4736355382445+34.9696911278572i</v>
      </c>
      <c r="DN14" s="2">
        <f t="shared" si="4"/>
        <v>41.036524229119259</v>
      </c>
      <c r="DO14" s="14">
        <f t="shared" si="5"/>
        <v>0</v>
      </c>
      <c r="DP14" s="34">
        <f t="shared" si="6"/>
        <v>0</v>
      </c>
      <c r="DQ14" s="34">
        <f t="shared" si="7"/>
        <v>0</v>
      </c>
      <c r="DR14" s="14">
        <f t="shared" si="8"/>
        <v>0</v>
      </c>
      <c r="DS14" s="34">
        <f t="shared" si="31"/>
        <v>0</v>
      </c>
      <c r="DT14" s="34">
        <f t="shared" si="9"/>
        <v>0</v>
      </c>
      <c r="DU14" s="14">
        <f t="shared" si="32"/>
        <v>0</v>
      </c>
      <c r="DV14" s="34">
        <f t="shared" si="33"/>
        <v>0</v>
      </c>
      <c r="DW14" s="1">
        <f t="shared" si="10"/>
        <v>0</v>
      </c>
      <c r="DX14" s="1">
        <f t="shared" si="34"/>
        <v>0</v>
      </c>
      <c r="DY14">
        <f t="shared" si="11"/>
        <v>0</v>
      </c>
      <c r="DZ14" s="1">
        <f t="shared" si="12"/>
        <v>0</v>
      </c>
      <c r="EC14" s="15">
        <f t="shared" si="13"/>
        <v>23</v>
      </c>
      <c r="ED14" s="15">
        <f t="shared" si="14"/>
        <v>0</v>
      </c>
      <c r="EE14" s="56">
        <f t="shared" si="15"/>
        <v>0</v>
      </c>
      <c r="EF14" s="15">
        <f t="shared" si="16"/>
        <v>0</v>
      </c>
    </row>
    <row r="15" spans="2:136" ht="18" customHeight="1" x14ac:dyDescent="0.3">
      <c r="B15" s="6"/>
      <c r="C15" s="30" t="s">
        <v>28</v>
      </c>
      <c r="D15" s="31"/>
      <c r="E15" s="31"/>
      <c r="F15" s="31"/>
      <c r="G15" s="31"/>
      <c r="H15" s="31"/>
      <c r="I15" s="31"/>
      <c r="J15" s="31"/>
      <c r="K15" s="31"/>
      <c r="AP15" s="8"/>
      <c r="AR15" s="6"/>
      <c r="BD15" s="29" t="str">
        <f>"% "&amp;$S$20&amp;"HZ AMPS:"</f>
        <v>% 60HZ AMPS:</v>
      </c>
      <c r="BF15" s="212">
        <f>BJ23/(AJ29/S28)</f>
        <v>1.2041289436496849</v>
      </c>
      <c r="BG15" s="212"/>
      <c r="BH15" s="212"/>
      <c r="BI15" s="212"/>
      <c r="BJ15" s="212"/>
      <c r="BK15" s="212"/>
      <c r="BL15" s="212"/>
      <c r="BN15" s="356">
        <f>DV21/(AJ29/S28)</f>
        <v>1.25270508721169</v>
      </c>
      <c r="BO15" s="356"/>
      <c r="BP15" s="356"/>
      <c r="BQ15" s="356"/>
      <c r="BR15" s="356"/>
      <c r="BS15" s="356"/>
      <c r="BT15" s="356"/>
      <c r="BV15" s="213">
        <v>1.35</v>
      </c>
      <c r="BW15" s="213"/>
      <c r="BX15" s="213"/>
      <c r="BY15" s="213"/>
      <c r="BZ15" s="213"/>
      <c r="CF15" s="8"/>
      <c r="CK15" s="1">
        <f t="shared" si="35"/>
        <v>3.0000000000000004</v>
      </c>
      <c r="CL15" s="1" t="str">
        <f t="shared" si="17"/>
        <v>0.0215973472222222+6.47920416666667i</v>
      </c>
      <c r="CM15" s="1" t="str">
        <f t="shared" si="18"/>
        <v>86.3893888888889</v>
      </c>
      <c r="CN15" s="1" t="str">
        <f t="shared" si="19"/>
        <v>-17.9977893518519i</v>
      </c>
      <c r="CO15" s="1" t="str">
        <f t="shared" si="20"/>
        <v>0.504453251366083-11.5580291190959i</v>
      </c>
      <c r="CP15" s="1" t="str">
        <f t="shared" si="21"/>
        <v>0.0191834803010191+1.43876102257644i</v>
      </c>
      <c r="CQ15" s="1" t="str">
        <f t="shared" si="22"/>
        <v>0.0351792418626199+1.6424604686434i</v>
      </c>
      <c r="CR15" s="2">
        <f t="shared" si="23"/>
        <v>3.0000000000000004</v>
      </c>
      <c r="CS15" s="2">
        <f t="shared" si="24"/>
        <v>0.14200298840906422</v>
      </c>
      <c r="CT15" s="1">
        <f t="shared" si="25"/>
        <v>3.0000000000000004</v>
      </c>
      <c r="CU15" s="1">
        <f t="shared" si="26"/>
        <v>1.1417401045954041</v>
      </c>
      <c r="CX15" s="2">
        <f t="shared" si="27"/>
        <v>3.0000000000000004</v>
      </c>
      <c r="CY15" s="2">
        <f t="shared" si="28"/>
        <v>11.569032379619419</v>
      </c>
      <c r="CZ15" s="2">
        <f t="shared" si="29"/>
        <v>1.4388889067616244</v>
      </c>
      <c r="DA15" s="2">
        <f t="shared" si="30"/>
        <v>1.6428371709071858</v>
      </c>
      <c r="DH15" s="69">
        <f>AF24</f>
        <v>25</v>
      </c>
      <c r="DI15" s="69">
        <f>AF25</f>
        <v>0</v>
      </c>
      <c r="DJ15" s="2" t="str">
        <f t="shared" si="0"/>
        <v>0.0215973472222222+53.9933680555556i</v>
      </c>
      <c r="DK15" s="2" t="str">
        <f t="shared" si="1"/>
        <v>86.3893888888889</v>
      </c>
      <c r="DL15" s="1" t="str">
        <f t="shared" si="2"/>
        <v>-2.15973472222222i</v>
      </c>
      <c r="DM15" s="1" t="str">
        <f t="shared" si="3"/>
        <v>24.2734881942228+36.6530000282565i</v>
      </c>
      <c r="DN15" s="2">
        <f t="shared" si="4"/>
        <v>43.961854376111624</v>
      </c>
      <c r="DO15" s="14">
        <f t="shared" si="5"/>
        <v>0</v>
      </c>
      <c r="DP15" s="34">
        <f t="shared" si="6"/>
        <v>0</v>
      </c>
      <c r="DQ15" s="34">
        <f t="shared" si="7"/>
        <v>0</v>
      </c>
      <c r="DR15" s="14">
        <f t="shared" si="8"/>
        <v>0</v>
      </c>
      <c r="DS15" s="34">
        <f t="shared" si="31"/>
        <v>0</v>
      </c>
      <c r="DT15" s="34">
        <f t="shared" si="9"/>
        <v>0</v>
      </c>
      <c r="DU15" s="14">
        <f t="shared" si="32"/>
        <v>0</v>
      </c>
      <c r="DV15" s="34">
        <f t="shared" si="33"/>
        <v>0</v>
      </c>
      <c r="DW15" s="1">
        <f t="shared" si="10"/>
        <v>0</v>
      </c>
      <c r="DX15" s="1">
        <f t="shared" si="34"/>
        <v>0</v>
      </c>
      <c r="DY15">
        <f t="shared" si="11"/>
        <v>0</v>
      </c>
      <c r="DZ15" s="1">
        <f t="shared" si="12"/>
        <v>0</v>
      </c>
      <c r="EC15" s="15">
        <f t="shared" si="13"/>
        <v>25</v>
      </c>
      <c r="ED15" s="15">
        <f t="shared" si="14"/>
        <v>0</v>
      </c>
      <c r="EE15" s="56">
        <f t="shared" si="15"/>
        <v>0</v>
      </c>
      <c r="EF15" s="15">
        <f t="shared" si="16"/>
        <v>0</v>
      </c>
    </row>
    <row r="16" spans="2:136" ht="18" customHeight="1" x14ac:dyDescent="0.25">
      <c r="B16" s="6"/>
      <c r="D16" s="162" t="s">
        <v>29</v>
      </c>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8"/>
      <c r="AR16" s="6"/>
      <c r="BD16" s="29" t="str">
        <f>"% "&amp;$S$20&amp;"HZ KVAR:"</f>
        <v>% 60HZ KVAR:</v>
      </c>
      <c r="BF16" s="202">
        <f>DW21/AJ29</f>
        <v>0.69577539941733657</v>
      </c>
      <c r="BG16" s="202"/>
      <c r="BH16" s="202"/>
      <c r="BI16" s="202"/>
      <c r="BJ16" s="202"/>
      <c r="BK16" s="202"/>
      <c r="BL16" s="202"/>
      <c r="BN16" s="204">
        <f>DX21/AJ29</f>
        <v>0.81511892200847813</v>
      </c>
      <c r="BO16" s="204"/>
      <c r="BP16" s="204"/>
      <c r="BQ16" s="204"/>
      <c r="BR16" s="204"/>
      <c r="BS16" s="204"/>
      <c r="BT16" s="204"/>
      <c r="BV16" s="203">
        <v>1.35</v>
      </c>
      <c r="BW16" s="203"/>
      <c r="BX16" s="203"/>
      <c r="BY16" s="203"/>
      <c r="BZ16" s="203"/>
      <c r="CF16" s="8"/>
      <c r="CK16" s="1">
        <f t="shared" si="35"/>
        <v>3.2000000000000006</v>
      </c>
      <c r="CL16" s="1" t="str">
        <f t="shared" si="17"/>
        <v>0.0215973472222222+6.91115111111111i</v>
      </c>
      <c r="CM16" s="1" t="str">
        <f t="shared" si="18"/>
        <v>86.3893888888889</v>
      </c>
      <c r="CN16" s="1" t="str">
        <f t="shared" si="19"/>
        <v>-16.8729275173611i</v>
      </c>
      <c r="CO16" s="1" t="str">
        <f t="shared" si="20"/>
        <v>0.570557949933503-10.0091369898765i</v>
      </c>
      <c r="CP16" s="1" t="str">
        <f t="shared" si="21"/>
        <v>0.0191834803010191+1.53467842408153i</v>
      </c>
      <c r="CQ16" s="1" t="str">
        <f t="shared" si="22"/>
        <v>0.0453425361522432+1.81073650640625i</v>
      </c>
      <c r="CR16" s="2">
        <f t="shared" si="23"/>
        <v>3.2000000000000006</v>
      </c>
      <c r="CS16" s="2">
        <f t="shared" si="24"/>
        <v>0.18067176369933796</v>
      </c>
      <c r="CT16" s="1">
        <f t="shared" si="25"/>
        <v>3.2000000000000006</v>
      </c>
      <c r="CU16" s="1">
        <f t="shared" si="26"/>
        <v>1.180157749810868</v>
      </c>
      <c r="CX16" s="2">
        <f t="shared" si="27"/>
        <v>3.2000000000000006</v>
      </c>
      <c r="CY16" s="2">
        <f t="shared" si="28"/>
        <v>10.025385760974306</v>
      </c>
      <c r="CZ16" s="2">
        <f t="shared" si="29"/>
        <v>1.5347983161503107</v>
      </c>
      <c r="DA16" s="2">
        <f t="shared" si="30"/>
        <v>1.8113041272014563</v>
      </c>
      <c r="DH16" s="69">
        <f>AH24</f>
        <v>29</v>
      </c>
      <c r="DI16" s="69">
        <f>AH25</f>
        <v>0</v>
      </c>
      <c r="DJ16" s="2" t="str">
        <f t="shared" si="0"/>
        <v>0.0215973472222222+62.6323069444445i</v>
      </c>
      <c r="DK16" s="2" t="str">
        <f t="shared" si="1"/>
        <v>86.3893888888889</v>
      </c>
      <c r="DL16" s="1" t="str">
        <f t="shared" si="2"/>
        <v>-1.86184027777778i</v>
      </c>
      <c r="DM16" s="1" t="str">
        <f t="shared" si="3"/>
        <v>29.7682191306529+39.1782477749302i</v>
      </c>
      <c r="DN16" s="2">
        <f t="shared" si="4"/>
        <v>49.204491349107478</v>
      </c>
      <c r="DO16" s="14">
        <f t="shared" si="5"/>
        <v>0</v>
      </c>
      <c r="DP16" s="34">
        <f t="shared" si="6"/>
        <v>0</v>
      </c>
      <c r="DQ16" s="34">
        <f t="shared" si="7"/>
        <v>0</v>
      </c>
      <c r="DR16" s="14">
        <f t="shared" si="8"/>
        <v>0</v>
      </c>
      <c r="DS16" s="34">
        <f t="shared" si="31"/>
        <v>0</v>
      </c>
      <c r="DT16" s="34">
        <f t="shared" si="9"/>
        <v>0</v>
      </c>
      <c r="DU16" s="14">
        <f t="shared" si="32"/>
        <v>0</v>
      </c>
      <c r="DV16" s="34">
        <f t="shared" si="33"/>
        <v>0</v>
      </c>
      <c r="DW16" s="1">
        <f t="shared" si="10"/>
        <v>0</v>
      </c>
      <c r="DX16" s="1">
        <f t="shared" si="34"/>
        <v>0</v>
      </c>
      <c r="DY16">
        <f t="shared" si="11"/>
        <v>0</v>
      </c>
      <c r="DZ16" s="1">
        <f t="shared" si="12"/>
        <v>0</v>
      </c>
      <c r="EC16" s="15">
        <f t="shared" si="13"/>
        <v>29</v>
      </c>
      <c r="ED16" s="15">
        <f t="shared" si="14"/>
        <v>0</v>
      </c>
      <c r="EE16" s="56">
        <f t="shared" si="15"/>
        <v>0</v>
      </c>
      <c r="EF16" s="15">
        <f t="shared" si="16"/>
        <v>0</v>
      </c>
    </row>
    <row r="17" spans="2:136" ht="18" customHeight="1" x14ac:dyDescent="0.25">
      <c r="B17" s="28"/>
      <c r="C17" s="24"/>
      <c r="D17" s="24"/>
      <c r="E17" s="24"/>
      <c r="F17" s="24"/>
      <c r="G17" s="24"/>
      <c r="H17" s="24"/>
      <c r="I17" s="24"/>
      <c r="J17" s="24"/>
      <c r="K17" s="24"/>
      <c r="L17" s="24"/>
      <c r="M17" s="24"/>
      <c r="N17" s="24"/>
      <c r="O17" s="24"/>
      <c r="P17" s="24"/>
      <c r="Q17" s="24"/>
      <c r="R17" s="32" t="s">
        <v>31</v>
      </c>
      <c r="S17" s="247">
        <v>12.47</v>
      </c>
      <c r="T17" s="247"/>
      <c r="U17" s="247"/>
      <c r="V17" s="33" t="s">
        <v>32</v>
      </c>
      <c r="W17" s="24"/>
      <c r="X17" s="24"/>
      <c r="Y17" s="24"/>
      <c r="Z17" s="24"/>
      <c r="AA17" s="24"/>
      <c r="AB17" s="24"/>
      <c r="AC17" s="24"/>
      <c r="AD17" s="24"/>
      <c r="AE17" s="24"/>
      <c r="AF17" s="24"/>
      <c r="AG17" s="24"/>
      <c r="AH17" s="24"/>
      <c r="AI17" s="24"/>
      <c r="AJ17" s="32" t="s">
        <v>33</v>
      </c>
      <c r="AK17" s="249">
        <f>S17*S17/(S18*0.001)</f>
        <v>51.833633333333346</v>
      </c>
      <c r="AL17" s="249"/>
      <c r="AM17" s="249"/>
      <c r="AN17" s="24" t="s">
        <v>34</v>
      </c>
      <c r="AO17" s="24"/>
      <c r="AP17" s="8"/>
      <c r="AR17" s="6"/>
      <c r="CF17" s="8"/>
      <c r="CK17" s="1">
        <f t="shared" si="35"/>
        <v>3.4000000000000008</v>
      </c>
      <c r="CL17" s="1" t="str">
        <f t="shared" si="17"/>
        <v>0.0215973472222222+7.34309805555556i</v>
      </c>
      <c r="CM17" s="1" t="str">
        <f t="shared" si="18"/>
        <v>86.3893888888889</v>
      </c>
      <c r="CN17" s="1" t="str">
        <f t="shared" si="19"/>
        <v>-15.880402369281i</v>
      </c>
      <c r="CO17" s="1" t="str">
        <f t="shared" si="20"/>
        <v>0.640815739641536-8.59359535334895i</v>
      </c>
      <c r="CP17" s="1" t="str">
        <f t="shared" si="21"/>
        <v>0.0191834803010191+1.63059582558663i</v>
      </c>
      <c r="CQ17" s="1" t="str">
        <f t="shared" si="22"/>
        <v>0.0639555573523036+2.00815224995421i</v>
      </c>
      <c r="CR17" s="2">
        <f t="shared" si="23"/>
        <v>3.4000000000000008</v>
      </c>
      <c r="CS17" s="2">
        <f t="shared" si="24"/>
        <v>0.23315125909327891</v>
      </c>
      <c r="CT17" s="1">
        <f t="shared" si="25"/>
        <v>3.4000000000000008</v>
      </c>
      <c r="CU17" s="1">
        <f t="shared" si="26"/>
        <v>1.2320842227752855</v>
      </c>
      <c r="CX17" s="2">
        <f t="shared" si="27"/>
        <v>3.4000000000000008</v>
      </c>
      <c r="CY17" s="2">
        <f t="shared" si="28"/>
        <v>8.6174547233665812</v>
      </c>
      <c r="CZ17" s="2">
        <f t="shared" si="29"/>
        <v>1.6307086656840339</v>
      </c>
      <c r="DA17" s="2">
        <f t="shared" si="30"/>
        <v>2.0091704189322517</v>
      </c>
      <c r="DH17" s="69">
        <f>AJ24</f>
        <v>31</v>
      </c>
      <c r="DI17" s="69">
        <f>AJ25</f>
        <v>0</v>
      </c>
      <c r="DJ17" s="2" t="str">
        <f t="shared" si="0"/>
        <v>0.0215973472222222+66.9517763888889i</v>
      </c>
      <c r="DK17" s="2" t="str">
        <f t="shared" si="1"/>
        <v>86.3893888888889</v>
      </c>
      <c r="DL17" s="1" t="str">
        <f t="shared" si="2"/>
        <v>-1.74172155017921i</v>
      </c>
      <c r="DM17" s="1" t="str">
        <f t="shared" si="3"/>
        <v>32.4204714945232+40.0737355661751i</v>
      </c>
      <c r="DN17" s="2">
        <f t="shared" si="4"/>
        <v>51.546011040185441</v>
      </c>
      <c r="DO17" s="14">
        <f t="shared" si="5"/>
        <v>0</v>
      </c>
      <c r="DP17" s="34">
        <f t="shared" si="6"/>
        <v>0</v>
      </c>
      <c r="DQ17" s="34">
        <f t="shared" si="7"/>
        <v>0</v>
      </c>
      <c r="DR17" s="14">
        <f t="shared" si="8"/>
        <v>0</v>
      </c>
      <c r="DS17" s="34">
        <f t="shared" si="31"/>
        <v>0</v>
      </c>
      <c r="DT17" s="34">
        <f t="shared" si="9"/>
        <v>0</v>
      </c>
      <c r="DU17" s="14">
        <f t="shared" si="32"/>
        <v>0</v>
      </c>
      <c r="DV17" s="34">
        <f t="shared" si="33"/>
        <v>0</v>
      </c>
      <c r="DW17" s="1">
        <f t="shared" si="10"/>
        <v>0</v>
      </c>
      <c r="DX17" s="1">
        <f t="shared" si="34"/>
        <v>0</v>
      </c>
      <c r="DY17">
        <f t="shared" si="11"/>
        <v>0</v>
      </c>
      <c r="DZ17" s="1">
        <f t="shared" si="12"/>
        <v>0</v>
      </c>
      <c r="EC17" s="15">
        <f t="shared" si="13"/>
        <v>31</v>
      </c>
      <c r="ED17" s="15">
        <f t="shared" si="14"/>
        <v>0</v>
      </c>
      <c r="EE17" s="56">
        <f t="shared" si="15"/>
        <v>0</v>
      </c>
      <c r="EF17" s="15">
        <f t="shared" si="16"/>
        <v>0</v>
      </c>
    </row>
    <row r="18" spans="2:136" ht="18" customHeight="1" x14ac:dyDescent="0.25">
      <c r="B18" s="28"/>
      <c r="C18" s="24"/>
      <c r="D18" s="24"/>
      <c r="E18" s="177" t="s">
        <v>36</v>
      </c>
      <c r="F18" s="177"/>
      <c r="G18" s="177"/>
      <c r="H18" s="177"/>
      <c r="I18" s="177"/>
      <c r="J18" s="177"/>
      <c r="K18" s="177"/>
      <c r="L18" s="177"/>
      <c r="M18" s="177"/>
      <c r="N18" s="177"/>
      <c r="O18" s="177"/>
      <c r="P18" s="177"/>
      <c r="Q18" s="177"/>
      <c r="R18" s="272"/>
      <c r="S18" s="247">
        <v>3000</v>
      </c>
      <c r="T18" s="247"/>
      <c r="U18" s="247"/>
      <c r="V18" s="36" t="s">
        <v>37</v>
      </c>
      <c r="W18" s="24"/>
      <c r="X18" s="37"/>
      <c r="Y18" s="37"/>
      <c r="Z18" s="37"/>
      <c r="AA18" s="37"/>
      <c r="AB18" s="37"/>
      <c r="AC18" s="37"/>
      <c r="AD18" s="24"/>
      <c r="AE18" s="37"/>
      <c r="AF18" s="37"/>
      <c r="AG18" s="24"/>
      <c r="AH18" s="24"/>
      <c r="AI18" s="24"/>
      <c r="AJ18" s="24"/>
      <c r="AK18" s="24"/>
      <c r="AL18" s="24"/>
      <c r="AM18" s="24"/>
      <c r="AN18" s="24"/>
      <c r="AO18" s="24"/>
      <c r="AP18" s="8"/>
      <c r="AR18" s="6"/>
      <c r="AS18" s="208" t="s">
        <v>38</v>
      </c>
      <c r="AT18" s="208"/>
      <c r="AU18" s="208"/>
      <c r="AV18" s="208"/>
      <c r="AW18" s="208"/>
      <c r="AX18" s="208"/>
      <c r="AY18" s="208"/>
      <c r="AZ18" s="208"/>
      <c r="BA18" s="208"/>
      <c r="BB18" s="208"/>
      <c r="BC18" s="208"/>
      <c r="BD18" s="208"/>
      <c r="BE18" s="208"/>
      <c r="BF18" s="208"/>
      <c r="BG18" s="208"/>
      <c r="BH18" s="208"/>
      <c r="BI18" s="208"/>
      <c r="BJ18" s="211">
        <f>AK20/S29</f>
        <v>46.354024224613056</v>
      </c>
      <c r="BK18" s="211"/>
      <c r="BL18" s="211"/>
      <c r="BM18" s="33" t="s">
        <v>39</v>
      </c>
      <c r="BN18" s="38"/>
      <c r="BO18" s="38"/>
      <c r="BZ18" s="35" t="s">
        <v>40</v>
      </c>
      <c r="CA18" s="249">
        <f>(S28*S28)/AJ28*1000</f>
        <v>161.98010416666671</v>
      </c>
      <c r="CB18" s="249"/>
      <c r="CC18" s="249"/>
      <c r="CD18" s="1" t="s">
        <v>34</v>
      </c>
      <c r="CF18" s="8"/>
      <c r="CK18" s="1">
        <f t="shared" si="35"/>
        <v>3.600000000000001</v>
      </c>
      <c r="CL18" s="1" t="str">
        <f t="shared" si="17"/>
        <v>0.0215973472222222+7.775045i</v>
      </c>
      <c r="CM18" s="1" t="str">
        <f t="shared" si="18"/>
        <v>86.3893888888889</v>
      </c>
      <c r="CN18" s="1" t="str">
        <f t="shared" si="19"/>
        <v>-14.9981577932099i</v>
      </c>
      <c r="CO18" s="1" t="str">
        <f t="shared" si="20"/>
        <v>0.715205980426982-7.28940851876694i</v>
      </c>
      <c r="CP18" s="1" t="str">
        <f t="shared" si="21"/>
        <v>0.0191834803010191+1.72651322709173i</v>
      </c>
      <c r="CQ18" s="1" t="str">
        <f t="shared" si="22"/>
        <v>0.100406743245334+2.25156902195902i</v>
      </c>
      <c r="CR18" s="2">
        <f t="shared" si="23"/>
        <v>3.600000000000001</v>
      </c>
      <c r="CS18" s="2">
        <f t="shared" si="24"/>
        <v>0.30771166345502687</v>
      </c>
      <c r="CT18" s="1">
        <f t="shared" si="25"/>
        <v>3.600000000000001</v>
      </c>
      <c r="CU18" s="1">
        <f t="shared" si="26"/>
        <v>1.3053288784322361</v>
      </c>
      <c r="CX18" s="2">
        <f t="shared" si="27"/>
        <v>3.600000000000001</v>
      </c>
      <c r="CY18" s="2">
        <f t="shared" si="28"/>
        <v>7.3244109761748462</v>
      </c>
      <c r="CZ18" s="2">
        <f t="shared" si="29"/>
        <v>1.7266197986931455</v>
      </c>
      <c r="DA18" s="2">
        <f t="shared" si="30"/>
        <v>2.2538066853070231</v>
      </c>
      <c r="DH18" s="69">
        <f>AL24</f>
        <v>35</v>
      </c>
      <c r="DI18" s="69">
        <f>AL25</f>
        <v>0</v>
      </c>
      <c r="DJ18" s="2" t="str">
        <f t="shared" si="0"/>
        <v>0.0215973472222222+75.5907152777778i</v>
      </c>
      <c r="DK18" s="2" t="str">
        <f t="shared" si="1"/>
        <v>86.3893888888889</v>
      </c>
      <c r="DL18" s="1" t="str">
        <f t="shared" si="2"/>
        <v>-1.54266765873016i</v>
      </c>
      <c r="DM18" s="1" t="str">
        <f t="shared" si="3"/>
        <v>37.462510452662+41.2576508933303i</v>
      </c>
      <c r="DN18" s="2">
        <f t="shared" si="4"/>
        <v>55.728210510043546</v>
      </c>
      <c r="DO18" s="14">
        <f t="shared" si="5"/>
        <v>0</v>
      </c>
      <c r="DP18" s="34">
        <f t="shared" si="6"/>
        <v>0</v>
      </c>
      <c r="DQ18" s="34">
        <f t="shared" si="7"/>
        <v>0</v>
      </c>
      <c r="DR18" s="14">
        <f t="shared" si="8"/>
        <v>0</v>
      </c>
      <c r="DS18" s="34">
        <f t="shared" si="31"/>
        <v>0</v>
      </c>
      <c r="DT18" s="34">
        <f t="shared" si="9"/>
        <v>0</v>
      </c>
      <c r="DU18" s="14">
        <f t="shared" si="32"/>
        <v>0</v>
      </c>
      <c r="DV18" s="34">
        <f t="shared" si="33"/>
        <v>0</v>
      </c>
      <c r="DW18" s="1">
        <f t="shared" si="10"/>
        <v>0</v>
      </c>
      <c r="DX18" s="1">
        <f t="shared" si="34"/>
        <v>0</v>
      </c>
      <c r="DY18">
        <f t="shared" si="11"/>
        <v>0</v>
      </c>
      <c r="DZ18" s="1">
        <f t="shared" si="12"/>
        <v>0</v>
      </c>
      <c r="EC18" s="15">
        <f t="shared" si="13"/>
        <v>35</v>
      </c>
      <c r="ED18" s="15">
        <f t="shared" si="14"/>
        <v>0</v>
      </c>
      <c r="EE18" s="56">
        <f t="shared" si="15"/>
        <v>0</v>
      </c>
      <c r="EF18" s="15">
        <f t="shared" si="16"/>
        <v>0</v>
      </c>
    </row>
    <row r="19" spans="2:136" ht="18" customHeight="1" x14ac:dyDescent="0.25">
      <c r="B19" s="28"/>
      <c r="C19" s="24"/>
      <c r="D19" s="24"/>
      <c r="E19" s="177" t="s">
        <v>41</v>
      </c>
      <c r="F19" s="177"/>
      <c r="G19" s="177"/>
      <c r="H19" s="177"/>
      <c r="I19" s="177"/>
      <c r="J19" s="177"/>
      <c r="K19" s="177"/>
      <c r="L19" s="177"/>
      <c r="M19" s="177"/>
      <c r="N19" s="177"/>
      <c r="O19" s="177"/>
      <c r="P19" s="177"/>
      <c r="Q19" s="177"/>
      <c r="R19" s="272"/>
      <c r="S19" s="358">
        <v>5</v>
      </c>
      <c r="T19" s="358"/>
      <c r="U19" s="358"/>
      <c r="V19" s="33" t="s">
        <v>42</v>
      </c>
      <c r="W19" s="24"/>
      <c r="X19" s="24"/>
      <c r="Y19" s="24"/>
      <c r="Z19" s="24"/>
      <c r="AA19" s="24"/>
      <c r="AB19" s="24"/>
      <c r="AC19" s="24"/>
      <c r="AD19" s="24"/>
      <c r="AE19" s="24"/>
      <c r="AF19" s="24"/>
      <c r="AG19" s="24"/>
      <c r="AH19" s="24"/>
      <c r="AI19" s="24"/>
      <c r="AJ19" s="32" t="s">
        <v>43</v>
      </c>
      <c r="AK19" s="158">
        <f>S20*S19</f>
        <v>300</v>
      </c>
      <c r="AL19" s="158"/>
      <c r="AM19" s="158"/>
      <c r="AN19" s="24" t="s">
        <v>44</v>
      </c>
      <c r="AO19" s="24"/>
      <c r="AP19" s="8"/>
      <c r="AR19" s="6"/>
      <c r="AS19" s="208" t="s">
        <v>45</v>
      </c>
      <c r="AT19" s="208"/>
      <c r="AU19" s="208"/>
      <c r="AV19" s="208"/>
      <c r="AW19" s="208"/>
      <c r="AX19" s="208"/>
      <c r="AY19" s="208"/>
      <c r="AZ19" s="208"/>
      <c r="BA19" s="208"/>
      <c r="BB19" s="208"/>
      <c r="BC19" s="208"/>
      <c r="BD19" s="208"/>
      <c r="BE19" s="208"/>
      <c r="BF19" s="208"/>
      <c r="BG19" s="208"/>
      <c r="BH19" s="208"/>
      <c r="BI19" s="208"/>
      <c r="BJ19" s="185">
        <f>1.8*BJ18</f>
        <v>83.437243604303504</v>
      </c>
      <c r="BK19" s="185"/>
      <c r="BL19" s="185"/>
      <c r="BM19" s="33" t="s">
        <v>39</v>
      </c>
      <c r="BN19" s="38"/>
      <c r="BO19" s="38"/>
      <c r="BZ19" s="35" t="s">
        <v>46</v>
      </c>
      <c r="CA19" s="249">
        <f>1000*1000/(2*3.1415*S20*CA18)</f>
        <v>16.376459517960587</v>
      </c>
      <c r="CB19" s="249"/>
      <c r="CC19" s="249"/>
      <c r="CD19" s="1" t="s">
        <v>47</v>
      </c>
      <c r="CF19" s="8"/>
      <c r="CK19" s="1">
        <f t="shared" si="35"/>
        <v>3.8000000000000012</v>
      </c>
      <c r="CL19" s="1" t="str">
        <f t="shared" si="17"/>
        <v>0.0215973472222222+8.20699194444445i</v>
      </c>
      <c r="CM19" s="1" t="str">
        <f t="shared" si="18"/>
        <v>86.3893888888889</v>
      </c>
      <c r="CN19" s="1" t="str">
        <f t="shared" si="19"/>
        <v>-14.2087810672515i</v>
      </c>
      <c r="CO19" s="1" t="str">
        <f t="shared" si="20"/>
        <v>0.793706873702555-6.07922366515931i</v>
      </c>
      <c r="CP19" s="1" t="str">
        <f t="shared" si="21"/>
        <v>0.0191834803010191+1.82243062859682i</v>
      </c>
      <c r="CQ19" s="1" t="str">
        <f t="shared" si="22"/>
        <v>0.178767264850016+2.57209387123195i</v>
      </c>
      <c r="CR19" s="2">
        <f t="shared" si="23"/>
        <v>3.8000000000000012</v>
      </c>
      <c r="CS19" s="2">
        <f t="shared" si="24"/>
        <v>0.42054726268264558</v>
      </c>
      <c r="CT19" s="1">
        <f t="shared" si="25"/>
        <v>3.8000000000000012</v>
      </c>
      <c r="CU19" s="1">
        <f t="shared" si="26"/>
        <v>1.4146798857286351</v>
      </c>
      <c r="CX19" s="2">
        <f t="shared" si="27"/>
        <v>3.8000000000000012</v>
      </c>
      <c r="CY19" s="2">
        <f t="shared" si="28"/>
        <v>6.1308181323862216</v>
      </c>
      <c r="CZ19" s="2">
        <f t="shared" si="29"/>
        <v>1.8225315914859364</v>
      </c>
      <c r="DA19" s="2">
        <f t="shared" si="30"/>
        <v>2.5782987835801565</v>
      </c>
      <c r="DH19" s="69">
        <f>AN24</f>
        <v>37</v>
      </c>
      <c r="DI19" s="69">
        <f>AN25</f>
        <v>0</v>
      </c>
      <c r="DJ19" s="2" t="str">
        <f t="shared" si="0"/>
        <v>0.0215973472222222+79.9101847222222i</v>
      </c>
      <c r="DK19" s="2" t="str">
        <f t="shared" si="1"/>
        <v>86.3893888888889</v>
      </c>
      <c r="DL19" s="1" t="str">
        <f t="shared" si="2"/>
        <v>-1.45928021771772i</v>
      </c>
      <c r="DM19" s="1" t="str">
        <f t="shared" si="3"/>
        <v>39.834882416289+41.5928752305751i</v>
      </c>
      <c r="DN19" s="2">
        <f t="shared" si="4"/>
        <v>57.591536939603877</v>
      </c>
      <c r="DO19" s="14">
        <f t="shared" si="5"/>
        <v>0</v>
      </c>
      <c r="DP19" s="34">
        <f t="shared" si="6"/>
        <v>0</v>
      </c>
      <c r="DQ19" s="34">
        <f t="shared" si="7"/>
        <v>0</v>
      </c>
      <c r="DR19" s="14">
        <f t="shared" si="8"/>
        <v>0</v>
      </c>
      <c r="DS19" s="34">
        <f t="shared" si="31"/>
        <v>0</v>
      </c>
      <c r="DT19" s="34">
        <f t="shared" si="9"/>
        <v>0</v>
      </c>
      <c r="DU19" s="14">
        <f t="shared" si="32"/>
        <v>0</v>
      </c>
      <c r="DV19" s="34">
        <f t="shared" si="33"/>
        <v>0</v>
      </c>
      <c r="DW19" s="1">
        <f t="shared" si="10"/>
        <v>0</v>
      </c>
      <c r="DX19" s="1">
        <f t="shared" si="34"/>
        <v>0</v>
      </c>
      <c r="DY19">
        <f t="shared" si="11"/>
        <v>0</v>
      </c>
      <c r="DZ19" s="1">
        <f t="shared" si="12"/>
        <v>0</v>
      </c>
      <c r="EC19" s="15">
        <f t="shared" si="13"/>
        <v>37</v>
      </c>
      <c r="ED19" s="15">
        <f t="shared" si="14"/>
        <v>0</v>
      </c>
      <c r="EE19" s="56">
        <f t="shared" si="15"/>
        <v>0</v>
      </c>
      <c r="EF19" s="15">
        <f t="shared" si="16"/>
        <v>0</v>
      </c>
    </row>
    <row r="20" spans="2:136" ht="18" customHeight="1" x14ac:dyDescent="0.25">
      <c r="B20" s="28"/>
      <c r="C20" s="24"/>
      <c r="D20" s="24"/>
      <c r="E20" s="177" t="s">
        <v>48</v>
      </c>
      <c r="F20" s="177"/>
      <c r="G20" s="177"/>
      <c r="H20" s="177"/>
      <c r="I20" s="177"/>
      <c r="J20" s="177"/>
      <c r="K20" s="177"/>
      <c r="L20" s="177"/>
      <c r="M20" s="177"/>
      <c r="N20" s="177"/>
      <c r="O20" s="177"/>
      <c r="P20" s="177"/>
      <c r="Q20" s="177"/>
      <c r="R20" s="272"/>
      <c r="S20" s="247">
        <v>60</v>
      </c>
      <c r="T20" s="247"/>
      <c r="U20" s="247"/>
      <c r="V20" s="33" t="s">
        <v>49</v>
      </c>
      <c r="W20" s="24"/>
      <c r="X20" s="24"/>
      <c r="Y20" s="24"/>
      <c r="Z20" s="24"/>
      <c r="AA20" s="24"/>
      <c r="AB20" s="24"/>
      <c r="AC20" s="24"/>
      <c r="AD20" s="24"/>
      <c r="AE20" s="24"/>
      <c r="AF20" s="24"/>
      <c r="AG20" s="24"/>
      <c r="AH20" s="24"/>
      <c r="AI20" s="24"/>
      <c r="AJ20" s="32" t="s">
        <v>50</v>
      </c>
      <c r="AK20" s="199">
        <f>1000*0.001*S18/(S17*1.73)</f>
        <v>139.06207267383917</v>
      </c>
      <c r="AL20" s="199"/>
      <c r="AM20" s="199"/>
      <c r="AN20" s="24" t="s">
        <v>39</v>
      </c>
      <c r="AO20" s="24"/>
      <c r="AP20" s="8"/>
      <c r="AR20" s="6"/>
      <c r="AS20" s="177" t="s">
        <v>51</v>
      </c>
      <c r="AT20" s="177"/>
      <c r="AU20" s="177"/>
      <c r="AV20" s="177"/>
      <c r="AW20" s="177"/>
      <c r="AX20" s="177"/>
      <c r="AY20" s="177"/>
      <c r="AZ20" s="177"/>
      <c r="BA20" s="177"/>
      <c r="BB20" s="177"/>
      <c r="BC20" s="177"/>
      <c r="BD20" s="177"/>
      <c r="BE20" s="177"/>
      <c r="BF20" s="177"/>
      <c r="BG20" s="177"/>
      <c r="BH20" s="177"/>
      <c r="BI20" s="177"/>
      <c r="BJ20" s="211">
        <f>AK20*AJ30/1000</f>
        <v>7.508429672447015</v>
      </c>
      <c r="BK20" s="211"/>
      <c r="BL20" s="211"/>
      <c r="BM20" s="354" t="s">
        <v>32</v>
      </c>
      <c r="BN20" s="354"/>
      <c r="BO20" s="354"/>
      <c r="CF20" s="8"/>
      <c r="CK20" s="1">
        <f t="shared" si="35"/>
        <v>4.0000000000000009</v>
      </c>
      <c r="CL20" s="1" t="str">
        <f t="shared" si="17"/>
        <v>0.0215973472222222+8.63893888888889i</v>
      </c>
      <c r="CM20" s="1" t="str">
        <f t="shared" si="18"/>
        <v>86.3893888888889</v>
      </c>
      <c r="CN20" s="1" t="str">
        <f t="shared" si="19"/>
        <v>-13.4983420138889i</v>
      </c>
      <c r="CO20" s="1" t="str">
        <f t="shared" si="20"/>
        <v>0.876295478158783-4.9491699658279i</v>
      </c>
      <c r="CP20" s="1" t="str">
        <f t="shared" si="21"/>
        <v>0.0191834803010191+1.91834803010192i</v>
      </c>
      <c r="CQ20" s="1" t="str">
        <f t="shared" si="22"/>
        <v>0.371430292176766+3.02836426391749i</v>
      </c>
      <c r="CR20" s="2">
        <f t="shared" si="23"/>
        <v>4.0000000000000009</v>
      </c>
      <c r="CS20" s="2">
        <f t="shared" si="24"/>
        <v>0.60703673654389756</v>
      </c>
      <c r="CT20" s="1">
        <f t="shared" si="25"/>
        <v>4.0000000000000009</v>
      </c>
      <c r="CU20" s="1">
        <f t="shared" si="26"/>
        <v>1.5903812546384222</v>
      </c>
      <c r="CX20" s="2">
        <f t="shared" si="27"/>
        <v>4.0000000000000009</v>
      </c>
      <c r="CY20" s="2">
        <f t="shared" si="28"/>
        <v>5.0261493328088118</v>
      </c>
      <c r="CZ20" s="2">
        <f t="shared" si="29"/>
        <v>1.9184439451056097</v>
      </c>
      <c r="DA20" s="2">
        <f t="shared" si="30"/>
        <v>3.0510572883705476</v>
      </c>
    </row>
    <row r="21" spans="2:136" ht="18" customHeight="1" x14ac:dyDescent="0.25">
      <c r="B21" s="28"/>
      <c r="C21" s="177" t="s">
        <v>30</v>
      </c>
      <c r="D21" s="177"/>
      <c r="E21" s="177"/>
      <c r="F21" s="177"/>
      <c r="G21" s="177"/>
      <c r="H21" s="177"/>
      <c r="I21" s="177"/>
      <c r="J21" s="177"/>
      <c r="K21" s="177"/>
      <c r="L21" s="177"/>
      <c r="M21" s="177"/>
      <c r="N21" s="177"/>
      <c r="O21" s="177"/>
      <c r="P21" s="177"/>
      <c r="Q21" s="177"/>
      <c r="R21" s="272"/>
      <c r="S21" s="367">
        <v>8</v>
      </c>
      <c r="T21" s="368"/>
      <c r="U21" s="369"/>
      <c r="V21" s="24"/>
      <c r="W21" s="24"/>
      <c r="X21" s="24"/>
      <c r="Y21" s="24"/>
      <c r="Z21" s="24"/>
      <c r="AA21" s="24"/>
      <c r="AB21" s="24"/>
      <c r="AC21" s="24"/>
      <c r="AD21" s="24"/>
      <c r="AE21" s="24"/>
      <c r="AF21" s="24"/>
      <c r="AG21" s="24"/>
      <c r="AH21" s="24"/>
      <c r="AI21" s="24"/>
      <c r="AJ21" s="32" t="s">
        <v>52</v>
      </c>
      <c r="AK21" s="355">
        <f>DI21</f>
        <v>222.12217371605232</v>
      </c>
      <c r="AL21" s="355"/>
      <c r="AM21" s="355"/>
      <c r="AN21" s="39" t="s">
        <v>39</v>
      </c>
      <c r="AO21" s="24"/>
      <c r="AP21" s="8"/>
      <c r="AR21" s="6"/>
      <c r="AS21" s="177" t="s">
        <v>53</v>
      </c>
      <c r="AT21" s="177"/>
      <c r="AU21" s="177"/>
      <c r="AV21" s="177"/>
      <c r="AW21" s="177"/>
      <c r="AX21" s="177"/>
      <c r="AY21" s="177"/>
      <c r="AZ21" s="177"/>
      <c r="BA21" s="177"/>
      <c r="BB21" s="177"/>
      <c r="BC21" s="177"/>
      <c r="BD21" s="177"/>
      <c r="BE21" s="177"/>
      <c r="BF21" s="177"/>
      <c r="BG21" s="177"/>
      <c r="BH21" s="177"/>
      <c r="BI21" s="177"/>
      <c r="BJ21" s="211">
        <f>DR21/1000</f>
        <v>7.6405836220118761</v>
      </c>
      <c r="BK21" s="211"/>
      <c r="BL21" s="211"/>
      <c r="BM21" s="354" t="s">
        <v>32</v>
      </c>
      <c r="BN21" s="354"/>
      <c r="BO21" s="354"/>
      <c r="CF21" s="8"/>
      <c r="CK21" s="1">
        <f t="shared" si="35"/>
        <v>4.2000000000000011</v>
      </c>
      <c r="CL21" s="1" t="str">
        <f t="shared" si="17"/>
        <v>0.0215973472222222+9.07088583333334i</v>
      </c>
      <c r="CM21" s="1" t="str">
        <f t="shared" si="18"/>
        <v>86.3893888888889</v>
      </c>
      <c r="CN21" s="1" t="str">
        <f t="shared" si="19"/>
        <v>-12.8555638227513i</v>
      </c>
      <c r="CO21" s="1" t="str">
        <f t="shared" si="20"/>
        <v>0.962947726328857-3.8880293842921i</v>
      </c>
      <c r="CP21" s="1" t="str">
        <f t="shared" si="21"/>
        <v>0.0191834803010191+2.01426543160701i</v>
      </c>
      <c r="CQ21" s="1" t="str">
        <f t="shared" si="22"/>
        <v>0.941794309843287+3.69578584471312i</v>
      </c>
      <c r="CR21" s="2">
        <f t="shared" si="23"/>
        <v>4.2000000000000011</v>
      </c>
      <c r="CS21" s="2">
        <f t="shared" si="24"/>
        <v>0.95216468353434636</v>
      </c>
      <c r="CT21" s="1">
        <f t="shared" si="25"/>
        <v>4.2000000000000011</v>
      </c>
      <c r="CU21" s="1">
        <f t="shared" si="26"/>
        <v>1.8933571921099726</v>
      </c>
      <c r="CX21" s="2">
        <f t="shared" si="27"/>
        <v>4.2000000000000011</v>
      </c>
      <c r="CY21" s="2">
        <f t="shared" si="28"/>
        <v>4.0055013190312048</v>
      </c>
      <c r="CZ21" s="2">
        <f t="shared" si="29"/>
        <v>2.0143567794418731</v>
      </c>
      <c r="DA21" s="2">
        <f t="shared" si="30"/>
        <v>3.8138968958317512</v>
      </c>
      <c r="DH21" s="2" t="s">
        <v>97</v>
      </c>
      <c r="DI21" s="69">
        <f>SQRT(SUM(DI4^2,DI5^2,DI6^2,DI7^2,DI8^2,DI9^2,DI10^2,DI11^2,DI12^2,DI13^2,DI14^2,DI15^2,DI16^2,DI17^2,DI18^2,DI19^2))</f>
        <v>222.12217371605232</v>
      </c>
      <c r="DO21" s="2" t="s">
        <v>3</v>
      </c>
      <c r="DP21" s="34">
        <f>SQRT(SUM(DP4^2,DP5^2,DP6^2,DP7^2,DP8^2,DP9^2,DP10^2,DP11^2,DP12^2,DP13^2,DP14^2,DP15^2,DP16^2,DP17^2,DP18^2,DP19^2))</f>
        <v>34.140955653953284</v>
      </c>
      <c r="DQ21" s="69">
        <f>SQRT(SUM(DQ4^2,DQ5^2,DQ6^2,DQ7^2,DQ8^2,DQ9^2,DQ10^2,DQ11^2,DQ12^2,DQ13^2,DQ14^2,DQ15^2,DQ16^2,DQ17^2,DQ18^2,DQ19^2))</f>
        <v>219.42784899124018</v>
      </c>
      <c r="DR21" s="69">
        <f>SQRT(SUM(DR4^2,DR5^2,DR6^2,DR7^2,DR8^2,DR9^2,DR10^2,DR11^2,DR12^2,DR13^2,DR14^2,DR15^2,DR16^2,DR17^2,DR18^2,DR19^2))</f>
        <v>7640.5836220118763</v>
      </c>
      <c r="DS21" s="69">
        <f>SQRT(SUM(DS4^2,DS5^2,DS6^2,DS7^2,DS8^2,DS9^2,DS10^2,DS11^2,DS12^2,DS13^2,DS14^2,DS15^2,DS16^2,DS17^2,DS18^2,DS19^2))</f>
        <v>8379.5934552717717</v>
      </c>
      <c r="DT21" s="34">
        <f>SUM(DT4:DT19)</f>
        <v>13930.681935900602</v>
      </c>
      <c r="DU21" s="34">
        <f>SUM(DU4:DU19)</f>
        <v>14992.534243390517</v>
      </c>
      <c r="DV21" s="69">
        <f>SQRT(SUM(DV4^2,DV5^2,DV6^2,DV7^2,DV8^2,DV9^2,DV10^2,DV11^2,DV12^2,DV13^2,DV14^2,DV15^2,DV16^2,DV17^2,DV18^2,DV19^2))</f>
        <v>231.0828740261303</v>
      </c>
      <c r="DW21" s="15">
        <f>SUM(DW4:DW19)/1000</f>
        <v>1278.3427918743614</v>
      </c>
      <c r="DX21" s="15">
        <f>SUM(DX4:DX19)/1000</f>
        <v>1497.6117283573715</v>
      </c>
      <c r="DY21">
        <f>SUM(DY4:DY19)</f>
        <v>100695.89093358724</v>
      </c>
    </row>
    <row r="22" spans="2:136" ht="18" customHeight="1" x14ac:dyDescent="0.25">
      <c r="B22" s="6"/>
      <c r="AP22" s="8"/>
      <c r="AR22" s="6"/>
      <c r="AS22" s="177" t="s">
        <v>54</v>
      </c>
      <c r="AT22" s="177"/>
      <c r="AU22" s="177"/>
      <c r="AV22" s="177"/>
      <c r="AW22" s="177"/>
      <c r="AX22" s="177"/>
      <c r="AY22" s="177"/>
      <c r="AZ22" s="177"/>
      <c r="BA22" s="177"/>
      <c r="BB22" s="177"/>
      <c r="BC22" s="177"/>
      <c r="BD22" s="177"/>
      <c r="BE22" s="177"/>
      <c r="BF22" s="177"/>
      <c r="BG22" s="177"/>
      <c r="BH22" s="177"/>
      <c r="BI22" s="177"/>
      <c r="BJ22" s="211">
        <f>DT21/1000</f>
        <v>13.930681935900601</v>
      </c>
      <c r="BK22" s="211"/>
      <c r="BL22" s="211"/>
      <c r="BM22" s="354" t="s">
        <v>32</v>
      </c>
      <c r="BN22" s="354"/>
      <c r="BO22" s="354"/>
      <c r="CF22" s="8"/>
      <c r="CK22" s="1">
        <f t="shared" si="35"/>
        <v>4.4000000000000012</v>
      </c>
      <c r="CL22" s="1" t="str">
        <f t="shared" si="17"/>
        <v>0.0215973472222222+9.50283277777778i</v>
      </c>
      <c r="CM22" s="1" t="str">
        <f t="shared" si="18"/>
        <v>86.3893888888889</v>
      </c>
      <c r="CN22" s="1" t="str">
        <f t="shared" si="19"/>
        <v>-12.2712200126263i</v>
      </c>
      <c r="CO22" s="1" t="str">
        <f t="shared" si="20"/>
        <v>1.05363844189431-2.88663361005753i</v>
      </c>
      <c r="CP22" s="1" t="str">
        <f t="shared" si="21"/>
        <v>0.0191834803010191+2.11018283311211i</v>
      </c>
      <c r="CQ22" s="1" t="str">
        <f t="shared" si="22"/>
        <v>2.77864483155015+4.0318667266407i</v>
      </c>
      <c r="CR22" s="2">
        <f t="shared" si="23"/>
        <v>4.4000000000000012</v>
      </c>
      <c r="CS22" s="2">
        <f t="shared" si="24"/>
        <v>1.5934747615299074</v>
      </c>
      <c r="CT22" s="1">
        <f t="shared" si="25"/>
        <v>4.4000000000000012</v>
      </c>
      <c r="CU22" s="1">
        <f t="shared" si="26"/>
        <v>2.3203725971393911</v>
      </c>
      <c r="CX22" s="2">
        <f t="shared" si="27"/>
        <v>4.4000000000000012</v>
      </c>
      <c r="CY22" s="2">
        <f t="shared" si="28"/>
        <v>3.0729151574606219</v>
      </c>
      <c r="CZ22" s="2">
        <f t="shared" si="29"/>
        <v>2.1102700289483125</v>
      </c>
      <c r="DA22" s="2">
        <f t="shared" si="30"/>
        <v>4.8966127477362091</v>
      </c>
      <c r="DP22" s="2" t="s">
        <v>97</v>
      </c>
      <c r="DQ22" s="2" t="s">
        <v>97</v>
      </c>
      <c r="DR22" s="2" t="s">
        <v>97</v>
      </c>
      <c r="DS22" s="2" t="s">
        <v>97</v>
      </c>
      <c r="DT22" s="100" t="s">
        <v>692</v>
      </c>
      <c r="DU22" s="100" t="s">
        <v>692</v>
      </c>
    </row>
    <row r="23" spans="2:136" ht="18" customHeight="1" x14ac:dyDescent="0.25">
      <c r="B23" s="6"/>
      <c r="C23" s="162" t="s">
        <v>55</v>
      </c>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8"/>
      <c r="AR23" s="6"/>
      <c r="AS23" s="177" t="s">
        <v>56</v>
      </c>
      <c r="AT23" s="177"/>
      <c r="AU23" s="177"/>
      <c r="AV23" s="177"/>
      <c r="AW23" s="177"/>
      <c r="AX23" s="177"/>
      <c r="AY23" s="177"/>
      <c r="AZ23" s="177"/>
      <c r="BA23" s="177"/>
      <c r="BB23" s="177"/>
      <c r="BC23" s="177"/>
      <c r="BD23" s="177"/>
      <c r="BE23" s="177"/>
      <c r="BF23" s="177"/>
      <c r="BG23" s="177"/>
      <c r="BH23" s="177"/>
      <c r="BI23" s="177"/>
      <c r="BJ23" s="248">
        <f>DI21</f>
        <v>222.12217371605232</v>
      </c>
      <c r="BK23" s="248"/>
      <c r="BL23" s="248"/>
      <c r="BM23" s="354" t="s">
        <v>39</v>
      </c>
      <c r="BN23" s="354"/>
      <c r="BO23" s="354"/>
      <c r="CF23" s="8"/>
      <c r="CK23" s="1">
        <f t="shared" si="35"/>
        <v>4.6000000000000014</v>
      </c>
      <c r="CL23" s="1" t="str">
        <f t="shared" si="17"/>
        <v>0.0215973472222222+9.93477972222223i</v>
      </c>
      <c r="CM23" s="1" t="str">
        <f t="shared" si="18"/>
        <v>86.3893888888889</v>
      </c>
      <c r="CN23" s="1" t="str">
        <f t="shared" si="19"/>
        <v>-11.7376887077295i</v>
      </c>
      <c r="CO23" s="1" t="str">
        <f t="shared" si="20"/>
        <v>1.1483413577087-1.93741830924339i</v>
      </c>
      <c r="CP23" s="1" t="str">
        <f t="shared" si="21"/>
        <v>0.0191834803010191+2.20610023461721i</v>
      </c>
      <c r="CQ23" s="1" t="str">
        <f t="shared" si="22"/>
        <v>3.96192250301992+1.22626320210793i</v>
      </c>
      <c r="CR23" s="2">
        <f t="shared" si="23"/>
        <v>4.6000000000000014</v>
      </c>
      <c r="CS23" s="2">
        <f t="shared" si="24"/>
        <v>1.8414913284310073</v>
      </c>
      <c r="CT23" s="1">
        <f t="shared" si="25"/>
        <v>4.6000000000000014</v>
      </c>
      <c r="CU23" s="1">
        <f t="shared" si="26"/>
        <v>1.8798773902435524</v>
      </c>
      <c r="CX23" s="2">
        <f t="shared" si="27"/>
        <v>4.6000000000000014</v>
      </c>
      <c r="CY23" s="2">
        <f t="shared" si="28"/>
        <v>2.2521717471844318</v>
      </c>
      <c r="CZ23" s="2">
        <f t="shared" si="29"/>
        <v>2.2061836394766798</v>
      </c>
      <c r="DA23" s="2">
        <f t="shared" si="30"/>
        <v>4.147354742577444</v>
      </c>
    </row>
    <row r="24" spans="2:136" ht="18" customHeight="1" x14ac:dyDescent="0.25">
      <c r="B24" s="6"/>
      <c r="C24" s="159" t="s">
        <v>57</v>
      </c>
      <c r="D24" s="159"/>
      <c r="E24" s="159"/>
      <c r="F24" s="159"/>
      <c r="G24" s="159"/>
      <c r="H24" s="159"/>
      <c r="I24" s="160"/>
      <c r="J24" s="165">
        <v>1</v>
      </c>
      <c r="K24" s="166"/>
      <c r="L24" s="169">
        <v>2</v>
      </c>
      <c r="M24" s="170"/>
      <c r="N24" s="169">
        <v>3</v>
      </c>
      <c r="O24" s="170"/>
      <c r="P24" s="169">
        <v>4</v>
      </c>
      <c r="Q24" s="170"/>
      <c r="R24" s="169">
        <v>5</v>
      </c>
      <c r="S24" s="170"/>
      <c r="T24" s="169">
        <v>7</v>
      </c>
      <c r="U24" s="170"/>
      <c r="V24" s="169">
        <v>11</v>
      </c>
      <c r="W24" s="170"/>
      <c r="X24" s="169">
        <v>13</v>
      </c>
      <c r="Y24" s="170"/>
      <c r="Z24" s="169">
        <v>17</v>
      </c>
      <c r="AA24" s="170"/>
      <c r="AB24" s="169">
        <v>19</v>
      </c>
      <c r="AC24" s="170"/>
      <c r="AD24" s="169">
        <v>23</v>
      </c>
      <c r="AE24" s="170"/>
      <c r="AF24" s="169">
        <v>25</v>
      </c>
      <c r="AG24" s="170"/>
      <c r="AH24" s="169">
        <v>29</v>
      </c>
      <c r="AI24" s="170"/>
      <c r="AJ24" s="169">
        <v>31</v>
      </c>
      <c r="AK24" s="170"/>
      <c r="AL24" s="169">
        <v>35</v>
      </c>
      <c r="AM24" s="170"/>
      <c r="AN24" s="169">
        <v>37</v>
      </c>
      <c r="AO24" s="171"/>
      <c r="AP24" s="8"/>
      <c r="AR24" s="6"/>
      <c r="AS24" s="177" t="s">
        <v>58</v>
      </c>
      <c r="AT24" s="177"/>
      <c r="AU24" s="177"/>
      <c r="AV24" s="177"/>
      <c r="AW24" s="177"/>
      <c r="AX24" s="177"/>
      <c r="AY24" s="177"/>
      <c r="AZ24" s="177"/>
      <c r="BA24" s="177"/>
      <c r="BB24" s="177"/>
      <c r="BC24" s="177"/>
      <c r="BD24" s="177"/>
      <c r="BE24" s="177"/>
      <c r="BF24" s="177"/>
      <c r="BG24" s="177"/>
      <c r="BH24" s="177"/>
      <c r="BI24" s="177"/>
      <c r="BJ24" s="185">
        <f>DW21</f>
        <v>1278.3427918743614</v>
      </c>
      <c r="BK24" s="185"/>
      <c r="BL24" s="185"/>
      <c r="BM24" s="354" t="s">
        <v>37</v>
      </c>
      <c r="BN24" s="354"/>
      <c r="BO24" s="354"/>
      <c r="CF24" s="8"/>
      <c r="CK24" s="1">
        <f t="shared" si="35"/>
        <v>4.8000000000000016</v>
      </c>
      <c r="CL24" s="1" t="str">
        <f t="shared" si="17"/>
        <v>0.0215973472222222+10.3667266666667i</v>
      </c>
      <c r="CM24" s="1" t="str">
        <f t="shared" si="18"/>
        <v>86.3893888888889</v>
      </c>
      <c r="CN24" s="1" t="str">
        <f t="shared" si="19"/>
        <v>-11.2486183449074i</v>
      </c>
      <c r="CO24" s="1" t="str">
        <f t="shared" si="20"/>
        <v>1.24702913451544-1.0340888067671i</v>
      </c>
      <c r="CP24" s="1" t="str">
        <f t="shared" si="21"/>
        <v>0.0191834803010191+2.3020176361223i</v>
      </c>
      <c r="CQ24" s="1" t="str">
        <f t="shared" si="22"/>
        <v>2.07390104835281+0.174762679768698i</v>
      </c>
      <c r="CR24" s="2">
        <f t="shared" si="23"/>
        <v>4.8000000000000016</v>
      </c>
      <c r="CS24" s="2">
        <f t="shared" si="24"/>
        <v>1.2847178915327602</v>
      </c>
      <c r="CT24" s="1">
        <f t="shared" si="25"/>
        <v>4.8000000000000016</v>
      </c>
      <c r="CU24" s="1">
        <f t="shared" si="26"/>
        <v>0.90406743393010391</v>
      </c>
      <c r="CX24" s="2">
        <f t="shared" si="27"/>
        <v>4.8000000000000016</v>
      </c>
      <c r="CY24" s="2">
        <f t="shared" si="28"/>
        <v>1.620006581039513</v>
      </c>
      <c r="CZ24" s="2">
        <f t="shared" si="29"/>
        <v>2.3020975659025749</v>
      </c>
      <c r="DA24" s="2">
        <f t="shared" si="30"/>
        <v>2.081251439062282</v>
      </c>
    </row>
    <row r="25" spans="2:136" ht="18" customHeight="1" x14ac:dyDescent="0.35">
      <c r="B25" s="6"/>
      <c r="C25" s="159" t="s">
        <v>59</v>
      </c>
      <c r="D25" s="159"/>
      <c r="E25" s="159"/>
      <c r="F25" s="159"/>
      <c r="G25" s="159"/>
      <c r="H25" s="159"/>
      <c r="I25" s="160"/>
      <c r="J25" s="165">
        <f>AK20</f>
        <v>139.06207267383917</v>
      </c>
      <c r="K25" s="166"/>
      <c r="L25" s="169">
        <v>0</v>
      </c>
      <c r="M25" s="170"/>
      <c r="N25" s="169">
        <v>0</v>
      </c>
      <c r="O25" s="170"/>
      <c r="P25" s="169">
        <v>0</v>
      </c>
      <c r="Q25" s="170"/>
      <c r="R25" s="169">
        <v>100</v>
      </c>
      <c r="S25" s="170"/>
      <c r="T25" s="169">
        <v>100</v>
      </c>
      <c r="U25" s="170"/>
      <c r="V25" s="169">
        <v>100</v>
      </c>
      <c r="W25" s="170"/>
      <c r="X25" s="169">
        <v>0</v>
      </c>
      <c r="Y25" s="170"/>
      <c r="Z25" s="169">
        <v>0</v>
      </c>
      <c r="AA25" s="170"/>
      <c r="AB25" s="169">
        <v>0</v>
      </c>
      <c r="AC25" s="170"/>
      <c r="AD25" s="169">
        <v>0</v>
      </c>
      <c r="AE25" s="170"/>
      <c r="AF25" s="169">
        <v>0</v>
      </c>
      <c r="AG25" s="170"/>
      <c r="AH25" s="169">
        <v>0</v>
      </c>
      <c r="AI25" s="170"/>
      <c r="AJ25" s="169">
        <v>0</v>
      </c>
      <c r="AK25" s="170"/>
      <c r="AL25" s="169">
        <v>0</v>
      </c>
      <c r="AM25" s="170"/>
      <c r="AN25" s="169">
        <v>0</v>
      </c>
      <c r="AO25" s="171"/>
      <c r="AP25" s="8"/>
      <c r="AR25" s="6"/>
      <c r="CF25" s="8"/>
      <c r="CK25" s="1">
        <f t="shared" si="35"/>
        <v>5.0000000000000018</v>
      </c>
      <c r="CL25" s="1" t="str">
        <f t="shared" si="17"/>
        <v>0.0215973472222222+10.7986736111111i</v>
      </c>
      <c r="CM25" s="1" t="str">
        <f t="shared" si="18"/>
        <v>86.3893888888889</v>
      </c>
      <c r="CN25" s="1" t="str">
        <f t="shared" si="19"/>
        <v>-10.7986736111111i</v>
      </c>
      <c r="CO25" s="1" t="str">
        <f t="shared" si="20"/>
        <v>1.34967338033542-0.1713659994448i</v>
      </c>
      <c r="CP25" s="1" t="str">
        <f t="shared" si="21"/>
        <v>0.0191834803010191+2.3979350376274i</v>
      </c>
      <c r="CQ25" s="1" t="str">
        <f t="shared" si="22"/>
        <v>1.14131450820225+0.505477354784387i</v>
      </c>
      <c r="CR25" s="2">
        <f t="shared" si="23"/>
        <v>5.0000000000000018</v>
      </c>
      <c r="CS25" s="2">
        <f t="shared" si="24"/>
        <v>0.91748110094574209</v>
      </c>
      <c r="CT25" s="1">
        <f t="shared" si="25"/>
        <v>5.0000000000000018</v>
      </c>
      <c r="CU25" s="1">
        <f t="shared" si="26"/>
        <v>0.5205317351942097</v>
      </c>
      <c r="CX25" s="2">
        <f t="shared" si="27"/>
        <v>5.0000000000000018</v>
      </c>
      <c r="CY25" s="2">
        <f t="shared" si="28"/>
        <v>1.3605089265976003</v>
      </c>
      <c r="CZ25" s="2">
        <f t="shared" si="29"/>
        <v>2.3980117703209007</v>
      </c>
      <c r="DA25" s="2">
        <f t="shared" si="30"/>
        <v>1.2482412278212753</v>
      </c>
    </row>
    <row r="26" spans="2:136" ht="18" customHeight="1" x14ac:dyDescent="0.25">
      <c r="B26" s="6"/>
      <c r="AP26" s="8"/>
      <c r="AR26" s="6"/>
      <c r="CF26" s="27"/>
      <c r="CK26" s="1">
        <f t="shared" si="35"/>
        <v>5.200000000000002</v>
      </c>
      <c r="CL26" s="1" t="str">
        <f t="shared" si="17"/>
        <v>0.0215973472222222+11.2306205555556i</v>
      </c>
      <c r="CM26" s="1" t="str">
        <f t="shared" si="18"/>
        <v>86.3893888888889</v>
      </c>
      <c r="CN26" s="1" t="str">
        <f t="shared" si="19"/>
        <v>-10.3833400106838i</v>
      </c>
      <c r="CO26" s="1" t="str">
        <f t="shared" si="20"/>
        <v>1.45624467049928+0.655209100429101i</v>
      </c>
      <c r="CP26" s="1" t="str">
        <f t="shared" si="21"/>
        <v>0.0191834803010191+2.49385243913249i</v>
      </c>
      <c r="CQ26" s="1" t="str">
        <f t="shared" si="22"/>
        <v>0.752990672648244+0.86281026073262i</v>
      </c>
      <c r="CR26" s="2">
        <f t="shared" si="23"/>
        <v>5.200000000000002</v>
      </c>
      <c r="CS26" s="2">
        <f t="shared" si="24"/>
        <v>0.71714671481073911</v>
      </c>
      <c r="CT26" s="1">
        <f t="shared" si="25"/>
        <v>5.200000000000002</v>
      </c>
      <c r="CU26" s="1">
        <f t="shared" si="26"/>
        <v>0.45918747329222981</v>
      </c>
      <c r="CX26" s="2">
        <f t="shared" si="27"/>
        <v>5.200000000000002</v>
      </c>
      <c r="CY26" s="2">
        <f t="shared" si="28"/>
        <v>1.5968555055616862</v>
      </c>
      <c r="CZ26" s="2">
        <f t="shared" si="29"/>
        <v>2.4939262206576061</v>
      </c>
      <c r="DA26" s="2">
        <f t="shared" si="30"/>
        <v>1.145179679841005</v>
      </c>
    </row>
    <row r="27" spans="2:136" ht="18" customHeight="1" x14ac:dyDescent="0.25">
      <c r="B27" s="6"/>
      <c r="C27" s="178" t="s">
        <v>60</v>
      </c>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8"/>
      <c r="AR27" s="6"/>
      <c r="CF27" s="8"/>
      <c r="CK27" s="1">
        <f t="shared" si="35"/>
        <v>5.4000000000000021</v>
      </c>
      <c r="CL27" s="1" t="str">
        <f t="shared" si="17"/>
        <v>0.0215973472222222+11.6625675i</v>
      </c>
      <c r="CM27" s="1" t="str">
        <f t="shared" si="18"/>
        <v>86.3893888888889</v>
      </c>
      <c r="CN27" s="1" t="str">
        <f t="shared" si="19"/>
        <v>-9.99877186213992i</v>
      </c>
      <c r="CO27" s="1" t="str">
        <f t="shared" si="20"/>
        <v>1.56671256829812+1.44942739132648i</v>
      </c>
      <c r="CP27" s="1" t="str">
        <f t="shared" si="21"/>
        <v>0.0191834803010191+2.58976984063759i</v>
      </c>
      <c r="CQ27" s="1" t="str">
        <f t="shared" si="22"/>
        <v>0.562701046856878+1.142804732283i</v>
      </c>
      <c r="CR27" s="2">
        <f t="shared" si="23"/>
        <v>5.4000000000000021</v>
      </c>
      <c r="CS27" s="2">
        <f t="shared" si="24"/>
        <v>0.59682339839227694</v>
      </c>
      <c r="CT27" s="1">
        <f t="shared" si="25"/>
        <v>5.4000000000000021</v>
      </c>
      <c r="CU27" s="1">
        <f t="shared" si="26"/>
        <v>0.49185529706252279</v>
      </c>
      <c r="CX27" s="2">
        <f t="shared" si="27"/>
        <v>5.4000000000000021</v>
      </c>
      <c r="CY27" s="2">
        <f t="shared" si="28"/>
        <v>2.1343448724118548</v>
      </c>
      <c r="CZ27" s="2">
        <f t="shared" si="29"/>
        <v>2.589840889590036</v>
      </c>
      <c r="DA27" s="2">
        <f t="shared" si="30"/>
        <v>1.2738269600939702</v>
      </c>
    </row>
    <row r="28" spans="2:136" ht="18" customHeight="1" x14ac:dyDescent="0.35">
      <c r="B28" s="218" t="s">
        <v>61</v>
      </c>
      <c r="C28" s="180"/>
      <c r="D28" s="180"/>
      <c r="E28" s="180"/>
      <c r="F28" s="180"/>
      <c r="G28" s="180"/>
      <c r="H28" s="180"/>
      <c r="I28" s="180"/>
      <c r="J28" s="180"/>
      <c r="K28" s="180"/>
      <c r="L28" s="180"/>
      <c r="M28" s="180"/>
      <c r="N28" s="180"/>
      <c r="O28" s="180"/>
      <c r="P28" s="180"/>
      <c r="Q28" s="180"/>
      <c r="R28" s="350"/>
      <c r="S28" s="351">
        <v>9.9600000000000009</v>
      </c>
      <c r="T28" s="352"/>
      <c r="U28" s="353"/>
      <c r="V28" s="1" t="s">
        <v>32</v>
      </c>
      <c r="AI28" s="29" t="s">
        <v>62</v>
      </c>
      <c r="AJ28" s="226">
        <f>AJ29/S29</f>
        <v>612.43077049714827</v>
      </c>
      <c r="AK28" s="226"/>
      <c r="AL28" s="226"/>
      <c r="AM28" s="1" t="s">
        <v>37</v>
      </c>
      <c r="AP28" s="8"/>
      <c r="AR28" s="6"/>
      <c r="CF28" s="8"/>
      <c r="CK28" s="1">
        <f t="shared" si="35"/>
        <v>5.6000000000000023</v>
      </c>
      <c r="CL28" s="1" t="str">
        <f t="shared" si="17"/>
        <v>0.0215973472222222+12.0945144444445i</v>
      </c>
      <c r="CM28" s="1" t="str">
        <f t="shared" si="18"/>
        <v>86.3893888888889</v>
      </c>
      <c r="CN28" s="1" t="str">
        <f t="shared" si="19"/>
        <v>-9.64167286706349i</v>
      </c>
      <c r="CO28" s="1" t="str">
        <f t="shared" si="20"/>
        <v>1.68104564622676+2.21453113590851i</v>
      </c>
      <c r="CP28" s="1" t="str">
        <f t="shared" si="21"/>
        <v>0.0191834803010191+2.68568724214269i</v>
      </c>
      <c r="CQ28" s="1" t="str">
        <f t="shared" si="22"/>
        <v>0.456238559350045+1.36544930940624i</v>
      </c>
      <c r="CR28" s="2">
        <f t="shared" si="23"/>
        <v>5.6000000000000023</v>
      </c>
      <c r="CS28" s="2">
        <f t="shared" si="24"/>
        <v>0.51780568096730917</v>
      </c>
      <c r="CT28" s="1">
        <f t="shared" si="25"/>
        <v>5.6000000000000023</v>
      </c>
      <c r="CU28" s="1">
        <f t="shared" si="26"/>
        <v>0.53603333926616792</v>
      </c>
      <c r="CX28" s="2">
        <f t="shared" si="27"/>
        <v>5.6000000000000023</v>
      </c>
      <c r="CY28" s="2">
        <f t="shared" si="28"/>
        <v>2.7802990156826985</v>
      </c>
      <c r="CZ28" s="2">
        <f t="shared" si="29"/>
        <v>2.6857557536984755</v>
      </c>
      <c r="DA28" s="2">
        <f t="shared" si="30"/>
        <v>1.439654625108322</v>
      </c>
    </row>
    <row r="29" spans="2:136" ht="18" customHeight="1" x14ac:dyDescent="0.35">
      <c r="B29" s="344" t="s">
        <v>63</v>
      </c>
      <c r="C29" s="232"/>
      <c r="D29" s="232"/>
      <c r="E29" s="232"/>
      <c r="F29" s="232"/>
      <c r="G29" s="232"/>
      <c r="H29" s="232"/>
      <c r="I29" s="232"/>
      <c r="J29" s="232"/>
      <c r="K29" s="232"/>
      <c r="L29" s="232"/>
      <c r="M29" s="232"/>
      <c r="N29" s="232"/>
      <c r="O29" s="232"/>
      <c r="P29" s="232"/>
      <c r="Q29" s="232"/>
      <c r="R29" s="345"/>
      <c r="S29" s="346">
        <v>3</v>
      </c>
      <c r="T29" s="347"/>
      <c r="U29" s="348"/>
      <c r="AI29" s="35" t="s">
        <v>64</v>
      </c>
      <c r="AJ29" s="199">
        <f>1000*(S28*S28)/AJ30</f>
        <v>1837.2923114914447</v>
      </c>
      <c r="AK29" s="199"/>
      <c r="AL29" s="199"/>
      <c r="AM29" s="1" t="s">
        <v>37</v>
      </c>
      <c r="AP29" s="8"/>
      <c r="AR29" s="6"/>
      <c r="CF29" s="8"/>
      <c r="CK29" s="1">
        <f t="shared" si="35"/>
        <v>5.8000000000000025</v>
      </c>
      <c r="CL29" s="1" t="str">
        <f t="shared" si="17"/>
        <v>0.0215973472222222+12.5264613888889i</v>
      </c>
      <c r="CM29" s="1" t="str">
        <f t="shared" si="18"/>
        <v>86.3893888888889</v>
      </c>
      <c r="CN29" s="1" t="str">
        <f t="shared" si="19"/>
        <v>-9.30920138888889i</v>
      </c>
      <c r="CO29" s="1" t="str">
        <f t="shared" si="20"/>
        <v>1.79921150779197+2.95330870384691i</v>
      </c>
      <c r="CP29" s="1" t="str">
        <f t="shared" si="21"/>
        <v>0.0191834803010191+2.78160464364778i</v>
      </c>
      <c r="CQ29" s="1" t="str">
        <f t="shared" si="22"/>
        <v>0.390961590193447+1.550388667382i</v>
      </c>
      <c r="CR29" s="2">
        <f t="shared" si="23"/>
        <v>5.8000000000000025</v>
      </c>
      <c r="CS29" s="2">
        <f t="shared" si="24"/>
        <v>0.46235620664309507</v>
      </c>
      <c r="CT29" s="1">
        <f t="shared" si="25"/>
        <v>5.8000000000000025</v>
      </c>
      <c r="CU29" s="1">
        <f t="shared" si="26"/>
        <v>0.5748068345184133</v>
      </c>
      <c r="CX29" s="2">
        <f t="shared" si="27"/>
        <v>5.8000000000000025</v>
      </c>
      <c r="CY29" s="2">
        <f t="shared" si="28"/>
        <v>3.4582068113386408</v>
      </c>
      <c r="CZ29" s="2">
        <f t="shared" si="29"/>
        <v>2.7816707927933089</v>
      </c>
      <c r="DA29" s="2">
        <f t="shared" si="30"/>
        <v>1.5989233830778515</v>
      </c>
    </row>
    <row r="30" spans="2:136" ht="18" customHeight="1" x14ac:dyDescent="0.35">
      <c r="B30" s="6"/>
      <c r="J30" s="293" t="s">
        <v>270</v>
      </c>
      <c r="K30" s="293"/>
      <c r="L30" s="293"/>
      <c r="M30" s="293"/>
      <c r="N30" s="293"/>
      <c r="O30" s="293"/>
      <c r="P30" s="293"/>
      <c r="Q30" s="293"/>
      <c r="R30" s="293"/>
      <c r="S30" s="293"/>
      <c r="T30" s="293"/>
      <c r="U30" s="293"/>
      <c r="AI30" s="35" t="s">
        <v>65</v>
      </c>
      <c r="AJ30" s="249">
        <f>(S19*S19/(S19*S19-1))*AK17</f>
        <v>53.993368055555571</v>
      </c>
      <c r="AK30" s="249"/>
      <c r="AL30" s="249"/>
      <c r="AM30" s="1" t="s">
        <v>34</v>
      </c>
      <c r="AP30" s="8"/>
      <c r="AR30" s="6"/>
      <c r="CF30" s="8"/>
      <c r="CK30" s="1">
        <f t="shared" si="35"/>
        <v>6.0000000000000027</v>
      </c>
      <c r="CL30" s="1" t="str">
        <f t="shared" si="17"/>
        <v>0.0215973472222222+12.9584083333333i</v>
      </c>
      <c r="CM30" s="1" t="str">
        <f t="shared" si="18"/>
        <v>86.3893888888889</v>
      </c>
      <c r="CN30" s="1" t="str">
        <f t="shared" si="19"/>
        <v>-8.99889467592592i</v>
      </c>
      <c r="CO30" s="1" t="str">
        <f t="shared" si="20"/>
        <v>1.92117680985872+3.66817036966718i</v>
      </c>
      <c r="CP30" s="1" t="str">
        <f t="shared" si="21"/>
        <v>0.0191834803010191+2.87752204515288i</v>
      </c>
      <c r="CQ30" s="1" t="str">
        <f t="shared" si="22"/>
        <v>0.348355621221438+1.71018143711339i</v>
      </c>
      <c r="CR30" s="2">
        <f t="shared" si="23"/>
        <v>6.0000000000000027</v>
      </c>
      <c r="CS30" s="2">
        <f t="shared" si="24"/>
        <v>0.4214865239320853</v>
      </c>
      <c r="CT30" s="1">
        <f t="shared" si="25"/>
        <v>6.0000000000000027</v>
      </c>
      <c r="CU30" s="1">
        <f t="shared" si="26"/>
        <v>0.60651533408263314</v>
      </c>
      <c r="CX30" s="2">
        <f t="shared" si="27"/>
        <v>6.0000000000000027</v>
      </c>
      <c r="CY30" s="2">
        <f t="shared" si="28"/>
        <v>4.1408204737277829</v>
      </c>
      <c r="CZ30" s="2">
        <f t="shared" si="29"/>
        <v>2.8775859893767333</v>
      </c>
      <c r="DA30" s="2">
        <f t="shared" si="30"/>
        <v>1.7453000276983308</v>
      </c>
    </row>
    <row r="31" spans="2:136" ht="18" customHeight="1" x14ac:dyDescent="0.25">
      <c r="B31" s="6"/>
      <c r="AI31" s="29" t="s">
        <v>66</v>
      </c>
      <c r="AJ31" s="349">
        <f>ROUND(1000*1000/(2*3.1415*S20*AJ30),2)</f>
        <v>49.13</v>
      </c>
      <c r="AK31" s="349"/>
      <c r="AL31" s="349"/>
      <c r="AM31" s="1" t="s">
        <v>67</v>
      </c>
      <c r="AO31" s="40"/>
      <c r="AP31" s="8"/>
      <c r="AR31" s="6"/>
      <c r="CF31" s="8"/>
      <c r="CK31" s="1">
        <f t="shared" si="35"/>
        <v>6.2000000000000028</v>
      </c>
      <c r="CL31" s="1" t="str">
        <f t="shared" si="17"/>
        <v>0.0215973472222222+13.3903552777778i</v>
      </c>
      <c r="CM31" s="1" t="str">
        <f t="shared" si="18"/>
        <v>86.3893888888889</v>
      </c>
      <c r="CN31" s="1" t="str">
        <f t="shared" si="19"/>
        <v>-8.70860775089606i</v>
      </c>
      <c r="CO31" s="1" t="str">
        <f t="shared" si="20"/>
        <v>2.04690728550585+4.36120944332974i</v>
      </c>
      <c r="CP31" s="1" t="str">
        <f t="shared" si="21"/>
        <v>0.0191834803010191+2.97343944665797i</v>
      </c>
      <c r="CQ31" s="1" t="str">
        <f t="shared" si="22"/>
        <v>0.319351620736282+1.85262239908199i</v>
      </c>
      <c r="CR31" s="2">
        <f t="shared" si="23"/>
        <v>6.2000000000000028</v>
      </c>
      <c r="CS31" s="2">
        <f t="shared" si="24"/>
        <v>0.39021854901806724</v>
      </c>
      <c r="CT31" s="1">
        <f t="shared" si="25"/>
        <v>6.2000000000000028</v>
      </c>
      <c r="CU31" s="1">
        <f t="shared" si="26"/>
        <v>0.6322329559038059</v>
      </c>
      <c r="CX31" s="2">
        <f t="shared" si="27"/>
        <v>6.2000000000000028</v>
      </c>
      <c r="CY31" s="2">
        <f t="shared" si="28"/>
        <v>4.8176734264627594</v>
      </c>
      <c r="CZ31" s="2">
        <f t="shared" si="29"/>
        <v>2.9735013282085672</v>
      </c>
      <c r="DA31" s="2">
        <f t="shared" si="30"/>
        <v>1.8799455341171984</v>
      </c>
    </row>
    <row r="32" spans="2:136" ht="18" customHeight="1" x14ac:dyDescent="0.25">
      <c r="B32" s="6"/>
      <c r="AP32" s="8"/>
      <c r="AR32" s="6"/>
      <c r="CF32" s="8"/>
      <c r="CK32" s="1">
        <f t="shared" si="35"/>
        <v>6.400000000000003</v>
      </c>
      <c r="CL32" s="1" t="str">
        <f t="shared" si="17"/>
        <v>0.0215973472222222+13.8223022222222i</v>
      </c>
      <c r="CM32" s="1" t="str">
        <f t="shared" si="18"/>
        <v>86.3893888888889</v>
      </c>
      <c r="CN32" s="1" t="str">
        <f t="shared" si="19"/>
        <v>-8.43646375868055i</v>
      </c>
      <c r="CO32" s="1" t="str">
        <f t="shared" si="20"/>
        <v>2.17636776736341+5.03425194183845i</v>
      </c>
      <c r="CP32" s="1" t="str">
        <f t="shared" si="21"/>
        <v>0.0191834803010191+3.06935684816307i</v>
      </c>
      <c r="CQ32" s="1" t="str">
        <f t="shared" si="22"/>
        <v>0.299072535904464+1.98267153074295i</v>
      </c>
      <c r="CR32" s="2">
        <f t="shared" si="23"/>
        <v>6.400000000000003</v>
      </c>
      <c r="CS32" s="2">
        <f t="shared" si="24"/>
        <v>0.36559094860695018</v>
      </c>
      <c r="CT32" s="1">
        <f t="shared" si="25"/>
        <v>6.400000000000003</v>
      </c>
      <c r="CU32" s="1">
        <f t="shared" si="26"/>
        <v>0.65325152069513803</v>
      </c>
      <c r="CX32" s="2">
        <f t="shared" si="27"/>
        <v>6.400000000000003</v>
      </c>
      <c r="CY32" s="2">
        <f t="shared" si="28"/>
        <v>5.4845482286805174</v>
      </c>
      <c r="CZ32" s="2">
        <f t="shared" si="29"/>
        <v>3.0694167959535883</v>
      </c>
      <c r="DA32" s="2">
        <f t="shared" si="30"/>
        <v>2.0051011896038862</v>
      </c>
    </row>
    <row r="33" spans="2:105" ht="18" customHeight="1" x14ac:dyDescent="0.25">
      <c r="B33" s="6"/>
      <c r="C33" s="178" t="s">
        <v>68</v>
      </c>
      <c r="D33" s="178"/>
      <c r="E33" s="178"/>
      <c r="F33" s="178"/>
      <c r="G33" s="178"/>
      <c r="H33" s="178"/>
      <c r="I33" s="178"/>
      <c r="J33" s="178"/>
      <c r="K33" s="178"/>
      <c r="L33" s="178"/>
      <c r="M33" s="178"/>
      <c r="N33" s="178"/>
      <c r="O33" s="178"/>
      <c r="P33" s="178"/>
      <c r="Q33" s="178"/>
      <c r="R33" s="178"/>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8"/>
      <c r="AR33" s="6"/>
      <c r="CF33" s="8"/>
      <c r="CK33" s="1">
        <f t="shared" si="35"/>
        <v>6.6000000000000032</v>
      </c>
      <c r="CL33" s="1" t="str">
        <f t="shared" si="17"/>
        <v>0.0215973472222222+14.2542491666667i</v>
      </c>
      <c r="CM33" s="1" t="str">
        <f t="shared" si="18"/>
        <v>86.3893888888889</v>
      </c>
      <c r="CN33" s="1" t="str">
        <f t="shared" si="19"/>
        <v>-8.18081334175084i</v>
      </c>
      <c r="CO33" s="1" t="str">
        <f t="shared" si="20"/>
        <v>2.30952221140276+5.68889723239086i</v>
      </c>
      <c r="CP33" s="1" t="str">
        <f t="shared" si="21"/>
        <v>0.0191834803010191+3.16527424966816i</v>
      </c>
      <c r="CQ33" s="1" t="str">
        <f t="shared" si="22"/>
        <v>0.284696402997171+2.10359483285993i</v>
      </c>
      <c r="CR33" s="2">
        <f t="shared" si="23"/>
        <v>6.6000000000000032</v>
      </c>
      <c r="CS33" s="2">
        <f t="shared" si="24"/>
        <v>0.34573831069595662</v>
      </c>
      <c r="CT33" s="1">
        <f t="shared" si="25"/>
        <v>6.6000000000000032</v>
      </c>
      <c r="CU33" s="1">
        <f t="shared" si="26"/>
        <v>0.6706317966034967</v>
      </c>
      <c r="CX33" s="2">
        <f t="shared" si="27"/>
        <v>6.6000000000000032</v>
      </c>
      <c r="CY33" s="2">
        <f t="shared" si="28"/>
        <v>6.1398244735226015</v>
      </c>
      <c r="CZ33" s="2">
        <f t="shared" si="29"/>
        <v>3.1653323808928491</v>
      </c>
      <c r="DA33" s="2">
        <f t="shared" si="30"/>
        <v>2.1227725414453911</v>
      </c>
    </row>
    <row r="34" spans="2:105" ht="18" customHeight="1" x14ac:dyDescent="0.25">
      <c r="B34" s="6"/>
      <c r="C34" s="338" t="s">
        <v>69</v>
      </c>
      <c r="D34" s="338"/>
      <c r="E34" s="338"/>
      <c r="F34" s="338"/>
      <c r="G34" s="338"/>
      <c r="H34" s="338"/>
      <c r="I34" s="338"/>
      <c r="J34" s="338"/>
      <c r="K34" s="338"/>
      <c r="L34" s="338"/>
      <c r="M34" s="338"/>
      <c r="N34" s="338"/>
      <c r="O34" s="338"/>
      <c r="P34" s="338"/>
      <c r="Q34" s="338"/>
      <c r="R34" s="339"/>
      <c r="S34" s="340">
        <v>100</v>
      </c>
      <c r="T34" s="340"/>
      <c r="U34" s="340"/>
      <c r="V34" s="24"/>
      <c r="W34" s="341" t="s">
        <v>70</v>
      </c>
      <c r="X34" s="341"/>
      <c r="Y34" s="341"/>
      <c r="Z34" s="341"/>
      <c r="AA34" s="341"/>
      <c r="AB34" s="341"/>
      <c r="AC34" s="341"/>
      <c r="AD34" s="341"/>
      <c r="AE34" s="341"/>
      <c r="AF34" s="341"/>
      <c r="AG34" s="341"/>
      <c r="AH34" s="341"/>
      <c r="AI34" s="341"/>
      <c r="AJ34" s="342">
        <f>AJ30/(S19*S19)</f>
        <v>2.1597347222222227</v>
      </c>
      <c r="AK34" s="342"/>
      <c r="AL34" s="342"/>
      <c r="AM34" s="24" t="s">
        <v>71</v>
      </c>
      <c r="AN34" s="24"/>
      <c r="AO34" s="24"/>
      <c r="AP34" s="8"/>
      <c r="AR34" s="6"/>
      <c r="CF34" s="8"/>
      <c r="CK34" s="1">
        <f t="shared" si="35"/>
        <v>6.8000000000000034</v>
      </c>
      <c r="CL34" s="1" t="str">
        <f t="shared" si="17"/>
        <v>0.0215973472222222+14.6861961111111i</v>
      </c>
      <c r="CM34" s="1" t="str">
        <f t="shared" si="18"/>
        <v>86.3893888888889</v>
      </c>
      <c r="CN34" s="1" t="str">
        <f t="shared" si="19"/>
        <v>-7.94020118464052i</v>
      </c>
      <c r="CO34" s="1" t="str">
        <f t="shared" si="20"/>
        <v>2.44633372115023+6.32655150570238i</v>
      </c>
      <c r="CP34" s="1" t="str">
        <f t="shared" si="21"/>
        <v>0.0191834803010191+3.26119165117326i</v>
      </c>
      <c r="CQ34" s="1" t="str">
        <f t="shared" si="22"/>
        <v>0.274491924355497+2.217615967557i</v>
      </c>
      <c r="CR34" s="2">
        <f t="shared" si="23"/>
        <v>6.8000000000000034</v>
      </c>
      <c r="CS34" s="2">
        <f t="shared" si="24"/>
        <v>0.3294297634396387</v>
      </c>
      <c r="CT34" s="1">
        <f t="shared" si="25"/>
        <v>6.8000000000000034</v>
      </c>
      <c r="CU34" s="1">
        <f t="shared" si="26"/>
        <v>0.68517922125317432</v>
      </c>
      <c r="CX34" s="2">
        <f t="shared" si="27"/>
        <v>6.8000000000000034</v>
      </c>
      <c r="CY34" s="2">
        <f t="shared" si="28"/>
        <v>6.7830526040671222</v>
      </c>
      <c r="CZ34" s="2">
        <f t="shared" si="29"/>
        <v>3.2612480726860742</v>
      </c>
      <c r="DA34" s="2">
        <f t="shared" si="30"/>
        <v>2.2345394147564628</v>
      </c>
    </row>
    <row r="35" spans="2:105" ht="18" customHeight="1" x14ac:dyDescent="0.25">
      <c r="B35" s="6"/>
      <c r="C35" s="24"/>
      <c r="D35" s="24"/>
      <c r="E35" s="24"/>
      <c r="F35" s="24"/>
      <c r="G35" s="24"/>
      <c r="H35" s="24"/>
      <c r="I35" s="24"/>
      <c r="J35" s="24"/>
      <c r="K35" s="24"/>
      <c r="L35" s="24"/>
      <c r="M35" s="24"/>
      <c r="N35" s="24"/>
      <c r="O35" s="24"/>
      <c r="P35" s="24"/>
      <c r="Q35" s="41"/>
      <c r="R35" s="32" t="s">
        <v>72</v>
      </c>
      <c r="S35" s="343">
        <v>1.5</v>
      </c>
      <c r="T35" s="343"/>
      <c r="U35" s="343"/>
      <c r="V35" s="177" t="s">
        <v>73</v>
      </c>
      <c r="W35" s="177"/>
      <c r="X35" s="177"/>
      <c r="Y35" s="177"/>
      <c r="Z35" s="177"/>
      <c r="AA35" s="177"/>
      <c r="AB35" s="177"/>
      <c r="AC35" s="177"/>
      <c r="AD35" s="177"/>
      <c r="AE35" s="177"/>
      <c r="AF35" s="177"/>
      <c r="AG35" s="177"/>
      <c r="AH35" s="177"/>
      <c r="AI35" s="177"/>
      <c r="AJ35" s="249">
        <f>1000*AJ34/(2*3.1415*S20)</f>
        <v>5.7290432442628862</v>
      </c>
      <c r="AK35" s="249"/>
      <c r="AL35" s="249"/>
      <c r="AM35" s="24" t="s">
        <v>74</v>
      </c>
      <c r="AN35" s="24"/>
      <c r="AO35" s="24"/>
      <c r="AP35" s="8"/>
      <c r="AR35" s="6"/>
      <c r="CF35" s="8"/>
      <c r="CK35" s="1">
        <f t="shared" si="35"/>
        <v>7.0000000000000036</v>
      </c>
      <c r="CL35" s="1" t="str">
        <f t="shared" si="17"/>
        <v>0.0215973472222222+15.1181430555556i</v>
      </c>
      <c r="CM35" s="1" t="str">
        <f t="shared" si="18"/>
        <v>86.3893888888889</v>
      </c>
      <c r="CN35" s="1" t="str">
        <f t="shared" si="19"/>
        <v>-7.71333829365079i</v>
      </c>
      <c r="CO35" s="1" t="str">
        <f t="shared" si="20"/>
        <v>2.58676457229578+6.94845551330131i</v>
      </c>
      <c r="CP35" s="1" t="str">
        <f t="shared" si="21"/>
        <v>0.0191834803010191+3.35710905267836i</v>
      </c>
      <c r="CQ35" s="1" t="str">
        <f t="shared" si="22"/>
        <v>0.267345029485628+2.32629535859893i</v>
      </c>
      <c r="CR35" s="2">
        <f t="shared" si="23"/>
        <v>7.0000000000000036</v>
      </c>
      <c r="CS35" s="2">
        <f t="shared" si="24"/>
        <v>0.3158215224501304</v>
      </c>
      <c r="CT35" s="1">
        <f t="shared" si="25"/>
        <v>7.0000000000000036</v>
      </c>
      <c r="CU35" s="1">
        <f t="shared" si="26"/>
        <v>0.69749560083513806</v>
      </c>
      <c r="CX35" s="2">
        <f t="shared" si="27"/>
        <v>7.0000000000000036</v>
      </c>
      <c r="CY35" s="2">
        <f t="shared" si="28"/>
        <v>7.4143364485847236</v>
      </c>
      <c r="CZ35" s="2">
        <f t="shared" si="29"/>
        <v>3.357163862174656</v>
      </c>
      <c r="DA35" s="2">
        <f t="shared" si="30"/>
        <v>2.3416070251495227</v>
      </c>
    </row>
    <row r="36" spans="2:105" ht="18" customHeight="1" x14ac:dyDescent="0.25">
      <c r="B36" s="6"/>
      <c r="C36" s="24"/>
      <c r="D36" s="24"/>
      <c r="E36" s="24"/>
      <c r="F36" s="24"/>
      <c r="G36" s="24"/>
      <c r="H36" s="24"/>
      <c r="I36" s="24"/>
      <c r="J36" s="24"/>
      <c r="K36" s="24"/>
      <c r="L36" s="24"/>
      <c r="M36" s="24"/>
      <c r="N36" s="24"/>
      <c r="O36" s="24"/>
      <c r="P36" s="24"/>
      <c r="Q36" s="24"/>
      <c r="R36" s="32" t="s">
        <v>76</v>
      </c>
      <c r="S36" s="247">
        <v>1.5</v>
      </c>
      <c r="T36" s="247"/>
      <c r="U36" s="247"/>
      <c r="V36" s="24"/>
      <c r="W36" s="24"/>
      <c r="X36" s="24"/>
      <c r="Y36" s="24"/>
      <c r="Z36" s="24"/>
      <c r="AA36" s="24"/>
      <c r="AB36" s="24"/>
      <c r="AC36" s="24"/>
      <c r="AD36" s="24"/>
      <c r="AE36" s="24"/>
      <c r="AF36" s="24"/>
      <c r="AG36" s="24"/>
      <c r="AH36" s="24"/>
      <c r="AI36" s="24"/>
      <c r="AJ36" s="24"/>
      <c r="AK36" s="24"/>
      <c r="AL36" s="24"/>
      <c r="AM36" s="24"/>
      <c r="AN36" s="24"/>
      <c r="AO36" s="24"/>
      <c r="AP36" s="8"/>
      <c r="AR36" s="6"/>
      <c r="CF36" s="8"/>
      <c r="CK36" s="1">
        <f t="shared" si="35"/>
        <v>7.2000000000000037</v>
      </c>
      <c r="CL36" s="1" t="str">
        <f t="shared" si="17"/>
        <v>0.0215973472222222+15.55009i</v>
      </c>
      <c r="CM36" s="1" t="str">
        <f t="shared" si="18"/>
        <v>86.3893888888889</v>
      </c>
      <c r="CN36" s="1" t="str">
        <f t="shared" si="19"/>
        <v>-7.49907889660494i</v>
      </c>
      <c r="CO36" s="1" t="str">
        <f t="shared" si="20"/>
        <v>2.73077623766629+7.55570768396996i</v>
      </c>
      <c r="CP36" s="1" t="str">
        <f t="shared" si="21"/>
        <v>0.0191834803010191+3.45302645418345i</v>
      </c>
      <c r="CQ36" s="1" t="str">
        <f t="shared" si="22"/>
        <v>0.262509910872662+2.43075762075033i</v>
      </c>
      <c r="CR36" s="2">
        <f t="shared" si="23"/>
        <v>7.2000000000000037</v>
      </c>
      <c r="CS36" s="2">
        <f t="shared" si="24"/>
        <v>0.30431642227094224</v>
      </c>
      <c r="CT36" s="1">
        <f t="shared" si="25"/>
        <v>7.2000000000000037</v>
      </c>
      <c r="CU36" s="1">
        <f t="shared" si="26"/>
        <v>0.7080321350722677</v>
      </c>
      <c r="CX36" s="2">
        <f t="shared" si="27"/>
        <v>7.2000000000000037</v>
      </c>
      <c r="CY36" s="2">
        <f t="shared" si="28"/>
        <v>8.0340436559559194</v>
      </c>
      <c r="CZ36" s="2">
        <f t="shared" si="29"/>
        <v>3.453079741217568</v>
      </c>
      <c r="DA36" s="2">
        <f t="shared" si="30"/>
        <v>2.4448914217490678</v>
      </c>
    </row>
    <row r="37" spans="2:105" ht="18" customHeight="1" x14ac:dyDescent="0.25">
      <c r="B37" s="6"/>
      <c r="AI37" s="29"/>
      <c r="AJ37" s="29"/>
      <c r="AK37" s="29"/>
      <c r="AL37" s="29"/>
      <c r="AP37" s="8"/>
      <c r="AR37" s="6"/>
      <c r="CF37" s="8"/>
      <c r="CK37" s="1">
        <f t="shared" si="35"/>
        <v>7.4000000000000039</v>
      </c>
      <c r="CL37" s="1" t="str">
        <f t="shared" si="17"/>
        <v>0.0215973472222222+15.9820369444445i</v>
      </c>
      <c r="CM37" s="1" t="str">
        <f t="shared" si="18"/>
        <v>86.3893888888889</v>
      </c>
      <c r="CN37" s="1" t="str">
        <f t="shared" si="19"/>
        <v>-7.29640108858859i</v>
      </c>
      <c r="CO37" s="1" t="str">
        <f t="shared" si="20"/>
        <v>2.8783294125354+8.14928349339141i</v>
      </c>
      <c r="CP37" s="1" t="str">
        <f t="shared" si="21"/>
        <v>0.0191834803010191+3.54894385568855i</v>
      </c>
      <c r="CQ37" s="1" t="str">
        <f t="shared" si="22"/>
        <v>0.259470408149548+2.53183248843275i</v>
      </c>
      <c r="CR37" s="2">
        <f t="shared" si="23"/>
        <v>7.4000000000000039</v>
      </c>
      <c r="CS37" s="2">
        <f t="shared" si="24"/>
        <v>0.29448028005504234</v>
      </c>
      <c r="CT37" s="1">
        <f t="shared" si="25"/>
        <v>7.4000000000000039</v>
      </c>
      <c r="CU37" s="1">
        <f t="shared" si="26"/>
        <v>0.71713060764078862</v>
      </c>
      <c r="CX37" s="2">
        <f t="shared" si="27"/>
        <v>7.4000000000000039</v>
      </c>
      <c r="CY37" s="2">
        <f t="shared" si="28"/>
        <v>8.6426617232614209</v>
      </c>
      <c r="CZ37" s="2">
        <f t="shared" si="29"/>
        <v>3.5489957025538894</v>
      </c>
      <c r="DA37" s="2">
        <f t="shared" si="30"/>
        <v>2.5450934446870241</v>
      </c>
    </row>
    <row r="38" spans="2:105" ht="18" customHeight="1" x14ac:dyDescent="0.25">
      <c r="B38" s="6"/>
      <c r="C38" s="178" t="s">
        <v>75</v>
      </c>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8"/>
      <c r="AR38" s="6"/>
      <c r="CF38" s="8"/>
      <c r="CK38" s="1">
        <f t="shared" si="35"/>
        <v>7.6000000000000041</v>
      </c>
      <c r="CL38" s="1" t="str">
        <f t="shared" si="17"/>
        <v>0.0215973472222222+16.4139838888889i</v>
      </c>
      <c r="CM38" s="1" t="str">
        <f t="shared" si="18"/>
        <v>86.3893888888889</v>
      </c>
      <c r="CN38" s="1" t="str">
        <f t="shared" si="19"/>
        <v>-7.10439053362573i</v>
      </c>
      <c r="CO38" s="1" t="str">
        <f t="shared" si="20"/>
        <v>3.02938404023868+8.73005177704017i</v>
      </c>
      <c r="CP38" s="1" t="str">
        <f t="shared" si="21"/>
        <v>0.0191834803010191+3.64486125719364i</v>
      </c>
      <c r="CQ38" s="1" t="str">
        <f t="shared" si="22"/>
        <v>0.257859030172398+2.630144869753i</v>
      </c>
      <c r="CR38" s="2">
        <f t="shared" si="23"/>
        <v>7.6000000000000041</v>
      </c>
      <c r="CS38" s="2">
        <f t="shared" si="24"/>
        <v>0.28599003731513656</v>
      </c>
      <c r="CT38" s="1">
        <f t="shared" si="25"/>
        <v>7.6000000000000041</v>
      </c>
      <c r="CU38" s="1">
        <f t="shared" si="26"/>
        <v>0.72505318676850783</v>
      </c>
      <c r="CX38" s="2">
        <f t="shared" si="27"/>
        <v>7.6000000000000041</v>
      </c>
      <c r="CY38" s="2">
        <f t="shared" si="28"/>
        <v>9.2407235481349108</v>
      </c>
      <c r="CZ38" s="2">
        <f t="shared" si="29"/>
        <v>3.6449117396869379</v>
      </c>
      <c r="DA38" s="2">
        <f t="shared" si="30"/>
        <v>2.6427548723499639</v>
      </c>
    </row>
    <row r="39" spans="2:105" ht="18" customHeight="1" x14ac:dyDescent="0.25">
      <c r="B39" s="6"/>
      <c r="C39" s="24"/>
      <c r="D39" s="24"/>
      <c r="E39" s="24"/>
      <c r="F39" s="24"/>
      <c r="G39" s="24"/>
      <c r="H39" s="24"/>
      <c r="I39" s="24"/>
      <c r="J39" s="24"/>
      <c r="K39" s="24"/>
      <c r="L39" s="24"/>
      <c r="M39" s="24"/>
      <c r="N39" s="24"/>
      <c r="O39" s="24"/>
      <c r="P39" s="24"/>
      <c r="Q39" s="24"/>
      <c r="R39" s="32" t="s">
        <v>77</v>
      </c>
      <c r="S39" s="364">
        <v>150</v>
      </c>
      <c r="T39" s="365"/>
      <c r="U39" s="366"/>
      <c r="V39" s="33" t="s">
        <v>78</v>
      </c>
      <c r="W39" s="24"/>
      <c r="X39" s="24"/>
      <c r="Y39" s="24"/>
      <c r="Z39" s="24"/>
      <c r="AA39" s="24"/>
      <c r="AB39" s="24"/>
      <c r="AC39" s="24"/>
      <c r="AD39" s="24"/>
      <c r="AE39" s="24"/>
      <c r="AF39" s="24"/>
      <c r="AG39" s="24"/>
      <c r="AH39" s="24"/>
      <c r="AI39" s="24"/>
      <c r="AJ39" s="24"/>
      <c r="AK39" s="24"/>
      <c r="AL39" s="24"/>
      <c r="AM39" s="24"/>
      <c r="AN39" s="24"/>
      <c r="AO39" s="24"/>
      <c r="AP39" s="8"/>
      <c r="AR39" s="6"/>
      <c r="CF39" s="8"/>
      <c r="CK39" s="1">
        <f t="shared" si="35"/>
        <v>7.8000000000000043</v>
      </c>
      <c r="CL39" s="1" t="str">
        <f t="shared" si="17"/>
        <v>0.0215973472222222+16.8459308333333i</v>
      </c>
      <c r="CM39" s="1" t="str">
        <f t="shared" si="18"/>
        <v>86.3893888888889</v>
      </c>
      <c r="CN39" s="1" t="str">
        <f t="shared" si="19"/>
        <v>-6.92222667378917i</v>
      </c>
      <c r="CO39" s="1" t="str">
        <f t="shared" si="20"/>
        <v>3.18389933806629+9.29878853481903i</v>
      </c>
      <c r="CP39" s="1" t="str">
        <f t="shared" si="21"/>
        <v>0.0191834803010191+3.74077865869874i</v>
      </c>
      <c r="CQ39" s="1" t="str">
        <f t="shared" si="22"/>
        <v>0.25740766998201+2.72617403553687i</v>
      </c>
      <c r="CR39" s="2">
        <f t="shared" si="23"/>
        <v>7.8000000000000043</v>
      </c>
      <c r="CS39" s="2">
        <f t="shared" si="24"/>
        <v>0.27860046710440362</v>
      </c>
      <c r="CT39" s="1">
        <f t="shared" si="25"/>
        <v>7.8000000000000043</v>
      </c>
      <c r="CU39" s="1">
        <f t="shared" si="26"/>
        <v>0.73200358526855669</v>
      </c>
      <c r="CX39" s="2">
        <f t="shared" si="27"/>
        <v>7.8000000000000043</v>
      </c>
      <c r="CY39" s="2">
        <f t="shared" si="28"/>
        <v>9.8287681430696487</v>
      </c>
      <c r="CZ39" s="2">
        <f t="shared" si="29"/>
        <v>3.7408278467863778</v>
      </c>
      <c r="DA39" s="2">
        <f t="shared" si="30"/>
        <v>2.7382993957200794</v>
      </c>
    </row>
    <row r="40" spans="2:105" ht="18" customHeight="1" x14ac:dyDescent="0.35">
      <c r="B40" s="6"/>
      <c r="C40" s="24"/>
      <c r="D40" s="24"/>
      <c r="E40" s="24"/>
      <c r="F40" s="24"/>
      <c r="G40" s="24"/>
      <c r="H40" s="24"/>
      <c r="I40" s="24"/>
      <c r="J40" s="24"/>
      <c r="K40" s="24"/>
      <c r="L40" s="24"/>
      <c r="M40" s="24"/>
      <c r="N40" s="35" t="s">
        <v>697</v>
      </c>
      <c r="O40" s="292">
        <f>DP21</f>
        <v>34.140955653953284</v>
      </c>
      <c r="P40" s="292"/>
      <c r="Q40" s="292"/>
      <c r="R40" s="24" t="s">
        <v>39</v>
      </c>
      <c r="S40" s="24"/>
      <c r="T40" s="24"/>
      <c r="U40" s="24"/>
      <c r="V40" s="24"/>
      <c r="W40" s="24"/>
      <c r="X40" s="24"/>
      <c r="Y40" s="24"/>
      <c r="Z40" s="24"/>
      <c r="AA40" s="24"/>
      <c r="AB40" s="24"/>
      <c r="AC40" s="24"/>
      <c r="AD40" s="24"/>
      <c r="AE40" s="24"/>
      <c r="AF40" s="24"/>
      <c r="AG40" s="24"/>
      <c r="AH40" s="24"/>
      <c r="AI40" s="32" t="s">
        <v>80</v>
      </c>
      <c r="AJ40" s="249">
        <f>S21*AJ34*S19</f>
        <v>86.389388888888902</v>
      </c>
      <c r="AK40" s="249"/>
      <c r="AL40" s="249"/>
      <c r="AM40" s="24" t="s">
        <v>34</v>
      </c>
      <c r="AN40" s="24"/>
      <c r="AO40" s="24"/>
      <c r="AP40" s="8"/>
      <c r="AR40" s="6"/>
      <c r="CF40" s="8"/>
      <c r="CK40" s="1">
        <f t="shared" si="35"/>
        <v>8.0000000000000036</v>
      </c>
      <c r="CL40" s="1" t="str">
        <f t="shared" si="17"/>
        <v>0.0215973472222222+17.2778777777778i</v>
      </c>
      <c r="CM40" s="1" t="str">
        <f t="shared" si="18"/>
        <v>86.3893888888889</v>
      </c>
      <c r="CN40" s="1" t="str">
        <f t="shared" si="19"/>
        <v>-6.74917100694444i</v>
      </c>
      <c r="CO40" s="1" t="str">
        <f t="shared" si="20"/>
        <v>3.3418338234022+9.85618866623466i</v>
      </c>
      <c r="CP40" s="1" t="str">
        <f t="shared" si="21"/>
        <v>0.0191834803010191+3.83669606020384i</v>
      </c>
      <c r="CQ40" s="1" t="str">
        <f t="shared" si="22"/>
        <v>0.257916530668061+2.82029352580248i</v>
      </c>
      <c r="CR40" s="2">
        <f t="shared" si="23"/>
        <v>8.0000000000000036</v>
      </c>
      <c r="CS40" s="2">
        <f t="shared" si="24"/>
        <v>0.2721221459882181</v>
      </c>
      <c r="CT40" s="1">
        <f t="shared" si="25"/>
        <v>8.0000000000000036</v>
      </c>
      <c r="CU40" s="1">
        <f t="shared" si="26"/>
        <v>0.73814208668833603</v>
      </c>
      <c r="CX40" s="2">
        <f t="shared" si="27"/>
        <v>8.0000000000000036</v>
      </c>
      <c r="CY40" s="2">
        <f t="shared" si="28"/>
        <v>10.407319939717793</v>
      </c>
      <c r="CZ40" s="2">
        <f t="shared" si="29"/>
        <v>3.8367440186048545</v>
      </c>
      <c r="DA40" s="2">
        <f t="shared" si="30"/>
        <v>2.8320622359819767</v>
      </c>
    </row>
    <row r="41" spans="2:105" ht="18" customHeight="1" x14ac:dyDescent="0.35">
      <c r="B41" s="6"/>
      <c r="N41" s="35" t="s">
        <v>698</v>
      </c>
      <c r="O41" s="249">
        <f>SQRT((S39*1000)/AJ40)</f>
        <v>41.669225522908029</v>
      </c>
      <c r="P41" s="249"/>
      <c r="Q41" s="249"/>
      <c r="R41" s="24" t="s">
        <v>39</v>
      </c>
      <c r="S41" s="24"/>
      <c r="T41" s="24"/>
      <c r="U41" s="24"/>
      <c r="V41" s="24"/>
      <c r="W41" s="24"/>
      <c r="X41" s="24"/>
      <c r="Y41" s="24"/>
      <c r="Z41" s="24"/>
      <c r="AA41" s="24"/>
      <c r="AB41" s="24"/>
      <c r="AC41" s="24"/>
      <c r="AD41" s="24"/>
      <c r="AE41" s="24"/>
      <c r="AF41" s="24"/>
      <c r="AG41" s="24"/>
      <c r="AH41" s="24"/>
      <c r="AI41" s="32" t="s">
        <v>82</v>
      </c>
      <c r="AJ41" s="249">
        <f>DY21/1000</f>
        <v>100.69589093358725</v>
      </c>
      <c r="AK41" s="249"/>
      <c r="AL41" s="249"/>
      <c r="AM41" s="24" t="s">
        <v>78</v>
      </c>
      <c r="AN41" s="24"/>
      <c r="AO41" s="24"/>
      <c r="AP41" s="8"/>
      <c r="AR41" s="6"/>
      <c r="CF41" s="8"/>
      <c r="CK41" s="1">
        <f t="shared" si="35"/>
        <v>8.2000000000000028</v>
      </c>
      <c r="CL41" s="1" t="str">
        <f t="shared" si="17"/>
        <v>0.0215973472222222+17.7098247222222i</v>
      </c>
      <c r="CM41" s="1" t="str">
        <f t="shared" si="18"/>
        <v>86.3893888888889</v>
      </c>
      <c r="CN41" s="1" t="str">
        <f t="shared" si="19"/>
        <v>-6.5845570799458i</v>
      </c>
      <c r="CO41" s="1" t="str">
        <f t="shared" si="20"/>
        <v>3.50314534008104+10.4028759892925i</v>
      </c>
      <c r="CP41" s="1" t="str">
        <f t="shared" si="21"/>
        <v>0.0191834803010191+3.93261346170893i</v>
      </c>
      <c r="CQ41" s="1" t="str">
        <f t="shared" si="22"/>
        <v>0.259233921762184+2.91279868001186i</v>
      </c>
      <c r="CR41" s="2">
        <f t="shared" si="23"/>
        <v>8.2000000000000028</v>
      </c>
      <c r="CS41" s="2">
        <f t="shared" si="24"/>
        <v>0.26640649013254036</v>
      </c>
      <c r="CT41" s="1">
        <f t="shared" si="25"/>
        <v>8.2000000000000028</v>
      </c>
      <c r="CU41" s="1">
        <f t="shared" si="26"/>
        <v>0.74359629896255275</v>
      </c>
      <c r="CX41" s="2">
        <f t="shared" si="27"/>
        <v>8.2000000000000028</v>
      </c>
      <c r="CY41" s="2">
        <f t="shared" si="28"/>
        <v>10.976878250319164</v>
      </c>
      <c r="CZ41" s="2">
        <f t="shared" si="29"/>
        <v>3.9326602504069372</v>
      </c>
      <c r="DA41" s="2">
        <f t="shared" si="30"/>
        <v>2.9243116072797437</v>
      </c>
    </row>
    <row r="42" spans="2:105" ht="18" customHeight="1" x14ac:dyDescent="0.25">
      <c r="B42" s="6"/>
      <c r="AP42" s="8"/>
      <c r="AR42" s="6"/>
      <c r="CF42" s="8"/>
      <c r="CK42" s="1">
        <f t="shared" si="35"/>
        <v>8.4000000000000021</v>
      </c>
      <c r="CL42" s="1" t="str">
        <f t="shared" si="17"/>
        <v>0.0215973472222222+18.1417716666667i</v>
      </c>
      <c r="CM42" s="1" t="str">
        <f t="shared" si="18"/>
        <v>86.3893888888889</v>
      </c>
      <c r="CN42" s="1" t="str">
        <f t="shared" si="19"/>
        <v>-6.42778191137566i</v>
      </c>
      <c r="CO42" s="1" t="str">
        <f t="shared" si="20"/>
        <v>3.66779108493405+10.9394118290198i</v>
      </c>
      <c r="CP42" s="1" t="str">
        <f t="shared" si="21"/>
        <v>0.0191834803010191+4.02853086321403i</v>
      </c>
      <c r="CQ42" s="1" t="str">
        <f t="shared" si="22"/>
        <v>0.261242764207359+3.00392602591284i</v>
      </c>
      <c r="CR42" s="2">
        <f t="shared" si="23"/>
        <v>8.4000000000000021</v>
      </c>
      <c r="CS42" s="2">
        <f t="shared" si="24"/>
        <v>0.26133535135072372</v>
      </c>
      <c r="CT42" s="1">
        <f t="shared" si="25"/>
        <v>8.4000000000000021</v>
      </c>
      <c r="CU42" s="1">
        <f t="shared" si="26"/>
        <v>0.7484689351651832</v>
      </c>
      <c r="CX42" s="2">
        <f t="shared" si="27"/>
        <v>8.4000000000000021</v>
      </c>
      <c r="CY42" s="2">
        <f t="shared" si="28"/>
        <v>11.53791240249379</v>
      </c>
      <c r="CZ42" s="2">
        <f t="shared" si="29"/>
        <v>4.0285765379082026</v>
      </c>
      <c r="DA42" s="2">
        <f t="shared" si="30"/>
        <v>3.015264391559588</v>
      </c>
    </row>
    <row r="43" spans="2:105" ht="18" customHeight="1" x14ac:dyDescent="0.25">
      <c r="B43" s="6"/>
      <c r="AP43" s="8"/>
      <c r="AR43" s="6"/>
      <c r="CF43" s="8"/>
      <c r="CK43" s="1">
        <f t="shared" si="35"/>
        <v>8.6000000000000014</v>
      </c>
      <c r="CL43" s="1" t="str">
        <f t="shared" si="17"/>
        <v>0.0215973472222222+18.5737186111111i</v>
      </c>
      <c r="CM43" s="1" t="str">
        <f t="shared" si="18"/>
        <v>86.3893888888889</v>
      </c>
      <c r="CN43" s="1" t="str">
        <f t="shared" si="19"/>
        <v>-6.27829861111111i</v>
      </c>
      <c r="CO43" s="1" t="str">
        <f t="shared" si="20"/>
        <v>3.83572763449324+11.4663024083291i</v>
      </c>
      <c r="CP43" s="1" t="str">
        <f t="shared" si="21"/>
        <v>0.0191834803010191+4.12444826471912i</v>
      </c>
      <c r="CQ43" s="1" t="str">
        <f t="shared" si="22"/>
        <v>0.26385135866155+3.09386719164232i</v>
      </c>
      <c r="CR43" s="2">
        <f t="shared" si="23"/>
        <v>8.6000000000000014</v>
      </c>
      <c r="CS43" s="2">
        <f t="shared" si="24"/>
        <v>0.25681363295827953</v>
      </c>
      <c r="CT43" s="1">
        <f t="shared" si="25"/>
        <v>8.6000000000000014</v>
      </c>
      <c r="CU43" s="1">
        <f t="shared" si="26"/>
        <v>0.75284351178089293</v>
      </c>
      <c r="CX43" s="2">
        <f t="shared" si="27"/>
        <v>8.6000000000000014</v>
      </c>
      <c r="CY43" s="2">
        <f t="shared" si="28"/>
        <v>12.09086007715203</v>
      </c>
      <c r="CZ43" s="2">
        <f t="shared" si="29"/>
        <v>4.1244928772227283</v>
      </c>
      <c r="DA43" s="2">
        <f t="shared" si="30"/>
        <v>3.1050977020036399</v>
      </c>
    </row>
    <row r="44" spans="2:105" ht="18" customHeight="1" x14ac:dyDescent="0.25">
      <c r="B44" s="28"/>
      <c r="AP44" s="42"/>
      <c r="AR44" s="6"/>
      <c r="CF44" s="8"/>
      <c r="CK44" s="1">
        <f t="shared" si="35"/>
        <v>8.8000000000000007</v>
      </c>
      <c r="CL44" s="1" t="str">
        <f t="shared" si="17"/>
        <v>0.0215973472222222+19.0056655555556i</v>
      </c>
      <c r="CM44" s="1" t="str">
        <f t="shared" si="18"/>
        <v>86.3893888888889</v>
      </c>
      <c r="CN44" s="1" t="str">
        <f t="shared" si="19"/>
        <v>-6.13561000631313i</v>
      </c>
      <c r="CO44" s="1" t="str">
        <f t="shared" si="20"/>
        <v>4.00691097182699+11.984005231631i</v>
      </c>
      <c r="CP44" s="1" t="str">
        <f t="shared" si="21"/>
        <v>0.0191834803010191+4.22036566622422i</v>
      </c>
      <c r="CQ44" s="1" t="str">
        <f t="shared" si="22"/>
        <v>0.266986934626877+3.18277905801633i</v>
      </c>
      <c r="CR44" s="2">
        <f t="shared" si="23"/>
        <v>8.8000000000000007</v>
      </c>
      <c r="CS44" s="2">
        <f t="shared" si="24"/>
        <v>0.25276395157546178</v>
      </c>
      <c r="CT44" s="1">
        <f t="shared" si="25"/>
        <v>8.8000000000000007</v>
      </c>
      <c r="CU44" s="1">
        <f t="shared" si="26"/>
        <v>0.75678857343319861</v>
      </c>
      <c r="CX44" s="2">
        <f t="shared" si="27"/>
        <v>8.8000000000000007</v>
      </c>
      <c r="CY44" s="2">
        <f t="shared" si="28"/>
        <v>12.636127449812568</v>
      </c>
      <c r="CZ44" s="2">
        <f t="shared" si="29"/>
        <v>4.2204092648178877</v>
      </c>
      <c r="DA44" s="2">
        <f t="shared" si="30"/>
        <v>3.1939575068257828</v>
      </c>
    </row>
    <row r="45" spans="2:105" ht="18" customHeight="1" x14ac:dyDescent="0.25">
      <c r="B45" s="28"/>
      <c r="AP45" s="42"/>
      <c r="AR45" s="6"/>
      <c r="CF45" s="8"/>
      <c r="CK45" s="1">
        <f t="shared" si="35"/>
        <v>9</v>
      </c>
      <c r="CL45" s="1" t="str">
        <f t="shared" si="17"/>
        <v>0.0215973472222222+19.4376125i</v>
      </c>
      <c r="CM45" s="1" t="str">
        <f t="shared" si="18"/>
        <v>86.3893888888889</v>
      </c>
      <c r="CN45" s="1" t="str">
        <f t="shared" si="19"/>
        <v>-5.99926311728395i</v>
      </c>
      <c r="CO45" s="1" t="str">
        <f t="shared" si="20"/>
        <v>4.18129651347652+12.4929346177502i</v>
      </c>
      <c r="CP45" s="1" t="str">
        <f t="shared" si="21"/>
        <v>0.0191834803010191+4.31628306772931i</v>
      </c>
      <c r="CQ45" s="1" t="str">
        <f t="shared" si="22"/>
        <v>0.270591056086155+3.27079128153739i</v>
      </c>
      <c r="CR45" s="2">
        <f t="shared" si="23"/>
        <v>9</v>
      </c>
      <c r="CS45" s="2">
        <f t="shared" si="24"/>
        <v>0.24912271366614697</v>
      </c>
      <c r="CT45" s="1">
        <f t="shared" si="25"/>
        <v>9</v>
      </c>
      <c r="CU45" s="1">
        <f t="shared" si="26"/>
        <v>0.76036086290268556</v>
      </c>
      <c r="CX45" s="2">
        <f t="shared" si="27"/>
        <v>9</v>
      </c>
      <c r="CY45" s="2">
        <f t="shared" si="28"/>
        <v>13.174090325217611</v>
      </c>
      <c r="CZ45" s="2">
        <f t="shared" si="29"/>
        <v>4.3163256974750173</v>
      </c>
      <c r="DA45" s="2">
        <f t="shared" si="30"/>
        <v>3.2819651319011331</v>
      </c>
    </row>
    <row r="46" spans="2:105" ht="18" customHeight="1" x14ac:dyDescent="0.25">
      <c r="B46" s="6"/>
      <c r="AP46" s="42"/>
      <c r="AR46" s="6"/>
      <c r="CF46" s="8"/>
      <c r="CK46" s="1">
        <f t="shared" si="35"/>
        <v>9.1999999999999993</v>
      </c>
      <c r="CL46" s="1" t="str">
        <f t="shared" si="17"/>
        <v>0.0215973472222222+19.8695594444444i</v>
      </c>
      <c r="CM46" s="1" t="str">
        <f t="shared" si="18"/>
        <v>86.3893888888889</v>
      </c>
      <c r="CN46" s="1" t="str">
        <f t="shared" si="19"/>
        <v>-5.86884435386474i</v>
      </c>
      <c r="CO46" s="1" t="str">
        <f t="shared" si="20"/>
        <v>4.35883913646647+12.9934665114761i</v>
      </c>
      <c r="CP46" s="1" t="str">
        <f t="shared" si="21"/>
        <v>0.0191834803010191+4.41220046923441i</v>
      </c>
      <c r="CQ46" s="1" t="str">
        <f t="shared" si="22"/>
        <v>0.27461629273079+3.3580119474588i</v>
      </c>
      <c r="CR46" s="2">
        <f t="shared" si="23"/>
        <v>9.1999999999999993</v>
      </c>
      <c r="CS46" s="2">
        <f t="shared" si="24"/>
        <v>0.24583718849679184</v>
      </c>
      <c r="CT46" s="1">
        <f t="shared" si="25"/>
        <v>9.1999999999999993</v>
      </c>
      <c r="CU46" s="1">
        <f t="shared" si="26"/>
        <v>0.76360772719672187</v>
      </c>
      <c r="CX46" s="2">
        <f t="shared" si="27"/>
        <v>9.1999999999999993</v>
      </c>
      <c r="CY46" s="2">
        <f t="shared" si="28"/>
        <v>13.705095789612075</v>
      </c>
      <c r="CZ46" s="2">
        <f t="shared" si="29"/>
        <v>4.4122421722553726</v>
      </c>
      <c r="DA46" s="2">
        <f t="shared" si="30"/>
        <v>3.3692222169974553</v>
      </c>
    </row>
    <row r="47" spans="2:105"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CK47" s="1">
        <f t="shared" si="35"/>
        <v>9.3999999999999986</v>
      </c>
      <c r="CL47" s="1" t="str">
        <f t="shared" si="17"/>
        <v>0.0215973472222222+20.3015063888889i</v>
      </c>
      <c r="CM47" s="1" t="str">
        <f t="shared" si="18"/>
        <v>86.3893888888889</v>
      </c>
      <c r="CN47" s="1" t="str">
        <f t="shared" si="19"/>
        <v>-5.7439753250591i</v>
      </c>
      <c r="CO47" s="1" t="str">
        <f t="shared" si="20"/>
        <v>4.53949320536088+13.4859426810685i</v>
      </c>
      <c r="CP47" s="1" t="str">
        <f t="shared" si="21"/>
        <v>0.0191834803010191+4.5081178707395i</v>
      </c>
      <c r="CQ47" s="1" t="str">
        <f t="shared" si="22"/>
        <v>0.279023770386231+3.4445318722899i</v>
      </c>
      <c r="CR47" s="2">
        <f t="shared" si="23"/>
        <v>9.3999999999999986</v>
      </c>
      <c r="CS47" s="2">
        <f t="shared" si="24"/>
        <v>0.24286329467002388</v>
      </c>
      <c r="CT47" s="1">
        <f t="shared" si="25"/>
        <v>9.3999999999999986</v>
      </c>
      <c r="CU47" s="1">
        <f t="shared" si="26"/>
        <v>0.76656896372384975</v>
      </c>
      <c r="CX47" s="2">
        <f t="shared" si="27"/>
        <v>9.3999999999999986</v>
      </c>
      <c r="CY47" s="2">
        <f t="shared" si="28"/>
        <v>14.229464099486764</v>
      </c>
      <c r="CZ47" s="2">
        <f t="shared" si="29"/>
        <v>4.5081586864702645</v>
      </c>
      <c r="DA47" s="2">
        <f t="shared" si="30"/>
        <v>3.4558145325901837</v>
      </c>
    </row>
    <row r="48" spans="2:105" ht="18" customHeight="1" x14ac:dyDescent="0.25">
      <c r="B48" s="6"/>
      <c r="D48" s="43" t="s">
        <v>84</v>
      </c>
      <c r="AO48" s="44" t="s">
        <v>746</v>
      </c>
      <c r="AP48" s="8"/>
      <c r="AR48" s="6"/>
      <c r="AT48" s="43" t="s">
        <v>84</v>
      </c>
      <c r="CE48" s="29" t="s">
        <v>86</v>
      </c>
      <c r="CF48" s="8"/>
      <c r="CK48" s="1">
        <f t="shared" si="35"/>
        <v>9.5999999999999979</v>
      </c>
      <c r="CL48" s="1" t="str">
        <f t="shared" si="17"/>
        <v>0.0215973472222222+20.7334533333333i</v>
      </c>
      <c r="CM48" s="1" t="str">
        <f t="shared" si="18"/>
        <v>86.3893888888889</v>
      </c>
      <c r="CN48" s="1" t="str">
        <f t="shared" si="19"/>
        <v>-5.62430917245371i</v>
      </c>
      <c r="CO48" s="1" t="str">
        <f t="shared" si="20"/>
        <v>4.72321259933676+13.9706743911479i</v>
      </c>
      <c r="CP48" s="1" t="str">
        <f t="shared" si="21"/>
        <v>0.0191834803010191+4.6040352722446i</v>
      </c>
      <c r="CQ48" s="1" t="str">
        <f t="shared" si="22"/>
        <v>0.283781342762712+3.53042791697922i</v>
      </c>
      <c r="CR48" s="2">
        <f t="shared" si="23"/>
        <v>9.5999999999999979</v>
      </c>
      <c r="CS48" s="2">
        <f t="shared" si="24"/>
        <v>0.24016390547258296</v>
      </c>
      <c r="CT48" s="1">
        <f t="shared" si="25"/>
        <v>9.5999999999999979</v>
      </c>
      <c r="CU48" s="1">
        <f t="shared" si="26"/>
        <v>0.76927825141953921</v>
      </c>
      <c r="CX48" s="2">
        <f t="shared" si="27"/>
        <v>9.5999999999999979</v>
      </c>
      <c r="CY48" s="2">
        <f t="shared" si="28"/>
        <v>14.747490640851728</v>
      </c>
      <c r="CZ48" s="2">
        <f t="shared" si="29"/>
        <v>4.6040752376551</v>
      </c>
      <c r="DA48" s="2">
        <f t="shared" si="30"/>
        <v>3.5418149482273131</v>
      </c>
    </row>
    <row r="49" spans="2:105"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CK49" s="1">
        <f t="shared" si="35"/>
        <v>9.7999999999999972</v>
      </c>
      <c r="CL49" s="1" t="str">
        <f t="shared" si="17"/>
        <v>0.0215973472222222+21.1654002777778i</v>
      </c>
      <c r="CM49" s="1" t="str">
        <f t="shared" si="18"/>
        <v>86.3893888888889</v>
      </c>
      <c r="CN49" s="1" t="str">
        <f t="shared" si="19"/>
        <v>-5.50952735260771i</v>
      </c>
      <c r="CO49" s="1" t="str">
        <f t="shared" si="20"/>
        <v>4.90995073924958+14.4479456258093i</v>
      </c>
      <c r="CP49" s="1" t="str">
        <f t="shared" si="21"/>
        <v>0.0191834803010191+4.6999526737497i</v>
      </c>
      <c r="CQ49" s="1" t="str">
        <f t="shared" si="22"/>
        <v>0.288862209204262+3.61576556590786i</v>
      </c>
      <c r="CR49" s="2">
        <f t="shared" si="23"/>
        <v>9.7999999999999972</v>
      </c>
      <c r="CS49" s="2">
        <f t="shared" si="24"/>
        <v>0.23770753668672684</v>
      </c>
      <c r="CT49" s="1">
        <f t="shared" si="25"/>
        <v>9.7999999999999972</v>
      </c>
      <c r="CU49" s="1">
        <f t="shared" si="26"/>
        <v>0.77176427082721666</v>
      </c>
      <c r="CX49" s="2">
        <f t="shared" si="27"/>
        <v>9.7999999999999972</v>
      </c>
      <c r="CY49" s="2">
        <f t="shared" si="28"/>
        <v>15.259447862494882</v>
      </c>
      <c r="CZ49" s="2">
        <f t="shared" si="29"/>
        <v>4.6999918235464433</v>
      </c>
      <c r="DA49" s="2">
        <f t="shared" si="30"/>
        <v>3.6272857625932025</v>
      </c>
    </row>
    <row r="50" spans="2:105" ht="18" customHeight="1" x14ac:dyDescent="0.25">
      <c r="CK50" s="1">
        <f t="shared" si="35"/>
        <v>9.9999999999999964</v>
      </c>
      <c r="CL50" s="1" t="str">
        <f t="shared" si="17"/>
        <v>0.0215973472222222+21.5973472222222i</v>
      </c>
      <c r="CM50" s="1" t="str">
        <f t="shared" si="18"/>
        <v>86.3893888888889</v>
      </c>
      <c r="CN50" s="1" t="str">
        <f t="shared" si="19"/>
        <v>-5.39933680555556i</v>
      </c>
      <c r="CO50" s="1" t="str">
        <f t="shared" si="20"/>
        <v>5.09966061466208+14.9180159248185i</v>
      </c>
      <c r="CP50" s="1" t="str">
        <f t="shared" si="21"/>
        <v>0.0191834803010191+4.79587007525479i</v>
      </c>
      <c r="CQ50" s="1" t="str">
        <f t="shared" si="22"/>
        <v>0.294243857191698+3.70060095445727i</v>
      </c>
      <c r="CR50" s="2">
        <f t="shared" si="23"/>
        <v>9.9999999999999964</v>
      </c>
      <c r="CS50" s="2">
        <f t="shared" si="24"/>
        <v>0.23546731994636055</v>
      </c>
      <c r="CT50" s="1">
        <f t="shared" si="25"/>
        <v>9.9999999999999964</v>
      </c>
      <c r="CU50" s="1">
        <f t="shared" si="26"/>
        <v>0.77405158865354418</v>
      </c>
      <c r="CX50" s="2">
        <f t="shared" si="27"/>
        <v>9.9999999999999964</v>
      </c>
      <c r="CY50" s="2">
        <f t="shared" si="28"/>
        <v>15.765587128866276</v>
      </c>
      <c r="CZ50" s="2">
        <f t="shared" si="29"/>
        <v>4.7959084420619256</v>
      </c>
      <c r="DA50" s="2">
        <f t="shared" si="30"/>
        <v>3.7122805486149755</v>
      </c>
    </row>
    <row r="51" spans="2:105"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CK51" s="1">
        <f t="shared" si="35"/>
        <v>10.199999999999996</v>
      </c>
      <c r="CL51" s="1" t="str">
        <f t="shared" si="17"/>
        <v>0.0215973472222222+22.0292941666667i</v>
      </c>
      <c r="CM51" s="1" t="str">
        <f t="shared" si="18"/>
        <v>86.3893888888889</v>
      </c>
      <c r="CN51" s="1" t="str">
        <f t="shared" si="19"/>
        <v>-5.29346745642702i</v>
      </c>
      <c r="CO51" s="1" t="str">
        <f t="shared" si="20"/>
        <v>5.29229481081215+15.381122885897i</v>
      </c>
      <c r="CP51" s="1" t="str">
        <f t="shared" si="21"/>
        <v>0.0191834803010191+4.89178747675989i</v>
      </c>
      <c r="CQ51" s="1" t="str">
        <f t="shared" si="22"/>
        <v>0.299907244440778+3.78498247780068i</v>
      </c>
      <c r="CR51" s="2">
        <f t="shared" si="23"/>
        <v>10.199999999999996</v>
      </c>
      <c r="CS51" s="2">
        <f t="shared" si="24"/>
        <v>0.23342019178025042</v>
      </c>
      <c r="CT51" s="1">
        <f t="shared" si="25"/>
        <v>10.199999999999996</v>
      </c>
      <c r="CU51" s="1">
        <f t="shared" si="26"/>
        <v>0.77616136222960463</v>
      </c>
      <c r="CX51" s="2">
        <f t="shared" si="27"/>
        <v>10.199999999999996</v>
      </c>
      <c r="CY51" s="2">
        <f t="shared" si="28"/>
        <v>16.266140464031828</v>
      </c>
      <c r="CZ51" s="2">
        <f t="shared" si="29"/>
        <v>4.8918250912825316</v>
      </c>
      <c r="DA51" s="2">
        <f t="shared" si="30"/>
        <v>3.7968456266388069</v>
      </c>
    </row>
    <row r="52" spans="2:105" ht="18" customHeight="1" x14ac:dyDescent="0.25">
      <c r="B52" s="6"/>
      <c r="AN52" s="7"/>
      <c r="AP52" s="8"/>
      <c r="AR52" s="6"/>
      <c r="CD52" s="7"/>
      <c r="CF52" s="8"/>
      <c r="CK52" s="1">
        <f t="shared" si="35"/>
        <v>10.399999999999995</v>
      </c>
      <c r="CL52" s="1" t="str">
        <f t="shared" si="17"/>
        <v>0.0215973472222222+22.4612411111111i</v>
      </c>
      <c r="CM52" s="1" t="str">
        <f t="shared" si="18"/>
        <v>86.3893888888889</v>
      </c>
      <c r="CN52" s="1" t="str">
        <f t="shared" si="19"/>
        <v>-5.19167000534188i</v>
      </c>
      <c r="CO52" s="1" t="str">
        <f t="shared" si="20"/>
        <v>5.48780553549301+15.8374843779452i</v>
      </c>
      <c r="CP52" s="1" t="str">
        <f t="shared" si="21"/>
        <v>0.0191834803010191+4.98770487826498i</v>
      </c>
      <c r="CQ52" s="1" t="str">
        <f t="shared" si="22"/>
        <v>0.305836159919562+3.8689520783692i</v>
      </c>
      <c r="CR52" s="2">
        <f t="shared" si="23"/>
        <v>10.399999999999995</v>
      </c>
      <c r="CS52" s="2">
        <f t="shared" si="24"/>
        <v>0.23154624733895457</v>
      </c>
      <c r="CT52" s="1">
        <f t="shared" si="25"/>
        <v>10.399999999999995</v>
      </c>
      <c r="CU52" s="1">
        <f t="shared" si="26"/>
        <v>0.77811190498789762</v>
      </c>
      <c r="CX52" s="2">
        <f t="shared" si="27"/>
        <v>10.399999999999995</v>
      </c>
      <c r="CY52" s="2">
        <f t="shared" si="28"/>
        <v>16.761322173893266</v>
      </c>
      <c r="CZ52" s="2">
        <f t="shared" si="29"/>
        <v>4.9877417694368198</v>
      </c>
      <c r="DA52" s="2">
        <f t="shared" si="30"/>
        <v>3.8810212498041929</v>
      </c>
    </row>
    <row r="53" spans="2:105" ht="18" customHeight="1" x14ac:dyDescent="0.25">
      <c r="B53" s="6"/>
      <c r="AN53" s="9"/>
      <c r="AP53" s="8"/>
      <c r="AR53" s="6"/>
      <c r="CD53" s="9"/>
      <c r="CF53" s="8"/>
      <c r="CK53" s="1">
        <f t="shared" si="35"/>
        <v>10.599999999999994</v>
      </c>
      <c r="CL53" s="1" t="str">
        <f t="shared" si="17"/>
        <v>0.0215973472222222+22.8931880555555i</v>
      </c>
      <c r="CM53" s="1" t="str">
        <f t="shared" si="18"/>
        <v>86.3893888888889</v>
      </c>
      <c r="CN53" s="1" t="str">
        <f t="shared" si="19"/>
        <v>-5.09371396750524i</v>
      </c>
      <c r="CO53" s="1" t="str">
        <f t="shared" si="20"/>
        <v>5.68614464582146+16.2873005032899i</v>
      </c>
      <c r="CP53" s="1" t="str">
        <f t="shared" si="21"/>
        <v>0.0191834803010191+5.08362227977008i</v>
      </c>
      <c r="CQ53" s="1" t="str">
        <f t="shared" si="22"/>
        <v>0.312016719978162+3.95254628439822i</v>
      </c>
      <c r="CR53" s="2">
        <f t="shared" si="23"/>
        <v>10.599999999999994</v>
      </c>
      <c r="CS53" s="2">
        <f t="shared" si="24"/>
        <v>0.22982822112261947</v>
      </c>
      <c r="CT53" s="1">
        <f t="shared" si="25"/>
        <v>10.599999999999994</v>
      </c>
      <c r="CU53" s="1">
        <f t="shared" si="26"/>
        <v>0.77991914374501281</v>
      </c>
      <c r="CX53" s="2">
        <f t="shared" si="27"/>
        <v>10.599999999999994</v>
      </c>
      <c r="CY53" s="2">
        <f t="shared" si="28"/>
        <v>17.251330343416168</v>
      </c>
      <c r="CZ53" s="2">
        <f t="shared" si="29"/>
        <v>5.0836584748870779</v>
      </c>
      <c r="DA53" s="2">
        <f t="shared" si="30"/>
        <v>3.9648425648260122</v>
      </c>
    </row>
    <row r="54" spans="2:105" ht="18" customHeight="1" thickBot="1" x14ac:dyDescent="0.3">
      <c r="B54" s="6"/>
      <c r="C54" s="10" t="str">
        <f>"Harmonic Filter Design - High-Pass (HP) Type | "&amp; H12 &amp; " | " &amp; AE13</f>
        <v>Harmonic Filter Design - High-Pass (HP) Type | Enter Customer PO #  | Stage 1</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1"/>
      <c r="AO54" s="10"/>
      <c r="AP54" s="8"/>
      <c r="AR54" s="6"/>
      <c r="AS54" s="251" t="str">
        <f>"Harmonic Filter Design - High-Pass (HP) Type | "&amp; H12 &amp; " | " &amp; AE13</f>
        <v>Harmonic Filter Design - High-Pass (HP) Type | Enter Customer PO #  | Stage 1</v>
      </c>
      <c r="AT54" s="251"/>
      <c r="AU54" s="251"/>
      <c r="AV54" s="251"/>
      <c r="AW54" s="251"/>
      <c r="AX54" s="251"/>
      <c r="AY54" s="251"/>
      <c r="AZ54" s="251"/>
      <c r="BA54" s="251"/>
      <c r="BB54" s="251"/>
      <c r="BC54" s="251"/>
      <c r="BD54" s="251"/>
      <c r="BE54" s="251"/>
      <c r="BF54" s="251"/>
      <c r="BG54" s="251"/>
      <c r="BH54" s="10"/>
      <c r="BI54" s="10"/>
      <c r="BJ54" s="10"/>
      <c r="BK54" s="10"/>
      <c r="BL54" s="10"/>
      <c r="BM54" s="10"/>
      <c r="BN54" s="10"/>
      <c r="BO54" s="10"/>
      <c r="BP54" s="10"/>
      <c r="BQ54" s="10"/>
      <c r="BR54" s="10"/>
      <c r="BS54" s="10"/>
      <c r="BT54" s="10"/>
      <c r="BU54" s="10"/>
      <c r="BV54" s="10"/>
      <c r="BW54" s="10"/>
      <c r="BX54" s="10"/>
      <c r="BY54" s="10"/>
      <c r="BZ54" s="10"/>
      <c r="CA54" s="10"/>
      <c r="CB54" s="10"/>
      <c r="CC54" s="10"/>
      <c r="CD54" s="11"/>
      <c r="CE54" s="10"/>
      <c r="CF54" s="8"/>
      <c r="CK54" s="1">
        <f t="shared" si="35"/>
        <v>10.799999999999994</v>
      </c>
      <c r="CL54" s="1" t="str">
        <f t="shared" si="17"/>
        <v>0.0215973472222222+23.325135i</v>
      </c>
      <c r="CM54" s="1" t="str">
        <f t="shared" si="18"/>
        <v>86.3893888888889</v>
      </c>
      <c r="CN54" s="1" t="str">
        <f t="shared" si="19"/>
        <v>-4.99938593106996i</v>
      </c>
      <c r="CO54" s="1" t="str">
        <f t="shared" si="20"/>
        <v>5.88726367486961+16.7307553413971i</v>
      </c>
      <c r="CP54" s="1" t="str">
        <f t="shared" si="21"/>
        <v>0.0191834803010191+5.17953968127517i</v>
      </c>
      <c r="CQ54" s="1" t="str">
        <f t="shared" si="22"/>
        <v>0.31843696757402+4.03579705391766i</v>
      </c>
      <c r="CR54" s="2">
        <f t="shared" si="23"/>
        <v>10.799999999999994</v>
      </c>
      <c r="CS54" s="2">
        <f t="shared" si="24"/>
        <v>0.2282510665602282</v>
      </c>
      <c r="CT54" s="1">
        <f t="shared" si="25"/>
        <v>10.799999999999994</v>
      </c>
      <c r="CU54" s="1">
        <f t="shared" si="26"/>
        <v>0.7815969910665973</v>
      </c>
      <c r="CX54" s="2">
        <f t="shared" si="27"/>
        <v>10.799999999999994</v>
      </c>
      <c r="CY54" s="2">
        <f t="shared" si="28"/>
        <v>17.736348211261717</v>
      </c>
      <c r="CZ54" s="2">
        <f t="shared" si="29"/>
        <v>5.179575206116863</v>
      </c>
      <c r="DA54" s="2">
        <f t="shared" si="30"/>
        <v>4.0483403961040878</v>
      </c>
    </row>
    <row r="55" spans="2:105" ht="18" customHeight="1" x14ac:dyDescent="0.25">
      <c r="B55" s="6"/>
      <c r="AN55" s="9"/>
      <c r="AP55" s="8"/>
      <c r="AR55" s="6"/>
      <c r="CD55" s="9"/>
      <c r="CF55" s="8"/>
      <c r="CK55" s="1">
        <f t="shared" si="35"/>
        <v>10.999999999999993</v>
      </c>
      <c r="CL55" s="1" t="str">
        <f t="shared" si="17"/>
        <v>0.0215973472222222+23.7570819444444i</v>
      </c>
      <c r="CM55" s="1" t="str">
        <f t="shared" si="18"/>
        <v>86.3893888888889</v>
      </c>
      <c r="CN55" s="1" t="str">
        <f t="shared" si="19"/>
        <v>-4.90848800505051i</v>
      </c>
      <c r="CO55" s="1" t="str">
        <f t="shared" si="20"/>
        <v>6.09111385813602+17.1680185017798i</v>
      </c>
      <c r="CP55" s="1" t="str">
        <f t="shared" si="21"/>
        <v>0.0191834803010191+5.27545708278027i</v>
      </c>
      <c r="CQ55" s="1" t="str">
        <f t="shared" si="22"/>
        <v>0.325086550924969+4.11873246540654i</v>
      </c>
      <c r="CR55" s="2">
        <f t="shared" si="23"/>
        <v>10.999999999999993</v>
      </c>
      <c r="CS55" s="2">
        <f t="shared" si="24"/>
        <v>0.22680161319592021</v>
      </c>
      <c r="CT55" s="1">
        <f t="shared" si="25"/>
        <v>10.999999999999993</v>
      </c>
      <c r="CU55" s="1">
        <f t="shared" si="26"/>
        <v>0.78315765046765573</v>
      </c>
      <c r="CX55" s="2">
        <f t="shared" si="27"/>
        <v>10.999999999999993</v>
      </c>
      <c r="CY55" s="2">
        <f t="shared" si="28"/>
        <v>18.216545427446725</v>
      </c>
      <c r="CZ55" s="2">
        <f t="shared" si="29"/>
        <v>5.2754919617200606</v>
      </c>
      <c r="DA55" s="2">
        <f t="shared" si="30"/>
        <v>4.1315418898016905</v>
      </c>
    </row>
    <row r="56" spans="2:105" ht="18" customHeight="1" x14ac:dyDescent="0.3">
      <c r="B56" s="6"/>
      <c r="C56" s="178" t="s">
        <v>87</v>
      </c>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8"/>
      <c r="AR56" s="6"/>
      <c r="AS56" s="30" t="s">
        <v>88</v>
      </c>
      <c r="CF56" s="8"/>
      <c r="CK56" s="1">
        <f t="shared" si="35"/>
        <v>11.199999999999992</v>
      </c>
      <c r="CL56" s="1" t="str">
        <f t="shared" si="17"/>
        <v>0.0215973472222222+24.1890288888889i</v>
      </c>
      <c r="CM56" s="1" t="str">
        <f t="shared" si="18"/>
        <v>86.3893888888889</v>
      </c>
      <c r="CN56" s="1" t="str">
        <f t="shared" si="19"/>
        <v>-4.82083643353175i</v>
      </c>
      <c r="CO56" s="1" t="str">
        <f t="shared" si="20"/>
        <v>6.29764615983412+17.5992465098678i</v>
      </c>
      <c r="CP56" s="1" t="str">
        <f t="shared" si="21"/>
        <v>0.0191834803010191+5.37137448428537i</v>
      </c>
      <c r="CQ56" s="1" t="str">
        <f t="shared" si="22"/>
        <v>0.331956463908613+4.20137728665321i</v>
      </c>
      <c r="CR56" s="2">
        <f t="shared" si="23"/>
        <v>11.199999999999992</v>
      </c>
      <c r="CS56" s="2">
        <f t="shared" si="24"/>
        <v>0.22546828529559956</v>
      </c>
      <c r="CT56" s="1">
        <f t="shared" si="25"/>
        <v>11.199999999999992</v>
      </c>
      <c r="CU56" s="1">
        <f t="shared" si="26"/>
        <v>0.78461186810209693</v>
      </c>
      <c r="CX56" s="2">
        <f t="shared" si="27"/>
        <v>11.199999999999992</v>
      </c>
      <c r="CY56" s="2">
        <f t="shared" si="28"/>
        <v>18.692079201350698</v>
      </c>
      <c r="CZ56" s="2">
        <f t="shared" si="29"/>
        <v>5.3714087403909589</v>
      </c>
      <c r="DA56" s="2">
        <f t="shared" si="30"/>
        <v>4.2144710461380805</v>
      </c>
    </row>
    <row r="57" spans="2:105" ht="18" customHeight="1" x14ac:dyDescent="0.25">
      <c r="B57" s="6"/>
      <c r="C57" s="18"/>
      <c r="D57" s="18"/>
      <c r="E57" s="18"/>
      <c r="F57" s="18"/>
      <c r="G57" s="18"/>
      <c r="H57" s="18"/>
      <c r="I57" s="18"/>
      <c r="J57" s="18"/>
      <c r="K57" s="18"/>
      <c r="L57" s="18"/>
      <c r="M57" s="18"/>
      <c r="N57" s="18"/>
      <c r="O57" s="18"/>
      <c r="P57" s="18"/>
      <c r="Q57" s="18"/>
      <c r="R57" s="18"/>
      <c r="S57" s="18"/>
      <c r="T57" s="18"/>
      <c r="U57" s="240" t="s">
        <v>92</v>
      </c>
      <c r="V57" s="240"/>
      <c r="W57" s="240"/>
      <c r="X57" s="240"/>
      <c r="Y57" s="240"/>
      <c r="AC57" s="18"/>
      <c r="AD57" s="18"/>
      <c r="AE57" s="18"/>
      <c r="AF57" s="18"/>
      <c r="AG57" s="18"/>
      <c r="AH57" s="18"/>
      <c r="AI57" s="18"/>
      <c r="AJ57" s="18"/>
      <c r="AK57" s="18"/>
      <c r="AL57" s="18"/>
      <c r="AM57" s="18"/>
      <c r="AN57" s="18"/>
      <c r="AP57" s="8"/>
      <c r="AR57" s="6"/>
      <c r="CF57" s="8"/>
      <c r="CK57" s="1">
        <f t="shared" si="35"/>
        <v>11.399999999999991</v>
      </c>
      <c r="CL57" s="1" t="str">
        <f t="shared" si="17"/>
        <v>0.0215973472222222+24.6209758333333i</v>
      </c>
      <c r="CM57" s="1" t="str">
        <f t="shared" si="18"/>
        <v>86.3893888888889</v>
      </c>
      <c r="CN57" s="1" t="str">
        <f t="shared" si="19"/>
        <v>-4.73626035575049i</v>
      </c>
      <c r="CO57" s="1" t="str">
        <f t="shared" si="20"/>
        <v>6.50681129897462+18.0245840462746i</v>
      </c>
      <c r="CP57" s="1" t="str">
        <f t="shared" si="21"/>
        <v>0.0191834803010191+5.46729188579046i</v>
      </c>
      <c r="CQ57" s="1" t="str">
        <f t="shared" si="22"/>
        <v>0.339038834867397+4.28375344616589i</v>
      </c>
      <c r="CR57" s="2">
        <f t="shared" si="23"/>
        <v>11.399999999999991</v>
      </c>
      <c r="CS57" s="2">
        <f t="shared" si="24"/>
        <v>0.22424086943013413</v>
      </c>
      <c r="CT57" s="1">
        <f t="shared" si="25"/>
        <v>11.399999999999991</v>
      </c>
      <c r="CU57" s="1">
        <f t="shared" si="26"/>
        <v>0.78596914152630126</v>
      </c>
      <c r="CX57" s="2">
        <f t="shared" si="27"/>
        <v>11.399999999999991</v>
      </c>
      <c r="CY57" s="2">
        <f t="shared" si="28"/>
        <v>19.163095348134153</v>
      </c>
      <c r="CZ57" s="2">
        <f t="shared" si="29"/>
        <v>5.4673255409154731</v>
      </c>
      <c r="DA57" s="2">
        <f t="shared" si="30"/>
        <v>4.2971491618381572</v>
      </c>
    </row>
    <row r="58" spans="2:105" ht="18" customHeight="1" x14ac:dyDescent="0.3">
      <c r="B58" s="6"/>
      <c r="C58" s="18"/>
      <c r="D58" s="18"/>
      <c r="E58" s="18"/>
      <c r="F58" s="18"/>
      <c r="G58" s="18"/>
      <c r="H58" s="18"/>
      <c r="I58" s="335" t="s">
        <v>93</v>
      </c>
      <c r="J58" s="335"/>
      <c r="K58" s="335"/>
      <c r="L58" s="335"/>
      <c r="M58" s="18"/>
      <c r="O58" s="335" t="s">
        <v>94</v>
      </c>
      <c r="P58" s="335"/>
      <c r="Q58" s="335"/>
      <c r="R58" s="335"/>
      <c r="U58" s="240"/>
      <c r="V58" s="240"/>
      <c r="W58" s="240"/>
      <c r="X58" s="240"/>
      <c r="Y58" s="240"/>
      <c r="AC58" s="18"/>
      <c r="AD58" s="18"/>
      <c r="AE58" s="18"/>
      <c r="AF58" s="18"/>
      <c r="AG58" s="18"/>
      <c r="AH58" s="18"/>
      <c r="AI58" s="18"/>
      <c r="AJ58" s="18"/>
      <c r="AK58" s="18"/>
      <c r="AL58" s="18"/>
      <c r="AM58" s="18"/>
      <c r="AN58" s="18"/>
      <c r="AP58" s="8"/>
      <c r="AR58" s="6"/>
      <c r="AS58" s="337" t="str">
        <f>S17&amp;"kV, "&amp;S20&amp;"Hz High-Pass Filter, Wye-Connected"</f>
        <v>12.47kV, 60Hz High-Pass Filter, Wye-Connected</v>
      </c>
      <c r="AT58" s="337"/>
      <c r="AU58" s="337"/>
      <c r="AV58" s="337"/>
      <c r="AW58" s="337"/>
      <c r="AX58" s="337"/>
      <c r="AY58" s="337"/>
      <c r="AZ58" s="337"/>
      <c r="BA58" s="337"/>
      <c r="BB58" s="337"/>
      <c r="BC58" s="337"/>
      <c r="BD58" s="337"/>
      <c r="BE58" s="337"/>
      <c r="BF58" s="337"/>
      <c r="BG58" s="337"/>
      <c r="BH58" s="337"/>
      <c r="BI58" s="337"/>
      <c r="BJ58" s="337"/>
      <c r="BK58" s="337"/>
      <c r="BL58" s="337"/>
      <c r="BM58" s="337"/>
      <c r="BN58" s="337"/>
      <c r="BO58" s="337"/>
      <c r="BP58" s="337"/>
      <c r="BQ58" s="337"/>
      <c r="BR58" s="337"/>
      <c r="BS58" s="337"/>
      <c r="BT58" s="337"/>
      <c r="BU58" s="337"/>
      <c r="BV58" s="337"/>
      <c r="BW58" s="337"/>
      <c r="BX58" s="337"/>
      <c r="BY58" s="337"/>
      <c r="BZ58" s="337"/>
      <c r="CA58" s="337"/>
      <c r="CB58" s="337"/>
      <c r="CC58" s="337"/>
      <c r="CD58" s="337"/>
      <c r="CE58" s="337"/>
      <c r="CF58" s="8"/>
      <c r="CK58" s="1">
        <f t="shared" si="35"/>
        <v>11.599999999999991</v>
      </c>
      <c r="CL58" s="1" t="str">
        <f t="shared" si="17"/>
        <v>0.0215973472222222+25.0529227777778i</v>
      </c>
      <c r="CM58" s="1" t="str">
        <f t="shared" si="18"/>
        <v>86.3893888888889</v>
      </c>
      <c r="CN58" s="1" t="str">
        <f t="shared" si="19"/>
        <v>-4.65460069444445i</v>
      </c>
      <c r="CO58" s="1" t="str">
        <f t="shared" si="20"/>
        <v>6.71855977522093+18.4441650570814i</v>
      </c>
      <c r="CP58" s="1" t="str">
        <f t="shared" si="21"/>
        <v>0.0191834803010191+5.56320928729556i</v>
      </c>
      <c r="CQ58" s="1" t="str">
        <f t="shared" si="22"/>
        <v>0.346326753660642+4.36588042607421i</v>
      </c>
      <c r="CR58" s="2">
        <f t="shared" si="23"/>
        <v>11.599999999999991</v>
      </c>
      <c r="CS58" s="2">
        <f t="shared" si="24"/>
        <v>0.22311032138875339</v>
      </c>
      <c r="CT58" s="1">
        <f t="shared" si="25"/>
        <v>11.599999999999991</v>
      </c>
      <c r="CU58" s="1">
        <f t="shared" si="26"/>
        <v>0.78723789380398213</v>
      </c>
      <c r="CX58" s="2">
        <f t="shared" si="27"/>
        <v>11.599999999999991</v>
      </c>
      <c r="CY58" s="2">
        <f t="shared" si="28"/>
        <v>19.62972924179239</v>
      </c>
      <c r="CZ58" s="2">
        <f t="shared" si="29"/>
        <v>5.5632423621632769</v>
      </c>
      <c r="DA58" s="2">
        <f t="shared" si="30"/>
        <v>4.3795951999104954</v>
      </c>
    </row>
    <row r="59" spans="2:105" ht="18" customHeight="1" x14ac:dyDescent="0.3">
      <c r="B59" s="6"/>
      <c r="C59" s="335" t="s">
        <v>95</v>
      </c>
      <c r="D59" s="335"/>
      <c r="E59" s="335"/>
      <c r="F59" s="335"/>
      <c r="G59" s="335"/>
      <c r="H59" s="17"/>
      <c r="I59" s="335"/>
      <c r="J59" s="335"/>
      <c r="K59" s="335"/>
      <c r="L59" s="335"/>
      <c r="M59" s="48"/>
      <c r="O59" s="335"/>
      <c r="P59" s="335"/>
      <c r="Q59" s="335"/>
      <c r="R59" s="335"/>
      <c r="U59" s="240"/>
      <c r="V59" s="240"/>
      <c r="W59" s="240"/>
      <c r="X59" s="240"/>
      <c r="Y59" s="240"/>
      <c r="AB59" s="335" t="s">
        <v>83</v>
      </c>
      <c r="AC59" s="335"/>
      <c r="AD59" s="335"/>
      <c r="AE59" s="335"/>
      <c r="AF59" s="335"/>
      <c r="AI59" s="335" t="s">
        <v>96</v>
      </c>
      <c r="AJ59" s="335"/>
      <c r="AK59" s="335"/>
      <c r="AL59" s="335"/>
      <c r="AM59" s="335"/>
      <c r="AP59" s="8"/>
      <c r="AR59" s="6"/>
      <c r="AS59" s="154" t="str">
        <f>FIXED(S18,0)&amp;" Kvar 3-Phase, "&amp;FIXED(S19,1)&amp;" Tuning"</f>
        <v>3,000 Kvar 3-Phase, 5.0 Tuning</v>
      </c>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8"/>
      <c r="CK59" s="1">
        <f t="shared" si="35"/>
        <v>11.79999999999999</v>
      </c>
      <c r="CL59" s="1" t="str">
        <f t="shared" si="17"/>
        <v>0.0215973472222222+25.4848697222222i</v>
      </c>
      <c r="CM59" s="1" t="str">
        <f t="shared" si="18"/>
        <v>86.3893888888889</v>
      </c>
      <c r="CN59" s="1" t="str">
        <f t="shared" si="19"/>
        <v>-4.57570915725048i</v>
      </c>
      <c r="CO59" s="1" t="str">
        <f t="shared" si="20"/>
        <v>6.93284189449617+18.8581137503684i</v>
      </c>
      <c r="CP59" s="1" t="str">
        <f t="shared" si="21"/>
        <v>0.0191834803010191+5.65912668880065i</v>
      </c>
      <c r="CQ59" s="1" t="str">
        <f t="shared" si="22"/>
        <v>0.353814129160584+4.44777559137144i</v>
      </c>
      <c r="CR59" s="2">
        <f t="shared" si="23"/>
        <v>11.79999999999999</v>
      </c>
      <c r="CS59" s="2">
        <f t="shared" si="24"/>
        <v>0.22206860488599539</v>
      </c>
      <c r="CT59" s="1">
        <f t="shared" si="25"/>
        <v>11.79999999999999</v>
      </c>
      <c r="CU59" s="1">
        <f t="shared" si="26"/>
        <v>0.78842561945547318</v>
      </c>
      <c r="CX59" s="2">
        <f t="shared" si="27"/>
        <v>11.79999999999999</v>
      </c>
      <c r="CY59" s="2">
        <f t="shared" si="28"/>
        <v>20.092106682872132</v>
      </c>
      <c r="CZ59" s="2">
        <f t="shared" si="29"/>
        <v>5.6591592030806366</v>
      </c>
      <c r="DA59" s="2">
        <f t="shared" si="30"/>
        <v>4.4618261002859834</v>
      </c>
    </row>
    <row r="60" spans="2:105" ht="18" customHeight="1" x14ac:dyDescent="0.25">
      <c r="B60" s="6"/>
      <c r="C60" s="336"/>
      <c r="D60" s="336"/>
      <c r="E60" s="336"/>
      <c r="F60" s="336"/>
      <c r="G60" s="336"/>
      <c r="H60" s="17"/>
      <c r="I60" s="336"/>
      <c r="J60" s="336"/>
      <c r="K60" s="336"/>
      <c r="L60" s="336"/>
      <c r="M60" s="48"/>
      <c r="O60" s="336"/>
      <c r="P60" s="336"/>
      <c r="Q60" s="336"/>
      <c r="R60" s="336"/>
      <c r="U60" s="201"/>
      <c r="V60" s="201"/>
      <c r="W60" s="201"/>
      <c r="X60" s="201"/>
      <c r="Y60" s="201"/>
      <c r="AB60" s="336"/>
      <c r="AC60" s="336"/>
      <c r="AD60" s="336"/>
      <c r="AE60" s="336"/>
      <c r="AF60" s="336"/>
      <c r="AI60" s="336"/>
      <c r="AJ60" s="336"/>
      <c r="AK60" s="336"/>
      <c r="AL60" s="336"/>
      <c r="AM60" s="336"/>
      <c r="AP60" s="8"/>
      <c r="AR60" s="6"/>
      <c r="CF60" s="8"/>
      <c r="CK60" s="1">
        <f t="shared" si="35"/>
        <v>11.999999999999989</v>
      </c>
      <c r="CL60" s="1" t="str">
        <f t="shared" si="17"/>
        <v>0.0215973472222222+25.9168166666667i</v>
      </c>
      <c r="CM60" s="1" t="str">
        <f t="shared" si="18"/>
        <v>86.3893888888889</v>
      </c>
      <c r="CN60" s="1" t="str">
        <f t="shared" si="19"/>
        <v>-4.49944733796297i</v>
      </c>
      <c r="CO60" s="1" t="str">
        <f t="shared" si="20"/>
        <v>7.1496077943224+19.2665454921995i</v>
      </c>
      <c r="CP60" s="1" t="str">
        <f t="shared" si="21"/>
        <v>0.0191834803010191+5.75504409030575i</v>
      </c>
      <c r="CQ60" s="1" t="str">
        <f t="shared" si="22"/>
        <v>0.361495571150045+4.52945446722235i</v>
      </c>
      <c r="CR60" s="2">
        <f t="shared" si="23"/>
        <v>11.999999999999989</v>
      </c>
      <c r="CS60" s="2">
        <f t="shared" si="24"/>
        <v>0.22110855613031088</v>
      </c>
      <c r="CT60" s="1">
        <f t="shared" si="25"/>
        <v>11.999999999999989</v>
      </c>
      <c r="CU60" s="1">
        <f t="shared" si="26"/>
        <v>0.78953900740147087</v>
      </c>
      <c r="CX60" s="2">
        <f t="shared" si="27"/>
        <v>11.999999999999989</v>
      </c>
      <c r="CY60" s="2">
        <f t="shared" si="28"/>
        <v>20.550344688487066</v>
      </c>
      <c r="CZ60" s="2">
        <f t="shared" si="29"/>
        <v>5.7550760626841067</v>
      </c>
      <c r="DA60" s="2">
        <f t="shared" si="30"/>
        <v>4.5438570420515658</v>
      </c>
    </row>
    <row r="61" spans="2:105" ht="18" customHeight="1" x14ac:dyDescent="0.25">
      <c r="B61" s="6"/>
      <c r="C61" s="331">
        <f>J24</f>
        <v>1</v>
      </c>
      <c r="D61" s="331"/>
      <c r="E61" s="331"/>
      <c r="F61" s="331"/>
      <c r="G61" s="331"/>
      <c r="H61" s="24"/>
      <c r="I61" s="332">
        <f>J25</f>
        <v>139.06207267383917</v>
      </c>
      <c r="J61" s="332"/>
      <c r="K61" s="332"/>
      <c r="L61" s="332"/>
      <c r="M61" s="49"/>
      <c r="O61" s="363">
        <f>($AJ$30/C61)*J25</f>
        <v>7508.429672447015</v>
      </c>
      <c r="P61" s="363"/>
      <c r="Q61" s="363"/>
      <c r="R61" s="363"/>
      <c r="U61" s="333">
        <f>DQ4</f>
        <v>138.98391185794279</v>
      </c>
      <c r="V61" s="333"/>
      <c r="W61" s="333"/>
      <c r="X61" s="333"/>
      <c r="Y61" s="333"/>
      <c r="AB61" s="361">
        <f>DP4</f>
        <v>3.4747715219953612</v>
      </c>
      <c r="AC61" s="361"/>
      <c r="AD61" s="361"/>
      <c r="AE61" s="361"/>
      <c r="AF61" s="361"/>
      <c r="AI61" s="334">
        <v>1</v>
      </c>
      <c r="AJ61" s="334"/>
      <c r="AK61" s="334"/>
      <c r="AL61" s="334"/>
      <c r="AM61" s="334"/>
      <c r="AP61" s="8"/>
      <c r="AR61" s="6"/>
      <c r="BK61" s="24" t="str">
        <f>"Fundamental amps "&amp;ROUND(J25,1)&amp;" amps/phase"</f>
        <v>Fundamental amps 139.1 amps/phase</v>
      </c>
      <c r="CC61" s="17"/>
      <c r="CF61" s="8"/>
      <c r="CK61" s="1">
        <f t="shared" si="35"/>
        <v>12.199999999999989</v>
      </c>
      <c r="CL61" s="1" t="str">
        <f t="shared" si="17"/>
        <v>0.0215973472222222+26.3487636111111i</v>
      </c>
      <c r="CM61" s="1" t="str">
        <f t="shared" si="18"/>
        <v>86.3893888888889</v>
      </c>
      <c r="CN61" s="1" t="str">
        <f t="shared" si="19"/>
        <v>-4.42568590619308i</v>
      </c>
      <c r="CO61" s="1" t="str">
        <f t="shared" si="20"/>
        <v>7.36880746887126+19.6695676135323i</v>
      </c>
      <c r="CP61" s="1" t="str">
        <f t="shared" si="21"/>
        <v>0.0191834803010191+5.85096149181084i</v>
      </c>
      <c r="CQ61" s="1" t="str">
        <f t="shared" si="22"/>
        <v>0.369366291906628+4.61093097365778i</v>
      </c>
      <c r="CR61" s="2">
        <f t="shared" si="23"/>
        <v>12.199999999999989</v>
      </c>
      <c r="CS61" s="2">
        <f t="shared" si="24"/>
        <v>0.22022376955307596</v>
      </c>
      <c r="CT61" s="1">
        <f t="shared" si="25"/>
        <v>12.199999999999989</v>
      </c>
      <c r="CU61" s="1">
        <f t="shared" si="26"/>
        <v>0.79058404500574631</v>
      </c>
      <c r="CX61" s="2">
        <f t="shared" si="27"/>
        <v>12.199999999999989</v>
      </c>
      <c r="CY61" s="2">
        <f t="shared" si="28"/>
        <v>21.004552211761425</v>
      </c>
      <c r="CZ61" s="2">
        <f t="shared" si="29"/>
        <v>5.8509929400546872</v>
      </c>
      <c r="DA61" s="2">
        <f t="shared" si="30"/>
        <v>4.6257016658484948</v>
      </c>
    </row>
    <row r="62" spans="2:105" ht="18" customHeight="1" x14ac:dyDescent="0.25">
      <c r="B62" s="6"/>
      <c r="C62" s="185">
        <f>L24</f>
        <v>2</v>
      </c>
      <c r="D62" s="185"/>
      <c r="E62" s="185"/>
      <c r="F62" s="185"/>
      <c r="G62" s="185"/>
      <c r="H62" s="24"/>
      <c r="I62" s="248">
        <f>L25</f>
        <v>0</v>
      </c>
      <c r="J62" s="248"/>
      <c r="K62" s="248"/>
      <c r="L62" s="248"/>
      <c r="M62" s="49"/>
      <c r="O62" s="355">
        <f t="shared" ref="O62:O76" si="36">($AJ$30/C62)*I62</f>
        <v>0</v>
      </c>
      <c r="P62" s="355"/>
      <c r="Q62" s="355"/>
      <c r="R62" s="355"/>
      <c r="U62" s="327">
        <f>DQ5</f>
        <v>0</v>
      </c>
      <c r="V62" s="327"/>
      <c r="W62" s="327"/>
      <c r="X62" s="327"/>
      <c r="Y62" s="327"/>
      <c r="AB62" s="249">
        <f>DP5</f>
        <v>0</v>
      </c>
      <c r="AC62" s="249"/>
      <c r="AD62" s="249"/>
      <c r="AE62" s="249"/>
      <c r="AF62" s="249"/>
      <c r="AI62" s="328">
        <f>DO5/(($S$17*1000/SQRT(3)))</f>
        <v>0</v>
      </c>
      <c r="AJ62" s="328"/>
      <c r="AK62" s="328"/>
      <c r="AL62" s="328"/>
      <c r="AM62" s="328"/>
      <c r="AP62" s="8"/>
      <c r="AR62" s="6"/>
      <c r="BK62" s="38" t="str">
        <f>"RMS Current "&amp;ROUND(I77,2)&amp;" amps/phase"</f>
        <v>RMS Current 222.12 amps/phase</v>
      </c>
      <c r="CC62" s="17"/>
      <c r="CF62" s="8"/>
      <c r="CK62" s="1">
        <f t="shared" si="35"/>
        <v>12.399999999999988</v>
      </c>
      <c r="CL62" s="1" t="str">
        <f t="shared" si="17"/>
        <v>0.0215973472222222+26.7807105555555i</v>
      </c>
      <c r="CM62" s="1" t="str">
        <f t="shared" si="18"/>
        <v>86.3893888888889</v>
      </c>
      <c r="CN62" s="1" t="str">
        <f t="shared" si="19"/>
        <v>-4.35430387544803i</v>
      </c>
      <c r="CO62" s="1" t="str">
        <f t="shared" si="20"/>
        <v>7.59039079370948+20.0672801380542i</v>
      </c>
      <c r="CP62" s="1" t="str">
        <f t="shared" si="21"/>
        <v>0.0191834803010191+5.94687889331594i</v>
      </c>
      <c r="CQ62" s="1" t="str">
        <f t="shared" si="22"/>
        <v>0.377422023767676+4.6922176251132i</v>
      </c>
      <c r="CR62" s="2">
        <f t="shared" si="23"/>
        <v>12.399999999999988</v>
      </c>
      <c r="CS62" s="2">
        <f t="shared" si="24"/>
        <v>0.21940850094756267</v>
      </c>
      <c r="CT62" s="1">
        <f t="shared" si="25"/>
        <v>12.399999999999988</v>
      </c>
      <c r="CU62" s="1">
        <f t="shared" si="26"/>
        <v>0.79156610650804748</v>
      </c>
      <c r="CX62" s="2">
        <f t="shared" si="27"/>
        <v>12.399999999999988</v>
      </c>
      <c r="CY62" s="2">
        <f t="shared" si="28"/>
        <v>21.454830797290722</v>
      </c>
      <c r="CZ62" s="2">
        <f t="shared" si="29"/>
        <v>5.9469098343327085</v>
      </c>
      <c r="DA62" s="2">
        <f t="shared" si="30"/>
        <v>4.7073722633171737</v>
      </c>
    </row>
    <row r="63" spans="2:105" ht="18" customHeight="1" x14ac:dyDescent="0.25">
      <c r="B63" s="6"/>
      <c r="C63" s="185">
        <f>N24</f>
        <v>3</v>
      </c>
      <c r="D63" s="185"/>
      <c r="E63" s="185"/>
      <c r="F63" s="185"/>
      <c r="G63" s="185"/>
      <c r="H63" s="24"/>
      <c r="I63" s="248">
        <f>N25</f>
        <v>0</v>
      </c>
      <c r="J63" s="248"/>
      <c r="K63" s="248"/>
      <c r="L63" s="248"/>
      <c r="M63" s="49"/>
      <c r="O63" s="355">
        <f t="shared" si="36"/>
        <v>0</v>
      </c>
      <c r="P63" s="355"/>
      <c r="Q63" s="355"/>
      <c r="R63" s="355"/>
      <c r="U63" s="327">
        <f t="shared" ref="U63:U76" si="37">DQ6</f>
        <v>0</v>
      </c>
      <c r="V63" s="327"/>
      <c r="W63" s="327"/>
      <c r="X63" s="327"/>
      <c r="Y63" s="327"/>
      <c r="AB63" s="249">
        <f t="shared" ref="AB63:AB76" si="38">DP6</f>
        <v>0</v>
      </c>
      <c r="AC63" s="249"/>
      <c r="AD63" s="249"/>
      <c r="AE63" s="249"/>
      <c r="AF63" s="249"/>
      <c r="AI63" s="328">
        <f t="shared" ref="AI63:AI76" si="39">DO6/(($S$17*1000/SQRT(3)))</f>
        <v>0</v>
      </c>
      <c r="AJ63" s="328"/>
      <c r="AK63" s="328"/>
      <c r="AL63" s="328"/>
      <c r="AM63" s="328"/>
      <c r="AP63" s="8"/>
      <c r="AR63" s="6"/>
      <c r="CC63" s="17"/>
      <c r="CF63" s="8"/>
      <c r="CK63" s="1">
        <f t="shared" si="35"/>
        <v>12.599999999999987</v>
      </c>
      <c r="CL63" s="1" t="str">
        <f t="shared" si="17"/>
        <v>0.0215973472222222+27.2126575i</v>
      </c>
      <c r="CM63" s="1" t="str">
        <f t="shared" si="18"/>
        <v>86.3893888888889</v>
      </c>
      <c r="CN63" s="1" t="str">
        <f t="shared" si="19"/>
        <v>-4.28518794091711i</v>
      </c>
      <c r="CO63" s="1" t="str">
        <f t="shared" si="20"/>
        <v>7.8143075502192+20.4597764396687i</v>
      </c>
      <c r="CP63" s="1" t="str">
        <f t="shared" si="21"/>
        <v>0.0191834803010191+6.04279629482103i</v>
      </c>
      <c r="CQ63" s="1" t="str">
        <f t="shared" si="22"/>
        <v>0.38565894974345+4.77332570081265i</v>
      </c>
      <c r="CR63" s="2">
        <f t="shared" si="23"/>
        <v>12.599999999999987</v>
      </c>
      <c r="CS63" s="2">
        <f t="shared" si="24"/>
        <v>0.21865758500746965</v>
      </c>
      <c r="CT63" s="1">
        <f t="shared" si="25"/>
        <v>12.599999999999987</v>
      </c>
      <c r="CU63" s="1">
        <f t="shared" si="26"/>
        <v>0.79249002850130323</v>
      </c>
      <c r="CX63" s="2">
        <f t="shared" si="27"/>
        <v>12.599999999999987</v>
      </c>
      <c r="CY63" s="2">
        <f t="shared" si="28"/>
        <v>21.901275178642802</v>
      </c>
      <c r="CZ63" s="2">
        <f t="shared" si="29"/>
        <v>6.042826744713043</v>
      </c>
      <c r="DA63" s="2">
        <f t="shared" si="30"/>
        <v>4.7888799391460841</v>
      </c>
    </row>
    <row r="64" spans="2:105" ht="18" customHeight="1" x14ac:dyDescent="0.25">
      <c r="B64" s="6"/>
      <c r="C64" s="185">
        <f>P24</f>
        <v>4</v>
      </c>
      <c r="D64" s="185"/>
      <c r="E64" s="185"/>
      <c r="F64" s="185"/>
      <c r="G64" s="185"/>
      <c r="H64" s="24"/>
      <c r="I64" s="248">
        <f>P25</f>
        <v>0</v>
      </c>
      <c r="J64" s="248"/>
      <c r="K64" s="248"/>
      <c r="L64" s="248"/>
      <c r="M64" s="49"/>
      <c r="O64" s="355">
        <f t="shared" si="36"/>
        <v>0</v>
      </c>
      <c r="P64" s="355"/>
      <c r="Q64" s="355"/>
      <c r="R64" s="355"/>
      <c r="U64" s="327">
        <f t="shared" si="37"/>
        <v>0</v>
      </c>
      <c r="V64" s="327"/>
      <c r="W64" s="327"/>
      <c r="X64" s="327"/>
      <c r="Y64" s="327"/>
      <c r="AB64" s="249">
        <f t="shared" si="38"/>
        <v>0</v>
      </c>
      <c r="AC64" s="249"/>
      <c r="AD64" s="249"/>
      <c r="AE64" s="249"/>
      <c r="AF64" s="249"/>
      <c r="AI64" s="328">
        <f t="shared" si="39"/>
        <v>0</v>
      </c>
      <c r="AJ64" s="328"/>
      <c r="AK64" s="328"/>
      <c r="AL64" s="328"/>
      <c r="AM64" s="328"/>
      <c r="AP64" s="8"/>
      <c r="AR64" s="6"/>
      <c r="BK64" s="38" t="str">
        <f>"Reactor: "&amp;ROUND(AJ34,2)&amp;" ohms, "&amp;ROUND(AJ35,2)&amp;" mH"</f>
        <v>Reactor: 2.16 ohms, 5.73 mH</v>
      </c>
      <c r="CC64" s="17"/>
      <c r="CF64" s="8"/>
      <c r="CK64" s="1">
        <f t="shared" si="35"/>
        <v>12.799999999999986</v>
      </c>
      <c r="CL64" s="1" t="str">
        <f t="shared" si="17"/>
        <v>0.0215973472222222+27.6446044444444i</v>
      </c>
      <c r="CM64" s="1" t="str">
        <f t="shared" si="18"/>
        <v>86.3893888888889</v>
      </c>
      <c r="CN64" s="1" t="str">
        <f t="shared" si="19"/>
        <v>-4.21823187934028i</v>
      </c>
      <c r="CO64" s="1" t="str">
        <f t="shared" si="20"/>
        <v>8.04050744967767+20.8471438372781i</v>
      </c>
      <c r="CP64" s="1" t="str">
        <f t="shared" si="21"/>
        <v>0.0191834803010191+6.13871369632613i</v>
      </c>
      <c r="CQ64" s="1" t="str">
        <f t="shared" si="22"/>
        <v>0.39407364484287+4.85426539085775i</v>
      </c>
      <c r="CR64" s="2">
        <f t="shared" si="23"/>
        <v>12.799999999999986</v>
      </c>
      <c r="CS64" s="2">
        <f t="shared" si="24"/>
        <v>0.21796636483436987</v>
      </c>
      <c r="CT64" s="1">
        <f t="shared" si="25"/>
        <v>12.799999999999986</v>
      </c>
      <c r="CU64" s="1">
        <f t="shared" si="26"/>
        <v>0.79336017460549091</v>
      </c>
      <c r="CX64" s="2">
        <f t="shared" si="27"/>
        <v>12.799999999999986</v>
      </c>
      <c r="CY64" s="2">
        <f t="shared" si="28"/>
        <v>22.343973823393284</v>
      </c>
      <c r="CZ64" s="2">
        <f t="shared" si="29"/>
        <v>6.1387436704409222</v>
      </c>
      <c r="DA64" s="2">
        <f t="shared" si="30"/>
        <v>4.8702347502393648</v>
      </c>
    </row>
    <row r="65" spans="2:105" ht="18" customHeight="1" x14ac:dyDescent="0.25">
      <c r="B65" s="6"/>
      <c r="C65" s="185">
        <f>R24</f>
        <v>5</v>
      </c>
      <c r="D65" s="185"/>
      <c r="E65" s="185"/>
      <c r="F65" s="185"/>
      <c r="G65" s="185"/>
      <c r="H65" s="24"/>
      <c r="I65" s="248">
        <f>R25</f>
        <v>100</v>
      </c>
      <c r="J65" s="248"/>
      <c r="K65" s="248"/>
      <c r="L65" s="248"/>
      <c r="M65" s="49"/>
      <c r="O65" s="355">
        <f t="shared" si="36"/>
        <v>1079.8673611111114</v>
      </c>
      <c r="P65" s="355"/>
      <c r="Q65" s="355"/>
      <c r="R65" s="355"/>
      <c r="U65" s="327">
        <f t="shared" si="37"/>
        <v>99.203368333751428</v>
      </c>
      <c r="V65" s="327"/>
      <c r="W65" s="327"/>
      <c r="X65" s="327"/>
      <c r="Y65" s="327"/>
      <c r="AB65" s="249">
        <f t="shared" si="38"/>
        <v>12.400445842536174</v>
      </c>
      <c r="AC65" s="249"/>
      <c r="AD65" s="249"/>
      <c r="AE65" s="249"/>
      <c r="AF65" s="249"/>
      <c r="AI65" s="328">
        <f t="shared" si="39"/>
        <v>1.8897117762774977E-2</v>
      </c>
      <c r="AJ65" s="328"/>
      <c r="AK65" s="328"/>
      <c r="AL65" s="328"/>
      <c r="AM65" s="328"/>
      <c r="AP65" s="8"/>
      <c r="AR65" s="6"/>
      <c r="BE65" s="29" t="str">
        <f>"High-Pass Resistor: "&amp;ROUND(AJ40,1)&amp;" ohms/Phase"</f>
        <v>High-Pass Resistor: 86.4 ohms/Phase</v>
      </c>
      <c r="BK65" s="1" t="str">
        <f>"I1= "&amp;ROUND(U61,1)&amp;" amps nominal"</f>
        <v>I1= 139 amps nominal</v>
      </c>
      <c r="CC65" s="17"/>
      <c r="CF65" s="8"/>
      <c r="CK65" s="1">
        <f t="shared" si="35"/>
        <v>12.999999999999986</v>
      </c>
      <c r="CL65" s="1" t="str">
        <f t="shared" si="17"/>
        <v>0.0215973472222222+28.0765513888889i</v>
      </c>
      <c r="CM65" s="1" t="str">
        <f t="shared" si="18"/>
        <v>86.3893888888889</v>
      </c>
      <c r="CN65" s="1" t="str">
        <f t="shared" si="19"/>
        <v>-4.15333600427351i</v>
      </c>
      <c r="CO65" s="1" t="str">
        <f t="shared" si="20"/>
        <v>8.26894015697971+21.2294641335626i</v>
      </c>
      <c r="CP65" s="1" t="str">
        <f t="shared" si="21"/>
        <v>0.0191834803010191+6.23463109783122i</v>
      </c>
      <c r="CQ65" s="1" t="str">
        <f t="shared" si="22"/>
        <v>0.402663026240445+4.93504592197534i</v>
      </c>
      <c r="CR65" s="2">
        <f t="shared" si="23"/>
        <v>12.999999999999986</v>
      </c>
      <c r="CS65" s="2">
        <f t="shared" si="24"/>
        <v>0.21733063144068757</v>
      </c>
      <c r="CT65" s="1">
        <f t="shared" si="25"/>
        <v>12.999999999999986</v>
      </c>
      <c r="CU65" s="1">
        <f t="shared" si="26"/>
        <v>0.79418049109246536</v>
      </c>
      <c r="CX65" s="2">
        <f t="shared" si="27"/>
        <v>12.999999999999986</v>
      </c>
      <c r="CY65" s="2">
        <f t="shared" si="28"/>
        <v>22.783009430668557</v>
      </c>
      <c r="CZ65" s="2">
        <f t="shared" si="29"/>
        <v>6.2346606108079845</v>
      </c>
      <c r="DA65" s="2">
        <f t="shared" si="30"/>
        <v>4.951445825686327</v>
      </c>
    </row>
    <row r="66" spans="2:105" ht="18" customHeight="1" x14ac:dyDescent="0.25">
      <c r="B66" s="6"/>
      <c r="C66" s="185">
        <f>T24</f>
        <v>7</v>
      </c>
      <c r="D66" s="185"/>
      <c r="E66" s="185"/>
      <c r="F66" s="185"/>
      <c r="G66" s="185"/>
      <c r="H66" s="24"/>
      <c r="I66" s="248">
        <f>T25</f>
        <v>100</v>
      </c>
      <c r="J66" s="248"/>
      <c r="K66" s="248"/>
      <c r="L66" s="248"/>
      <c r="M66" s="49"/>
      <c r="O66" s="355">
        <f t="shared" si="36"/>
        <v>771.33382936507951</v>
      </c>
      <c r="P66" s="355"/>
      <c r="Q66" s="355"/>
      <c r="R66" s="355"/>
      <c r="U66" s="327">
        <f t="shared" si="37"/>
        <v>98.479158413784276</v>
      </c>
      <c r="V66" s="327"/>
      <c r="W66" s="327"/>
      <c r="X66" s="327"/>
      <c r="Y66" s="327"/>
      <c r="AB66" s="249">
        <f t="shared" si="38"/>
        <v>17.233870307967347</v>
      </c>
      <c r="AC66" s="249"/>
      <c r="AD66" s="249"/>
      <c r="AE66" s="249"/>
      <c r="AF66" s="249"/>
      <c r="AI66" s="328">
        <f t="shared" si="39"/>
        <v>0.10298321919293116</v>
      </c>
      <c r="AJ66" s="328"/>
      <c r="AK66" s="328"/>
      <c r="AL66" s="328"/>
      <c r="AM66" s="328"/>
      <c r="AP66" s="8"/>
      <c r="AR66" s="6"/>
      <c r="BE66" s="29" t="str">
        <f>ROUND(S39,0)&amp;" KW/Phase  Total"</f>
        <v>150 KW/Phase  Total</v>
      </c>
      <c r="CC66" s="17"/>
      <c r="CF66" s="8"/>
      <c r="CK66" s="1">
        <f t="shared" si="35"/>
        <v>13.199999999999985</v>
      </c>
      <c r="CL66" s="1" t="str">
        <f t="shared" si="17"/>
        <v>0.0215973472222222+28.5084983333333i</v>
      </c>
      <c r="CM66" s="1" t="str">
        <f t="shared" si="18"/>
        <v>86.3893888888889</v>
      </c>
      <c r="CN66" s="1" t="str">
        <f t="shared" si="19"/>
        <v>-4.09040667087543i</v>
      </c>
      <c r="CO66" s="1" t="str">
        <f t="shared" si="20"/>
        <v>8.49955531398666+21.6068141036487i</v>
      </c>
      <c r="CP66" s="1" t="str">
        <f t="shared" si="21"/>
        <v>0.0191834803010191+6.33054849933632i</v>
      </c>
      <c r="CQ66" s="1" t="str">
        <f t="shared" si="22"/>
        <v>0.41142431077585+5.01567566615993i</v>
      </c>
      <c r="CR66" s="2">
        <f t="shared" si="23"/>
        <v>13.199999999999985</v>
      </c>
      <c r="CS66" s="2">
        <f t="shared" si="24"/>
        <v>0.21674657163758843</v>
      </c>
      <c r="CT66" s="1">
        <f t="shared" si="25"/>
        <v>13.199999999999985</v>
      </c>
      <c r="CU66" s="1">
        <f t="shared" si="26"/>
        <v>0.79495455489890765</v>
      </c>
      <c r="CX66" s="2">
        <f t="shared" si="27"/>
        <v>13.199999999999985</v>
      </c>
      <c r="CY66" s="2">
        <f t="shared" si="28"/>
        <v>23.218459385694629</v>
      </c>
      <c r="CZ66" s="2">
        <f t="shared" si="29"/>
        <v>6.3305775651488378</v>
      </c>
      <c r="DA66" s="2">
        <f t="shared" si="30"/>
        <v>5.0325214705559125</v>
      </c>
    </row>
    <row r="67" spans="2:105" ht="18" customHeight="1" x14ac:dyDescent="0.25">
      <c r="B67" s="6"/>
      <c r="C67" s="185">
        <f>V24</f>
        <v>11</v>
      </c>
      <c r="D67" s="185"/>
      <c r="E67" s="185"/>
      <c r="F67" s="185"/>
      <c r="G67" s="185"/>
      <c r="H67" s="24"/>
      <c r="I67" s="248">
        <f>V25</f>
        <v>100</v>
      </c>
      <c r="J67" s="248"/>
      <c r="K67" s="248"/>
      <c r="L67" s="248"/>
      <c r="M67" s="49"/>
      <c r="O67" s="355">
        <f t="shared" si="36"/>
        <v>490.84880050505069</v>
      </c>
      <c r="P67" s="355"/>
      <c r="Q67" s="355"/>
      <c r="R67" s="355"/>
      <c r="U67" s="327">
        <f t="shared" si="37"/>
        <v>96.398133939080594</v>
      </c>
      <c r="V67" s="327"/>
      <c r="W67" s="327"/>
      <c r="X67" s="327"/>
      <c r="Y67" s="327"/>
      <c r="AB67" s="249">
        <f t="shared" si="38"/>
        <v>26.50949778757839</v>
      </c>
      <c r="AC67" s="249"/>
      <c r="AD67" s="249"/>
      <c r="AE67" s="249"/>
      <c r="AF67" s="249"/>
      <c r="AI67" s="328">
        <f t="shared" si="39"/>
        <v>0.2530231132215271</v>
      </c>
      <c r="AJ67" s="328"/>
      <c r="AK67" s="328"/>
      <c r="AL67" s="328"/>
      <c r="AM67" s="328"/>
      <c r="AP67" s="8"/>
      <c r="AR67" s="6"/>
      <c r="BE67" s="29" t="str">
        <f>ROUND(O41,1)&amp;" RMS Amps"</f>
        <v>41.7 RMS Amps</v>
      </c>
      <c r="CC67" s="17"/>
      <c r="CF67" s="8"/>
      <c r="CK67" s="1">
        <f t="shared" si="35"/>
        <v>13.399999999999984</v>
      </c>
      <c r="CL67" s="1" t="str">
        <f t="shared" si="17"/>
        <v>0.0215973472222222+28.9404452777778i</v>
      </c>
      <c r="CM67" s="1" t="str">
        <f t="shared" si="18"/>
        <v>86.3893888888889</v>
      </c>
      <c r="CN67" s="1" t="str">
        <f t="shared" si="19"/>
        <v>-4.02935582504147i</v>
      </c>
      <c r="CO67" s="1" t="str">
        <f t="shared" si="20"/>
        <v>8.73230256248909+21.9792659388614i</v>
      </c>
      <c r="CP67" s="1" t="str">
        <f t="shared" si="21"/>
        <v>0.0191834803010191+6.42646590084142i</v>
      </c>
      <c r="CQ67" s="1" t="str">
        <f t="shared" si="22"/>
        <v>0.420354978564007+5.09616223487037i</v>
      </c>
      <c r="CR67" s="2">
        <f t="shared" si="23"/>
        <v>13.399999999999984</v>
      </c>
      <c r="CS67" s="2">
        <f t="shared" si="24"/>
        <v>0.21621072298662347</v>
      </c>
      <c r="CT67" s="1">
        <f t="shared" si="25"/>
        <v>13.399999999999984</v>
      </c>
      <c r="CU67" s="1">
        <f t="shared" si="26"/>
        <v>0.7956856152102566</v>
      </c>
      <c r="CX67" s="2">
        <f t="shared" si="27"/>
        <v>13.399999999999984</v>
      </c>
      <c r="CY67" s="2">
        <f t="shared" si="28"/>
        <v>23.650396175414198</v>
      </c>
      <c r="CZ67" s="2">
        <f t="shared" si="29"/>
        <v>6.426494532837788</v>
      </c>
      <c r="DA67" s="2">
        <f t="shared" si="30"/>
        <v>5.113469256006387</v>
      </c>
    </row>
    <row r="68" spans="2:105" ht="18" customHeight="1" x14ac:dyDescent="0.25">
      <c r="B68" s="6"/>
      <c r="C68" s="185">
        <f>X24</f>
        <v>13</v>
      </c>
      <c r="D68" s="185"/>
      <c r="E68" s="185"/>
      <c r="F68" s="185"/>
      <c r="G68" s="185"/>
      <c r="H68" s="24"/>
      <c r="I68" s="248">
        <f>X25</f>
        <v>0</v>
      </c>
      <c r="J68" s="248"/>
      <c r="K68" s="248"/>
      <c r="L68" s="248"/>
      <c r="M68" s="49"/>
      <c r="O68" s="355">
        <f t="shared" si="36"/>
        <v>0</v>
      </c>
      <c r="P68" s="355"/>
      <c r="Q68" s="355"/>
      <c r="R68" s="355"/>
      <c r="U68" s="327">
        <f t="shared" si="37"/>
        <v>0</v>
      </c>
      <c r="V68" s="327"/>
      <c r="W68" s="327"/>
      <c r="X68" s="327"/>
      <c r="Y68" s="327"/>
      <c r="AB68" s="249">
        <f t="shared" si="38"/>
        <v>0</v>
      </c>
      <c r="AC68" s="249"/>
      <c r="AD68" s="249"/>
      <c r="AE68" s="249"/>
      <c r="AF68" s="249"/>
      <c r="AI68" s="328">
        <f t="shared" si="39"/>
        <v>0</v>
      </c>
      <c r="AJ68" s="328"/>
      <c r="AK68" s="328"/>
      <c r="AL68" s="328"/>
      <c r="AM68" s="328"/>
      <c r="AP68" s="8"/>
      <c r="AR68" s="6"/>
      <c r="BK68" s="50"/>
      <c r="CC68" s="17"/>
      <c r="CF68" s="8"/>
      <c r="CK68" s="1">
        <f t="shared" si="35"/>
        <v>13.599999999999984</v>
      </c>
      <c r="CL68" s="1" t="str">
        <f t="shared" si="17"/>
        <v>0.0215973472222222+29.3723922222222i</v>
      </c>
      <c r="CM68" s="1" t="str">
        <f t="shared" si="18"/>
        <v>86.3893888888889</v>
      </c>
      <c r="CN68" s="1" t="str">
        <f t="shared" si="19"/>
        <v>-3.97010059232027i</v>
      </c>
      <c r="CO68" s="1" t="str">
        <f t="shared" si="20"/>
        <v>8.96713156676718+22.3468876501405i</v>
      </c>
      <c r="CP68" s="1" t="str">
        <f t="shared" si="21"/>
        <v>0.0191834803010191+6.52238330234651i</v>
      </c>
      <c r="CQ68" s="1" t="str">
        <f t="shared" si="22"/>
        <v>0.429452741719652+5.17651256097855i</v>
      </c>
      <c r="CR68" s="2">
        <f t="shared" si="23"/>
        <v>13.599999999999984</v>
      </c>
      <c r="CS68" s="2">
        <f t="shared" si="24"/>
        <v>0.2157199347262968</v>
      </c>
      <c r="CT68" s="1">
        <f t="shared" si="25"/>
        <v>13.599999999999984</v>
      </c>
      <c r="CU68" s="1">
        <f t="shared" si="26"/>
        <v>0.79637662959356814</v>
      </c>
      <c r="CX68" s="2">
        <f t="shared" si="27"/>
        <v>13.599999999999984</v>
      </c>
      <c r="CY68" s="2">
        <f t="shared" si="28"/>
        <v>24.078887768825918</v>
      </c>
      <c r="CZ68" s="2">
        <f t="shared" si="29"/>
        <v>6.5224115132859426</v>
      </c>
      <c r="DA68" s="2">
        <f t="shared" si="30"/>
        <v>5.1942960977729431</v>
      </c>
    </row>
    <row r="69" spans="2:105" ht="18" customHeight="1" x14ac:dyDescent="0.25">
      <c r="B69" s="6"/>
      <c r="C69" s="185">
        <f>Z24</f>
        <v>17</v>
      </c>
      <c r="D69" s="185"/>
      <c r="E69" s="185"/>
      <c r="F69" s="185"/>
      <c r="G69" s="185"/>
      <c r="H69" s="24"/>
      <c r="I69" s="248">
        <f>Z25</f>
        <v>0</v>
      </c>
      <c r="J69" s="248"/>
      <c r="K69" s="248"/>
      <c r="L69" s="248"/>
      <c r="M69" s="49"/>
      <c r="O69" s="355">
        <f t="shared" si="36"/>
        <v>0</v>
      </c>
      <c r="P69" s="355"/>
      <c r="Q69" s="355"/>
      <c r="R69" s="355"/>
      <c r="U69" s="327">
        <f t="shared" si="37"/>
        <v>0</v>
      </c>
      <c r="V69" s="327"/>
      <c r="W69" s="327"/>
      <c r="X69" s="327"/>
      <c r="Y69" s="327"/>
      <c r="AB69" s="249">
        <f t="shared" si="38"/>
        <v>0</v>
      </c>
      <c r="AC69" s="249"/>
      <c r="AD69" s="249"/>
      <c r="AE69" s="249"/>
      <c r="AF69" s="249"/>
      <c r="AI69" s="328">
        <f t="shared" si="39"/>
        <v>0</v>
      </c>
      <c r="AJ69" s="328"/>
      <c r="AK69" s="328"/>
      <c r="AL69" s="328"/>
      <c r="AM69" s="328"/>
      <c r="AP69" s="8"/>
      <c r="AR69" s="6"/>
      <c r="BK69" s="38"/>
      <c r="CC69" s="17"/>
      <c r="CF69" s="8"/>
      <c r="CK69" s="1">
        <f t="shared" si="35"/>
        <v>13.799999999999983</v>
      </c>
      <c r="CL69" s="1" t="str">
        <f t="shared" si="17"/>
        <v>0.0215973472222222+29.8043391666666i</v>
      </c>
      <c r="CM69" s="1" t="str">
        <f t="shared" si="18"/>
        <v>86.3893888888889</v>
      </c>
      <c r="CN69" s="1" t="str">
        <f t="shared" si="19"/>
        <v>-3.9125629025765i</v>
      </c>
      <c r="CO69" s="1" t="str">
        <f t="shared" si="20"/>
        <v>9.2039920357379+22.7097434351761i</v>
      </c>
      <c r="CP69" s="1" t="str">
        <f t="shared" si="21"/>
        <v>0.0191834803010191+6.61830070385161i</v>
      </c>
      <c r="CQ69" s="1" t="str">
        <f t="shared" si="22"/>
        <v>0.438715517381486+5.25673297029269i</v>
      </c>
      <c r="CR69" s="2">
        <f t="shared" si="23"/>
        <v>13.799999999999983</v>
      </c>
      <c r="CS69" s="2">
        <f t="shared" si="24"/>
        <v>0.21527133377207899</v>
      </c>
      <c r="CT69" s="1">
        <f t="shared" si="25"/>
        <v>13.799999999999983</v>
      </c>
      <c r="CU69" s="1">
        <f t="shared" si="26"/>
        <v>0.79703029549139182</v>
      </c>
      <c r="CX69" s="2">
        <f t="shared" si="27"/>
        <v>13.799999999999983</v>
      </c>
      <c r="CY69" s="2">
        <f t="shared" si="28"/>
        <v>24.503997965341302</v>
      </c>
      <c r="CZ69" s="2">
        <f t="shared" si="29"/>
        <v>6.618328505938579</v>
      </c>
      <c r="DA69" s="2">
        <f t="shared" si="30"/>
        <v>5.2750083247473194</v>
      </c>
    </row>
    <row r="70" spans="2:105" ht="18" customHeight="1" x14ac:dyDescent="0.25">
      <c r="B70" s="6"/>
      <c r="C70" s="185">
        <f>AB24</f>
        <v>19</v>
      </c>
      <c r="D70" s="185"/>
      <c r="E70" s="185"/>
      <c r="F70" s="185"/>
      <c r="G70" s="185"/>
      <c r="H70" s="24"/>
      <c r="I70" s="51">
        <f>AB25</f>
        <v>0</v>
      </c>
      <c r="J70" s="51"/>
      <c r="K70" s="51"/>
      <c r="L70" s="51"/>
      <c r="M70" s="49"/>
      <c r="O70" s="355">
        <f t="shared" si="36"/>
        <v>0</v>
      </c>
      <c r="P70" s="355"/>
      <c r="Q70" s="355"/>
      <c r="R70" s="355"/>
      <c r="U70" s="327">
        <f t="shared" si="37"/>
        <v>0</v>
      </c>
      <c r="V70" s="327"/>
      <c r="W70" s="327"/>
      <c r="X70" s="327"/>
      <c r="Y70" s="327"/>
      <c r="AB70" s="249">
        <f t="shared" si="38"/>
        <v>0</v>
      </c>
      <c r="AC70" s="249"/>
      <c r="AD70" s="249"/>
      <c r="AE70" s="249"/>
      <c r="AF70" s="249"/>
      <c r="AI70" s="328">
        <f t="shared" si="39"/>
        <v>0</v>
      </c>
      <c r="AJ70" s="328"/>
      <c r="AK70" s="328"/>
      <c r="AL70" s="328"/>
      <c r="AM70" s="328"/>
      <c r="AP70" s="8"/>
      <c r="AR70" s="6"/>
      <c r="BK70" s="1" t="str">
        <f>"Capacitor Fuse: "&amp;ROUND(BJ19,0)&amp;" (Minimum Amps)"</f>
        <v>Capacitor Fuse: 83 (Minimum Amps)</v>
      </c>
      <c r="CC70" s="17"/>
      <c r="CF70" s="8"/>
      <c r="CK70" s="1">
        <f t="shared" si="35"/>
        <v>13.999999999999982</v>
      </c>
      <c r="CL70" s="1" t="str">
        <f t="shared" ref="CL70:CL133" si="40">COMPLEX($AJ$34/$S$34,$AJ$34*CK70)</f>
        <v>0.0215973472222222+30.2362861111111i</v>
      </c>
      <c r="CM70" s="1" t="str">
        <f t="shared" ref="CM70:CM133" si="41">COMPLEX($AJ$40,"0")</f>
        <v>86.3893888888889</v>
      </c>
      <c r="CN70" s="1" t="str">
        <f t="shared" ref="CN70:CN133" si="42">COMPLEX("0",-$AJ$30/CK70)</f>
        <v>-3.8566691468254i</v>
      </c>
      <c r="CO70" s="1" t="str">
        <f t="shared" ref="CO70:CO133" si="43">IMSUM(IMDIV(IMPRODUCT(CL70,CM70),IMSUM(CL70,CM70)),CN70)</f>
        <v>9.4428337446757+23.0678940128593i</v>
      </c>
      <c r="CP70" s="1" t="str">
        <f t="shared" ref="CP70:CP133" si="44">COMPLEX($CZ$1,$CZ$2*CK70)</f>
        <v>0.0191834803010191+6.7142181053567i</v>
      </c>
      <c r="CQ70" s="1" t="str">
        <f t="shared" ref="CQ70:CQ133" si="45">IMDIV(IMPRODUCT(CP70,CO70),IMSUM(CO70,CP70))</f>
        <v>0.448141404365037+5.33682924417488i</v>
      </c>
      <c r="CR70" s="2">
        <f t="shared" ref="CR70:CR133" si="46">CK70</f>
        <v>13.999999999999982</v>
      </c>
      <c r="CS70" s="2">
        <f t="shared" ref="CS70:CS133" si="47">IMABS(IMDIV(CP70,IMSUM(CO70,CP70)))</f>
        <v>0.21486229504027124</v>
      </c>
      <c r="CT70" s="1">
        <f t="shared" ref="CT70:CT133" si="48">CR70</f>
        <v>13.999999999999982</v>
      </c>
      <c r="CU70" s="1">
        <f t="shared" ref="CU70:CU133" si="49">IMABS(IMDIV(CO70,IMSUM(CO70,CP70)))</f>
        <v>0.79764907775377414</v>
      </c>
      <c r="CX70" s="2">
        <f t="shared" ref="CX70:CX93" si="50">CK70</f>
        <v>13.999999999999982</v>
      </c>
      <c r="CY70" s="2">
        <f t="shared" ref="CY70:CY93" si="51">IMABS(CO70)</f>
        <v>24.925786714125913</v>
      </c>
      <c r="CZ70" s="2">
        <f t="shared" ref="CZ70:CZ93" si="52">IMABS(CP70)</f>
        <v>6.7142455102726304</v>
      </c>
      <c r="DA70" s="2">
        <f t="shared" ref="DA70:DA93" si="53">IMABS(CQ70)</f>
        <v>5.3556117390813993</v>
      </c>
    </row>
    <row r="71" spans="2:105" ht="18" customHeight="1" x14ac:dyDescent="0.25">
      <c r="B71" s="6"/>
      <c r="C71" s="185">
        <f>AD24</f>
        <v>23</v>
      </c>
      <c r="D71" s="185"/>
      <c r="E71" s="185"/>
      <c r="F71" s="185"/>
      <c r="G71" s="185"/>
      <c r="H71" s="24"/>
      <c r="I71" s="248">
        <f>AD25</f>
        <v>0</v>
      </c>
      <c r="J71" s="248"/>
      <c r="K71" s="248"/>
      <c r="L71" s="248"/>
      <c r="M71" s="49"/>
      <c r="O71" s="355">
        <f t="shared" si="36"/>
        <v>0</v>
      </c>
      <c r="P71" s="355"/>
      <c r="Q71" s="355"/>
      <c r="R71" s="355"/>
      <c r="U71" s="327">
        <f t="shared" si="37"/>
        <v>0</v>
      </c>
      <c r="V71" s="327"/>
      <c r="W71" s="327"/>
      <c r="X71" s="327"/>
      <c r="Y71" s="327"/>
      <c r="AB71" s="249">
        <f t="shared" si="38"/>
        <v>0</v>
      </c>
      <c r="AC71" s="249"/>
      <c r="AD71" s="249"/>
      <c r="AE71" s="249"/>
      <c r="AF71" s="249"/>
      <c r="AI71" s="328">
        <f t="shared" si="39"/>
        <v>0</v>
      </c>
      <c r="AJ71" s="328"/>
      <c r="AK71" s="328"/>
      <c r="AL71" s="328"/>
      <c r="AM71" s="328"/>
      <c r="AP71" s="8"/>
      <c r="AR71" s="6"/>
      <c r="CC71" s="17"/>
      <c r="CF71" s="8"/>
      <c r="CK71" s="1">
        <f t="shared" ref="CK71:CK134" si="54">CK70+0.2</f>
        <v>14.199999999999982</v>
      </c>
      <c r="CL71" s="1" t="str">
        <f t="shared" si="40"/>
        <v>0.0215973472222222+30.6682330555555i</v>
      </c>
      <c r="CM71" s="1" t="str">
        <f t="shared" si="41"/>
        <v>86.3893888888889</v>
      </c>
      <c r="CN71" s="1" t="str">
        <f t="shared" si="42"/>
        <v>-3.8023498630673i</v>
      </c>
      <c r="CO71" s="1" t="str">
        <f t="shared" si="43"/>
        <v>9.68360655649524+23.4213969282346i</v>
      </c>
      <c r="CP71" s="1" t="str">
        <f t="shared" si="44"/>
        <v>0.0191834803010191+6.8101355068618i</v>
      </c>
      <c r="CQ71" s="1" t="str">
        <f t="shared" si="45"/>
        <v>0.457728662890415+5.41680667452351i</v>
      </c>
      <c r="CR71" s="2">
        <f t="shared" si="46"/>
        <v>14.199999999999982</v>
      </c>
      <c r="CS71" s="2">
        <f t="shared" si="47"/>
        <v>0.21449041546988298</v>
      </c>
      <c r="CT71" s="1">
        <f t="shared" si="48"/>
        <v>14.199999999999982</v>
      </c>
      <c r="CU71" s="1">
        <f t="shared" si="49"/>
        <v>0.79823523277516939</v>
      </c>
      <c r="CX71" s="2">
        <f t="shared" si="50"/>
        <v>14.199999999999982</v>
      </c>
      <c r="CY71" s="2">
        <f t="shared" si="51"/>
        <v>25.34431040708969</v>
      </c>
      <c r="CZ71" s="2">
        <f t="shared" si="52"/>
        <v>6.8101625257945413</v>
      </c>
      <c r="DA71" s="2">
        <f t="shared" si="53"/>
        <v>5.436111669014343</v>
      </c>
    </row>
    <row r="72" spans="2:105" ht="18" customHeight="1" x14ac:dyDescent="0.25">
      <c r="B72" s="6"/>
      <c r="C72" s="185">
        <f>AF24</f>
        <v>25</v>
      </c>
      <c r="D72" s="185"/>
      <c r="E72" s="185"/>
      <c r="F72" s="185"/>
      <c r="G72" s="185"/>
      <c r="H72" s="24"/>
      <c r="I72" s="248">
        <f>AF25</f>
        <v>0</v>
      </c>
      <c r="J72" s="248"/>
      <c r="K72" s="248"/>
      <c r="L72" s="248"/>
      <c r="M72" s="49"/>
      <c r="O72" s="355">
        <f t="shared" si="36"/>
        <v>0</v>
      </c>
      <c r="P72" s="355"/>
      <c r="Q72" s="355"/>
      <c r="R72" s="355"/>
      <c r="U72" s="327">
        <f t="shared" si="37"/>
        <v>0</v>
      </c>
      <c r="V72" s="327"/>
      <c r="W72" s="327"/>
      <c r="X72" s="327"/>
      <c r="Y72" s="327"/>
      <c r="AB72" s="249">
        <f t="shared" si="38"/>
        <v>0</v>
      </c>
      <c r="AC72" s="249"/>
      <c r="AD72" s="249"/>
      <c r="AE72" s="249"/>
      <c r="AF72" s="249"/>
      <c r="AI72" s="328">
        <f t="shared" si="39"/>
        <v>0</v>
      </c>
      <c r="AJ72" s="328"/>
      <c r="AK72" s="328"/>
      <c r="AL72" s="328"/>
      <c r="AM72" s="328"/>
      <c r="AP72" s="8"/>
      <c r="AR72" s="6"/>
      <c r="CC72" s="17"/>
      <c r="CF72" s="8"/>
      <c r="CJ72" s="1" t="s">
        <v>3</v>
      </c>
      <c r="CK72" s="1">
        <f t="shared" si="54"/>
        <v>14.399999999999981</v>
      </c>
      <c r="CL72" s="1" t="str">
        <f t="shared" si="40"/>
        <v>0.0215973472222222+31.10018i</v>
      </c>
      <c r="CM72" s="1" t="str">
        <f t="shared" si="41"/>
        <v>86.3893888888889</v>
      </c>
      <c r="CN72" s="1" t="str">
        <f t="shared" si="42"/>
        <v>-3.74953944830248i</v>
      </c>
      <c r="CO72" s="1" t="str">
        <f t="shared" si="43"/>
        <v>9.92626044258715+23.7703068307963i</v>
      </c>
      <c r="CP72" s="1" t="str">
        <f t="shared" si="44"/>
        <v>0.0191834803010191+6.90605290836689i</v>
      </c>
      <c r="CQ72" s="1" t="str">
        <f t="shared" si="45"/>
        <v>0.467475696924913+5.49667011218882i</v>
      </c>
      <c r="CR72" s="2">
        <f t="shared" si="46"/>
        <v>14.399999999999981</v>
      </c>
      <c r="CS72" s="2">
        <f t="shared" si="47"/>
        <v>0.21415349121788291</v>
      </c>
      <c r="CT72" s="1">
        <f t="shared" si="48"/>
        <v>14.399999999999981</v>
      </c>
      <c r="CU72" s="1">
        <f t="shared" si="49"/>
        <v>0.79879082971253634</v>
      </c>
      <c r="CX72" s="2">
        <f t="shared" si="50"/>
        <v>14.399999999999981</v>
      </c>
      <c r="CY72" s="2">
        <f t="shared" si="51"/>
        <v>25.759622147932831</v>
      </c>
      <c r="CZ72" s="2">
        <f t="shared" si="52"/>
        <v>6.9060795520381344</v>
      </c>
      <c r="DA72" s="2">
        <f t="shared" si="53"/>
        <v>5.5165130154333264</v>
      </c>
    </row>
    <row r="73" spans="2:105" ht="18" customHeight="1" x14ac:dyDescent="0.25">
      <c r="B73" s="6"/>
      <c r="C73" s="185">
        <f>AH24</f>
        <v>29</v>
      </c>
      <c r="D73" s="185"/>
      <c r="E73" s="185"/>
      <c r="F73" s="185"/>
      <c r="G73" s="185"/>
      <c r="H73" s="24"/>
      <c r="I73" s="248">
        <f>AH25</f>
        <v>0</v>
      </c>
      <c r="J73" s="248"/>
      <c r="K73" s="248"/>
      <c r="L73" s="248"/>
      <c r="M73" s="49"/>
      <c r="O73" s="355">
        <f t="shared" si="36"/>
        <v>0</v>
      </c>
      <c r="P73" s="355"/>
      <c r="Q73" s="355"/>
      <c r="R73" s="355"/>
      <c r="U73" s="327">
        <f t="shared" si="37"/>
        <v>0</v>
      </c>
      <c r="V73" s="327"/>
      <c r="W73" s="327"/>
      <c r="X73" s="327"/>
      <c r="Y73" s="327"/>
      <c r="AB73" s="249">
        <f t="shared" si="38"/>
        <v>0</v>
      </c>
      <c r="AC73" s="249"/>
      <c r="AD73" s="249"/>
      <c r="AE73" s="249"/>
      <c r="AF73" s="249"/>
      <c r="AI73" s="328">
        <f t="shared" si="39"/>
        <v>0</v>
      </c>
      <c r="AJ73" s="328"/>
      <c r="AK73" s="328"/>
      <c r="AL73" s="328"/>
      <c r="AM73" s="328"/>
      <c r="AP73" s="8"/>
      <c r="AR73" s="6"/>
      <c r="BK73" s="1" t="str">
        <f>"Capacitor: Qty("&amp;S29*3&amp;"), "&amp;ROUND(AJ28,0)&amp;" kvar, "&amp;S28&amp;" kV, "&amp;ROUND(CA19,2)&amp;" µF/Can"</f>
        <v>Capacitor: Qty(9), 612 kvar, 9.96 kV, 16.38 µF/Can</v>
      </c>
      <c r="CC73" s="17"/>
      <c r="CF73" s="8"/>
      <c r="CK73" s="1">
        <f t="shared" si="54"/>
        <v>14.59999999999998</v>
      </c>
      <c r="CL73" s="1" t="str">
        <f t="shared" si="40"/>
        <v>0.0215973472222222+31.5321269444444i</v>
      </c>
      <c r="CM73" s="1" t="str">
        <f t="shared" si="41"/>
        <v>86.3893888888889</v>
      </c>
      <c r="CN73" s="1" t="str">
        <f t="shared" si="42"/>
        <v>-3.69817589421614i</v>
      </c>
      <c r="CO73" s="1" t="str">
        <f t="shared" si="43"/>
        <v>10.1707455031949+24.1146757286565i</v>
      </c>
      <c r="CP73" s="1" t="str">
        <f t="shared" si="44"/>
        <v>0.0191834803010191+7.00197030987199i</v>
      </c>
      <c r="CQ73" s="1" t="str">
        <f t="shared" si="45"/>
        <v>0.477381038757486+5.57642400972107i</v>
      </c>
      <c r="CR73" s="2">
        <f t="shared" si="46"/>
        <v>14.59999999999998</v>
      </c>
      <c r="CS73" s="2">
        <f t="shared" si="47"/>
        <v>0.21384949758642161</v>
      </c>
      <c r="CT73" s="1">
        <f t="shared" si="48"/>
        <v>14.59999999999998</v>
      </c>
      <c r="CU73" s="1">
        <f t="shared" si="49"/>
        <v>0.79931776918626363</v>
      </c>
      <c r="CX73" s="2">
        <f t="shared" si="50"/>
        <v>14.59999999999998</v>
      </c>
      <c r="CY73" s="2">
        <f t="shared" si="51"/>
        <v>26.171771999408335</v>
      </c>
      <c r="CZ73" s="2">
        <f t="shared" si="52"/>
        <v>7.0019965885628173</v>
      </c>
      <c r="DA73" s="2">
        <f t="shared" si="53"/>
        <v>5.5968202930198503</v>
      </c>
    </row>
    <row r="74" spans="2:105" ht="18" customHeight="1" x14ac:dyDescent="0.25">
      <c r="B74" s="6"/>
      <c r="C74" s="185">
        <f>AJ24</f>
        <v>31</v>
      </c>
      <c r="D74" s="185"/>
      <c r="E74" s="185"/>
      <c r="F74" s="185"/>
      <c r="G74" s="185"/>
      <c r="H74" s="24"/>
      <c r="I74" s="248">
        <f>AJ25</f>
        <v>0</v>
      </c>
      <c r="J74" s="248"/>
      <c r="K74" s="248"/>
      <c r="L74" s="248"/>
      <c r="M74" s="49"/>
      <c r="O74" s="355">
        <f t="shared" si="36"/>
        <v>0</v>
      </c>
      <c r="P74" s="355"/>
      <c r="Q74" s="355"/>
      <c r="R74" s="355"/>
      <c r="U74" s="327">
        <f t="shared" si="37"/>
        <v>0</v>
      </c>
      <c r="V74" s="327"/>
      <c r="W74" s="327"/>
      <c r="X74" s="327"/>
      <c r="Y74" s="327"/>
      <c r="AB74" s="249">
        <f t="shared" si="38"/>
        <v>0</v>
      </c>
      <c r="AC74" s="249"/>
      <c r="AD74" s="249"/>
      <c r="AE74" s="249"/>
      <c r="AF74" s="249"/>
      <c r="AI74" s="328">
        <f t="shared" si="39"/>
        <v>0</v>
      </c>
      <c r="AJ74" s="328"/>
      <c r="AK74" s="328"/>
      <c r="AL74" s="328"/>
      <c r="AM74" s="328"/>
      <c r="AP74" s="8"/>
      <c r="AR74" s="6"/>
      <c r="CC74" s="17"/>
      <c r="CE74" s="17"/>
      <c r="CF74" s="8"/>
      <c r="CK74" s="1">
        <f t="shared" si="54"/>
        <v>14.799999999999979</v>
      </c>
      <c r="CL74" s="1" t="str">
        <f t="shared" si="40"/>
        <v>0.0215973472222222+31.9640738888889i</v>
      </c>
      <c r="CM74" s="1" t="str">
        <f t="shared" si="41"/>
        <v>86.3893888888889</v>
      </c>
      <c r="CN74" s="1" t="str">
        <f t="shared" si="42"/>
        <v>-3.6482005442943i</v>
      </c>
      <c r="CO74" s="1" t="str">
        <f t="shared" si="43"/>
        <v>10.4170119873261+24.4545532208426i</v>
      </c>
      <c r="CP74" s="1" t="str">
        <f t="shared" si="44"/>
        <v>0.0191834803010191+7.09788771137708i</v>
      </c>
      <c r="CQ74" s="1" t="str">
        <f t="shared" si="45"/>
        <v>0.487443335484455+5.65607245921351i</v>
      </c>
      <c r="CR74" s="2">
        <f t="shared" si="46"/>
        <v>14.799999999999979</v>
      </c>
      <c r="CS74" s="2">
        <f t="shared" si="47"/>
        <v>0.21357657130925403</v>
      </c>
      <c r="CT74" s="1">
        <f t="shared" si="48"/>
        <v>14.799999999999979</v>
      </c>
      <c r="CU74" s="1">
        <f t="shared" si="49"/>
        <v>0.79981779980379963</v>
      </c>
      <c r="CX74" s="2">
        <f t="shared" si="50"/>
        <v>14.799999999999979</v>
      </c>
      <c r="CY74" s="2">
        <f t="shared" si="51"/>
        <v>26.580807210751122</v>
      </c>
      <c r="CZ74" s="2">
        <f t="shared" si="52"/>
        <v>7.0979136349517677</v>
      </c>
      <c r="DA74" s="2">
        <f t="shared" si="53"/>
        <v>5.6770376667045088</v>
      </c>
    </row>
    <row r="75" spans="2:105" ht="18" customHeight="1" x14ac:dyDescent="0.25">
      <c r="B75" s="6"/>
      <c r="C75" s="185">
        <f>AL24</f>
        <v>35</v>
      </c>
      <c r="D75" s="185"/>
      <c r="E75" s="185"/>
      <c r="F75" s="185"/>
      <c r="G75" s="185"/>
      <c r="H75" s="24"/>
      <c r="I75" s="248">
        <f>AL25</f>
        <v>0</v>
      </c>
      <c r="J75" s="248"/>
      <c r="K75" s="248"/>
      <c r="L75" s="248"/>
      <c r="M75" s="49"/>
      <c r="O75" s="355">
        <f t="shared" si="36"/>
        <v>0</v>
      </c>
      <c r="P75" s="355"/>
      <c r="Q75" s="355"/>
      <c r="R75" s="355"/>
      <c r="U75" s="327">
        <f t="shared" si="37"/>
        <v>0</v>
      </c>
      <c r="V75" s="327"/>
      <c r="W75" s="327"/>
      <c r="X75" s="327"/>
      <c r="Y75" s="327"/>
      <c r="AB75" s="249">
        <f t="shared" si="38"/>
        <v>0</v>
      </c>
      <c r="AC75" s="249"/>
      <c r="AD75" s="249"/>
      <c r="AE75" s="249"/>
      <c r="AF75" s="249"/>
      <c r="AI75" s="328">
        <f t="shared" si="39"/>
        <v>0</v>
      </c>
      <c r="AJ75" s="328"/>
      <c r="AK75" s="328"/>
      <c r="AL75" s="328"/>
      <c r="AM75" s="328"/>
      <c r="AP75" s="8"/>
      <c r="AR75" s="6"/>
      <c r="CC75" s="17"/>
      <c r="CE75" s="17"/>
      <c r="CF75" s="8"/>
      <c r="CK75" s="1">
        <f t="shared" si="54"/>
        <v>14.999999999999979</v>
      </c>
      <c r="CL75" s="1" t="str">
        <f t="shared" si="40"/>
        <v>0.0215973472222222+32.3960208333333i</v>
      </c>
      <c r="CM75" s="1" t="str">
        <f t="shared" si="41"/>
        <v>86.3893888888889</v>
      </c>
      <c r="CN75" s="1" t="str">
        <f t="shared" si="42"/>
        <v>-3.59955787037038i</v>
      </c>
      <c r="CO75" s="1" t="str">
        <f t="shared" si="43"/>
        <v>10.6650103121883+24.7899867097473i</v>
      </c>
      <c r="CP75" s="1" t="str">
        <f t="shared" si="44"/>
        <v>0.0191834803010191+7.19380511288218i</v>
      </c>
      <c r="CQ75" s="1" t="str">
        <f t="shared" si="45"/>
        <v>0.497661337137261+5.73561922588668i</v>
      </c>
      <c r="CR75" s="2">
        <f t="shared" si="46"/>
        <v>14.999999999999979</v>
      </c>
      <c r="CS75" s="2">
        <f t="shared" si="47"/>
        <v>0.21333299488148744</v>
      </c>
      <c r="CT75" s="1">
        <f t="shared" si="48"/>
        <v>14.999999999999979</v>
      </c>
      <c r="CU75" s="1">
        <f t="shared" si="49"/>
        <v>0.80029253279461832</v>
      </c>
      <c r="CX75" s="2">
        <f t="shared" si="50"/>
        <v>14.999999999999979</v>
      </c>
      <c r="CY75" s="2">
        <f t="shared" si="51"/>
        <v>26.98677242703415</v>
      </c>
      <c r="CZ75" s="2">
        <f t="shared" si="52"/>
        <v>7.1938306908104428</v>
      </c>
      <c r="DA75" s="2">
        <f t="shared" si="53"/>
        <v>5.7571689840443412</v>
      </c>
    </row>
    <row r="76" spans="2:105" ht="18" customHeight="1" x14ac:dyDescent="0.25">
      <c r="B76" s="6"/>
      <c r="C76" s="185">
        <f>AN24</f>
        <v>37</v>
      </c>
      <c r="D76" s="185"/>
      <c r="E76" s="185"/>
      <c r="F76" s="185"/>
      <c r="G76" s="185"/>
      <c r="H76" s="24"/>
      <c r="I76" s="329">
        <f>AN25</f>
        <v>0</v>
      </c>
      <c r="J76" s="329"/>
      <c r="K76" s="329"/>
      <c r="L76" s="329"/>
      <c r="M76" s="49"/>
      <c r="O76" s="362">
        <f t="shared" si="36"/>
        <v>0</v>
      </c>
      <c r="P76" s="362"/>
      <c r="Q76" s="362"/>
      <c r="R76" s="362"/>
      <c r="U76" s="327">
        <f t="shared" si="37"/>
        <v>0</v>
      </c>
      <c r="V76" s="327"/>
      <c r="W76" s="327"/>
      <c r="X76" s="327"/>
      <c r="Y76" s="327"/>
      <c r="AB76" s="249">
        <f t="shared" si="38"/>
        <v>0</v>
      </c>
      <c r="AC76" s="249"/>
      <c r="AD76" s="249"/>
      <c r="AE76" s="249"/>
      <c r="AF76" s="249"/>
      <c r="AI76" s="328">
        <f t="shared" si="39"/>
        <v>0</v>
      </c>
      <c r="AJ76" s="328"/>
      <c r="AK76" s="328"/>
      <c r="AL76" s="328"/>
      <c r="AM76" s="328"/>
      <c r="AP76" s="8"/>
      <c r="AR76" s="6"/>
      <c r="CC76" s="17"/>
      <c r="CE76" s="17"/>
      <c r="CF76" s="8"/>
      <c r="CK76" s="1">
        <f t="shared" si="54"/>
        <v>15.199999999999978</v>
      </c>
      <c r="CL76" s="1" t="str">
        <f t="shared" si="40"/>
        <v>0.0215973472222222+32.8279677777777i</v>
      </c>
      <c r="CM76" s="1" t="str">
        <f t="shared" si="41"/>
        <v>86.3893888888889</v>
      </c>
      <c r="CN76" s="1" t="str">
        <f t="shared" si="42"/>
        <v>-3.55219526681287i</v>
      </c>
      <c r="CO76" s="1" t="str">
        <f t="shared" si="43"/>
        <v>10.9146910821437+25.1210215955346i</v>
      </c>
      <c r="CP76" s="1" t="str">
        <f t="shared" si="44"/>
        <v>0.0191834803010191+7.28972251438728i</v>
      </c>
      <c r="CQ76" s="1" t="str">
        <f t="shared" si="45"/>
        <v>0.508033886225449+5.8150677779649i</v>
      </c>
      <c r="CR76" s="2">
        <f t="shared" si="46"/>
        <v>15.199999999999978</v>
      </c>
      <c r="CS76" s="2">
        <f t="shared" si="47"/>
        <v>0.21311718266412391</v>
      </c>
      <c r="CT76" s="1">
        <f t="shared" si="48"/>
        <v>15.199999999999978</v>
      </c>
      <c r="CU76" s="1">
        <f t="shared" si="49"/>
        <v>0.80074345500230948</v>
      </c>
      <c r="CX76" s="2">
        <f t="shared" si="50"/>
        <v>15.199999999999978</v>
      </c>
      <c r="CY76" s="2">
        <f t="shared" si="51"/>
        <v>27.389709882033124</v>
      </c>
      <c r="CZ76" s="2">
        <f t="shared" si="52"/>
        <v>7.2897477557650276</v>
      </c>
      <c r="DA76" s="2">
        <f t="shared" si="53"/>
        <v>5.8372178040466309</v>
      </c>
    </row>
    <row r="77" spans="2:105" ht="18" customHeight="1" x14ac:dyDescent="0.25">
      <c r="B77" s="6"/>
      <c r="C77" s="17"/>
      <c r="D77" s="17"/>
      <c r="E77" s="17"/>
      <c r="F77" s="17"/>
      <c r="G77" s="17"/>
      <c r="H77" s="29" t="s">
        <v>97</v>
      </c>
      <c r="I77" s="325">
        <f>AK21</f>
        <v>222.12217371605232</v>
      </c>
      <c r="J77" s="325"/>
      <c r="K77" s="325"/>
      <c r="L77" s="325"/>
      <c r="M77" s="52"/>
      <c r="O77" s="226">
        <f>DR21</f>
        <v>7640.5836220118763</v>
      </c>
      <c r="P77" s="226"/>
      <c r="Q77" s="226"/>
      <c r="R77" s="226"/>
      <c r="U77" s="325">
        <f>DQ21</f>
        <v>219.42784899124018</v>
      </c>
      <c r="V77" s="325"/>
      <c r="W77" s="325"/>
      <c r="X77" s="325"/>
      <c r="Y77" s="325"/>
      <c r="AB77" s="361">
        <f>DP21</f>
        <v>34.140955653953284</v>
      </c>
      <c r="AC77" s="361"/>
      <c r="AD77" s="361"/>
      <c r="AE77" s="361"/>
      <c r="AF77" s="361"/>
      <c r="AI77" s="326">
        <f>SQRT(AI62^2+AI63^2+AI64^2+AI65^2+AI66^2+AI67^2+AI68^2+AI69^2+AI70^2+AI71^2+AI72^2+AI73^2+AI74^2+AI75^2+AI76^2)</f>
        <v>0.27383086078708002</v>
      </c>
      <c r="AJ77" s="326"/>
      <c r="AK77" s="326"/>
      <c r="AL77" s="326"/>
      <c r="AM77" s="326"/>
      <c r="AP77" s="8"/>
      <c r="AR77" s="6"/>
      <c r="CE77" s="17"/>
      <c r="CF77" s="8"/>
      <c r="CK77" s="1">
        <f t="shared" si="54"/>
        <v>15.399999999999977</v>
      </c>
      <c r="CL77" s="1" t="str">
        <f t="shared" si="40"/>
        <v>0.0215973472222222+33.2599147222222i</v>
      </c>
      <c r="CM77" s="1" t="str">
        <f t="shared" si="41"/>
        <v>86.3893888888889</v>
      </c>
      <c r="CN77" s="1" t="str">
        <f t="shared" si="42"/>
        <v>-3.50606286075037i</v>
      </c>
      <c r="CO77" s="1" t="str">
        <f t="shared" si="43"/>
        <v>11.1660051071747+25.4477014541308i</v>
      </c>
      <c r="CP77" s="1" t="str">
        <f t="shared" si="44"/>
        <v>0.0191834803010191+7.38563991589237i</v>
      </c>
      <c r="CQ77" s="1" t="str">
        <f t="shared" si="45"/>
        <v>0.518559908502982+5.89442131331573i</v>
      </c>
      <c r="CR77" s="2">
        <f t="shared" si="46"/>
        <v>15.399999999999977</v>
      </c>
      <c r="CS77" s="2">
        <f t="shared" si="47"/>
        <v>0.21292766853430051</v>
      </c>
      <c r="CT77" s="1">
        <f t="shared" si="48"/>
        <v>15.399999999999977</v>
      </c>
      <c r="CU77" s="1">
        <f t="shared" si="49"/>
        <v>0.80117194044387463</v>
      </c>
      <c r="CX77" s="2">
        <f t="shared" si="50"/>
        <v>15.399999999999977</v>
      </c>
      <c r="CY77" s="2">
        <f t="shared" si="51"/>
        <v>27.789659576036954</v>
      </c>
      <c r="CZ77" s="2">
        <f t="shared" si="52"/>
        <v>7.3856648294611311</v>
      </c>
      <c r="DA77" s="2">
        <f t="shared" si="53"/>
        <v>5.9171874228874444</v>
      </c>
    </row>
    <row r="78" spans="2:105" ht="18" customHeight="1" x14ac:dyDescent="0.25">
      <c r="B78" s="6"/>
      <c r="C78" s="33" t="s">
        <v>98</v>
      </c>
      <c r="AP78" s="8"/>
      <c r="AR78" s="6"/>
      <c r="CE78" s="17"/>
      <c r="CF78" s="8"/>
      <c r="CK78" s="1">
        <f t="shared" si="54"/>
        <v>15.599999999999977</v>
      </c>
      <c r="CL78" s="1" t="str">
        <f t="shared" si="40"/>
        <v>0.0215973472222222+33.6918616666666i</v>
      </c>
      <c r="CM78" s="1" t="str">
        <f t="shared" si="41"/>
        <v>86.3893888888889</v>
      </c>
      <c r="CN78" s="1" t="str">
        <f t="shared" si="42"/>
        <v>-3.46111333689459i</v>
      </c>
      <c r="CO78" s="1" t="str">
        <f t="shared" si="43"/>
        <v>11.418903420855+25.7700682002543i</v>
      </c>
      <c r="CP78" s="1" t="str">
        <f t="shared" si="44"/>
        <v>0.0191834803010191+7.48155731739747i</v>
      </c>
      <c r="CQ78" s="1" t="str">
        <f t="shared" si="45"/>
        <v>0.529238404794985+5.97368278325638i</v>
      </c>
      <c r="CR78" s="2">
        <f t="shared" si="46"/>
        <v>15.599999999999977</v>
      </c>
      <c r="CS78" s="2">
        <f t="shared" si="47"/>
        <v>0.21276309488530845</v>
      </c>
      <c r="CT78" s="1">
        <f t="shared" si="48"/>
        <v>15.599999999999977</v>
      </c>
      <c r="CU78" s="1">
        <f t="shared" si="49"/>
        <v>0.80157926061622953</v>
      </c>
      <c r="CX78" s="2">
        <f t="shared" si="50"/>
        <v>15.599999999999977</v>
      </c>
      <c r="CY78" s="2">
        <f t="shared" si="51"/>
        <v>28.186659439894111</v>
      </c>
      <c r="CZ78" s="2">
        <f t="shared" si="52"/>
        <v>7.481581911562559</v>
      </c>
      <c r="DA78" s="2">
        <f t="shared" si="53"/>
        <v>5.9970808969100657</v>
      </c>
    </row>
    <row r="79" spans="2:105" ht="18" customHeight="1" x14ac:dyDescent="0.25">
      <c r="B79" s="6"/>
      <c r="AP79" s="8"/>
      <c r="AR79" s="6"/>
      <c r="CE79" s="17"/>
      <c r="CF79" s="8"/>
      <c r="CK79" s="1">
        <f t="shared" si="54"/>
        <v>15.799999999999976</v>
      </c>
      <c r="CL79" s="1" t="str">
        <f t="shared" si="40"/>
        <v>0.0215973472222222+34.1238086111111i</v>
      </c>
      <c r="CM79" s="1" t="str">
        <f t="shared" si="41"/>
        <v>86.3893888888889</v>
      </c>
      <c r="CN79" s="1" t="str">
        <f t="shared" si="42"/>
        <v>-3.41730177566808i</v>
      </c>
      <c r="CO79" s="1" t="str">
        <f t="shared" si="43"/>
        <v>11.6733372978226+26.0881622367999i</v>
      </c>
      <c r="CP79" s="1" t="str">
        <f t="shared" si="44"/>
        <v>0.0191834803010191+7.57747471890256i</v>
      </c>
      <c r="CQ79" s="1" t="str">
        <f t="shared" si="45"/>
        <v>0.540068443746547+6.05285491387321i</v>
      </c>
      <c r="CR79" s="2">
        <f t="shared" si="46"/>
        <v>15.799999999999976</v>
      </c>
      <c r="CS79" s="2">
        <f t="shared" si="47"/>
        <v>0.21262220280820029</v>
      </c>
      <c r="CT79" s="1">
        <f t="shared" si="48"/>
        <v>15.799999999999976</v>
      </c>
      <c r="CU79" s="1">
        <f t="shared" si="49"/>
        <v>0.80196659370460932</v>
      </c>
      <c r="CX79" s="2">
        <f t="shared" si="50"/>
        <v>15.799999999999976</v>
      </c>
      <c r="CY79" s="2">
        <f t="shared" si="51"/>
        <v>28.580745486469187</v>
      </c>
      <c r="CZ79" s="2">
        <f t="shared" si="52"/>
        <v>7.5774990017501089</v>
      </c>
      <c r="DA79" s="2">
        <f t="shared" si="53"/>
        <v>6.0769010632336178</v>
      </c>
    </row>
    <row r="80" spans="2:105" ht="18" customHeight="1" x14ac:dyDescent="0.25">
      <c r="B80" s="6"/>
      <c r="C80" s="17"/>
      <c r="E80" s="17"/>
      <c r="F80" s="17"/>
      <c r="G80" s="17"/>
      <c r="H80" s="17"/>
      <c r="I80" s="17"/>
      <c r="J80" s="17"/>
      <c r="K80" s="17"/>
      <c r="L80" s="17"/>
      <c r="M80" s="17"/>
      <c r="N80" s="17"/>
      <c r="O80" s="17"/>
      <c r="X80" s="17"/>
      <c r="Y80" s="17"/>
      <c r="Z80" s="17"/>
      <c r="AA80" s="17"/>
      <c r="AB80" s="17"/>
      <c r="AG80" s="29"/>
      <c r="AM80" s="17"/>
      <c r="AN80" s="17"/>
      <c r="AP80" s="8"/>
      <c r="AR80" s="6"/>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8"/>
      <c r="CK80" s="1">
        <f t="shared" si="54"/>
        <v>15.999999999999975</v>
      </c>
      <c r="CL80" s="1" t="str">
        <f t="shared" si="40"/>
        <v>0.0215973472222222+34.5557555555555i</v>
      </c>
      <c r="CM80" s="1" t="str">
        <f t="shared" si="41"/>
        <v>86.3893888888889</v>
      </c>
      <c r="CN80" s="1" t="str">
        <f t="shared" si="42"/>
        <v>-3.37458550347223i</v>
      </c>
      <c r="CO80" s="1" t="str">
        <f t="shared" si="43"/>
        <v>11.9292582707476+26.4020225917605i</v>
      </c>
      <c r="CP80" s="1" t="str">
        <f t="shared" si="44"/>
        <v>0.0191834803010191+7.67339212040766i</v>
      </c>
      <c r="CQ80" s="1" t="str">
        <f t="shared" si="45"/>
        <v>0.551049155374925+6.1319402251543i</v>
      </c>
      <c r="CR80" s="2">
        <f t="shared" si="46"/>
        <v>15.999999999999975</v>
      </c>
      <c r="CS80" s="2">
        <f t="shared" si="47"/>
        <v>0.21250382331031656</v>
      </c>
      <c r="CT80" s="1">
        <f t="shared" si="48"/>
        <v>15.999999999999975</v>
      </c>
      <c r="CU80" s="1">
        <f t="shared" si="49"/>
        <v>0.80233503282621565</v>
      </c>
      <c r="CX80" s="2">
        <f t="shared" si="50"/>
        <v>15.999999999999975</v>
      </c>
      <c r="CY80" s="2">
        <f t="shared" si="51"/>
        <v>28.97195195056819</v>
      </c>
      <c r="CZ80" s="2">
        <f t="shared" si="52"/>
        <v>7.6734160997205674</v>
      </c>
      <c r="DA80" s="2">
        <f t="shared" si="53"/>
        <v>6.156650558258506</v>
      </c>
    </row>
    <row r="81" spans="2:105" ht="18" customHeight="1" x14ac:dyDescent="0.25">
      <c r="B81" s="6"/>
      <c r="C81" s="17"/>
      <c r="E81" s="17"/>
      <c r="F81" s="17"/>
      <c r="G81" s="17"/>
      <c r="H81" s="17"/>
      <c r="I81" s="17"/>
      <c r="J81" s="17"/>
      <c r="K81" s="17"/>
      <c r="S81" s="17"/>
      <c r="T81" s="17"/>
      <c r="U81" s="17"/>
      <c r="V81" s="17"/>
      <c r="W81" s="17"/>
      <c r="X81" s="17"/>
      <c r="Y81" s="17"/>
      <c r="Z81" s="17"/>
      <c r="AA81" s="17"/>
      <c r="AB81" s="17"/>
      <c r="AC81" s="17"/>
      <c r="AD81" s="17"/>
      <c r="AE81" s="17"/>
      <c r="AF81" s="17"/>
      <c r="AG81" s="17"/>
      <c r="AH81" s="17"/>
      <c r="AI81" s="17"/>
      <c r="AJ81" s="17"/>
      <c r="AK81" s="17"/>
      <c r="AL81" s="17"/>
      <c r="AM81" s="17"/>
      <c r="AN81" s="17"/>
      <c r="AP81" s="8"/>
      <c r="AR81" s="6"/>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8"/>
      <c r="CK81" s="1">
        <f t="shared" si="54"/>
        <v>16.199999999999974</v>
      </c>
      <c r="CL81" s="1" t="str">
        <f t="shared" si="40"/>
        <v>0.0215973472222222+34.9877025i</v>
      </c>
      <c r="CM81" s="1" t="str">
        <f t="shared" si="41"/>
        <v>86.3893888888889</v>
      </c>
      <c r="CN81" s="1" t="str">
        <f t="shared" si="42"/>
        <v>-3.33292395404665i</v>
      </c>
      <c r="CO81" s="1" t="str">
        <f t="shared" si="43"/>
        <v>12.1866181467941+26.7116870437523i</v>
      </c>
      <c r="CP81" s="1" t="str">
        <f t="shared" si="44"/>
        <v>0.0191834803010191+7.76930952191275i</v>
      </c>
      <c r="CQ81" s="1" t="str">
        <f t="shared" si="45"/>
        <v>0.562179725323991+6.21094104819332i</v>
      </c>
      <c r="CR81" s="2">
        <f t="shared" si="46"/>
        <v>16.199999999999974</v>
      </c>
      <c r="CS81" s="2">
        <f t="shared" si="47"/>
        <v>0.21240686944587653</v>
      </c>
      <c r="CT81" s="1">
        <f t="shared" si="48"/>
        <v>16.199999999999974</v>
      </c>
      <c r="CU81" s="1">
        <f t="shared" si="49"/>
        <v>0.80268559342430346</v>
      </c>
      <c r="CX81" s="2">
        <f t="shared" si="50"/>
        <v>16.199999999999974</v>
      </c>
      <c r="CY81" s="2">
        <f t="shared" si="51"/>
        <v>29.360311418292817</v>
      </c>
      <c r="CZ81" s="2">
        <f t="shared" si="52"/>
        <v>7.7693332051856672</v>
      </c>
      <c r="DA81" s="2">
        <f t="shared" si="53"/>
        <v>6.2363318343155933</v>
      </c>
    </row>
    <row r="82" spans="2:105" ht="18" customHeight="1" x14ac:dyDescent="0.25">
      <c r="B82" s="6"/>
      <c r="C82" s="17"/>
      <c r="D82" s="17"/>
      <c r="E82" s="17"/>
      <c r="F82" s="17"/>
      <c r="G82" s="17"/>
      <c r="H82" s="17"/>
      <c r="I82" s="17"/>
      <c r="N82" s="17"/>
      <c r="O82" s="17"/>
      <c r="P82" s="17"/>
      <c r="Q82" s="17"/>
      <c r="R82" s="17"/>
      <c r="S82" s="17"/>
      <c r="T82" s="17"/>
      <c r="U82" s="17"/>
      <c r="V82" s="17"/>
      <c r="AA82" s="17"/>
      <c r="AB82" s="17"/>
      <c r="AC82" s="17"/>
      <c r="AD82" s="17"/>
      <c r="AE82" s="17"/>
      <c r="AF82" s="17"/>
      <c r="AG82" s="17"/>
      <c r="AH82" s="17"/>
      <c r="AI82" s="17"/>
      <c r="AJ82" s="17"/>
      <c r="AK82" s="17"/>
      <c r="AL82" s="17"/>
      <c r="AM82" s="17"/>
      <c r="AN82" s="17"/>
      <c r="AP82" s="8"/>
      <c r="AR82" s="6"/>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8"/>
      <c r="CK82" s="1">
        <f t="shared" si="54"/>
        <v>16.399999999999974</v>
      </c>
      <c r="CL82" s="1" t="str">
        <f t="shared" si="40"/>
        <v>0.0215973472222222+35.4196494444444i</v>
      </c>
      <c r="CM82" s="1" t="str">
        <f t="shared" si="41"/>
        <v>86.3893888888889</v>
      </c>
      <c r="CN82" s="1" t="str">
        <f t="shared" si="42"/>
        <v>-3.29227853997291i</v>
      </c>
      <c r="CO82" s="1" t="str">
        <f t="shared" si="43"/>
        <v>12.4453690235715+27.017192237113i</v>
      </c>
      <c r="CP82" s="1" t="str">
        <f t="shared" si="44"/>
        <v>0.0191834803010191+7.86522692341785i</v>
      </c>
      <c r="CQ82" s="1" t="str">
        <f t="shared" si="45"/>
        <v>0.573459389733788+6.28985954068875i</v>
      </c>
      <c r="CR82" s="2">
        <f t="shared" si="46"/>
        <v>16.399999999999974</v>
      </c>
      <c r="CS82" s="2">
        <f t="shared" si="47"/>
        <v>0.2123303292506209</v>
      </c>
      <c r="CT82" s="1">
        <f t="shared" si="48"/>
        <v>16.399999999999974</v>
      </c>
      <c r="CU82" s="1">
        <f t="shared" si="49"/>
        <v>0.80301921991251113</v>
      </c>
      <c r="CX82" s="2">
        <f t="shared" si="50"/>
        <v>16.399999999999974</v>
      </c>
      <c r="CY82" s="2">
        <f t="shared" si="51"/>
        <v>29.745854946697904</v>
      </c>
      <c r="CZ82" s="2">
        <f t="shared" si="52"/>
        <v>7.8652503178712294</v>
      </c>
      <c r="DA82" s="2">
        <f t="shared" si="53"/>
        <v>6.3159471746735774</v>
      </c>
    </row>
    <row r="83" spans="2:105" ht="18" customHeight="1" x14ac:dyDescent="0.25">
      <c r="B83" s="6"/>
      <c r="C83" s="17"/>
      <c r="D83" s="17"/>
      <c r="E83" s="17"/>
      <c r="F83" s="17"/>
      <c r="G83" s="17"/>
      <c r="H83" s="17"/>
      <c r="I83" s="17"/>
      <c r="N83" s="17"/>
      <c r="O83" s="17"/>
      <c r="P83" s="17"/>
      <c r="Q83" s="17"/>
      <c r="R83" s="17"/>
      <c r="S83" s="17"/>
      <c r="T83" s="17"/>
      <c r="U83" s="17"/>
      <c r="V83" s="17"/>
      <c r="AA83" s="17"/>
      <c r="AB83" s="17"/>
      <c r="AC83" s="17"/>
      <c r="AD83" s="17"/>
      <c r="AE83" s="17"/>
      <c r="AF83" s="17"/>
      <c r="AG83" s="17"/>
      <c r="AH83" s="17"/>
      <c r="AI83" s="17"/>
      <c r="AJ83" s="17"/>
      <c r="AK83" s="17"/>
      <c r="AL83" s="17"/>
      <c r="AM83" s="17"/>
      <c r="AN83" s="17"/>
      <c r="AP83" s="8"/>
      <c r="AR83" s="6"/>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8"/>
      <c r="CK83" s="1">
        <f t="shared" si="54"/>
        <v>16.599999999999973</v>
      </c>
      <c r="CL83" s="1" t="str">
        <f t="shared" si="40"/>
        <v>0.0215973472222222+35.8515963888888i</v>
      </c>
      <c r="CM83" s="1" t="str">
        <f t="shared" si="41"/>
        <v>86.3893888888889</v>
      </c>
      <c r="CN83" s="1" t="str">
        <f t="shared" si="42"/>
        <v>-3.25261253346721i</v>
      </c>
      <c r="CO83" s="1" t="str">
        <f t="shared" si="43"/>
        <v>12.7054633045739+27.3185737874432i</v>
      </c>
      <c r="CP83" s="1" t="str">
        <f t="shared" si="44"/>
        <v>0.0191834803010191+7.96114432492294i</v>
      </c>
      <c r="CQ83" s="1" t="str">
        <f t="shared" si="45"/>
        <v>0.584887430650189+6.36869770093355i</v>
      </c>
      <c r="CR83" s="2">
        <f t="shared" si="46"/>
        <v>16.599999999999973</v>
      </c>
      <c r="CS83" s="2">
        <f t="shared" si="47"/>
        <v>0.21227325938683331</v>
      </c>
      <c r="CT83" s="1">
        <f t="shared" si="48"/>
        <v>16.599999999999973</v>
      </c>
      <c r="CU83" s="1">
        <f t="shared" si="49"/>
        <v>0.80333679165612071</v>
      </c>
      <c r="CX83" s="2">
        <f t="shared" si="50"/>
        <v>16.599999999999973</v>
      </c>
      <c r="CY83" s="2">
        <f t="shared" si="51"/>
        <v>30.128612174540212</v>
      </c>
      <c r="CZ83" s="2">
        <f t="shared" si="52"/>
        <v>7.9611674375162593</v>
      </c>
      <c r="DA83" s="2">
        <f t="shared" si="53"/>
        <v>6.3954987070914857</v>
      </c>
    </row>
    <row r="84" spans="2:105" ht="18" customHeight="1" x14ac:dyDescent="0.25">
      <c r="B84" s="6"/>
      <c r="C84" s="17"/>
      <c r="D84" s="17"/>
      <c r="E84" s="17"/>
      <c r="F84" s="17"/>
      <c r="G84" s="17"/>
      <c r="H84" s="17"/>
      <c r="I84" s="17"/>
      <c r="N84" s="17"/>
      <c r="O84" s="17"/>
      <c r="P84" s="17"/>
      <c r="Q84" s="17"/>
      <c r="R84" s="17"/>
      <c r="S84" s="17"/>
      <c r="T84" s="17"/>
      <c r="U84" s="17"/>
      <c r="V84" s="17"/>
      <c r="AA84" s="17"/>
      <c r="AB84" s="17"/>
      <c r="AC84" s="17"/>
      <c r="AD84" s="17"/>
      <c r="AE84" s="17"/>
      <c r="AF84" s="17"/>
      <c r="AG84" s="17"/>
      <c r="AH84" s="17"/>
      <c r="AI84" s="17"/>
      <c r="AJ84" s="17"/>
      <c r="AK84" s="17"/>
      <c r="AL84" s="17"/>
      <c r="AM84" s="17"/>
      <c r="AN84" s="17"/>
      <c r="AP84" s="8"/>
      <c r="AR84" s="6"/>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8"/>
      <c r="CK84" s="1">
        <f t="shared" si="54"/>
        <v>16.799999999999972</v>
      </c>
      <c r="CL84" s="1" t="str">
        <f t="shared" si="40"/>
        <v>0.0215973472222222+36.2835433333333i</v>
      </c>
      <c r="CM84" s="1" t="str">
        <f t="shared" si="41"/>
        <v>86.3893888888889</v>
      </c>
      <c r="CN84" s="1" t="str">
        <f t="shared" si="42"/>
        <v>-3.21389095568784i</v>
      </c>
      <c r="CO84" s="1" t="str">
        <f t="shared" si="43"/>
        <v>12.9668537141054+27.6158663783877i</v>
      </c>
      <c r="CP84" s="1" t="str">
        <f t="shared" si="44"/>
        <v>0.0191834803010191+8.05706172642804i</v>
      </c>
      <c r="CQ84" s="1" t="str">
        <f t="shared" si="45"/>
        <v>0.596463171909828+6.44745738046476i</v>
      </c>
      <c r="CR84" s="2">
        <f t="shared" si="46"/>
        <v>16.799999999999972</v>
      </c>
      <c r="CS84" s="2">
        <f t="shared" si="47"/>
        <v>0.21223477941727978</v>
      </c>
      <c r="CT84" s="1">
        <f t="shared" si="48"/>
        <v>16.799999999999972</v>
      </c>
      <c r="CU84" s="1">
        <f t="shared" si="49"/>
        <v>0.80363912836566953</v>
      </c>
      <c r="CX84" s="2">
        <f t="shared" si="50"/>
        <v>16.799999999999972</v>
      </c>
      <c r="CY84" s="2">
        <f t="shared" si="51"/>
        <v>30.508611424841561</v>
      </c>
      <c r="CZ84" s="2">
        <f t="shared" si="52"/>
        <v>8.0570845638722233</v>
      </c>
      <c r="DA84" s="2">
        <f t="shared" si="53"/>
        <v>6.4749884160787676</v>
      </c>
    </row>
    <row r="85" spans="2:105" ht="18" customHeight="1" x14ac:dyDescent="0.25">
      <c r="B85" s="6"/>
      <c r="C85" s="17"/>
      <c r="D85" s="17"/>
      <c r="E85" s="17"/>
      <c r="F85" s="17"/>
      <c r="G85" s="17"/>
      <c r="H85" s="17"/>
      <c r="I85" s="17"/>
      <c r="N85" s="17"/>
      <c r="O85" s="17"/>
      <c r="P85" s="17"/>
      <c r="Q85" s="17"/>
      <c r="R85" s="17"/>
      <c r="S85" s="17"/>
      <c r="T85" s="17"/>
      <c r="U85" s="17"/>
      <c r="V85" s="17"/>
      <c r="AA85" s="17"/>
      <c r="AB85" s="17"/>
      <c r="AC85" s="17"/>
      <c r="AD85" s="17"/>
      <c r="AE85" s="17"/>
      <c r="AF85" s="17"/>
      <c r="AG85" s="17"/>
      <c r="AH85" s="17"/>
      <c r="AI85" s="17"/>
      <c r="AJ85" s="17"/>
      <c r="AK85" s="17"/>
      <c r="AL85" s="17"/>
      <c r="AM85" s="17"/>
      <c r="AN85" s="17"/>
      <c r="AP85" s="8"/>
      <c r="AR85" s="6"/>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8"/>
      <c r="CK85" s="1">
        <f t="shared" si="54"/>
        <v>16.999999999999972</v>
      </c>
      <c r="CL85" s="1" t="str">
        <f t="shared" si="40"/>
        <v>0.0215973472222222+36.7154902777777i</v>
      </c>
      <c r="CM85" s="1" t="str">
        <f t="shared" si="41"/>
        <v>86.3893888888889</v>
      </c>
      <c r="CN85" s="1" t="str">
        <f t="shared" si="42"/>
        <v>-3.17608047385622i</v>
      </c>
      <c r="CO85" s="1" t="str">
        <f t="shared" si="43"/>
        <v>13.2294933116912+27.9091038503718i</v>
      </c>
      <c r="CP85" s="1" t="str">
        <f t="shared" si="44"/>
        <v>0.0191834803010191+8.15297912793313i</v>
      </c>
      <c r="CQ85" s="1" t="str">
        <f t="shared" si="45"/>
        <v>0.60818597544457+6.52614029552133i</v>
      </c>
      <c r="CR85" s="2">
        <f t="shared" si="46"/>
        <v>16.999999999999972</v>
      </c>
      <c r="CS85" s="2">
        <f t="shared" si="47"/>
        <v>0.21221406663710929</v>
      </c>
      <c r="CT85" s="1">
        <f t="shared" si="48"/>
        <v>16.999999999999972</v>
      </c>
      <c r="CU85" s="1">
        <f t="shared" si="49"/>
        <v>0.8039269949687976</v>
      </c>
      <c r="CX85" s="2">
        <f t="shared" si="50"/>
        <v>16.999999999999972</v>
      </c>
      <c r="CY85" s="2">
        <f t="shared" si="51"/>
        <v>30.885879799916985</v>
      </c>
      <c r="CZ85" s="2">
        <f t="shared" si="52"/>
        <v>8.1530016967022476</v>
      </c>
      <c r="DA85" s="2">
        <f t="shared" si="53"/>
        <v>6.5544181540053339</v>
      </c>
    </row>
    <row r="86" spans="2:105" ht="18" customHeight="1" x14ac:dyDescent="0.25">
      <c r="B86" s="6"/>
      <c r="C86" s="17"/>
      <c r="D86" s="17"/>
      <c r="E86" s="17"/>
      <c r="F86" s="17"/>
      <c r="G86" s="17"/>
      <c r="H86" s="17"/>
      <c r="I86" s="17"/>
      <c r="J86" s="17"/>
      <c r="K86" s="17"/>
      <c r="L86" s="17"/>
      <c r="M86" s="17"/>
      <c r="N86" s="17"/>
      <c r="O86" s="17"/>
      <c r="P86" s="17"/>
      <c r="Q86" s="17"/>
      <c r="R86" s="17"/>
      <c r="S86" s="17"/>
      <c r="T86" s="17"/>
      <c r="U86" s="17"/>
      <c r="V86" s="17"/>
      <c r="AA86" s="17"/>
      <c r="AB86" s="17"/>
      <c r="AC86" s="17"/>
      <c r="AD86" s="17"/>
      <c r="AE86" s="17"/>
      <c r="AF86" s="17"/>
      <c r="AG86" s="17"/>
      <c r="AH86" s="17"/>
      <c r="AI86" s="17"/>
      <c r="AJ86" s="17"/>
      <c r="AK86" s="17"/>
      <c r="AL86" s="17"/>
      <c r="AM86" s="17"/>
      <c r="AN86" s="17"/>
      <c r="AP86" s="8"/>
      <c r="AR86" s="6"/>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8"/>
      <c r="CK86" s="1">
        <f t="shared" si="54"/>
        <v>17.199999999999971</v>
      </c>
      <c r="CL86" s="1" t="str">
        <f t="shared" si="40"/>
        <v>0.0215973472222222+37.1474372222222i</v>
      </c>
      <c r="CM86" s="1" t="str">
        <f t="shared" si="41"/>
        <v>86.3893888888889</v>
      </c>
      <c r="CN86" s="1" t="str">
        <f t="shared" si="42"/>
        <v>-3.13914930555556i</v>
      </c>
      <c r="CO86" s="1" t="str">
        <f t="shared" si="43"/>
        <v>13.4933355059736+28.1983192819511i</v>
      </c>
      <c r="CP86" s="1" t="str">
        <f t="shared" si="44"/>
        <v>0.0191834803010191+8.24889652943823i</v>
      </c>
      <c r="CQ86" s="1" t="str">
        <f t="shared" si="45"/>
        <v>0.62005523795615+6.60474803744i</v>
      </c>
      <c r="CR86" s="2">
        <f t="shared" si="46"/>
        <v>17.199999999999971</v>
      </c>
      <c r="CS86" s="2">
        <f t="shared" si="47"/>
        <v>0.21221035140168176</v>
      </c>
      <c r="CT86" s="1">
        <f t="shared" si="48"/>
        <v>17.199999999999971</v>
      </c>
      <c r="CU86" s="1">
        <f t="shared" si="49"/>
        <v>0.80420110601784722</v>
      </c>
      <c r="CX86" s="2">
        <f t="shared" si="50"/>
        <v>17.199999999999971</v>
      </c>
      <c r="CY86" s="2">
        <f t="shared" si="51"/>
        <v>31.260443269467931</v>
      </c>
      <c r="CZ86" s="2">
        <f t="shared" si="52"/>
        <v>8.248918835780513</v>
      </c>
      <c r="DA86" s="2">
        <f t="shared" si="53"/>
        <v>6.6337896511861452</v>
      </c>
    </row>
    <row r="87" spans="2:105" ht="18" customHeight="1" x14ac:dyDescent="0.25">
      <c r="B87" s="6"/>
      <c r="C87" s="17"/>
      <c r="D87" s="17"/>
      <c r="E87" s="17"/>
      <c r="F87" s="17"/>
      <c r="G87" s="17"/>
      <c r="H87" s="17"/>
      <c r="I87" s="17"/>
      <c r="J87" s="17"/>
      <c r="K87" s="17"/>
      <c r="L87" s="17"/>
      <c r="M87" s="17"/>
      <c r="N87" s="17"/>
      <c r="O87" s="17"/>
      <c r="P87" s="17"/>
      <c r="Q87" s="17"/>
      <c r="R87" s="17"/>
      <c r="S87" s="17"/>
      <c r="T87" s="17"/>
      <c r="U87" s="17"/>
      <c r="V87" s="17"/>
      <c r="AA87" s="17"/>
      <c r="AB87" s="17"/>
      <c r="AC87" s="17"/>
      <c r="AD87" s="17"/>
      <c r="AE87" s="17"/>
      <c r="AF87" s="17"/>
      <c r="AG87" s="17"/>
      <c r="AH87" s="17"/>
      <c r="AI87" s="17"/>
      <c r="AJ87" s="17"/>
      <c r="AK87" s="17"/>
      <c r="AL87" s="17"/>
      <c r="AM87" s="17"/>
      <c r="AN87" s="17"/>
      <c r="AP87" s="8"/>
      <c r="AR87" s="6"/>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8"/>
      <c r="CK87" s="1">
        <f t="shared" si="54"/>
        <v>17.39999999999997</v>
      </c>
      <c r="CL87" s="1" t="str">
        <f t="shared" si="40"/>
        <v>0.0215973472222222+37.5793841666666i</v>
      </c>
      <c r="CM87" s="1" t="str">
        <f t="shared" si="41"/>
        <v>86.3893888888889</v>
      </c>
      <c r="CN87" s="1" t="str">
        <f t="shared" si="42"/>
        <v>-3.10306712962964i</v>
      </c>
      <c r="CO87" s="1" t="str">
        <f t="shared" si="43"/>
        <v>13.758334068094+28.4835450643677i</v>
      </c>
      <c r="CP87" s="1" t="str">
        <f t="shared" si="44"/>
        <v>0.0191834803010191+8.34481393094333i</v>
      </c>
      <c r="CQ87" s="1" t="str">
        <f t="shared" si="45"/>
        <v>0.63207038791958+6.68328208210251i</v>
      </c>
      <c r="CR87" s="2">
        <f t="shared" si="46"/>
        <v>17.39999999999997</v>
      </c>
      <c r="CS87" s="2">
        <f t="shared" si="47"/>
        <v>0.2122229128960598</v>
      </c>
      <c r="CT87" s="1">
        <f t="shared" si="48"/>
        <v>17.39999999999997</v>
      </c>
      <c r="CU87" s="1">
        <f t="shared" si="49"/>
        <v>0.80446212968371122</v>
      </c>
      <c r="CX87" s="2">
        <f t="shared" si="50"/>
        <v>17.39999999999997</v>
      </c>
      <c r="CY87" s="2">
        <f t="shared" si="51"/>
        <v>31.632326752282097</v>
      </c>
      <c r="CZ87" s="2">
        <f t="shared" si="52"/>
        <v>8.3448359808915544</v>
      </c>
      <c r="DA87" s="2">
        <f t="shared" si="53"/>
        <v>6.7131045250492916</v>
      </c>
    </row>
    <row r="88" spans="2:105" ht="18" customHeight="1" x14ac:dyDescent="0.25">
      <c r="B88" s="6"/>
      <c r="C88" s="17"/>
      <c r="D88" s="17"/>
      <c r="E88" s="17"/>
      <c r="F88" s="17"/>
      <c r="G88" s="17"/>
      <c r="H88" s="17"/>
      <c r="I88" s="17"/>
      <c r="J88" s="17"/>
      <c r="K88" s="17"/>
      <c r="L88" s="17"/>
      <c r="M88" s="17"/>
      <c r="N88" s="17"/>
      <c r="O88" s="17"/>
      <c r="P88" s="17"/>
      <c r="Q88" s="17"/>
      <c r="R88" s="17"/>
      <c r="S88" s="17"/>
      <c r="T88" s="17"/>
      <c r="U88" s="17"/>
      <c r="V88" s="17"/>
      <c r="AA88" s="17"/>
      <c r="AB88" s="17"/>
      <c r="AC88" s="17"/>
      <c r="AD88" s="17"/>
      <c r="AE88" s="17"/>
      <c r="AF88" s="17"/>
      <c r="AG88" s="17"/>
      <c r="AH88" s="17"/>
      <c r="AI88" s="17"/>
      <c r="AJ88" s="17"/>
      <c r="AK88" s="17"/>
      <c r="AL88" s="17"/>
      <c r="AM88" s="17"/>
      <c r="AN88" s="17"/>
      <c r="AP88" s="8"/>
      <c r="AR88" s="6"/>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8"/>
      <c r="CK88" s="1">
        <f t="shared" si="54"/>
        <v>17.599999999999969</v>
      </c>
      <c r="CL88" s="1" t="str">
        <f t="shared" si="40"/>
        <v>0.0215973472222222+38.0113311111111i</v>
      </c>
      <c r="CM88" s="1" t="str">
        <f t="shared" si="41"/>
        <v>86.3893888888889</v>
      </c>
      <c r="CN88" s="1" t="str">
        <f t="shared" si="42"/>
        <v>-3.06780500315657i</v>
      </c>
      <c r="CO88" s="1" t="str">
        <f t="shared" si="43"/>
        <v>14.0244431445609+28.7648129698545i</v>
      </c>
      <c r="CP88" s="1" t="str">
        <f t="shared" si="44"/>
        <v>0.0191834803010191+8.44073133244842i</v>
      </c>
      <c r="CQ88" s="1" t="str">
        <f t="shared" si="45"/>
        <v>0.644230882877424+6.76174379853481i</v>
      </c>
      <c r="CR88" s="2">
        <f t="shared" si="46"/>
        <v>17.599999999999969</v>
      </c>
      <c r="CS88" s="2">
        <f t="shared" si="47"/>
        <v>0.21225107529855475</v>
      </c>
      <c r="CT88" s="1">
        <f t="shared" si="48"/>
        <v>17.599999999999969</v>
      </c>
      <c r="CU88" s="1">
        <f t="shared" si="49"/>
        <v>0.80471069138020557</v>
      </c>
      <c r="CX88" s="2">
        <f t="shared" si="50"/>
        <v>17.599999999999969</v>
      </c>
      <c r="CY88" s="2">
        <f t="shared" si="51"/>
        <v>32.001554192034661</v>
      </c>
      <c r="CZ88" s="2">
        <f t="shared" si="52"/>
        <v>8.4407531318297035</v>
      </c>
      <c r="DA88" s="2">
        <f t="shared" si="53"/>
        <v>6.7923642884843121</v>
      </c>
    </row>
    <row r="89" spans="2:105" ht="18" customHeight="1" x14ac:dyDescent="0.25">
      <c r="B89" s="6"/>
      <c r="C89" s="17"/>
      <c r="D89" s="17"/>
      <c r="E89" s="17"/>
      <c r="F89" s="17"/>
      <c r="G89" s="17"/>
      <c r="H89" s="17"/>
      <c r="I89" s="17"/>
      <c r="J89" s="17"/>
      <c r="K89" s="17"/>
      <c r="L89" s="17"/>
      <c r="M89" s="17"/>
      <c r="N89" s="17"/>
      <c r="O89" s="17"/>
      <c r="P89" s="17"/>
      <c r="Q89" s="17"/>
      <c r="R89" s="17"/>
      <c r="S89" s="17"/>
      <c r="T89" s="17"/>
      <c r="U89" s="17"/>
      <c r="V89" s="17"/>
      <c r="AA89" s="17"/>
      <c r="AB89" s="17"/>
      <c r="AC89" s="17"/>
      <c r="AD89" s="17"/>
      <c r="AE89" s="17"/>
      <c r="AF89" s="17"/>
      <c r="AG89" s="17"/>
      <c r="AH89" s="17"/>
      <c r="AI89" s="17"/>
      <c r="AJ89" s="17"/>
      <c r="AK89" s="17"/>
      <c r="AL89" s="17"/>
      <c r="AM89" s="17"/>
      <c r="AN89" s="17"/>
      <c r="AP89" s="8"/>
      <c r="AR89" s="6"/>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8"/>
      <c r="CK89" s="1">
        <f t="shared" si="54"/>
        <v>17.799999999999969</v>
      </c>
      <c r="CL89" s="1" t="str">
        <f t="shared" si="40"/>
        <v>0.0215973472222222+38.4432780555555i</v>
      </c>
      <c r="CM89" s="1" t="str">
        <f t="shared" si="41"/>
        <v>86.3893888888889</v>
      </c>
      <c r="CN89" s="1" t="str">
        <f t="shared" si="42"/>
        <v>-3.03333528401998i</v>
      </c>
      <c r="CO89" s="1" t="str">
        <f t="shared" si="43"/>
        <v>14.2916172696065+29.042154214186i</v>
      </c>
      <c r="CP89" s="1" t="str">
        <f t="shared" si="44"/>
        <v>0.0191834803010191+8.53664873395352i</v>
      </c>
      <c r="CQ89" s="1" t="str">
        <f t="shared" si="45"/>
        <v>0.65653620699363+6.84013445674605i</v>
      </c>
      <c r="CR89" s="2">
        <f t="shared" si="46"/>
        <v>17.799999999999969</v>
      </c>
      <c r="CS89" s="2">
        <f t="shared" si="47"/>
        <v>0.21229420429643836</v>
      </c>
      <c r="CT89" s="1">
        <f t="shared" si="48"/>
        <v>17.799999999999969</v>
      </c>
      <c r="CU89" s="1">
        <f t="shared" si="49"/>
        <v>0.80494737705798725</v>
      </c>
      <c r="CX89" s="2">
        <f t="shared" si="50"/>
        <v>17.799999999999969</v>
      </c>
      <c r="CY89" s="2">
        <f t="shared" si="51"/>
        <v>32.368148627647464</v>
      </c>
      <c r="CZ89" s="2">
        <f t="shared" si="52"/>
        <v>8.5366702883985557</v>
      </c>
      <c r="DA89" s="2">
        <f t="shared" si="53"/>
        <v>6.8715703574552851</v>
      </c>
    </row>
    <row r="90" spans="2:105" ht="18" customHeight="1" x14ac:dyDescent="0.25">
      <c r="B90" s="6"/>
      <c r="C90" s="17"/>
      <c r="D90" s="17"/>
      <c r="E90" s="17"/>
      <c r="F90" s="17"/>
      <c r="G90" s="17"/>
      <c r="H90" s="17"/>
      <c r="I90" s="17"/>
      <c r="J90" s="17"/>
      <c r="K90" s="17"/>
      <c r="L90" s="17"/>
      <c r="M90" s="17"/>
      <c r="N90" s="17"/>
      <c r="O90" s="17"/>
      <c r="P90" s="17"/>
      <c r="Q90" s="17"/>
      <c r="R90" s="17"/>
      <c r="S90" s="17"/>
      <c r="T90" s="17"/>
      <c r="U90" s="17"/>
      <c r="V90" s="17"/>
      <c r="AA90" s="17"/>
      <c r="AB90" s="17"/>
      <c r="AC90" s="17"/>
      <c r="AD90" s="17"/>
      <c r="AE90" s="17"/>
      <c r="AF90" s="17"/>
      <c r="AG90" s="17"/>
      <c r="AH90" s="17"/>
      <c r="AI90" s="17"/>
      <c r="AJ90" s="17"/>
      <c r="AK90" s="17"/>
      <c r="AL90" s="17"/>
      <c r="AM90" s="17"/>
      <c r="AN90" s="17"/>
      <c r="AP90" s="8"/>
      <c r="AR90" s="6"/>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8"/>
      <c r="CK90" s="1">
        <f t="shared" si="54"/>
        <v>17.999999999999968</v>
      </c>
      <c r="CL90" s="1" t="str">
        <f t="shared" si="40"/>
        <v>0.0215973472222222+38.8752249999999i</v>
      </c>
      <c r="CM90" s="1" t="str">
        <f t="shared" si="41"/>
        <v>86.3893888888889</v>
      </c>
      <c r="CN90" s="1" t="str">
        <f t="shared" si="42"/>
        <v>-2.99963155864198i</v>
      </c>
      <c r="CO90" s="1" t="str">
        <f t="shared" si="43"/>
        <v>14.559811377033+29.3155995139249i</v>
      </c>
      <c r="CP90" s="1" t="str">
        <f t="shared" si="44"/>
        <v>0.0191834803010191+8.63256613545861i</v>
      </c>
      <c r="CQ90" s="1" t="str">
        <f t="shared" si="45"/>
        <v>0.668985868837653+6.91845523488473i</v>
      </c>
      <c r="CR90" s="2">
        <f t="shared" si="46"/>
        <v>17.999999999999968</v>
      </c>
      <c r="CS90" s="2">
        <f t="shared" si="47"/>
        <v>0.21235170391697406</v>
      </c>
      <c r="CT90" s="1">
        <f t="shared" si="48"/>
        <v>17.999999999999968</v>
      </c>
      <c r="CU90" s="1">
        <f t="shared" si="49"/>
        <v>0.80517273620236318</v>
      </c>
      <c r="CX90" s="2">
        <f t="shared" si="50"/>
        <v>17.999999999999968</v>
      </c>
      <c r="CY90" s="2">
        <f t="shared" si="51"/>
        <v>32.732132258617277</v>
      </c>
      <c r="CZ90" s="2">
        <f t="shared" si="52"/>
        <v>8.6325874504104085</v>
      </c>
      <c r="DA90" s="2">
        <f t="shared" si="53"/>
        <v>6.9507240579531269</v>
      </c>
    </row>
    <row r="91" spans="2:105" ht="18" customHeight="1" x14ac:dyDescent="0.25">
      <c r="B91" s="6"/>
      <c r="C91" s="17"/>
      <c r="D91" s="17"/>
      <c r="E91" s="17"/>
      <c r="F91" s="17"/>
      <c r="G91" s="17"/>
      <c r="H91" s="17"/>
      <c r="I91" s="17"/>
      <c r="J91" s="17"/>
      <c r="K91" s="17"/>
      <c r="L91" s="17"/>
      <c r="M91" s="17"/>
      <c r="N91" s="17"/>
      <c r="O91" s="17"/>
      <c r="P91" s="17"/>
      <c r="Q91" s="17"/>
      <c r="R91" s="17"/>
      <c r="S91" s="17"/>
      <c r="T91" s="17"/>
      <c r="U91" s="17"/>
      <c r="V91" s="17"/>
      <c r="AA91" s="17"/>
      <c r="AB91" s="17"/>
      <c r="AC91" s="17"/>
      <c r="AD91" s="17"/>
      <c r="AE91" s="17"/>
      <c r="AF91" s="17"/>
      <c r="AG91" s="17"/>
      <c r="AH91" s="17"/>
      <c r="AI91" s="17"/>
      <c r="AJ91" s="17"/>
      <c r="AK91" s="17"/>
      <c r="AL91" s="17"/>
      <c r="AM91" s="17"/>
      <c r="AN91" s="17"/>
      <c r="AP91" s="8"/>
      <c r="AR91" s="6"/>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8"/>
      <c r="CK91" s="1">
        <f t="shared" si="54"/>
        <v>18.199999999999967</v>
      </c>
      <c r="CL91" s="1" t="str">
        <f t="shared" si="40"/>
        <v>0.0215973472222222+39.3071719444444i</v>
      </c>
      <c r="CM91" s="1" t="str">
        <f t="shared" si="41"/>
        <v>86.3893888888889</v>
      </c>
      <c r="CN91" s="1" t="str">
        <f t="shared" si="42"/>
        <v>-2.96666857448108i</v>
      </c>
      <c r="CO91" s="1" t="str">
        <f t="shared" si="43"/>
        <v>14.8289808115525+29.5851791387786i</v>
      </c>
      <c r="CP91" s="1" t="str">
        <f t="shared" si="44"/>
        <v>0.0191834803010191+8.72848353696371i</v>
      </c>
      <c r="CQ91" s="1" t="str">
        <f t="shared" si="45"/>
        <v>0.681579399375064+6.9967072257818i</v>
      </c>
      <c r="CR91" s="2">
        <f t="shared" si="46"/>
        <v>18.199999999999967</v>
      </c>
      <c r="CS91" s="2">
        <f t="shared" si="47"/>
        <v>0.21242301364120494</v>
      </c>
      <c r="CT91" s="1">
        <f t="shared" si="48"/>
        <v>18.199999999999967</v>
      </c>
      <c r="CU91" s="1">
        <f t="shared" si="49"/>
        <v>0.80538728456538577</v>
      </c>
      <c r="CX91" s="2">
        <f t="shared" si="50"/>
        <v>18.199999999999967</v>
      </c>
      <c r="CY91" s="2">
        <f t="shared" si="51"/>
        <v>33.09352650569312</v>
      </c>
      <c r="CZ91" s="2">
        <f t="shared" si="52"/>
        <v>8.7285046176858376</v>
      </c>
      <c r="DA91" s="2">
        <f t="shared" si="53"/>
        <v>7.0298266323544372</v>
      </c>
    </row>
    <row r="92" spans="2:105" ht="18" customHeight="1" x14ac:dyDescent="0.25">
      <c r="B92" s="6"/>
      <c r="C92" s="17"/>
      <c r="D92" s="17"/>
      <c r="E92" s="17"/>
      <c r="F92" s="17"/>
      <c r="G92" s="17"/>
      <c r="H92" s="17"/>
      <c r="I92" s="17"/>
      <c r="J92" s="17"/>
      <c r="K92" s="17"/>
      <c r="L92" s="17"/>
      <c r="M92" s="17"/>
      <c r="N92" s="17"/>
      <c r="O92" s="17"/>
      <c r="P92" s="17"/>
      <c r="Q92" s="17"/>
      <c r="R92" s="17"/>
      <c r="S92" s="17"/>
      <c r="T92" s="17"/>
      <c r="U92" s="17"/>
      <c r="V92" s="17"/>
      <c r="AA92" s="17"/>
      <c r="AB92" s="17"/>
      <c r="AC92" s="17"/>
      <c r="AD92" s="17"/>
      <c r="AE92" s="17"/>
      <c r="AF92" s="17"/>
      <c r="AG92" s="17"/>
      <c r="AH92" s="17"/>
      <c r="AI92" s="17"/>
      <c r="AJ92" s="17"/>
      <c r="AK92" s="17"/>
      <c r="AL92" s="17"/>
      <c r="AM92" s="17"/>
      <c r="AN92" s="17"/>
      <c r="AP92" s="8"/>
      <c r="AR92" s="6"/>
      <c r="CF92" s="8"/>
      <c r="CK92" s="1">
        <f t="shared" si="54"/>
        <v>18.399999999999967</v>
      </c>
      <c r="CL92" s="1" t="str">
        <f t="shared" si="40"/>
        <v>0.0215973472222222+39.7391188888888i</v>
      </c>
      <c r="CM92" s="1" t="str">
        <f t="shared" si="41"/>
        <v>86.3893888888889</v>
      </c>
      <c r="CN92" s="1" t="str">
        <f t="shared" si="42"/>
        <v>-2.93442217693237i</v>
      </c>
      <c r="CO92" s="1" t="str">
        <f t="shared" si="43"/>
        <v>15.0990813396215+29.8509229594464i</v>
      </c>
      <c r="CP92" s="1" t="str">
        <f t="shared" si="44"/>
        <v>0.0191834803010191+8.8244009384688i</v>
      </c>
      <c r="CQ92" s="1" t="str">
        <f t="shared" si="45"/>
        <v>0.694316350141919+7.0748914429403i</v>
      </c>
      <c r="CR92" s="2">
        <f t="shared" si="46"/>
        <v>18.399999999999967</v>
      </c>
      <c r="CS92" s="2">
        <f t="shared" si="47"/>
        <v>0.21250760577172245</v>
      </c>
      <c r="CT92" s="1">
        <f t="shared" si="48"/>
        <v>18.399999999999967</v>
      </c>
      <c r="CU92" s="1">
        <f t="shared" si="49"/>
        <v>0.80559150665908696</v>
      </c>
      <c r="CX92" s="2">
        <f t="shared" si="50"/>
        <v>18.399999999999967</v>
      </c>
      <c r="CY92" s="2">
        <f t="shared" si="51"/>
        <v>33.452352067250978</v>
      </c>
      <c r="CZ92" s="2">
        <f t="shared" si="52"/>
        <v>8.8244217900531865</v>
      </c>
      <c r="DA92" s="2">
        <f t="shared" si="53"/>
        <v>7.1088792452442364</v>
      </c>
    </row>
    <row r="93" spans="2:105" ht="18" customHeight="1" x14ac:dyDescent="0.25">
      <c r="B93" s="6"/>
      <c r="C93" s="17"/>
      <c r="D93" s="17"/>
      <c r="E93" s="17"/>
      <c r="F93" s="17"/>
      <c r="G93" s="17"/>
      <c r="H93" s="17"/>
      <c r="I93" s="17"/>
      <c r="J93" s="17"/>
      <c r="K93" s="17"/>
      <c r="L93" s="17"/>
      <c r="M93" s="17"/>
      <c r="N93" s="17"/>
      <c r="O93" s="17"/>
      <c r="P93" s="17"/>
      <c r="Q93" s="17"/>
      <c r="R93" s="17"/>
      <c r="S93" s="17"/>
      <c r="T93" s="17"/>
      <c r="U93" s="17"/>
      <c r="V93" s="17"/>
      <c r="AA93" s="17"/>
      <c r="AB93" s="17"/>
      <c r="AC93" s="17"/>
      <c r="AD93" s="17"/>
      <c r="AE93" s="17"/>
      <c r="AF93" s="17"/>
      <c r="AG93" s="17"/>
      <c r="AH93" s="17"/>
      <c r="AI93" s="17"/>
      <c r="AJ93" s="17"/>
      <c r="AK93" s="17"/>
      <c r="AL93" s="17"/>
      <c r="AM93" s="17"/>
      <c r="AN93" s="17"/>
      <c r="AP93" s="8"/>
      <c r="AR93" s="6"/>
      <c r="CF93" s="8"/>
      <c r="CK93" s="1">
        <f t="shared" si="54"/>
        <v>18.599999999999966</v>
      </c>
      <c r="CL93" s="1" t="str">
        <f t="shared" si="40"/>
        <v>0.0215973472222222+40.1710658333333i</v>
      </c>
      <c r="CM93" s="1" t="str">
        <f t="shared" si="41"/>
        <v>86.3893888888889</v>
      </c>
      <c r="CN93" s="1" t="str">
        <f t="shared" si="42"/>
        <v>-2.90286925029869i</v>
      </c>
      <c r="CO93" s="1" t="str">
        <f t="shared" si="43"/>
        <v>15.370069159777+30.1128604913029i</v>
      </c>
      <c r="CP93" s="1" t="str">
        <f t="shared" si="44"/>
        <v>0.0191834803010191+8.9203183399739i</v>
      </c>
      <c r="CQ93" s="1" t="str">
        <f t="shared" si="45"/>
        <v>0.707196291584438+7.15300882602697i</v>
      </c>
      <c r="CR93" s="2">
        <f t="shared" si="46"/>
        <v>18.599999999999966</v>
      </c>
      <c r="CS93" s="2">
        <f t="shared" si="47"/>
        <v>0.21260498302892691</v>
      </c>
      <c r="CT93" s="1">
        <f t="shared" si="48"/>
        <v>18.599999999999966</v>
      </c>
      <c r="CU93" s="1">
        <f t="shared" si="49"/>
        <v>0.80578585803370506</v>
      </c>
      <c r="CX93" s="2">
        <f t="shared" si="50"/>
        <v>18.599999999999966</v>
      </c>
      <c r="CY93" s="2">
        <f t="shared" si="51"/>
        <v>33.808628971684122</v>
      </c>
      <c r="CZ93" s="2">
        <f t="shared" si="52"/>
        <v>8.9203389673482238</v>
      </c>
      <c r="DA93" s="2">
        <f t="shared" si="53"/>
        <v>7.1878829887561819</v>
      </c>
    </row>
    <row r="94" spans="2:105" ht="18" customHeight="1" x14ac:dyDescent="0.25">
      <c r="B94" s="6"/>
      <c r="AP94" s="8"/>
      <c r="AR94" s="6"/>
      <c r="BJ94" s="29" t="s">
        <v>433</v>
      </c>
      <c r="BK94" s="156">
        <v>15</v>
      </c>
      <c r="BL94" s="156"/>
      <c r="BM94" s="156"/>
      <c r="BN94" s="156"/>
      <c r="BO94" s="156"/>
      <c r="BP94" s="158" t="s">
        <v>432</v>
      </c>
      <c r="BQ94" s="158"/>
      <c r="BR94" s="158"/>
      <c r="BV94" s="29" t="s">
        <v>434</v>
      </c>
      <c r="BW94" s="156">
        <v>25</v>
      </c>
      <c r="BX94" s="156"/>
      <c r="CE94" s="17"/>
      <c r="CF94" s="8"/>
      <c r="CK94" s="1">
        <f t="shared" si="54"/>
        <v>18.799999999999965</v>
      </c>
      <c r="CL94" s="1" t="str">
        <f t="shared" si="40"/>
        <v>0.0215973472222222+40.6030127777777i</v>
      </c>
      <c r="CM94" s="1" t="str">
        <f t="shared" si="41"/>
        <v>86.3893888888889</v>
      </c>
      <c r="CN94" s="1" t="str">
        <f t="shared" si="42"/>
        <v>-2.87198766252956i</v>
      </c>
      <c r="CO94" s="1" t="str">
        <f t="shared" si="43"/>
        <v>15.641900912474+30.3710209342361i</v>
      </c>
      <c r="CP94" s="1" t="str">
        <f t="shared" si="44"/>
        <v>0.0191834803010191+9.016235741479i</v>
      </c>
      <c r="CQ94" s="1" t="str">
        <f t="shared" si="45"/>
        <v>0.720218811546287+7.23106024591294i</v>
      </c>
      <c r="CR94" s="2">
        <f t="shared" si="46"/>
        <v>18.799999999999965</v>
      </c>
      <c r="CS94" s="2">
        <f t="shared" si="47"/>
        <v>0.21271467635316296</v>
      </c>
      <c r="CT94" s="1">
        <f t="shared" si="48"/>
        <v>18.799999999999965</v>
      </c>
      <c r="CU94" s="1">
        <f t="shared" si="49"/>
        <v>0.80597076736203344</v>
      </c>
      <c r="CX94" s="2">
        <f t="shared" ref="CX94:CX138" si="55">CK94</f>
        <v>18.799999999999965</v>
      </c>
      <c r="CY94" s="2">
        <f t="shared" ref="CY94:CY138" si="56">IMABS(CO94)</f>
        <v>34.162376626099395</v>
      </c>
      <c r="CZ94" s="2">
        <f t="shared" ref="CZ94:CZ138" si="57">IMABS(CP94)</f>
        <v>9.016256149413671</v>
      </c>
      <c r="DA94" s="2">
        <f t="shared" ref="DA94:DA138" si="58">IMABS(CQ94)</f>
        <v>7.2668388874756031</v>
      </c>
    </row>
    <row r="95" spans="2:105" ht="18" customHeight="1" x14ac:dyDescent="0.25">
      <c r="B95" s="6"/>
      <c r="AP95" s="8"/>
      <c r="AR95" s="6"/>
      <c r="CF95" s="8"/>
      <c r="CK95" s="1">
        <f t="shared" si="54"/>
        <v>18.999999999999964</v>
      </c>
      <c r="CL95" s="1" t="str">
        <f t="shared" si="40"/>
        <v>0.0215973472222222+41.0349597222222i</v>
      </c>
      <c r="CM95" s="1" t="str">
        <f t="shared" si="41"/>
        <v>86.3893888888889</v>
      </c>
      <c r="CN95" s="1" t="str">
        <f t="shared" si="42"/>
        <v>-2.8417562134503i</v>
      </c>
      <c r="CO95" s="1" t="str">
        <f t="shared" si="43"/>
        <v>15.9145336894332+30.6254332089356i</v>
      </c>
      <c r="CP95" s="1" t="str">
        <f t="shared" si="44"/>
        <v>0.0191834803010191+9.11215314298409i</v>
      </c>
      <c r="CQ95" s="1" t="str">
        <f t="shared" si="45"/>
        <v>0.733383513889083+7.30904650930678i</v>
      </c>
      <c r="CR95" s="2">
        <f t="shared" si="46"/>
        <v>18.999999999999964</v>
      </c>
      <c r="CS95" s="2">
        <f t="shared" si="47"/>
        <v>0.21283624289260067</v>
      </c>
      <c r="CT95" s="1">
        <f t="shared" si="48"/>
        <v>18.999999999999964</v>
      </c>
      <c r="CU95" s="1">
        <f t="shared" si="49"/>
        <v>0.80614663834875244</v>
      </c>
      <c r="CX95" s="2">
        <f t="shared" si="55"/>
        <v>18.999999999999964</v>
      </c>
      <c r="CY95" s="2">
        <f t="shared" si="56"/>
        <v>34.513613861592063</v>
      </c>
      <c r="CZ95" s="2">
        <f t="shared" si="57"/>
        <v>9.1121733360988735</v>
      </c>
      <c r="DA95" s="2">
        <f t="shared" si="58"/>
        <v>7.3457479029472506</v>
      </c>
    </row>
    <row r="96" spans="2:105"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c r="CK96" s="1">
        <f t="shared" si="54"/>
        <v>19.199999999999964</v>
      </c>
      <c r="CL96" s="1" t="str">
        <f t="shared" si="40"/>
        <v>0.0215973472222222+41.4669066666666i</v>
      </c>
      <c r="CM96" s="1" t="str">
        <f t="shared" si="41"/>
        <v>86.3893888888889</v>
      </c>
      <c r="CN96" s="1" t="str">
        <f t="shared" si="42"/>
        <v>-2.81215458622686i</v>
      </c>
      <c r="CO96" s="1" t="str">
        <f t="shared" si="43"/>
        <v>16.1879250425003+30.8761259898955i</v>
      </c>
      <c r="CP96" s="1" t="str">
        <f t="shared" si="44"/>
        <v>0.0191834803010191+9.20807054448919i</v>
      </c>
      <c r="CQ96" s="1" t="str">
        <f t="shared" si="45"/>
        <v>0.746690017232444+7.38696836301825i</v>
      </c>
      <c r="CR96" s="2">
        <f t="shared" si="46"/>
        <v>19.199999999999964</v>
      </c>
      <c r="CS96" s="2">
        <f t="shared" si="47"/>
        <v>0.21296926415898773</v>
      </c>
      <c r="CT96" s="1">
        <f t="shared" si="48"/>
        <v>19.199999999999964</v>
      </c>
      <c r="CU96" s="1">
        <f t="shared" si="49"/>
        <v>0.80631385148148271</v>
      </c>
      <c r="CX96" s="2">
        <f t="shared" si="55"/>
        <v>19.199999999999964</v>
      </c>
      <c r="CY96" s="2">
        <f t="shared" si="56"/>
        <v>34.862358975340562</v>
      </c>
      <c r="CZ96" s="2">
        <f t="shared" si="57"/>
        <v>9.2080905272594897</v>
      </c>
      <c r="DA96" s="2">
        <f t="shared" si="58"/>
        <v>7.4246109378247622</v>
      </c>
    </row>
    <row r="97" spans="2:105" ht="18" customHeight="1" x14ac:dyDescent="0.25">
      <c r="B97" s="6"/>
      <c r="D97" s="43" t="s">
        <v>84</v>
      </c>
      <c r="AO97" s="29" t="s">
        <v>99</v>
      </c>
      <c r="AP97" s="8"/>
      <c r="AR97" s="6"/>
      <c r="AT97" s="43" t="s">
        <v>84</v>
      </c>
      <c r="CE97" s="29" t="s">
        <v>100</v>
      </c>
      <c r="CF97" s="8"/>
      <c r="CK97" s="1">
        <f t="shared" si="54"/>
        <v>19.399999999999963</v>
      </c>
      <c r="CL97" s="1" t="str">
        <f t="shared" si="40"/>
        <v>0.0215973472222222+41.898853611111i</v>
      </c>
      <c r="CM97" s="1" t="str">
        <f t="shared" si="41"/>
        <v>86.3893888888889</v>
      </c>
      <c r="CN97" s="1" t="str">
        <f t="shared" si="42"/>
        <v>-2.78316330183277i</v>
      </c>
      <c r="CO97" s="1" t="str">
        <f t="shared" si="43"/>
        <v>16.4620329920256+31.1231277353866i</v>
      </c>
      <c r="CP97" s="1" t="str">
        <f t="shared" si="44"/>
        <v>0.0191834803010191+9.30398794599428i</v>
      </c>
      <c r="CQ97" s="1" t="str">
        <f t="shared" si="45"/>
        <v>0.760137953801838+7.46482649788661i</v>
      </c>
      <c r="CR97" s="2">
        <f t="shared" si="46"/>
        <v>19.399999999999963</v>
      </c>
      <c r="CS97" s="2">
        <f t="shared" si="47"/>
        <v>0.21311334433525755</v>
      </c>
      <c r="CT97" s="1">
        <f t="shared" si="48"/>
        <v>19.399999999999963</v>
      </c>
      <c r="CU97" s="1">
        <f t="shared" si="49"/>
        <v>0.8064727656385754</v>
      </c>
      <c r="CX97" s="2">
        <f t="shared" si="55"/>
        <v>19.399999999999963</v>
      </c>
      <c r="CY97" s="2">
        <f t="shared" si="56"/>
        <v>35.208629769755738</v>
      </c>
      <c r="CZ97" s="2">
        <f t="shared" si="57"/>
        <v>9.3040077227570759</v>
      </c>
      <c r="DA97" s="2">
        <f t="shared" si="58"/>
        <v>7.5034288396945632</v>
      </c>
    </row>
    <row r="98" spans="2:105"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c r="CK98" s="1">
        <f t="shared" si="54"/>
        <v>19.599999999999962</v>
      </c>
      <c r="CL98" s="1" t="str">
        <f t="shared" si="40"/>
        <v>0.0215973472222222+42.3308005555555i</v>
      </c>
      <c r="CM98" s="1" t="str">
        <f t="shared" si="41"/>
        <v>86.3893888888889</v>
      </c>
      <c r="CN98" s="1" t="str">
        <f t="shared" si="42"/>
        <v>-2.75476367630386i</v>
      </c>
      <c r="CO98" s="1" t="str">
        <f t="shared" si="43"/>
        <v>16.7368160347656+31.3664667146188i</v>
      </c>
      <c r="CP98" s="1" t="str">
        <f t="shared" si="44"/>
        <v>0.0191834803010191+9.39990534749938i</v>
      </c>
      <c r="CQ98" s="1" t="str">
        <f t="shared" si="45"/>
        <v>0.773726968373794+7.54262155240435i</v>
      </c>
      <c r="CR98" s="2">
        <f t="shared" si="46"/>
        <v>19.599999999999962</v>
      </c>
      <c r="CS98" s="2">
        <f t="shared" si="47"/>
        <v>0.21326810872078678</v>
      </c>
      <c r="CT98" s="1">
        <f t="shared" si="48"/>
        <v>19.599999999999962</v>
      </c>
      <c r="CU98" s="1">
        <f t="shared" si="49"/>
        <v>0.80662371956696866</v>
      </c>
      <c r="CX98" s="2">
        <f t="shared" si="55"/>
        <v>19.599999999999962</v>
      </c>
      <c r="CY98" s="2">
        <f t="shared" si="56"/>
        <v>35.552443588885367</v>
      </c>
      <c r="CZ98" s="2">
        <f t="shared" si="57"/>
        <v>9.3999249224588972</v>
      </c>
      <c r="DA98" s="2">
        <f t="shared" si="58"/>
        <v>7.5822024046040548</v>
      </c>
    </row>
    <row r="99" spans="2:105" ht="18" customHeight="1" x14ac:dyDescent="0.25">
      <c r="CK99" s="1">
        <f t="shared" si="54"/>
        <v>19.799999999999962</v>
      </c>
      <c r="CL99" s="1" t="str">
        <f t="shared" si="40"/>
        <v>0.0215973472222222+42.7627474999999i</v>
      </c>
      <c r="CM99" s="1" t="str">
        <f t="shared" si="41"/>
        <v>86.3893888888889</v>
      </c>
      <c r="CN99" s="1" t="str">
        <f t="shared" si="42"/>
        <v>-2.72693778058362i</v>
      </c>
      <c r="CO99" s="1" t="str">
        <f t="shared" si="43"/>
        <v>17.0122331513172+31.6061710323111i</v>
      </c>
      <c r="CP99" s="1" t="str">
        <f t="shared" si="44"/>
        <v>0.0191834803010191+9.49582274900447i</v>
      </c>
      <c r="CQ99" s="1" t="str">
        <f t="shared" si="45"/>
        <v>0.787456717309005+7.62035411606356i</v>
      </c>
      <c r="CR99" s="2">
        <f t="shared" si="46"/>
        <v>19.799999999999962</v>
      </c>
      <c r="CS99" s="2">
        <f t="shared" si="47"/>
        <v>0.21343320230147783</v>
      </c>
      <c r="CT99" s="1">
        <f t="shared" si="48"/>
        <v>19.799999999999962</v>
      </c>
      <c r="CU99" s="1">
        <f t="shared" si="49"/>
        <v>0.80676703324214349</v>
      </c>
      <c r="CX99" s="2">
        <f t="shared" si="55"/>
        <v>19.799999999999962</v>
      </c>
      <c r="CY99" s="2">
        <f t="shared" si="56"/>
        <v>35.893817352274986</v>
      </c>
      <c r="CZ99" s="2">
        <f t="shared" si="57"/>
        <v>9.4958421262375268</v>
      </c>
      <c r="DA99" s="2">
        <f t="shared" si="58"/>
        <v>7.6609323803204221</v>
      </c>
    </row>
    <row r="100" spans="2:105" ht="18" customHeight="1" x14ac:dyDescent="0.25">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5"/>
      <c r="AR100" s="3"/>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5"/>
      <c r="CK100" s="1">
        <f t="shared" si="54"/>
        <v>19.999999999999961</v>
      </c>
      <c r="CL100" s="1" t="str">
        <f t="shared" si="40"/>
        <v>0.0215973472222222+43.1946944444444i</v>
      </c>
      <c r="CM100" s="1" t="str">
        <f t="shared" si="41"/>
        <v>86.3893888888889</v>
      </c>
      <c r="CN100" s="1" t="str">
        <f t="shared" si="42"/>
        <v>-2.69966840277778i</v>
      </c>
      <c r="CO100" s="1" t="str">
        <f t="shared" si="43"/>
        <v>17.2882438130876+31.8422686508595i</v>
      </c>
      <c r="CP100" s="1" t="str">
        <f t="shared" si="44"/>
        <v>0.0191834803010191+9.59174015050957i</v>
      </c>
      <c r="CQ100" s="1" t="str">
        <f t="shared" si="45"/>
        <v>0.801326867665135+7.69802473244992i</v>
      </c>
      <c r="CR100" s="2">
        <f t="shared" si="46"/>
        <v>19.999999999999961</v>
      </c>
      <c r="CS100" s="2">
        <f t="shared" si="47"/>
        <v>0.21360828843328472</v>
      </c>
      <c r="CT100" s="1">
        <f t="shared" si="48"/>
        <v>19.999999999999961</v>
      </c>
      <c r="CU100" s="1">
        <f t="shared" si="49"/>
        <v>0.80690300912088153</v>
      </c>
      <c r="CX100" s="2">
        <f t="shared" si="55"/>
        <v>19.999999999999961</v>
      </c>
      <c r="CY100" s="2">
        <f t="shared" si="56"/>
        <v>36.232767586457861</v>
      </c>
      <c r="CZ100" s="2">
        <f t="shared" si="57"/>
        <v>9.5917593339706873</v>
      </c>
      <c r="DA100" s="2">
        <f t="shared" si="58"/>
        <v>7.7396194693442562</v>
      </c>
    </row>
    <row r="101" spans="2:105" ht="18" customHeight="1" x14ac:dyDescent="0.25">
      <c r="B101" s="6"/>
      <c r="AN101" s="7"/>
      <c r="AP101" s="8"/>
      <c r="AR101" s="6"/>
      <c r="CD101" s="7"/>
      <c r="CF101" s="8"/>
      <c r="CK101" s="1">
        <f t="shared" si="54"/>
        <v>20.19999999999996</v>
      </c>
      <c r="CL101" s="1" t="str">
        <f t="shared" si="40"/>
        <v>0.0215973472222222+43.6266413888888i</v>
      </c>
      <c r="CM101" s="1" t="str">
        <f t="shared" si="41"/>
        <v>86.3893888888889</v>
      </c>
      <c r="CN101" s="1" t="str">
        <f t="shared" si="42"/>
        <v>-2.67293901265127i</v>
      </c>
      <c r="CO101" s="1" t="str">
        <f t="shared" si="43"/>
        <v>17.5648079888073+32.0747874102841i</v>
      </c>
      <c r="CP101" s="1" t="str">
        <f t="shared" si="44"/>
        <v>0.0191834803010191+9.68765755201466i</v>
      </c>
      <c r="CQ101" s="1" t="str">
        <f t="shared" si="45"/>
        <v>0.815337096381706+7.7756339021059i</v>
      </c>
      <c r="CR101" s="2">
        <f t="shared" si="46"/>
        <v>20.19999999999996</v>
      </c>
      <c r="CS101" s="2">
        <f t="shared" si="47"/>
        <v>0.2137930476288869</v>
      </c>
      <c r="CT101" s="1">
        <f t="shared" si="48"/>
        <v>20.19999999999996</v>
      </c>
      <c r="CU101" s="1">
        <f t="shared" si="49"/>
        <v>0.80703193329648448</v>
      </c>
      <c r="CX101" s="2">
        <f t="shared" si="55"/>
        <v>20.19999999999996</v>
      </c>
      <c r="CY101" s="2">
        <f t="shared" si="56"/>
        <v>36.569310454240018</v>
      </c>
      <c r="CZ101" s="2">
        <f t="shared" si="57"/>
        <v>9.6876765455408922</v>
      </c>
      <c r="DA101" s="2">
        <f t="shared" si="58"/>
        <v>7.8182643316988711</v>
      </c>
    </row>
    <row r="102" spans="2:105" ht="18" customHeight="1" x14ac:dyDescent="0.25">
      <c r="B102" s="6"/>
      <c r="AN102" s="9"/>
      <c r="AP102" s="8"/>
      <c r="AR102" s="6"/>
      <c r="CD102" s="9"/>
      <c r="CF102" s="8"/>
      <c r="CK102" s="1">
        <f t="shared" si="54"/>
        <v>20.399999999999959</v>
      </c>
      <c r="CL102" s="1" t="str">
        <f t="shared" si="40"/>
        <v>0.0215973472222222+44.0585883333333i</v>
      </c>
      <c r="CM102" s="1" t="str">
        <f t="shared" si="41"/>
        <v>86.3893888888889</v>
      </c>
      <c r="CN102" s="1" t="str">
        <f t="shared" si="42"/>
        <v>-2.64673372821351i</v>
      </c>
      <c r="CO102" s="1" t="str">
        <f t="shared" si="43"/>
        <v>17.8418861505958+32.3037550461223i</v>
      </c>
      <c r="CP102" s="1" t="str">
        <f t="shared" si="44"/>
        <v>0.0191834803010191+9.78357495351976i</v>
      </c>
      <c r="CQ102" s="1" t="str">
        <f t="shared" si="45"/>
        <v>0.829487089530554+7.8531820851839i</v>
      </c>
      <c r="CR102" s="2">
        <f t="shared" si="46"/>
        <v>20.399999999999959</v>
      </c>
      <c r="CS102" s="2">
        <f t="shared" si="47"/>
        <v>0.21398717643831441</v>
      </c>
      <c r="CT102" s="1">
        <f t="shared" si="48"/>
        <v>20.399999999999959</v>
      </c>
      <c r="CU102" s="1">
        <f t="shared" si="49"/>
        <v>0.80715407656512939</v>
      </c>
      <c r="CX102" s="2">
        <f t="shared" si="55"/>
        <v>20.399999999999959</v>
      </c>
      <c r="CY102" s="2">
        <f t="shared" si="56"/>
        <v>36.903461781934418</v>
      </c>
      <c r="CZ102" s="2">
        <f t="shared" si="57"/>
        <v>9.7835937608353127</v>
      </c>
      <c r="DA102" s="2">
        <f t="shared" si="58"/>
        <v>7.8968675875153957</v>
      </c>
    </row>
    <row r="103" spans="2:105" ht="18" customHeight="1" thickBot="1" x14ac:dyDescent="0.3">
      <c r="B103" s="6"/>
      <c r="C103" s="10" t="str">
        <f>"Harmonic Filter Design - High-Pass (HP) Type | "&amp; H12 &amp; " | " &amp; AE13</f>
        <v>Harmonic Filter Design - High-Pass (HP) Type | Enter Customer PO #  | Stage 1</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1"/>
      <c r="AO103" s="10"/>
      <c r="AP103" s="8"/>
      <c r="AR103" s="6"/>
      <c r="AS103" s="10" t="str">
        <f>"Harmonic Filter Design - High-Pass (HP) Type | "&amp; H12 &amp; " | " &amp; AE13</f>
        <v>Harmonic Filter Design - High-Pass (HP) Type | Enter Customer PO #  | Stage 1</v>
      </c>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1"/>
      <c r="CE103" s="10"/>
      <c r="CF103" s="8"/>
      <c r="CK103" s="1">
        <f t="shared" si="54"/>
        <v>20.599999999999959</v>
      </c>
      <c r="CL103" s="1" t="str">
        <f t="shared" si="40"/>
        <v>0.0215973472222222+44.4905352777777i</v>
      </c>
      <c r="CM103" s="1" t="str">
        <f t="shared" si="41"/>
        <v>86.3893888888889</v>
      </c>
      <c r="CN103" s="1" t="str">
        <f t="shared" si="42"/>
        <v>-2.62103728425028i</v>
      </c>
      <c r="CO103" s="1" t="str">
        <f t="shared" si="43"/>
        <v>18.1194392795825+32.52919920542i</v>
      </c>
      <c r="CP103" s="1" t="str">
        <f t="shared" si="44"/>
        <v>0.0191834803010191+9.87949235502485i</v>
      </c>
      <c r="CQ103" s="1" t="str">
        <f t="shared" si="45"/>
        <v>0.843776541625687+7.93066970390635i</v>
      </c>
      <c r="CR103" s="2">
        <f t="shared" si="46"/>
        <v>20.599999999999959</v>
      </c>
      <c r="CS103" s="2">
        <f t="shared" si="47"/>
        <v>0.21419038641522228</v>
      </c>
      <c r="CT103" s="1">
        <f t="shared" si="48"/>
        <v>20.599999999999959</v>
      </c>
      <c r="CU103" s="1">
        <f t="shared" si="49"/>
        <v>0.80726969541114491</v>
      </c>
      <c r="CX103" s="2">
        <f t="shared" si="55"/>
        <v>20.599999999999959</v>
      </c>
      <c r="CY103" s="2">
        <f t="shared" si="56"/>
        <v>37.235237084680612</v>
      </c>
      <c r="CZ103" s="2">
        <f t="shared" si="57"/>
        <v>9.8795109797454508</v>
      </c>
      <c r="DA103" s="2">
        <f t="shared" si="58"/>
        <v>7.975429819430162</v>
      </c>
    </row>
    <row r="104" spans="2:105" ht="18" customHeight="1" x14ac:dyDescent="0.25">
      <c r="B104" s="6"/>
      <c r="AN104" s="9"/>
      <c r="AP104" s="8"/>
      <c r="AR104" s="6"/>
      <c r="CD104" s="9"/>
      <c r="CF104" s="8"/>
      <c r="CK104" s="1">
        <f t="shared" si="54"/>
        <v>20.799999999999958</v>
      </c>
      <c r="CL104" s="1" t="str">
        <f t="shared" si="40"/>
        <v>0.0215973472222222+44.9224822222221i</v>
      </c>
      <c r="CM104" s="1" t="str">
        <f t="shared" si="41"/>
        <v>86.3893888888889</v>
      </c>
      <c r="CN104" s="1" t="str">
        <f t="shared" si="42"/>
        <v>-2.59583500267095i</v>
      </c>
      <c r="CO104" s="1" t="str">
        <f t="shared" si="43"/>
        <v>18.3974288710954+32.7511474609656i</v>
      </c>
      <c r="CP104" s="1" t="str">
        <f t="shared" si="44"/>
        <v>0.0191834803010191+9.97540975652995i</v>
      </c>
      <c r="CQ104" s="1" t="str">
        <f t="shared" si="45"/>
        <v>0.858205154987318+8.00809714485011i</v>
      </c>
      <c r="CR104" s="2">
        <f t="shared" si="46"/>
        <v>20.799999999999958</v>
      </c>
      <c r="CS104" s="2">
        <f t="shared" si="47"/>
        <v>0.21440240316134074</v>
      </c>
      <c r="CT104" s="1">
        <f t="shared" si="48"/>
        <v>20.799999999999958</v>
      </c>
      <c r="CU104" s="1">
        <f t="shared" si="49"/>
        <v>0.80737903291826174</v>
      </c>
      <c r="CX104" s="2">
        <f t="shared" si="55"/>
        <v>20.799999999999958</v>
      </c>
      <c r="CY104" s="2">
        <f t="shared" si="56"/>
        <v>37.564651589984543</v>
      </c>
      <c r="CZ104" s="2">
        <f t="shared" si="57"/>
        <v>9.9754282021670342</v>
      </c>
      <c r="DA104" s="2">
        <f t="shared" si="58"/>
        <v>8.0539515748111672</v>
      </c>
    </row>
    <row r="105" spans="2:105" ht="18" customHeight="1" x14ac:dyDescent="0.3">
      <c r="B105" s="6"/>
      <c r="C105" s="30" t="s">
        <v>101</v>
      </c>
      <c r="D105" s="21"/>
      <c r="E105" s="21"/>
      <c r="F105" s="21"/>
      <c r="G105" s="21"/>
      <c r="H105" s="21"/>
      <c r="I105" s="21"/>
      <c r="J105" s="21"/>
      <c r="K105" s="21"/>
      <c r="L105" s="21"/>
      <c r="M105" s="21"/>
      <c r="N105" s="21"/>
      <c r="AO105" s="17"/>
      <c r="AP105" s="8"/>
      <c r="AR105" s="6"/>
      <c r="AS105" s="30" t="s">
        <v>102</v>
      </c>
      <c r="CE105" s="17"/>
      <c r="CF105" s="8"/>
      <c r="CK105" s="1">
        <f t="shared" si="54"/>
        <v>20.999999999999957</v>
      </c>
      <c r="CL105" s="1" t="str">
        <f t="shared" si="40"/>
        <v>0.0215973472222222+45.3544291666666i</v>
      </c>
      <c r="CM105" s="1" t="str">
        <f t="shared" si="41"/>
        <v>86.3893888888889</v>
      </c>
      <c r="CN105" s="1" t="str">
        <f t="shared" si="42"/>
        <v>-2.57111276455027i</v>
      </c>
      <c r="CO105" s="1" t="str">
        <f t="shared" si="43"/>
        <v>18.6758169394224+32.9696273238975i</v>
      </c>
      <c r="CP105" s="1" t="str">
        <f t="shared" si="44"/>
        <v>0.0191834803010191+10.071327158035i</v>
      </c>
      <c r="CQ105" s="1" t="str">
        <f t="shared" si="45"/>
        <v>0.872772639155224+8.08546476106874i</v>
      </c>
      <c r="CR105" s="2">
        <f t="shared" si="46"/>
        <v>20.999999999999957</v>
      </c>
      <c r="CS105" s="2">
        <f t="shared" si="47"/>
        <v>0.21462296544235601</v>
      </c>
      <c r="CT105" s="1">
        <f t="shared" si="48"/>
        <v>20.999999999999957</v>
      </c>
      <c r="CU105" s="1">
        <f t="shared" si="49"/>
        <v>0.80748231961318073</v>
      </c>
      <c r="CX105" s="2">
        <f t="shared" si="55"/>
        <v>20.999999999999957</v>
      </c>
      <c r="CY105" s="2">
        <f t="shared" si="56"/>
        <v>37.891720259596362</v>
      </c>
      <c r="CZ105" s="2">
        <f t="shared" si="57"/>
        <v>10.071345427999667</v>
      </c>
      <c r="DA105" s="2">
        <f t="shared" si="58"/>
        <v>8.1324333678267759</v>
      </c>
    </row>
    <row r="106" spans="2:105" ht="18" customHeight="1" x14ac:dyDescent="0.3">
      <c r="B106" s="6"/>
      <c r="C106" s="46"/>
      <c r="D106" s="154" t="s">
        <v>103</v>
      </c>
      <c r="E106" s="154"/>
      <c r="F106" s="154"/>
      <c r="G106" s="154"/>
      <c r="H106" s="154"/>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46"/>
      <c r="AP106" s="8"/>
      <c r="AR106" s="6"/>
      <c r="CF106" s="8"/>
      <c r="CK106" s="1">
        <f t="shared" si="54"/>
        <v>21.199999999999957</v>
      </c>
      <c r="CL106" s="1" t="str">
        <f t="shared" si="40"/>
        <v>0.0215973472222222+45.786376111111i</v>
      </c>
      <c r="CM106" s="1" t="str">
        <f t="shared" si="41"/>
        <v>86.3893888888889</v>
      </c>
      <c r="CN106" s="1" t="str">
        <f t="shared" si="42"/>
        <v>-2.54685698375263i</v>
      </c>
      <c r="CO106" s="1" t="str">
        <f t="shared" si="43"/>
        <v>18.9545660221535+33.1846662548075i</v>
      </c>
      <c r="CP106" s="1" t="str">
        <f t="shared" si="44"/>
        <v>0.0191834803010191+10.1672445595401i</v>
      </c>
      <c r="CQ106" s="1" t="str">
        <f t="shared" si="45"/>
        <v>0.887478710347096+8.16277287406709i</v>
      </c>
      <c r="CR106" s="2">
        <f t="shared" si="46"/>
        <v>21.199999999999957</v>
      </c>
      <c r="CS106" s="2">
        <f t="shared" si="47"/>
        <v>0.21485182436915856</v>
      </c>
      <c r="CT106" s="1">
        <f t="shared" si="48"/>
        <v>21.199999999999957</v>
      </c>
      <c r="CU106" s="1">
        <f t="shared" si="49"/>
        <v>0.80757977424720095</v>
      </c>
      <c r="CX106" s="2">
        <f t="shared" si="55"/>
        <v>21.199999999999957</v>
      </c>
      <c r="CY106" s="2">
        <f t="shared" si="56"/>
        <v>38.216457809838104</v>
      </c>
      <c r="CZ106" s="2">
        <f t="shared" si="57"/>
        <v>10.167262657146917</v>
      </c>
      <c r="DA106" s="2">
        <f t="shared" si="58"/>
        <v>8.2108756813707053</v>
      </c>
    </row>
    <row r="107" spans="2:105" ht="18" customHeight="1" x14ac:dyDescent="0.3">
      <c r="B107" s="6"/>
      <c r="AP107" s="8"/>
      <c r="AR107" s="6"/>
      <c r="AS107" s="154" t="s">
        <v>104</v>
      </c>
      <c r="AT107" s="154"/>
      <c r="AU107" s="154"/>
      <c r="AV107" s="154"/>
      <c r="AW107" s="154"/>
      <c r="AX107" s="154"/>
      <c r="AY107" s="154"/>
      <c r="AZ107" s="154"/>
      <c r="BA107" s="154"/>
      <c r="BB107" s="154"/>
      <c r="BC107" s="154"/>
      <c r="BD107" s="154"/>
      <c r="BE107" s="154"/>
      <c r="BF107" s="154"/>
      <c r="BG107" s="154"/>
      <c r="BH107" s="154"/>
      <c r="BI107" s="154"/>
      <c r="BJ107" s="154"/>
      <c r="BK107" s="154"/>
      <c r="BL107" s="154"/>
      <c r="BM107" s="154"/>
      <c r="BN107" s="154"/>
      <c r="BO107" s="154"/>
      <c r="BP107" s="154"/>
      <c r="BQ107" s="154"/>
      <c r="BR107" s="154"/>
      <c r="BS107" s="154"/>
      <c r="BT107" s="154"/>
      <c r="BU107" s="154"/>
      <c r="BV107" s="154"/>
      <c r="BW107" s="154"/>
      <c r="BX107" s="154"/>
      <c r="BY107" s="154"/>
      <c r="BZ107" s="154"/>
      <c r="CA107" s="154"/>
      <c r="CB107" s="154"/>
      <c r="CC107" s="154"/>
      <c r="CD107" s="154"/>
      <c r="CE107" s="154"/>
      <c r="CF107" s="8"/>
      <c r="CK107" s="1">
        <f t="shared" si="54"/>
        <v>21.399999999999956</v>
      </c>
      <c r="CL107" s="1" t="str">
        <f t="shared" si="40"/>
        <v>0.0215973472222222+46.2183230555555i</v>
      </c>
      <c r="CM107" s="1" t="str">
        <f t="shared" si="41"/>
        <v>86.3893888888889</v>
      </c>
      <c r="CN107" s="1" t="str">
        <f t="shared" si="42"/>
        <v>-2.52305458203531i</v>
      </c>
      <c r="CO107" s="1" t="str">
        <f t="shared" si="43"/>
        <v>19.2336391841137+33.3962916734555i</v>
      </c>
      <c r="CP107" s="1" t="str">
        <f t="shared" si="44"/>
        <v>0.0191834803010191+10.2631619610452i</v>
      </c>
      <c r="CQ107" s="1" t="str">
        <f t="shared" si="45"/>
        <v>0.90232309095785+8.24002177563911i</v>
      </c>
      <c r="CR107" s="2">
        <f t="shared" si="46"/>
        <v>21.399999999999956</v>
      </c>
      <c r="CS107" s="2">
        <f t="shared" si="47"/>
        <v>0.21508874263890829</v>
      </c>
      <c r="CT107" s="1">
        <f t="shared" si="48"/>
        <v>21.399999999999956</v>
      </c>
      <c r="CU107" s="1">
        <f t="shared" si="49"/>
        <v>0.80767160452109166</v>
      </c>
      <c r="CX107" s="2">
        <f t="shared" si="55"/>
        <v>21.399999999999956</v>
      </c>
      <c r="CY107" s="2">
        <f t="shared" si="56"/>
        <v>38.538878730487049</v>
      </c>
      <c r="CZ107" s="2">
        <f t="shared" si="57"/>
        <v>10.263179889515802</v>
      </c>
      <c r="DA107" s="2">
        <f t="shared" si="58"/>
        <v>8.2892789688538322</v>
      </c>
    </row>
    <row r="108" spans="2:105" ht="18" customHeight="1" x14ac:dyDescent="0.25">
      <c r="B108" s="6"/>
      <c r="G108" s="35" t="s">
        <v>105</v>
      </c>
      <c r="H108" s="53" t="s">
        <v>193</v>
      </c>
      <c r="I108" s="38"/>
      <c r="J108" s="38"/>
      <c r="K108" s="38"/>
      <c r="L108" s="38"/>
      <c r="M108" s="38"/>
      <c r="N108" s="38"/>
      <c r="O108" s="38"/>
      <c r="Q108" s="24"/>
      <c r="R108" s="24"/>
      <c r="S108" s="24"/>
      <c r="T108" s="24"/>
      <c r="U108" s="24"/>
      <c r="V108" s="24"/>
      <c r="W108" s="32" t="s">
        <v>107</v>
      </c>
      <c r="X108" s="234" t="s">
        <v>108</v>
      </c>
      <c r="Y108" s="234"/>
      <c r="Z108" s="234"/>
      <c r="AA108" s="234"/>
      <c r="AB108" s="234"/>
      <c r="AC108" s="234"/>
      <c r="AD108" s="234"/>
      <c r="AE108" s="234"/>
      <c r="AF108" s="234"/>
      <c r="AG108" s="234"/>
      <c r="AH108" s="234"/>
      <c r="AI108" s="234"/>
      <c r="AJ108" s="234"/>
      <c r="AK108" s="234"/>
      <c r="AL108" s="234"/>
      <c r="AM108" s="234"/>
      <c r="AN108" s="234"/>
      <c r="AO108" s="234"/>
      <c r="AP108" s="8"/>
      <c r="AR108" s="6"/>
      <c r="AT108" s="180" t="s">
        <v>109</v>
      </c>
      <c r="AU108" s="180"/>
      <c r="AV108" s="180"/>
      <c r="AW108" s="180"/>
      <c r="AX108" s="180"/>
      <c r="AY108" s="180"/>
      <c r="AZ108" s="180"/>
      <c r="BA108" s="180"/>
      <c r="BB108" s="180"/>
      <c r="BC108" s="180"/>
      <c r="BD108" s="180"/>
      <c r="BE108" s="180"/>
      <c r="BF108" s="180"/>
      <c r="BG108" s="180"/>
      <c r="BH108" s="226">
        <f>0.1*AJ29*3</f>
        <v>551.1876934474335</v>
      </c>
      <c r="BI108" s="226"/>
      <c r="BJ108" s="226"/>
      <c r="BK108" s="226"/>
      <c r="BL108" s="1" t="str">
        <f>"Watts, 3-Phase or "&amp;ROUND(BH108*3.412141,0)&amp;" BTUs/Hour"</f>
        <v>Watts, 3-Phase or 1881 BTUs/Hour</v>
      </c>
      <c r="CF108" s="8"/>
      <c r="CK108" s="1">
        <f t="shared" si="54"/>
        <v>21.599999999999955</v>
      </c>
      <c r="CL108" s="1" t="str">
        <f t="shared" si="40"/>
        <v>0.0215973472222222+46.6502699999999i</v>
      </c>
      <c r="CM108" s="1" t="str">
        <f t="shared" si="41"/>
        <v>86.3893888888889</v>
      </c>
      <c r="CN108" s="1" t="str">
        <f t="shared" si="42"/>
        <v>-2.49969296553499i</v>
      </c>
      <c r="CO108" s="1" t="str">
        <f t="shared" si="43"/>
        <v>19.5130000208935+33.6045309671993i</v>
      </c>
      <c r="CP108" s="1" t="str">
        <f t="shared" si="44"/>
        <v>0.0191834803010191+10.3590793625503i</v>
      </c>
      <c r="CQ108" s="1" t="str">
        <f t="shared" si="45"/>
        <v>0.917305509096616+8.31721172958082i</v>
      </c>
      <c r="CR108" s="2">
        <f t="shared" si="46"/>
        <v>21.599999999999955</v>
      </c>
      <c r="CS108" s="2">
        <f t="shared" si="47"/>
        <v>0.21533349383097075</v>
      </c>
      <c r="CT108" s="1">
        <f t="shared" si="48"/>
        <v>21.599999999999955</v>
      </c>
      <c r="CU108" s="1">
        <f t="shared" si="49"/>
        <v>0.80775800775792439</v>
      </c>
      <c r="CX108" s="2">
        <f t="shared" si="55"/>
        <v>21.599999999999955</v>
      </c>
      <c r="CY108" s="2">
        <f t="shared" si="56"/>
        <v>38.85899730230885</v>
      </c>
      <c r="CZ108" s="2">
        <f t="shared" si="57"/>
        <v>10.359097125016833</v>
      </c>
      <c r="DA108" s="2">
        <f t="shared" si="58"/>
        <v>8.3676436558744403</v>
      </c>
    </row>
    <row r="109" spans="2:105" ht="18" customHeight="1" x14ac:dyDescent="0.25">
      <c r="B109" s="6"/>
      <c r="G109" s="35" t="s">
        <v>24</v>
      </c>
      <c r="H109" s="53" t="str">
        <f>AE13</f>
        <v>Stage 1</v>
      </c>
      <c r="I109" s="38"/>
      <c r="J109" s="38"/>
      <c r="K109" s="38"/>
      <c r="L109" s="38"/>
      <c r="M109" s="38"/>
      <c r="N109" s="38"/>
      <c r="O109" s="38"/>
      <c r="AP109" s="8"/>
      <c r="AR109" s="6"/>
      <c r="AT109" s="232" t="s">
        <v>110</v>
      </c>
      <c r="AU109" s="232"/>
      <c r="AV109" s="232"/>
      <c r="AW109" s="232"/>
      <c r="AX109" s="232"/>
      <c r="AY109" s="232"/>
      <c r="AZ109" s="232"/>
      <c r="BA109" s="232"/>
      <c r="BB109" s="232"/>
      <c r="BC109" s="232"/>
      <c r="BD109" s="232"/>
      <c r="BE109" s="232"/>
      <c r="BF109" s="232"/>
      <c r="BG109" s="232"/>
      <c r="BH109" s="199">
        <f>(1.9*BJ19+12)*S29*3</f>
        <v>1534.7768656335898</v>
      </c>
      <c r="BI109" s="199"/>
      <c r="BJ109" s="199"/>
      <c r="BK109" s="199"/>
      <c r="BL109" s="1" t="str">
        <f>"Watts, 3-Phase or "&amp;ROUND(BH109*3.412141,0)&amp;" BTUs/Hour"</f>
        <v>Watts, 3-Phase or 5237 BTUs/Hour</v>
      </c>
      <c r="CF109" s="8"/>
      <c r="CK109" s="1">
        <f t="shared" si="54"/>
        <v>21.799999999999955</v>
      </c>
      <c r="CL109" s="1" t="str">
        <f t="shared" si="40"/>
        <v>0.0215973472222222+47.0822169444444i</v>
      </c>
      <c r="CM109" s="1" t="str">
        <f t="shared" si="41"/>
        <v>86.3893888888889</v>
      </c>
      <c r="CN109" s="1" t="str">
        <f t="shared" si="42"/>
        <v>-2.47676000254843i</v>
      </c>
      <c r="CO109" s="1" t="str">
        <f t="shared" si="43"/>
        <v>19.7926126619856+33.8094114982386i</v>
      </c>
      <c r="CP109" s="1" t="str">
        <f t="shared" si="44"/>
        <v>0.0191834803010191+10.4549967640554i</v>
      </c>
      <c r="CQ109" s="1" t="str">
        <f t="shared" si="45"/>
        <v>0.932425698157862+8.39434297328775i</v>
      </c>
      <c r="CR109" s="2">
        <f t="shared" si="46"/>
        <v>21.799999999999955</v>
      </c>
      <c r="CS109" s="2">
        <f t="shared" si="47"/>
        <v>0.21558586175318745</v>
      </c>
      <c r="CT109" s="1">
        <f t="shared" si="48"/>
        <v>21.799999999999955</v>
      </c>
      <c r="CU109" s="1">
        <f t="shared" si="49"/>
        <v>0.8078391715281158</v>
      </c>
      <c r="CX109" s="2">
        <f t="shared" si="55"/>
        <v>21.799999999999955</v>
      </c>
      <c r="CY109" s="2">
        <f t="shared" si="56"/>
        <v>39.176827613330573</v>
      </c>
      <c r="CZ109" s="2">
        <f t="shared" si="57"/>
        <v>10.455014363563798</v>
      </c>
      <c r="DA109" s="2">
        <f t="shared" si="58"/>
        <v>8.4459701417759341</v>
      </c>
    </row>
    <row r="110" spans="2:105" ht="18" customHeight="1" x14ac:dyDescent="0.25">
      <c r="B110" s="6"/>
      <c r="G110" s="35" t="s">
        <v>111</v>
      </c>
      <c r="H110" s="323">
        <f>S19</f>
        <v>5</v>
      </c>
      <c r="I110" s="324"/>
      <c r="J110" s="324"/>
      <c r="K110" s="324"/>
      <c r="L110" s="324"/>
      <c r="M110" s="324"/>
      <c r="N110" s="324"/>
      <c r="O110" s="324"/>
      <c r="AP110" s="8"/>
      <c r="AR110" s="6"/>
      <c r="AT110" s="225" t="str">
        <f>"High-Pass Resistor Losses, "&amp;S20&amp;" Hertz:"</f>
        <v>High-Pass Resistor Losses, 60 Hertz:</v>
      </c>
      <c r="AU110" s="225"/>
      <c r="AV110" s="225"/>
      <c r="AW110" s="225"/>
      <c r="AX110" s="225"/>
      <c r="AY110" s="225"/>
      <c r="AZ110" s="225"/>
      <c r="BA110" s="225"/>
      <c r="BB110" s="225"/>
      <c r="BC110" s="225"/>
      <c r="BD110" s="225"/>
      <c r="BE110" s="225"/>
      <c r="BF110" s="225"/>
      <c r="BG110" s="225"/>
      <c r="BH110" s="185">
        <f>DY4*3</f>
        <v>3129.2060672654929</v>
      </c>
      <c r="BI110" s="185"/>
      <c r="BJ110" s="185"/>
      <c r="BK110" s="185"/>
      <c r="BL110" s="1" t="str">
        <f>"Watts, 3-Phase or "&amp;ROUND(BH110*3.412141,0)&amp;" BTUs/Hour"</f>
        <v>Watts, 3-Phase or 10677 BTUs/Hour</v>
      </c>
      <c r="CF110" s="8"/>
      <c r="CK110" s="1">
        <f t="shared" si="54"/>
        <v>21.999999999999954</v>
      </c>
      <c r="CL110" s="1" t="str">
        <f t="shared" si="40"/>
        <v>0.0215973472222222+47.5141638888888i</v>
      </c>
      <c r="CM110" s="1" t="str">
        <f t="shared" si="41"/>
        <v>86.3893888888889</v>
      </c>
      <c r="CN110" s="1" t="str">
        <f t="shared" si="42"/>
        <v>-2.45424400252526i</v>
      </c>
      <c r="CO110" s="1" t="str">
        <f t="shared" si="43"/>
        <v>20.0724417735382+34.0109606097645i</v>
      </c>
      <c r="CP110" s="1" t="str">
        <f t="shared" si="44"/>
        <v>0.0191834803010191+10.5509141655605i</v>
      </c>
      <c r="CQ110" s="1" t="str">
        <f t="shared" si="45"/>
        <v>0.947683396424237+8.47141571924621i</v>
      </c>
      <c r="CR110" s="2">
        <f t="shared" si="46"/>
        <v>21.999999999999954</v>
      </c>
      <c r="CS110" s="2">
        <f t="shared" si="47"/>
        <v>0.21584563983437371</v>
      </c>
      <c r="CT110" s="1">
        <f t="shared" si="48"/>
        <v>21.999999999999954</v>
      </c>
      <c r="CU110" s="1">
        <f t="shared" si="49"/>
        <v>0.80791527423057685</v>
      </c>
      <c r="CX110" s="2">
        <f t="shared" si="55"/>
        <v>21.999999999999954</v>
      </c>
      <c r="CY110" s="2">
        <f t="shared" si="56"/>
        <v>39.492383573937829</v>
      </c>
      <c r="CZ110" s="2">
        <f t="shared" si="57"/>
        <v>10.550931605073632</v>
      </c>
      <c r="DA110" s="2">
        <f t="shared" si="58"/>
        <v>8.5242588011011229</v>
      </c>
    </row>
    <row r="111" spans="2:105" ht="18" customHeight="1" thickBot="1" x14ac:dyDescent="0.3">
      <c r="B111" s="6"/>
      <c r="H111" s="18"/>
      <c r="AP111" s="8"/>
      <c r="AR111" s="6"/>
      <c r="AT111" s="225" t="s">
        <v>112</v>
      </c>
      <c r="AU111" s="225"/>
      <c r="AV111" s="225"/>
      <c r="AW111" s="225"/>
      <c r="AX111" s="225"/>
      <c r="AY111" s="225"/>
      <c r="AZ111" s="225"/>
      <c r="BA111" s="225"/>
      <c r="BB111" s="225"/>
      <c r="BC111" s="225"/>
      <c r="BD111" s="225"/>
      <c r="BE111" s="225"/>
      <c r="BF111" s="225"/>
      <c r="BG111" s="225"/>
      <c r="BH111" s="227">
        <f>DZ4*3</f>
        <v>1251.4946980084574</v>
      </c>
      <c r="BI111" s="227"/>
      <c r="BJ111" s="227"/>
      <c r="BK111" s="227"/>
      <c r="BL111" s="1" t="str">
        <f>"Watts, 3-Phase or "&amp;ROUND(BH111*3.412141,0)&amp;" BTUs/Hour"</f>
        <v>Watts, 3-Phase or 4270 BTUs/Hour</v>
      </c>
      <c r="CF111" s="8"/>
      <c r="CK111" s="1">
        <f t="shared" si="54"/>
        <v>22.199999999999953</v>
      </c>
      <c r="CL111" s="1" t="str">
        <f t="shared" si="40"/>
        <v>0.0215973472222222+47.9461108333332i</v>
      </c>
      <c r="CM111" s="1" t="str">
        <f t="shared" si="41"/>
        <v>86.3893888888889</v>
      </c>
      <c r="CN111" s="1" t="str">
        <f t="shared" si="42"/>
        <v>-2.4321336961962i</v>
      </c>
      <c r="CO111" s="1" t="str">
        <f t="shared" si="43"/>
        <v>20.3524525607311+34.2092056310995i</v>
      </c>
      <c r="CP111" s="1" t="str">
        <f t="shared" si="44"/>
        <v>0.0191834803010191+10.6468315670656i</v>
      </c>
      <c r="CQ111" s="1" t="str">
        <f t="shared" si="45"/>
        <v>0.963078346697977+8.54843015642647i</v>
      </c>
      <c r="CR111" s="2">
        <f t="shared" si="46"/>
        <v>22.199999999999953</v>
      </c>
      <c r="CS111" s="2">
        <f t="shared" si="47"/>
        <v>0.21611263055933169</v>
      </c>
      <c r="CT111" s="1">
        <f t="shared" si="48"/>
        <v>22.199999999999953</v>
      </c>
      <c r="CU111" s="1">
        <f t="shared" si="49"/>
        <v>0.80798648563346176</v>
      </c>
      <c r="CX111" s="2">
        <f t="shared" si="55"/>
        <v>22.199999999999953</v>
      </c>
      <c r="CY111" s="2">
        <f t="shared" si="56"/>
        <v>39.805678930871913</v>
      </c>
      <c r="CZ111" s="2">
        <f t="shared" si="57"/>
        <v>10.646848849466261</v>
      </c>
      <c r="DA111" s="2">
        <f t="shared" si="58"/>
        <v>8.6025099849509026</v>
      </c>
    </row>
    <row r="112" spans="2:105" ht="18" customHeight="1" thickTop="1" x14ac:dyDescent="0.3">
      <c r="B112" s="6"/>
      <c r="D112" s="320" t="s">
        <v>113</v>
      </c>
      <c r="E112" s="320"/>
      <c r="F112" s="320"/>
      <c r="G112" s="320"/>
      <c r="H112" s="320"/>
      <c r="I112" s="320"/>
      <c r="J112" s="320"/>
      <c r="K112" s="320"/>
      <c r="M112" s="154" t="s">
        <v>114</v>
      </c>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8"/>
      <c r="AR112" s="6"/>
      <c r="AT112" s="180" t="str">
        <f>"Total "&amp;S20&amp;" Hz Losses:"</f>
        <v>Total 60 Hz Losses:</v>
      </c>
      <c r="AU112" s="180"/>
      <c r="AV112" s="180"/>
      <c r="AW112" s="180"/>
      <c r="AX112" s="180"/>
      <c r="AY112" s="180"/>
      <c r="AZ112" s="180"/>
      <c r="BA112" s="180"/>
      <c r="BB112" s="180"/>
      <c r="BC112" s="180"/>
      <c r="BD112" s="180"/>
      <c r="BE112" s="180"/>
      <c r="BF112" s="180"/>
      <c r="BG112" s="180"/>
      <c r="BH112" s="224">
        <f>SUM(BH108:BK111)</f>
        <v>6466.6653243549736</v>
      </c>
      <c r="BI112" s="224"/>
      <c r="BJ112" s="224"/>
      <c r="BK112" s="224"/>
      <c r="BL112" s="1" t="str">
        <f>"Watts, 3-Phase or "&amp;ROUND(BH112*3.412141,0)&amp;" BTUs/Hour"</f>
        <v>Watts, 3-Phase or 22065 BTUs/Hour</v>
      </c>
      <c r="CF112" s="8"/>
      <c r="CK112" s="1">
        <f t="shared" si="54"/>
        <v>22.399999999999952</v>
      </c>
      <c r="CL112" s="1" t="str">
        <f t="shared" si="40"/>
        <v>0.0215973472222222+48.3780577777777i</v>
      </c>
      <c r="CM112" s="1" t="str">
        <f t="shared" si="41"/>
        <v>86.3893888888889</v>
      </c>
      <c r="CN112" s="1" t="str">
        <f t="shared" si="42"/>
        <v>-2.41041821676588i</v>
      </c>
      <c r="CO112" s="1" t="str">
        <f t="shared" si="43"/>
        <v>20.6326107697864+34.4041738819067i</v>
      </c>
      <c r="CP112" s="1" t="str">
        <f t="shared" si="44"/>
        <v>0.0191834803010191+10.7427489685707i</v>
      </c>
      <c r="CQ112" s="1" t="str">
        <f t="shared" si="45"/>
        <v>0.978610295959037+8.62538645158547i</v>
      </c>
      <c r="CR112" s="2">
        <f t="shared" si="46"/>
        <v>22.399999999999952</v>
      </c>
      <c r="CS112" s="2">
        <f t="shared" si="47"/>
        <v>0.21638664494297247</v>
      </c>
      <c r="CT112" s="1">
        <f t="shared" si="48"/>
        <v>22.399999999999952</v>
      </c>
      <c r="CU112" s="1">
        <f t="shared" si="49"/>
        <v>0.80805296737774823</v>
      </c>
      <c r="CX112" s="2">
        <f t="shared" si="55"/>
        <v>22.399999999999952</v>
      </c>
      <c r="CY112" s="2">
        <f t="shared" si="56"/>
        <v>40.116727280200422</v>
      </c>
      <c r="CZ112" s="2">
        <f t="shared" si="57"/>
        <v>10.742766096664457</v>
      </c>
      <c r="DA112" s="2">
        <f t="shared" si="58"/>
        <v>8.6807240222547808</v>
      </c>
    </row>
    <row r="113" spans="2:105" ht="18" customHeight="1" x14ac:dyDescent="0.25">
      <c r="B113" s="6"/>
      <c r="D113" s="172" t="s">
        <v>115</v>
      </c>
      <c r="E113" s="172"/>
      <c r="F113" s="172"/>
      <c r="G113" s="321"/>
      <c r="H113" s="322" t="s">
        <v>116</v>
      </c>
      <c r="I113" s="172"/>
      <c r="J113" s="172"/>
      <c r="K113" s="172"/>
      <c r="V113" s="35" t="s">
        <v>117</v>
      </c>
      <c r="W113" s="247">
        <v>3</v>
      </c>
      <c r="X113" s="247"/>
      <c r="Y113" s="247"/>
      <c r="Z113" s="54"/>
      <c r="AA113" s="54"/>
      <c r="AB113" s="54"/>
      <c r="AC113" s="54"/>
      <c r="AD113" s="54"/>
      <c r="AE113" s="54"/>
      <c r="AF113" s="54"/>
      <c r="AG113" s="54"/>
      <c r="AH113" s="54"/>
      <c r="AI113" s="54"/>
      <c r="AJ113" s="54"/>
      <c r="AK113" s="54"/>
      <c r="AL113" s="54"/>
      <c r="AM113" s="54"/>
      <c r="AN113" s="54"/>
      <c r="AP113" s="8"/>
      <c r="AR113" s="6"/>
      <c r="CF113" s="8"/>
      <c r="CK113" s="1">
        <f t="shared" si="54"/>
        <v>22.599999999999952</v>
      </c>
      <c r="CL113" s="1" t="str">
        <f t="shared" si="40"/>
        <v>0.0215973472222222+48.8100047222221i</v>
      </c>
      <c r="CM113" s="1" t="str">
        <f t="shared" si="41"/>
        <v>86.3893888888889</v>
      </c>
      <c r="CN113" s="1" t="str">
        <f t="shared" si="42"/>
        <v>-2.38908708210423i</v>
      </c>
      <c r="CO113" s="1" t="str">
        <f t="shared" si="43"/>
        <v>20.9128826896204+34.595892675543i</v>
      </c>
      <c r="CP113" s="1" t="str">
        <f t="shared" si="44"/>
        <v>0.0191834803010191+10.8386663700758i</v>
      </c>
      <c r="CQ113" s="1" t="str">
        <f t="shared" si="45"/>
        <v>0.994278995047345+8.70228475048591i</v>
      </c>
      <c r="CR113" s="2">
        <f t="shared" si="46"/>
        <v>22.599999999999952</v>
      </c>
      <c r="CS113" s="2">
        <f t="shared" si="47"/>
        <v>0.21666750204046925</v>
      </c>
      <c r="CT113" s="1">
        <f t="shared" si="48"/>
        <v>22.599999999999952</v>
      </c>
      <c r="CU113" s="1">
        <f t="shared" si="49"/>
        <v>0.80811487344655186</v>
      </c>
      <c r="CX113" s="2">
        <f t="shared" si="55"/>
        <v>22.599999999999952</v>
      </c>
      <c r="CY113" s="2">
        <f t="shared" si="56"/>
        <v>40.42554207932794</v>
      </c>
      <c r="CZ113" s="2">
        <f t="shared" si="57"/>
        <v>10.838683346593745</v>
      </c>
      <c r="DA113" s="2">
        <f t="shared" si="58"/>
        <v>8.7589012209598511</v>
      </c>
    </row>
    <row r="114" spans="2:105" ht="18" customHeight="1" x14ac:dyDescent="0.3">
      <c r="B114" s="6"/>
      <c r="D114" s="310">
        <f t="shared" ref="D114:D129" si="59">C61</f>
        <v>1</v>
      </c>
      <c r="E114" s="311"/>
      <c r="F114" s="311"/>
      <c r="G114" s="311"/>
      <c r="H114" s="318">
        <f>U61*S35</f>
        <v>208.47586778691419</v>
      </c>
      <c r="I114" s="310"/>
      <c r="J114" s="310"/>
      <c r="K114" s="310"/>
      <c r="V114" s="35" t="s">
        <v>118</v>
      </c>
      <c r="W114" s="247">
        <v>1</v>
      </c>
      <c r="X114" s="247"/>
      <c r="Y114" s="247"/>
      <c r="Z114" s="54"/>
      <c r="AA114" s="54"/>
      <c r="AB114" s="54"/>
      <c r="AC114" s="54"/>
      <c r="AD114" s="54"/>
      <c r="AE114" s="54"/>
      <c r="AF114" s="54"/>
      <c r="AG114" s="54"/>
      <c r="AH114" s="54"/>
      <c r="AI114" s="54"/>
      <c r="AJ114" s="54"/>
      <c r="AK114" s="54"/>
      <c r="AL114" s="54"/>
      <c r="AM114" s="54"/>
      <c r="AN114" s="54"/>
      <c r="AP114" s="8"/>
      <c r="AR114" s="6"/>
      <c r="AT114" s="154" t="s">
        <v>119</v>
      </c>
      <c r="AU114" s="154"/>
      <c r="AV114" s="154"/>
      <c r="AW114" s="154"/>
      <c r="AX114" s="154"/>
      <c r="AY114" s="154"/>
      <c r="AZ114" s="154"/>
      <c r="BA114" s="154"/>
      <c r="BB114" s="154"/>
      <c r="BC114" s="154"/>
      <c r="BD114" s="154"/>
      <c r="BE114" s="154"/>
      <c r="BF114" s="154"/>
      <c r="BG114" s="154"/>
      <c r="BH114" s="154"/>
      <c r="BI114" s="154"/>
      <c r="BJ114" s="154"/>
      <c r="BK114" s="154"/>
      <c r="BL114" s="154"/>
      <c r="BM114" s="154"/>
      <c r="BN114" s="154"/>
      <c r="BO114" s="154"/>
      <c r="BP114" s="154"/>
      <c r="BQ114" s="154"/>
      <c r="BR114" s="154"/>
      <c r="BS114" s="154"/>
      <c r="BT114" s="154"/>
      <c r="BU114" s="154"/>
      <c r="BV114" s="154"/>
      <c r="BW114" s="154"/>
      <c r="BX114" s="154"/>
      <c r="BY114" s="154"/>
      <c r="BZ114" s="154"/>
      <c r="CA114" s="154"/>
      <c r="CB114" s="154"/>
      <c r="CC114" s="154"/>
      <c r="CD114" s="154"/>
      <c r="CE114" s="154"/>
      <c r="CF114" s="319"/>
      <c r="CK114" s="1">
        <f t="shared" si="54"/>
        <v>22.799999999999951</v>
      </c>
      <c r="CL114" s="1" t="str">
        <f t="shared" si="40"/>
        <v>0.0215973472222222+49.2419516666666i</v>
      </c>
      <c r="CM114" s="1" t="str">
        <f t="shared" si="41"/>
        <v>86.3893888888889</v>
      </c>
      <c r="CN114" s="1" t="str">
        <f t="shared" si="42"/>
        <v>-2.36813017787525i</v>
      </c>
      <c r="CO114" s="1" t="str">
        <f t="shared" si="43"/>
        <v>21.1932351531476+34.7843893216223i</v>
      </c>
      <c r="CP114" s="1" t="str">
        <f t="shared" si="44"/>
        <v>0.0191834803010191+10.9345837715809i</v>
      </c>
      <c r="CQ114" s="1" t="str">
        <f t="shared" si="45"/>
        <v>1.01008419836764+8.77912517903784i</v>
      </c>
      <c r="CR114" s="2">
        <f t="shared" si="46"/>
        <v>22.799999999999951</v>
      </c>
      <c r="CS114" s="2">
        <f t="shared" si="47"/>
        <v>0.21695502849063286</v>
      </c>
      <c r="CT114" s="1">
        <f t="shared" si="48"/>
        <v>22.799999999999951</v>
      </c>
      <c r="CU114" s="1">
        <f t="shared" si="49"/>
        <v>0.80817235060282977</v>
      </c>
      <c r="CX114" s="2">
        <f t="shared" si="55"/>
        <v>22.799999999999951</v>
      </c>
      <c r="CY114" s="2">
        <f t="shared" si="56"/>
        <v>40.73213665810821</v>
      </c>
      <c r="CZ114" s="2">
        <f t="shared" si="57"/>
        <v>10.934600599182252</v>
      </c>
      <c r="DA114" s="2">
        <f t="shared" si="58"/>
        <v>8.8370418691442314</v>
      </c>
    </row>
    <row r="115" spans="2:105" ht="18" customHeight="1" x14ac:dyDescent="0.25">
      <c r="B115" s="6"/>
      <c r="D115" s="310">
        <f t="shared" si="59"/>
        <v>2</v>
      </c>
      <c r="E115" s="311"/>
      <c r="F115" s="311"/>
      <c r="G115" s="311"/>
      <c r="H115" s="312">
        <f t="shared" ref="H115:H129" si="60">$S$36*U62</f>
        <v>0</v>
      </c>
      <c r="I115" s="313"/>
      <c r="J115" s="313"/>
      <c r="K115" s="313"/>
      <c r="V115" s="35" t="s">
        <v>120</v>
      </c>
      <c r="W115" s="317">
        <f>S17</f>
        <v>12.47</v>
      </c>
      <c r="X115" s="317"/>
      <c r="Y115" s="317"/>
      <c r="Z115" s="1" t="s">
        <v>32</v>
      </c>
      <c r="AP115" s="8"/>
      <c r="AR115" s="6"/>
      <c r="AT115" s="180" t="s">
        <v>35</v>
      </c>
      <c r="AU115" s="180"/>
      <c r="AV115" s="180"/>
      <c r="AW115" s="180"/>
      <c r="AX115" s="180"/>
      <c r="AY115" s="180"/>
      <c r="AZ115" s="180"/>
      <c r="BA115" s="180"/>
      <c r="BB115" s="180"/>
      <c r="BC115" s="180"/>
      <c r="BD115" s="180"/>
      <c r="BE115" s="180"/>
      <c r="BF115" s="180"/>
      <c r="BG115" s="180"/>
      <c r="BH115" s="226">
        <f>SUM(DY5:DY19)*3</f>
        <v>298958.46673349617</v>
      </c>
      <c r="BI115" s="226"/>
      <c r="BJ115" s="226"/>
      <c r="BK115" s="226"/>
      <c r="BL115" s="1" t="str">
        <f>"Watts, 3-Phase or "&amp;ROUND(BH115*3.412141,0)&amp;" BTUs/Hour"</f>
        <v>Watts, 3-Phase or 1020088 BTUs/Hour</v>
      </c>
      <c r="CF115" s="5"/>
      <c r="CK115" s="1">
        <f t="shared" si="54"/>
        <v>22.99999999999995</v>
      </c>
      <c r="CL115" s="1" t="str">
        <f t="shared" si="40"/>
        <v>0.0215973472222222+49.673898611111i</v>
      </c>
      <c r="CM115" s="1" t="str">
        <f t="shared" si="41"/>
        <v>86.3893888888889</v>
      </c>
      <c r="CN115" s="1" t="str">
        <f t="shared" si="42"/>
        <v>-2.3475377415459i</v>
      </c>
      <c r="CO115" s="1" t="str">
        <f t="shared" si="43"/>
        <v>21.4736355382444+34.9696911278573i</v>
      </c>
      <c r="CP115" s="1" t="str">
        <f t="shared" si="44"/>
        <v>0.0191834803010191+11.030501173086i</v>
      </c>
      <c r="CQ115" s="1" t="str">
        <f t="shared" si="45"/>
        <v>1.0260256636146+8.85590784436881i</v>
      </c>
      <c r="CR115" s="2">
        <f t="shared" si="46"/>
        <v>22.99999999999995</v>
      </c>
      <c r="CS115" s="2">
        <f t="shared" si="47"/>
        <v>0.21724905808993059</v>
      </c>
      <c r="CT115" s="1">
        <f t="shared" si="48"/>
        <v>22.99999999999995</v>
      </c>
      <c r="CU115" s="1">
        <f t="shared" si="49"/>
        <v>0.8082255387979298</v>
      </c>
      <c r="CX115" s="2">
        <f t="shared" si="55"/>
        <v>22.99999999999995</v>
      </c>
      <c r="CY115" s="2">
        <f t="shared" si="56"/>
        <v>41.036524229119294</v>
      </c>
      <c r="CZ115" s="2">
        <f t="shared" si="57"/>
        <v>11.030517854360605</v>
      </c>
      <c r="DA115" s="2">
        <f t="shared" si="58"/>
        <v>8.9151462360607852</v>
      </c>
    </row>
    <row r="116" spans="2:105" ht="18" customHeight="1" thickBot="1" x14ac:dyDescent="0.3">
      <c r="B116" s="6"/>
      <c r="D116" s="310">
        <f t="shared" si="59"/>
        <v>3</v>
      </c>
      <c r="E116" s="311"/>
      <c r="F116" s="311"/>
      <c r="G116" s="311"/>
      <c r="H116" s="312">
        <f t="shared" si="60"/>
        <v>0</v>
      </c>
      <c r="I116" s="313"/>
      <c r="J116" s="313"/>
      <c r="K116" s="313"/>
      <c r="V116" s="35" t="s">
        <v>122</v>
      </c>
      <c r="W116" s="247">
        <v>95</v>
      </c>
      <c r="X116" s="247"/>
      <c r="Y116" s="247"/>
      <c r="Z116" s="1" t="s">
        <v>32</v>
      </c>
      <c r="AP116" s="8"/>
      <c r="AR116" s="6"/>
      <c r="AT116" s="180" t="s">
        <v>121</v>
      </c>
      <c r="AU116" s="180"/>
      <c r="AV116" s="180"/>
      <c r="AW116" s="180"/>
      <c r="AX116" s="180"/>
      <c r="AY116" s="180"/>
      <c r="AZ116" s="180"/>
      <c r="BA116" s="180"/>
      <c r="BB116" s="180"/>
      <c r="BC116" s="180"/>
      <c r="BD116" s="180"/>
      <c r="BE116" s="180"/>
      <c r="BF116" s="180"/>
      <c r="BG116" s="180"/>
      <c r="BH116" s="227">
        <f>SUM(DZ5:DZ19)*3</f>
        <v>1867.994192147117</v>
      </c>
      <c r="BI116" s="227"/>
      <c r="BJ116" s="227"/>
      <c r="BK116" s="227"/>
      <c r="BL116" s="1" t="str">
        <f>"Watts, 3-Phase or "&amp;ROUND(BH116*3.412141,0)&amp;" BTUs/Hour"</f>
        <v>Watts, 3-Phase or 6374 BTUs/Hour</v>
      </c>
      <c r="CF116" s="8"/>
      <c r="CK116" s="1">
        <f t="shared" si="54"/>
        <v>23.19999999999995</v>
      </c>
      <c r="CL116" s="1" t="str">
        <f t="shared" si="40"/>
        <v>0.0215973472222222+50.1058455555555i</v>
      </c>
      <c r="CM116" s="1" t="str">
        <f t="shared" si="41"/>
        <v>86.3893888888889</v>
      </c>
      <c r="CN116" s="1" t="str">
        <f t="shared" si="42"/>
        <v>-2.32730034722223i</v>
      </c>
      <c r="CO116" s="1" t="str">
        <f t="shared" si="43"/>
        <v>21.7540517683843+35.1518254012333i</v>
      </c>
      <c r="CP116" s="1" t="str">
        <f t="shared" si="44"/>
        <v>0.0191834803010191+11.1264185745911i</v>
      </c>
      <c r="CQ116" s="1" t="str">
        <f t="shared" si="45"/>
        <v>1.04210315151735+8.93263283582744i</v>
      </c>
      <c r="CR116" s="2">
        <f t="shared" si="46"/>
        <v>23.19999999999995</v>
      </c>
      <c r="CS116" s="2">
        <f t="shared" si="47"/>
        <v>0.21754943139481073</v>
      </c>
      <c r="CT116" s="1">
        <f t="shared" si="48"/>
        <v>23.19999999999995</v>
      </c>
      <c r="CU116" s="1">
        <f t="shared" si="49"/>
        <v>0.80827457155317184</v>
      </c>
      <c r="CX116" s="2">
        <f t="shared" si="55"/>
        <v>23.19999999999995</v>
      </c>
      <c r="CY116" s="2">
        <f t="shared" si="56"/>
        <v>41.338717897152243</v>
      </c>
      <c r="CZ116" s="2">
        <f t="shared" si="57"/>
        <v>11.126435112061827</v>
      </c>
      <c r="DA116" s="2">
        <f t="shared" si="58"/>
        <v>8.9932145731159405</v>
      </c>
    </row>
    <row r="117" spans="2:105" ht="18" customHeight="1" thickTop="1" x14ac:dyDescent="0.25">
      <c r="B117" s="6"/>
      <c r="D117" s="310">
        <f t="shared" si="59"/>
        <v>4</v>
      </c>
      <c r="E117" s="311"/>
      <c r="F117" s="311"/>
      <c r="G117" s="311"/>
      <c r="H117" s="312">
        <f t="shared" si="60"/>
        <v>0</v>
      </c>
      <c r="I117" s="313"/>
      <c r="J117" s="313"/>
      <c r="K117" s="313"/>
      <c r="V117" s="35" t="s">
        <v>124</v>
      </c>
      <c r="W117" s="247">
        <v>35</v>
      </c>
      <c r="X117" s="247"/>
      <c r="Y117" s="247"/>
      <c r="Z117" s="1" t="s">
        <v>32</v>
      </c>
      <c r="AP117" s="8"/>
      <c r="AR117" s="6"/>
      <c r="AT117" s="180" t="s">
        <v>123</v>
      </c>
      <c r="AU117" s="180"/>
      <c r="AV117" s="180"/>
      <c r="AW117" s="180"/>
      <c r="AX117" s="180"/>
      <c r="AY117" s="180"/>
      <c r="AZ117" s="180"/>
      <c r="BA117" s="180"/>
      <c r="BB117" s="180"/>
      <c r="BC117" s="180"/>
      <c r="BD117" s="180"/>
      <c r="BE117" s="180"/>
      <c r="BF117" s="180"/>
      <c r="BG117" s="180"/>
      <c r="BH117" s="224">
        <f>SUM(BH115:BK116)</f>
        <v>300826.46092564327</v>
      </c>
      <c r="BI117" s="224"/>
      <c r="BJ117" s="224"/>
      <c r="BK117" s="224"/>
      <c r="BL117" s="1" t="str">
        <f>"Watts, 3-Phase or "&amp;ROUND(BH117*3.412141,0)&amp;" BTUs/Hour"</f>
        <v>Watts, 3-Phase or 1026462 BTUs/Hour</v>
      </c>
      <c r="CF117" s="8"/>
      <c r="CK117" s="1">
        <f t="shared" si="54"/>
        <v>23.399999999999949</v>
      </c>
      <c r="CL117" s="1" t="str">
        <f t="shared" si="40"/>
        <v>0.0215973472222222+50.5377924999999i</v>
      </c>
      <c r="CM117" s="1" t="str">
        <f t="shared" si="41"/>
        <v>86.3893888888889</v>
      </c>
      <c r="CN117" s="1" t="str">
        <f t="shared" si="42"/>
        <v>-2.30740889126306i</v>
      </c>
      <c r="CO117" s="1" t="str">
        <f t="shared" si="43"/>
        <v>22.0344523129499+35.3308194485761i</v>
      </c>
      <c r="CP117" s="1" t="str">
        <f t="shared" si="44"/>
        <v>0.0191834803010191+11.2223359760962i</v>
      </c>
      <c r="CQ117" s="1" t="str">
        <f t="shared" si="45"/>
        <v>1.05831642560105+9.00930022592553i</v>
      </c>
      <c r="CR117" s="2">
        <f t="shared" si="46"/>
        <v>23.399999999999949</v>
      </c>
      <c r="CS117" s="2">
        <f t="shared" si="47"/>
        <v>0.21785599535018829</v>
      </c>
      <c r="CT117" s="1">
        <f t="shared" si="48"/>
        <v>23.399999999999949</v>
      </c>
      <c r="CU117" s="1">
        <f t="shared" si="49"/>
        <v>0.80831957631651552</v>
      </c>
      <c r="CX117" s="2">
        <f t="shared" si="55"/>
        <v>23.399999999999949</v>
      </c>
      <c r="CY117" s="2">
        <f t="shared" si="56"/>
        <v>41.638730667967607</v>
      </c>
      <c r="CZ117" s="2">
        <f t="shared" si="57"/>
        <v>11.222352372221232</v>
      </c>
      <c r="DA117" s="2">
        <f t="shared" si="58"/>
        <v>9.0712471147885054</v>
      </c>
    </row>
    <row r="118" spans="2:105" ht="18" customHeight="1" x14ac:dyDescent="0.25">
      <c r="B118" s="6"/>
      <c r="D118" s="310">
        <f t="shared" si="59"/>
        <v>5</v>
      </c>
      <c r="E118" s="311"/>
      <c r="F118" s="311"/>
      <c r="G118" s="311"/>
      <c r="H118" s="312">
        <f t="shared" si="60"/>
        <v>148.80505250062714</v>
      </c>
      <c r="I118" s="313"/>
      <c r="J118" s="313"/>
      <c r="K118" s="313"/>
      <c r="V118" s="35" t="s">
        <v>125</v>
      </c>
      <c r="W118" s="317">
        <f>S20</f>
        <v>60</v>
      </c>
      <c r="X118" s="317"/>
      <c r="Y118" s="317"/>
      <c r="Z118" s="1" t="s">
        <v>44</v>
      </c>
      <c r="AP118" s="8"/>
      <c r="AR118" s="6"/>
      <c r="CF118" s="8"/>
      <c r="CK118" s="1">
        <f t="shared" si="54"/>
        <v>23.599999999999948</v>
      </c>
      <c r="CL118" s="1" t="str">
        <f t="shared" si="40"/>
        <v>0.0215973472222222+50.9697394444443i</v>
      </c>
      <c r="CM118" s="1" t="str">
        <f t="shared" si="41"/>
        <v>86.3893888888889</v>
      </c>
      <c r="CN118" s="1" t="str">
        <f t="shared" si="42"/>
        <v>-2.28785457862524i</v>
      </c>
      <c r="CO118" s="1" t="str">
        <f t="shared" si="43"/>
        <v>22.3148061872355+35.5067005765614i</v>
      </c>
      <c r="CP118" s="1" t="str">
        <f t="shared" si="44"/>
        <v>0.0191834803010191+11.3182533776013i</v>
      </c>
      <c r="CQ118" s="1" t="str">
        <f t="shared" si="45"/>
        <v>1.07466525196504+9.08591007122295i</v>
      </c>
      <c r="CR118" s="2">
        <f t="shared" si="46"/>
        <v>23.599999999999948</v>
      </c>
      <c r="CS118" s="2">
        <f t="shared" si="47"/>
        <v>0.21816860294213256</v>
      </c>
      <c r="CT118" s="1">
        <f t="shared" si="48"/>
        <v>23.599999999999948</v>
      </c>
      <c r="CU118" s="1">
        <f t="shared" si="49"/>
        <v>0.80836067479616058</v>
      </c>
      <c r="CX118" s="2">
        <f t="shared" si="55"/>
        <v>23.599999999999948</v>
      </c>
      <c r="CY118" s="2">
        <f t="shared" si="56"/>
        <v>41.93657545636588</v>
      </c>
      <c r="CZ118" s="2">
        <f t="shared" si="57"/>
        <v>11.318269634776321</v>
      </c>
      <c r="DA118" s="2">
        <f t="shared" si="58"/>
        <v>9.1492440794926715</v>
      </c>
    </row>
    <row r="119" spans="2:105" ht="18" customHeight="1" x14ac:dyDescent="0.35">
      <c r="B119" s="6"/>
      <c r="D119" s="310">
        <f t="shared" si="59"/>
        <v>7</v>
      </c>
      <c r="E119" s="311"/>
      <c r="F119" s="311"/>
      <c r="G119" s="311"/>
      <c r="H119" s="312">
        <f t="shared" si="60"/>
        <v>147.71873762067642</v>
      </c>
      <c r="I119" s="313"/>
      <c r="J119" s="313"/>
      <c r="K119" s="313"/>
      <c r="V119" s="35" t="s">
        <v>127</v>
      </c>
      <c r="W119" s="316">
        <f>AJ35</f>
        <v>5.7290432442628862</v>
      </c>
      <c r="X119" s="316"/>
      <c r="Y119" s="316"/>
      <c r="Z119" s="56" t="s">
        <v>74</v>
      </c>
      <c r="AA119" s="56"/>
      <c r="AB119" s="56"/>
      <c r="AC119" s="56"/>
      <c r="AD119" s="56"/>
      <c r="AE119" s="56"/>
      <c r="AF119" s="56"/>
      <c r="AG119" s="56"/>
      <c r="AH119" s="56"/>
      <c r="AI119" s="56"/>
      <c r="AJ119" s="56"/>
      <c r="AK119" s="56"/>
      <c r="AL119" s="56"/>
      <c r="AM119" s="56"/>
      <c r="AN119" s="56"/>
      <c r="AP119" s="8"/>
      <c r="AR119" s="6"/>
      <c r="AT119" s="180" t="s">
        <v>126</v>
      </c>
      <c r="AU119" s="180"/>
      <c r="AV119" s="180"/>
      <c r="AW119" s="180"/>
      <c r="AX119" s="180"/>
      <c r="AY119" s="180"/>
      <c r="AZ119" s="180"/>
      <c r="BA119" s="180"/>
      <c r="BB119" s="180"/>
      <c r="BC119" s="180"/>
      <c r="BD119" s="180"/>
      <c r="BE119" s="180"/>
      <c r="BF119" s="180"/>
      <c r="BG119" s="180"/>
      <c r="BH119" s="199">
        <f>SUM(BH117,BH112)</f>
        <v>307293.12624999823</v>
      </c>
      <c r="BI119" s="199"/>
      <c r="BJ119" s="199"/>
      <c r="BK119" s="199"/>
      <c r="BL119" s="1" t="str">
        <f>"Watts, 3-Phase or "&amp;ROUND(BH119*3.412141,0)&amp;" BTUs/Hour"</f>
        <v>Watts, 3-Phase or 1048527 BTUs/Hour</v>
      </c>
      <c r="CA119" s="55"/>
      <c r="CD119" s="55"/>
      <c r="CE119" s="55"/>
      <c r="CF119" s="8"/>
      <c r="CK119" s="1">
        <f t="shared" si="54"/>
        <v>23.799999999999947</v>
      </c>
      <c r="CL119" s="1" t="str">
        <f t="shared" si="40"/>
        <v>0.0215973472222222+51.4016863888888i</v>
      </c>
      <c r="CM119" s="1" t="str">
        <f t="shared" si="41"/>
        <v>86.3893888888889</v>
      </c>
      <c r="CN119" s="1" t="str">
        <f t="shared" si="42"/>
        <v>-2.2686289098973i</v>
      </c>
      <c r="CO119" s="1" t="str">
        <f t="shared" si="43"/>
        <v>22.5950829521457+35.6794960912145i</v>
      </c>
      <c r="CP119" s="1" t="str">
        <f t="shared" si="44"/>
        <v>0.0191834803010191+11.4141707791064i</v>
      </c>
      <c r="CQ119" s="1" t="str">
        <f t="shared" si="45"/>
        <v>1.09114939907558+9.16246241315946i</v>
      </c>
      <c r="CR119" s="2">
        <f t="shared" si="46"/>
        <v>23.799999999999947</v>
      </c>
      <c r="CS119" s="2">
        <f t="shared" si="47"/>
        <v>0.21848711287295719</v>
      </c>
      <c r="CT119" s="1">
        <f t="shared" si="48"/>
        <v>23.799999999999947</v>
      </c>
      <c r="CU119" s="1">
        <f t="shared" si="49"/>
        <v>0.80839798327278645</v>
      </c>
      <c r="CX119" s="2">
        <f t="shared" si="55"/>
        <v>23.799999999999947</v>
      </c>
      <c r="CY119" s="2">
        <f t="shared" si="56"/>
        <v>42.232265093614579</v>
      </c>
      <c r="CZ119" s="2">
        <f t="shared" si="57"/>
        <v>11.414186899666696</v>
      </c>
      <c r="DA119" s="2">
        <f t="shared" si="58"/>
        <v>9.227205670389214</v>
      </c>
    </row>
    <row r="120" spans="2:105" ht="18" customHeight="1" x14ac:dyDescent="0.25">
      <c r="B120" s="6"/>
      <c r="D120" s="310">
        <f t="shared" si="59"/>
        <v>11</v>
      </c>
      <c r="E120" s="311"/>
      <c r="F120" s="311"/>
      <c r="G120" s="311"/>
      <c r="H120" s="312">
        <f t="shared" si="60"/>
        <v>144.59720090862089</v>
      </c>
      <c r="I120" s="313"/>
      <c r="J120" s="313"/>
      <c r="K120" s="313"/>
      <c r="V120" s="35" t="s">
        <v>128</v>
      </c>
      <c r="W120" s="316">
        <f>AJ34</f>
        <v>2.1597347222222227</v>
      </c>
      <c r="X120" s="316"/>
      <c r="Y120" s="316"/>
      <c r="Z120" s="56" t="s">
        <v>34</v>
      </c>
      <c r="AA120" s="56"/>
      <c r="AB120" s="56"/>
      <c r="AC120" s="56"/>
      <c r="AD120" s="56"/>
      <c r="AE120" s="56"/>
      <c r="AF120" s="56"/>
      <c r="AG120" s="56"/>
      <c r="AH120" s="56"/>
      <c r="AI120" s="56"/>
      <c r="AJ120" s="56"/>
      <c r="AK120" s="56"/>
      <c r="AL120" s="56"/>
      <c r="AM120" s="56"/>
      <c r="AN120" s="56"/>
      <c r="AP120" s="8"/>
      <c r="AR120" s="6"/>
      <c r="CF120" s="8"/>
      <c r="CK120" s="1">
        <f t="shared" si="54"/>
        <v>23.999999999999947</v>
      </c>
      <c r="CL120" s="1" t="str">
        <f t="shared" si="40"/>
        <v>0.0215973472222222+51.8336333333332i</v>
      </c>
      <c r="CM120" s="1" t="str">
        <f t="shared" si="41"/>
        <v>86.3893888888889</v>
      </c>
      <c r="CN120" s="1" t="str">
        <f t="shared" si="42"/>
        <v>-2.24972366898149i</v>
      </c>
      <c r="CO120" s="1" t="str">
        <f t="shared" si="43"/>
        <v>22.8752527136021+35.849233296949i</v>
      </c>
      <c r="CP120" s="1" t="str">
        <f t="shared" si="44"/>
        <v>0.0191834803010191+11.5100881806115i</v>
      </c>
      <c r="CQ120" s="1" t="str">
        <f t="shared" si="45"/>
        <v>1.10776863757254+9.23895727883716i</v>
      </c>
      <c r="CR120" s="2">
        <f t="shared" si="46"/>
        <v>23.999999999999947</v>
      </c>
      <c r="CS120" s="2">
        <f t="shared" si="47"/>
        <v>0.21881138925706217</v>
      </c>
      <c r="CT120" s="1">
        <f t="shared" si="48"/>
        <v>23.999999999999947</v>
      </c>
      <c r="CU120" s="1">
        <f t="shared" si="49"/>
        <v>0.80843161289199683</v>
      </c>
      <c r="CX120" s="2">
        <f t="shared" si="55"/>
        <v>23.999999999999947</v>
      </c>
      <c r="CY120" s="2">
        <f t="shared" si="56"/>
        <v>42.525812334278079</v>
      </c>
      <c r="CZ120" s="2">
        <f t="shared" si="57"/>
        <v>11.510104166833983</v>
      </c>
      <c r="DA120" s="2">
        <f t="shared" si="58"/>
        <v>9.3051320761484888</v>
      </c>
    </row>
    <row r="121" spans="2:105" ht="18" customHeight="1" x14ac:dyDescent="0.25">
      <c r="B121" s="6"/>
      <c r="D121" s="310">
        <f t="shared" si="59"/>
        <v>13</v>
      </c>
      <c r="E121" s="311"/>
      <c r="F121" s="311"/>
      <c r="G121" s="311"/>
      <c r="H121" s="312">
        <f t="shared" si="60"/>
        <v>0</v>
      </c>
      <c r="I121" s="313"/>
      <c r="J121" s="313"/>
      <c r="K121" s="313"/>
      <c r="V121" s="35" t="s">
        <v>129</v>
      </c>
      <c r="W121" s="234" t="s">
        <v>130</v>
      </c>
      <c r="X121" s="234"/>
      <c r="Y121" s="234"/>
      <c r="Z121" s="234"/>
      <c r="AA121" s="234"/>
      <c r="AB121" s="234"/>
      <c r="AC121" s="234"/>
      <c r="AD121" s="234"/>
      <c r="AE121" s="234"/>
      <c r="AF121" s="234"/>
      <c r="AG121" s="234"/>
      <c r="AH121" s="234"/>
      <c r="AI121" s="234"/>
      <c r="AJ121" s="234"/>
      <c r="AK121" s="234"/>
      <c r="AL121" s="234"/>
      <c r="AM121" s="234"/>
      <c r="AN121" s="234"/>
      <c r="AP121" s="8"/>
      <c r="AR121" s="6"/>
      <c r="AS121" s="46"/>
      <c r="AT121" s="46"/>
      <c r="AU121" s="46"/>
      <c r="AV121" s="46"/>
      <c r="AW121" s="46"/>
      <c r="AX121" s="46"/>
      <c r="AY121" s="46"/>
      <c r="AZ121" s="46"/>
      <c r="BA121" s="46"/>
      <c r="BB121" s="46"/>
      <c r="BC121" s="46"/>
      <c r="BD121" s="46"/>
      <c r="BE121" s="46"/>
      <c r="BF121" s="46"/>
      <c r="BG121" s="46"/>
      <c r="BH121" s="46"/>
      <c r="BI121" s="46"/>
      <c r="BJ121" s="46"/>
      <c r="BK121" s="46"/>
      <c r="BL121" s="46"/>
      <c r="BM121" s="46"/>
      <c r="BN121" s="46"/>
      <c r="BO121" s="46"/>
      <c r="BP121" s="46"/>
      <c r="BQ121" s="46"/>
      <c r="BR121" s="46"/>
      <c r="BS121" s="46"/>
      <c r="BT121" s="46"/>
      <c r="BU121" s="46"/>
      <c r="BV121" s="46"/>
      <c r="BW121" s="46"/>
      <c r="BX121" s="46"/>
      <c r="BY121" s="46"/>
      <c r="BZ121" s="46"/>
      <c r="CA121" s="46"/>
      <c r="CB121" s="46"/>
      <c r="CC121" s="46"/>
      <c r="CD121" s="46"/>
      <c r="CE121" s="46"/>
      <c r="CF121" s="8"/>
      <c r="CK121" s="1">
        <f t="shared" si="54"/>
        <v>24.199999999999946</v>
      </c>
      <c r="CL121" s="1" t="str">
        <f t="shared" si="40"/>
        <v>0.0215973472222222+52.2655802777777i</v>
      </c>
      <c r="CM121" s="1" t="str">
        <f t="shared" si="41"/>
        <v>86.3893888888889</v>
      </c>
      <c r="CN121" s="1" t="str">
        <f t="shared" si="42"/>
        <v>-2.2311309113866i</v>
      </c>
      <c r="CO121" s="1" t="str">
        <f t="shared" si="43"/>
        <v>23.1552861216656+36.0159394951818i</v>
      </c>
      <c r="CP121" s="1" t="str">
        <f t="shared" si="44"/>
        <v>0.0191834803010191+11.6060055821166i</v>
      </c>
      <c r="CQ121" s="1" t="str">
        <f t="shared" si="45"/>
        <v>1.12452274008897+9.31539468175693i</v>
      </c>
      <c r="CR121" s="2">
        <f t="shared" si="46"/>
        <v>24.199999999999946</v>
      </c>
      <c r="CS121" s="2">
        <f t="shared" si="47"/>
        <v>0.21914130133602661</v>
      </c>
      <c r="CT121" s="1">
        <f t="shared" si="48"/>
        <v>24.199999999999946</v>
      </c>
      <c r="CU121" s="1">
        <f t="shared" si="49"/>
        <v>0.80846166993838675</v>
      </c>
      <c r="CX121" s="2">
        <f t="shared" si="55"/>
        <v>24.199999999999946</v>
      </c>
      <c r="CY121" s="2">
        <f t="shared" si="56"/>
        <v>42.817229862484048</v>
      </c>
      <c r="CZ121" s="2">
        <f t="shared" si="57"/>
        <v>11.606021436221722</v>
      </c>
      <c r="DA121" s="2">
        <f t="shared" si="58"/>
        <v>9.3830234716685261</v>
      </c>
    </row>
    <row r="122" spans="2:105" ht="18" customHeight="1" x14ac:dyDescent="0.25">
      <c r="B122" s="6"/>
      <c r="D122" s="310">
        <f t="shared" si="59"/>
        <v>17</v>
      </c>
      <c r="E122" s="311"/>
      <c r="F122" s="311"/>
      <c r="G122" s="311"/>
      <c r="H122" s="312">
        <f t="shared" si="60"/>
        <v>0</v>
      </c>
      <c r="I122" s="313"/>
      <c r="J122" s="313"/>
      <c r="K122" s="313"/>
      <c r="Q122" s="56"/>
      <c r="V122" s="35" t="s">
        <v>131</v>
      </c>
      <c r="W122" s="234" t="s">
        <v>132</v>
      </c>
      <c r="X122" s="234"/>
      <c r="Y122" s="234"/>
      <c r="AP122" s="8"/>
      <c r="AR122" s="6"/>
      <c r="CF122" s="8"/>
      <c r="CK122" s="1">
        <f t="shared" si="54"/>
        <v>24.399999999999945</v>
      </c>
      <c r="CL122" s="1" t="str">
        <f t="shared" si="40"/>
        <v>0.0215973472222222+52.6975272222221i</v>
      </c>
      <c r="CM122" s="1" t="str">
        <f t="shared" si="41"/>
        <v>86.3893888888889</v>
      </c>
      <c r="CN122" s="1" t="str">
        <f t="shared" si="42"/>
        <v>-2.21284295309654i</v>
      </c>
      <c r="CO122" s="1" t="str">
        <f t="shared" si="43"/>
        <v>23.4351543693846+36.1796419825671i</v>
      </c>
      <c r="CP122" s="1" t="str">
        <f t="shared" si="44"/>
        <v>0.0191834803010191+11.7019229836217i</v>
      </c>
      <c r="CQ122" s="1" t="str">
        <f t="shared" si="45"/>
        <v>1.14141148108218+9.39177462251221i</v>
      </c>
      <c r="CR122" s="2">
        <f t="shared" si="46"/>
        <v>24.399999999999945</v>
      </c>
      <c r="CS122" s="2">
        <f t="shared" si="47"/>
        <v>0.21947672321155653</v>
      </c>
      <c r="CT122" s="1">
        <f t="shared" si="48"/>
        <v>24.399999999999945</v>
      </c>
      <c r="CU122" s="1">
        <f t="shared" si="49"/>
        <v>0.80848825609257435</v>
      </c>
      <c r="CX122" s="2">
        <f t="shared" si="55"/>
        <v>24.399999999999945</v>
      </c>
      <c r="CY122" s="2">
        <f t="shared" si="56"/>
        <v>43.106530297666247</v>
      </c>
      <c r="CZ122" s="2">
        <f t="shared" si="57"/>
        <v>11.701938707775316</v>
      </c>
      <c r="DA122" s="2">
        <f t="shared" si="58"/>
        <v>9.4608800187514568</v>
      </c>
    </row>
    <row r="123" spans="2:105" ht="18" customHeight="1" x14ac:dyDescent="0.3">
      <c r="B123" s="6"/>
      <c r="D123" s="310">
        <f t="shared" si="59"/>
        <v>19</v>
      </c>
      <c r="E123" s="311"/>
      <c r="F123" s="311"/>
      <c r="G123" s="311"/>
      <c r="H123" s="312">
        <f t="shared" si="60"/>
        <v>0</v>
      </c>
      <c r="I123" s="313"/>
      <c r="J123" s="313"/>
      <c r="K123" s="313"/>
      <c r="V123" s="35" t="s">
        <v>133</v>
      </c>
      <c r="W123" s="234" t="s">
        <v>134</v>
      </c>
      <c r="X123" s="234"/>
      <c r="Y123" s="234"/>
      <c r="AP123" s="8"/>
      <c r="AR123" s="6"/>
      <c r="AS123" s="30" t="s">
        <v>135</v>
      </c>
      <c r="CF123" s="8"/>
      <c r="CK123" s="1">
        <f t="shared" si="54"/>
        <v>24.599999999999945</v>
      </c>
      <c r="CL123" s="1" t="str">
        <f t="shared" si="40"/>
        <v>0.0215973472222222+53.1294741666666i</v>
      </c>
      <c r="CM123" s="1" t="str">
        <f t="shared" si="41"/>
        <v>86.3893888888889</v>
      </c>
      <c r="CN123" s="1" t="str">
        <f t="shared" si="42"/>
        <v>-2.19485235998194i</v>
      </c>
      <c r="CO123" s="1" t="str">
        <f t="shared" si="43"/>
        <v>23.7148291913777+36.3403680488853i</v>
      </c>
      <c r="CP123" s="1" t="str">
        <f t="shared" si="44"/>
        <v>0.0191834803010191+11.7978403851268i</v>
      </c>
      <c r="CQ123" s="1" t="str">
        <f t="shared" si="45"/>
        <v>1.15843463667619+9.46809708944279i</v>
      </c>
      <c r="CR123" s="2">
        <f t="shared" si="46"/>
        <v>24.599999999999945</v>
      </c>
      <c r="CS123" s="2">
        <f t="shared" si="47"/>
        <v>0.21981753359500966</v>
      </c>
      <c r="CT123" s="1">
        <f t="shared" si="48"/>
        <v>24.599999999999945</v>
      </c>
      <c r="CU123" s="1">
        <f t="shared" si="49"/>
        <v>0.80851146867238399</v>
      </c>
      <c r="CX123" s="2">
        <f t="shared" si="55"/>
        <v>24.599999999999945</v>
      </c>
      <c r="CY123" s="2">
        <f t="shared" si="56"/>
        <v>43.393726199816761</v>
      </c>
      <c r="CZ123" s="2">
        <f t="shared" si="57"/>
        <v>11.797855981441939</v>
      </c>
      <c r="DA123" s="2">
        <f t="shared" si="58"/>
        <v>9.5387018667408885</v>
      </c>
    </row>
    <row r="124" spans="2:105" ht="18" customHeight="1" x14ac:dyDescent="0.25">
      <c r="B124" s="6"/>
      <c r="D124" s="310">
        <f t="shared" si="59"/>
        <v>23</v>
      </c>
      <c r="E124" s="311"/>
      <c r="F124" s="311"/>
      <c r="G124" s="311"/>
      <c r="H124" s="312">
        <f t="shared" si="60"/>
        <v>0</v>
      </c>
      <c r="I124" s="313"/>
      <c r="J124" s="313"/>
      <c r="K124" s="313"/>
      <c r="V124" s="35" t="s">
        <v>136</v>
      </c>
      <c r="W124" s="234" t="s">
        <v>137</v>
      </c>
      <c r="X124" s="234"/>
      <c r="Y124" s="234"/>
      <c r="Z124" s="234"/>
      <c r="AA124" s="234"/>
      <c r="AB124" s="234"/>
      <c r="AC124" s="234"/>
      <c r="AD124" s="234"/>
      <c r="AE124" s="234"/>
      <c r="AP124" s="8"/>
      <c r="AR124" s="6"/>
      <c r="CF124" s="8"/>
      <c r="CK124" s="1">
        <f t="shared" si="54"/>
        <v>24.799999999999944</v>
      </c>
      <c r="CL124" s="1" t="str">
        <f t="shared" si="40"/>
        <v>0.0215973472222222+53.561421111111i</v>
      </c>
      <c r="CM124" s="1" t="str">
        <f t="shared" si="41"/>
        <v>86.3893888888889</v>
      </c>
      <c r="CN124" s="1" t="str">
        <f t="shared" si="42"/>
        <v>-2.17715193772402i</v>
      </c>
      <c r="CO124" s="1" t="str">
        <f t="shared" si="43"/>
        <v>23.9942828621598+36.4981449746198i</v>
      </c>
      <c r="CP124" s="1" t="str">
        <f t="shared" si="44"/>
        <v>0.0191834803010191+11.8937577866319i</v>
      </c>
      <c r="CQ124" s="1" t="str">
        <f t="shared" si="45"/>
        <v>1.17559198451406+9.54436205925145i</v>
      </c>
      <c r="CR124" s="2">
        <f t="shared" si="46"/>
        <v>24.799999999999944</v>
      </c>
      <c r="CS124" s="2">
        <f t="shared" si="47"/>
        <v>0.22016361557233896</v>
      </c>
      <c r="CT124" s="1">
        <f t="shared" si="48"/>
        <v>24.799999999999944</v>
      </c>
      <c r="CU124" s="1">
        <f t="shared" si="49"/>
        <v>0.80853140085930653</v>
      </c>
      <c r="CX124" s="2">
        <f t="shared" si="55"/>
        <v>24.799999999999944</v>
      </c>
      <c r="CY124" s="2">
        <f t="shared" si="56"/>
        <v>43.678830074278544</v>
      </c>
      <c r="CZ124" s="2">
        <f t="shared" si="57"/>
        <v>11.893773257170468</v>
      </c>
      <c r="DA124" s="2">
        <f t="shared" si="58"/>
        <v>9.6164891531229983</v>
      </c>
    </row>
    <row r="125" spans="2:105" ht="18" customHeight="1" x14ac:dyDescent="0.25">
      <c r="B125" s="6"/>
      <c r="D125" s="310">
        <f t="shared" si="59"/>
        <v>25</v>
      </c>
      <c r="E125" s="311"/>
      <c r="F125" s="311"/>
      <c r="G125" s="311"/>
      <c r="H125" s="312">
        <f t="shared" si="60"/>
        <v>0</v>
      </c>
      <c r="I125" s="313"/>
      <c r="J125" s="313"/>
      <c r="K125" s="313"/>
      <c r="V125" s="35" t="s">
        <v>138</v>
      </c>
      <c r="W125" s="234" t="s">
        <v>139</v>
      </c>
      <c r="X125" s="234"/>
      <c r="Y125" s="234"/>
      <c r="Z125" s="234"/>
      <c r="AA125" s="234"/>
      <c r="AB125" s="234"/>
      <c r="AC125" s="234"/>
      <c r="AD125" s="234"/>
      <c r="AE125" s="234"/>
      <c r="AP125" s="8"/>
      <c r="AR125" s="6"/>
      <c r="CF125" s="8"/>
      <c r="CK125" s="1">
        <f t="shared" si="54"/>
        <v>24.999999999999943</v>
      </c>
      <c r="CL125" s="1" t="str">
        <f t="shared" si="40"/>
        <v>0.0215973472222222+53.9933680555554i</v>
      </c>
      <c r="CM125" s="1" t="str">
        <f t="shared" si="41"/>
        <v>86.3893888888889</v>
      </c>
      <c r="CN125" s="1" t="str">
        <f t="shared" si="42"/>
        <v>-2.15973472222223i</v>
      </c>
      <c r="CO125" s="1" t="str">
        <f t="shared" si="43"/>
        <v>24.2734881942228+36.6530000282564i</v>
      </c>
      <c r="CP125" s="1" t="str">
        <f t="shared" si="44"/>
        <v>0.0191834803010191+11.989675188137i</v>
      </c>
      <c r="CQ125" s="1" t="str">
        <f t="shared" si="45"/>
        <v>1.19288330361969+9.62056949758595i</v>
      </c>
      <c r="CR125" s="2">
        <f t="shared" si="46"/>
        <v>24.999999999999943</v>
      </c>
      <c r="CS125" s="2">
        <f t="shared" si="47"/>
        <v>0.22051485638334473</v>
      </c>
      <c r="CT125" s="1">
        <f t="shared" si="48"/>
        <v>24.999999999999943</v>
      </c>
      <c r="CU125" s="1">
        <f t="shared" si="49"/>
        <v>0.80854814191126878</v>
      </c>
      <c r="CX125" s="2">
        <f t="shared" si="55"/>
        <v>24.999999999999943</v>
      </c>
      <c r="CY125" s="2">
        <f t="shared" si="56"/>
        <v>43.961854376111532</v>
      </c>
      <c r="CZ125" s="2">
        <f t="shared" si="57"/>
        <v>11.98969053491142</v>
      </c>
      <c r="DA125" s="2">
        <f t="shared" si="58"/>
        <v>9.6942420040937609</v>
      </c>
    </row>
    <row r="126" spans="2:105" ht="18" customHeight="1" x14ac:dyDescent="0.25">
      <c r="B126" s="6"/>
      <c r="D126" s="310">
        <f t="shared" si="59"/>
        <v>29</v>
      </c>
      <c r="E126" s="311"/>
      <c r="F126" s="311"/>
      <c r="G126" s="311"/>
      <c r="H126" s="312">
        <f t="shared" si="60"/>
        <v>0</v>
      </c>
      <c r="I126" s="313"/>
      <c r="J126" s="313"/>
      <c r="K126" s="313"/>
      <c r="V126" s="35" t="s">
        <v>140</v>
      </c>
      <c r="W126" s="234" t="s">
        <v>141</v>
      </c>
      <c r="X126" s="234"/>
      <c r="Y126" s="234"/>
      <c r="Z126" s="234"/>
      <c r="AA126" s="234"/>
      <c r="AB126" s="234"/>
      <c r="AC126" s="234"/>
      <c r="AD126" s="234"/>
      <c r="AE126" s="234"/>
      <c r="AP126" s="8"/>
      <c r="AR126" s="6"/>
      <c r="CF126" s="8"/>
      <c r="CK126" s="1">
        <f t="shared" si="54"/>
        <v>25.199999999999942</v>
      </c>
      <c r="CL126" s="1" t="str">
        <f t="shared" si="40"/>
        <v>0.0215973472222222+54.4253149999999i</v>
      </c>
      <c r="CM126" s="1" t="str">
        <f t="shared" si="41"/>
        <v>86.3893888888889</v>
      </c>
      <c r="CN126" s="1" t="str">
        <f t="shared" si="42"/>
        <v>-2.14259397045856i</v>
      </c>
      <c r="CO126" s="1" t="str">
        <f t="shared" si="43"/>
        <v>24.5524185358758+36.8049604633312i</v>
      </c>
      <c r="CP126" s="1" t="str">
        <f t="shared" si="44"/>
        <v>0.0191834803010191+12.0855925896421i</v>
      </c>
      <c r="CQ126" s="1" t="str">
        <f t="shared" si="45"/>
        <v>1.21030837426856+9.69671935958848i</v>
      </c>
      <c r="CR126" s="2">
        <f t="shared" si="46"/>
        <v>25.199999999999942</v>
      </c>
      <c r="CS126" s="2">
        <f t="shared" si="47"/>
        <v>0.22087114721427892</v>
      </c>
      <c r="CT126" s="1">
        <f t="shared" si="48"/>
        <v>25.199999999999942</v>
      </c>
      <c r="CU126" s="1">
        <f t="shared" si="49"/>
        <v>0.80856177736263768</v>
      </c>
      <c r="CX126" s="2">
        <f t="shared" si="55"/>
        <v>25.199999999999942</v>
      </c>
      <c r="CY126" s="2">
        <f t="shared" si="56"/>
        <v>44.242811514054914</v>
      </c>
      <c r="CZ126" s="2">
        <f t="shared" si="57"/>
        <v>12.085607814616877</v>
      </c>
      <c r="DA126" s="2">
        <f t="shared" si="58"/>
        <v>9.7719605350944114</v>
      </c>
    </row>
    <row r="127" spans="2:105" ht="18" customHeight="1" x14ac:dyDescent="0.25">
      <c r="B127" s="6"/>
      <c r="D127" s="310">
        <f t="shared" si="59"/>
        <v>31</v>
      </c>
      <c r="E127" s="311"/>
      <c r="F127" s="311"/>
      <c r="G127" s="311"/>
      <c r="H127" s="312">
        <f t="shared" si="60"/>
        <v>0</v>
      </c>
      <c r="I127" s="313"/>
      <c r="J127" s="313"/>
      <c r="K127" s="313"/>
      <c r="V127" s="35" t="s">
        <v>142</v>
      </c>
      <c r="W127" s="234" t="s">
        <v>143</v>
      </c>
      <c r="X127" s="234"/>
      <c r="Y127" s="234"/>
      <c r="Z127" s="234"/>
      <c r="AA127" s="234"/>
      <c r="AB127" s="234"/>
      <c r="AC127" s="234"/>
      <c r="AD127" s="234"/>
      <c r="AE127" s="234"/>
      <c r="AP127" s="8"/>
      <c r="AR127" s="6"/>
      <c r="CF127" s="8"/>
      <c r="CK127" s="1">
        <f t="shared" si="54"/>
        <v>25.399999999999942</v>
      </c>
      <c r="CL127" s="1" t="str">
        <f t="shared" si="40"/>
        <v>0.0215973472222222+54.8572619444443i</v>
      </c>
      <c r="CM127" s="1" t="str">
        <f t="shared" si="41"/>
        <v>86.3893888888889</v>
      </c>
      <c r="CN127" s="1" t="str">
        <f t="shared" si="42"/>
        <v>-2.12572315179353i</v>
      </c>
      <c r="CO127" s="1" t="str">
        <f t="shared" si="43"/>
        <v>24.8310477688583+36.954053515259i</v>
      </c>
      <c r="CP127" s="1" t="str">
        <f t="shared" si="44"/>
        <v>0.0191834803010191+12.1815099911471i</v>
      </c>
      <c r="CQ127" s="1" t="str">
        <f t="shared" si="45"/>
        <v>1.22786697786646+9.7728115904149i</v>
      </c>
      <c r="CR127" s="2">
        <f t="shared" si="46"/>
        <v>25.399999999999942</v>
      </c>
      <c r="CS127" s="2">
        <f t="shared" si="47"/>
        <v>0.2212323830028472</v>
      </c>
      <c r="CT127" s="1">
        <f t="shared" si="48"/>
        <v>25.399999999999942</v>
      </c>
      <c r="CU127" s="1">
        <f t="shared" si="49"/>
        <v>0.80857238921235897</v>
      </c>
      <c r="CX127" s="2">
        <f t="shared" si="55"/>
        <v>25.399999999999942</v>
      </c>
      <c r="CY127" s="2">
        <f t="shared" si="56"/>
        <v>44.521713854117849</v>
      </c>
      <c r="CZ127" s="2">
        <f t="shared" si="57"/>
        <v>12.181525096240335</v>
      </c>
      <c r="DA127" s="2">
        <f t="shared" si="58"/>
        <v>9.8496448513173682</v>
      </c>
    </row>
    <row r="128" spans="2:105" ht="18" customHeight="1" x14ac:dyDescent="0.25">
      <c r="B128" s="6"/>
      <c r="D128" s="310">
        <f t="shared" si="59"/>
        <v>35</v>
      </c>
      <c r="E128" s="311"/>
      <c r="F128" s="311"/>
      <c r="G128" s="311"/>
      <c r="H128" s="312">
        <f t="shared" si="60"/>
        <v>0</v>
      </c>
      <c r="I128" s="313"/>
      <c r="J128" s="313"/>
      <c r="K128" s="313"/>
      <c r="AP128" s="8"/>
      <c r="AR128" s="6"/>
      <c r="CF128" s="8"/>
      <c r="CK128" s="1">
        <f t="shared" si="54"/>
        <v>25.599999999999941</v>
      </c>
      <c r="CL128" s="1" t="str">
        <f t="shared" si="40"/>
        <v>0.0215973472222222+55.2892088888888i</v>
      </c>
      <c r="CM128" s="1" t="str">
        <f t="shared" si="41"/>
        <v>86.3893888888889</v>
      </c>
      <c r="CN128" s="1" t="str">
        <f t="shared" si="42"/>
        <v>-2.10911593967014i</v>
      </c>
      <c r="CO128" s="1" t="str">
        <f t="shared" si="43"/>
        <v>25.1093503057326+37.1003063979655i</v>
      </c>
      <c r="CP128" s="1" t="str">
        <f t="shared" si="44"/>
        <v>0.0191834803010191+12.2774273926522i</v>
      </c>
      <c r="CQ128" s="1" t="str">
        <f t="shared" si="45"/>
        <v>1.24555889683594+9.84884612572583i</v>
      </c>
      <c r="CR128" s="2">
        <f t="shared" si="46"/>
        <v>25.599999999999941</v>
      </c>
      <c r="CS128" s="2">
        <f t="shared" si="47"/>
        <v>0.22159846225478952</v>
      </c>
      <c r="CT128" s="1">
        <f t="shared" si="48"/>
        <v>25.599999999999941</v>
      </c>
      <c r="CU128" s="1">
        <f t="shared" si="49"/>
        <v>0.80858005610100825</v>
      </c>
      <c r="CX128" s="2">
        <f t="shared" si="55"/>
        <v>25.599999999999941</v>
      </c>
      <c r="CY128" s="2">
        <f t="shared" si="56"/>
        <v>44.798573722819718</v>
      </c>
      <c r="CZ128" s="2">
        <f t="shared" si="57"/>
        <v>12.277442379737039</v>
      </c>
      <c r="DA128" s="2">
        <f t="shared" si="58"/>
        <v>9.9272950481846696</v>
      </c>
    </row>
    <row r="129" spans="2:105" ht="18" customHeight="1" x14ac:dyDescent="0.25">
      <c r="B129" s="6"/>
      <c r="D129" s="310">
        <f t="shared" si="59"/>
        <v>37</v>
      </c>
      <c r="E129" s="311"/>
      <c r="F129" s="311"/>
      <c r="G129" s="311"/>
      <c r="H129" s="312">
        <f t="shared" si="60"/>
        <v>0</v>
      </c>
      <c r="I129" s="313"/>
      <c r="J129" s="313"/>
      <c r="K129" s="313"/>
      <c r="AP129" s="8"/>
      <c r="AR129" s="6"/>
      <c r="CF129" s="8"/>
      <c r="CK129" s="1">
        <f t="shared" si="54"/>
        <v>25.79999999999994</v>
      </c>
      <c r="CL129" s="1" t="str">
        <f t="shared" si="40"/>
        <v>0.0215973472222222+55.7211558333332i</v>
      </c>
      <c r="CM129" s="1" t="str">
        <f t="shared" si="41"/>
        <v>86.3893888888889</v>
      </c>
      <c r="CN129" s="1" t="str">
        <f t="shared" si="42"/>
        <v>-2.09276620370371i</v>
      </c>
      <c r="CO129" s="1" t="str">
        <f t="shared" si="43"/>
        <v>25.3873010870635+37.2437463003476i</v>
      </c>
      <c r="CP129" s="1" t="str">
        <f t="shared" si="44"/>
        <v>0.0191834803010191+12.3733447941573i</v>
      </c>
      <c r="CQ129" s="1" t="str">
        <f t="shared" si="45"/>
        <v>1.26338391450966+9.92482289215067i</v>
      </c>
      <c r="CR129" s="2">
        <f t="shared" si="46"/>
        <v>25.79999999999994</v>
      </c>
      <c r="CS129" s="2">
        <f t="shared" si="47"/>
        <v>0.22196928687123255</v>
      </c>
      <c r="CT129" s="1">
        <f t="shared" si="48"/>
        <v>25.79999999999994</v>
      </c>
      <c r="CU129" s="1">
        <f t="shared" si="49"/>
        <v>0.80858485347752318</v>
      </c>
      <c r="CX129" s="2">
        <f t="shared" si="55"/>
        <v>25.79999999999994</v>
      </c>
      <c r="CY129" s="2">
        <f t="shared" si="56"/>
        <v>45.073403410102848</v>
      </c>
      <c r="CZ129" s="2">
        <f t="shared" si="57"/>
        <v>12.373359665063326</v>
      </c>
      <c r="DA129" s="2">
        <f t="shared" si="58"/>
        <v>10.00491121179992</v>
      </c>
    </row>
    <row r="130" spans="2:105" ht="18" customHeight="1" x14ac:dyDescent="0.25">
      <c r="B130" s="6"/>
      <c r="D130" s="314" t="s">
        <v>144</v>
      </c>
      <c r="E130" s="314"/>
      <c r="F130" s="314"/>
      <c r="G130" s="314"/>
      <c r="H130" s="315" t="e">
        <f>#REF!</f>
        <v>#REF!</v>
      </c>
      <c r="I130" s="315"/>
      <c r="J130" s="315"/>
      <c r="K130" s="315"/>
      <c r="AP130" s="8"/>
      <c r="AR130" s="6"/>
      <c r="CF130" s="8"/>
      <c r="CK130" s="1">
        <f t="shared" si="54"/>
        <v>25.99999999999994</v>
      </c>
      <c r="CL130" s="1" t="str">
        <f t="shared" si="40"/>
        <v>0.0215973472222222+56.1531027777777i</v>
      </c>
      <c r="CM130" s="1" t="str">
        <f t="shared" si="41"/>
        <v>86.3893888888889</v>
      </c>
      <c r="CN130" s="1" t="str">
        <f t="shared" si="42"/>
        <v>-2.07666800213676i</v>
      </c>
      <c r="CO130" s="1" t="str">
        <f t="shared" si="43"/>
        <v>25.6648755783976+37.3844003825863i</v>
      </c>
      <c r="CP130" s="1" t="str">
        <f t="shared" si="44"/>
        <v>0.0191834803010191+12.4692621956624i</v>
      </c>
      <c r="CQ130" s="1" t="str">
        <f t="shared" si="45"/>
        <v>1.28134181503048+10.0007418077274i</v>
      </c>
      <c r="CR130" s="2">
        <f t="shared" si="46"/>
        <v>25.99999999999994</v>
      </c>
      <c r="CS130" s="2">
        <f t="shared" si="47"/>
        <v>0.22234476198611047</v>
      </c>
      <c r="CT130" s="1">
        <f t="shared" si="48"/>
        <v>25.99999999999994</v>
      </c>
      <c r="CU130" s="1">
        <f t="shared" si="49"/>
        <v>0.80858685375628891</v>
      </c>
      <c r="CX130" s="2">
        <f t="shared" si="55"/>
        <v>25.99999999999994</v>
      </c>
      <c r="CY130" s="2">
        <f t="shared" si="56"/>
        <v>45.346215171942937</v>
      </c>
      <c r="CZ130" s="2">
        <f t="shared" si="57"/>
        <v>12.469276952176976</v>
      </c>
      <c r="DA130" s="2">
        <f t="shared" si="58"/>
        <v>10.082493419376593</v>
      </c>
    </row>
    <row r="131" spans="2:105" ht="18" customHeight="1" x14ac:dyDescent="0.25">
      <c r="B131" s="6"/>
      <c r="C131" s="178" t="s">
        <v>145</v>
      </c>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L131" s="178"/>
      <c r="AM131" s="178"/>
      <c r="AN131" s="178"/>
      <c r="AO131" s="178"/>
      <c r="AP131" s="8"/>
      <c r="AR131" s="6"/>
      <c r="CF131" s="8"/>
      <c r="CK131" s="1">
        <f t="shared" si="54"/>
        <v>26.199999999999939</v>
      </c>
      <c r="CL131" s="1" t="str">
        <f t="shared" si="40"/>
        <v>0.0215973472222222+56.5850497222221i</v>
      </c>
      <c r="CM131" s="1" t="str">
        <f t="shared" si="41"/>
        <v>86.3893888888889</v>
      </c>
      <c r="CN131" s="1" t="str">
        <f t="shared" si="42"/>
        <v>-2.06081557463953i</v>
      </c>
      <c r="CO131" s="1" t="str">
        <f t="shared" si="43"/>
        <v>25.942049767046+37.5222957723308i</v>
      </c>
      <c r="CP131" s="1" t="str">
        <f t="shared" si="44"/>
        <v>0.0191834803010191+12.5651795971675i</v>
      </c>
      <c r="CQ131" s="1" t="str">
        <f t="shared" si="45"/>
        <v>1.29943238325763+10.0766027823187i</v>
      </c>
      <c r="CR131" s="2">
        <f t="shared" si="46"/>
        <v>26.199999999999939</v>
      </c>
      <c r="CS131" s="2">
        <f t="shared" si="47"/>
        <v>0.22272479581297289</v>
      </c>
      <c r="CT131" s="1">
        <f t="shared" si="48"/>
        <v>26.199999999999939</v>
      </c>
      <c r="CU131" s="1">
        <f t="shared" si="49"/>
        <v>0.80858612646521866</v>
      </c>
      <c r="CX131" s="2">
        <f t="shared" si="55"/>
        <v>26.199999999999939</v>
      </c>
      <c r="CY131" s="2">
        <f t="shared" si="56"/>
        <v>45.617021232673288</v>
      </c>
      <c r="CZ131" s="2">
        <f t="shared" si="57"/>
        <v>12.565194241037059</v>
      </c>
      <c r="DA131" s="2">
        <f t="shared" si="58"/>
        <v>10.160041739643177</v>
      </c>
    </row>
    <row r="132" spans="2:105" ht="18" customHeight="1" x14ac:dyDescent="0.25">
      <c r="B132" s="6"/>
      <c r="C132" s="233" t="str">
        <f xml:space="preserve"> "A quantity of " &amp; ROUND(3*S29,0) &amp; ", " &amp; ROUND(AJ28,0) &amp; " kvar, " &amp; W116 &amp; " kV BIL, " &amp; S20 &amp; _xlfn._LONGTEXT(" Hertz, all-film, low-loss, double-bushing capacitors designed, manufactured, and tested to applicable IEEE/ANSI and IEC standards, supplied by Cooper, GE, or Hitachi (no others), are required. The capacitors shall be connected unground-wye and shall have"," applicable over-voltage and blown-fuse protection.")</f>
        <v>A quantity of 9, 612 kvar, 95 kV BIL, 60 Hertz, all-film, low-loss, double-bushing capacitors designed, manufactured, and tested to applicable IEEE/ANSI and IEC standards, supplied by Cooper, GE, or Hitachi (no others), are required. The capacitors shall be connected unground-wye and shall have applicable over-voltage and blown-fuse protection.</v>
      </c>
      <c r="D132" s="233"/>
      <c r="E132" s="233"/>
      <c r="F132" s="233"/>
      <c r="G132" s="233"/>
      <c r="H132" s="233"/>
      <c r="I132" s="233"/>
      <c r="J132" s="233"/>
      <c r="K132" s="233"/>
      <c r="L132" s="233"/>
      <c r="M132" s="233"/>
      <c r="N132" s="233"/>
      <c r="O132" s="233"/>
      <c r="P132" s="233"/>
      <c r="Q132" s="233"/>
      <c r="R132" s="233"/>
      <c r="S132" s="233"/>
      <c r="T132" s="233"/>
      <c r="U132" s="233"/>
      <c r="V132" s="233"/>
      <c r="W132" s="233"/>
      <c r="X132" s="233"/>
      <c r="Y132" s="233"/>
      <c r="Z132" s="233"/>
      <c r="AA132" s="233"/>
      <c r="AB132" s="233"/>
      <c r="AC132" s="233"/>
      <c r="AD132" s="233"/>
      <c r="AE132" s="233"/>
      <c r="AF132" s="233"/>
      <c r="AG132" s="233"/>
      <c r="AH132" s="233"/>
      <c r="AI132" s="233"/>
      <c r="AJ132" s="233"/>
      <c r="AK132" s="233"/>
      <c r="AL132" s="233"/>
      <c r="AM132" s="233"/>
      <c r="AN132" s="233"/>
      <c r="AO132" s="233"/>
      <c r="AP132" s="27"/>
      <c r="AR132" s="6"/>
      <c r="CF132" s="8"/>
      <c r="CK132" s="1">
        <f t="shared" si="54"/>
        <v>26.399999999999938</v>
      </c>
      <c r="CL132" s="1" t="str">
        <f t="shared" si="40"/>
        <v>0.0215973472222222+57.0169966666666i</v>
      </c>
      <c r="CM132" s="1" t="str">
        <f t="shared" si="41"/>
        <v>86.3893888888889</v>
      </c>
      <c r="CN132" s="1" t="str">
        <f t="shared" si="42"/>
        <v>-2.04520333543772i</v>
      </c>
      <c r="CO132" s="1" t="str">
        <f t="shared" si="43"/>
        <v>26.2188001586825+37.6574595607744i</v>
      </c>
      <c r="CP132" s="1" t="str">
        <f t="shared" si="44"/>
        <v>0.0191834803010191+12.6610969986726i</v>
      </c>
      <c r="CQ132" s="1" t="str">
        <f t="shared" si="45"/>
        <v>1.3176554046786+10.1524057180066i</v>
      </c>
      <c r="CR132" s="2">
        <f t="shared" si="46"/>
        <v>26.399999999999938</v>
      </c>
      <c r="CS132" s="2">
        <f t="shared" si="47"/>
        <v>0.22310929950057523</v>
      </c>
      <c r="CT132" s="1">
        <f t="shared" si="48"/>
        <v>26.399999999999938</v>
      </c>
      <c r="CU132" s="1">
        <f t="shared" si="49"/>
        <v>0.80858273838541173</v>
      </c>
      <c r="CX132" s="2">
        <f t="shared" si="55"/>
        <v>26.399999999999938</v>
      </c>
      <c r="CY132" s="2">
        <f t="shared" si="56"/>
        <v>45.88583378704466</v>
      </c>
      <c r="CZ132" s="2">
        <f t="shared" si="57"/>
        <v>12.661111531603881</v>
      </c>
      <c r="DA132" s="2">
        <f t="shared" si="58"/>
        <v>10.237556233227334</v>
      </c>
    </row>
    <row r="133" spans="2:105" ht="18" customHeight="1" x14ac:dyDescent="0.25">
      <c r="B133" s="6"/>
      <c r="C133" s="153"/>
      <c r="D133" s="153"/>
      <c r="E133" s="153"/>
      <c r="F133" s="153"/>
      <c r="G133" s="153"/>
      <c r="H133" s="153"/>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8"/>
      <c r="AR133" s="6"/>
      <c r="CF133" s="8"/>
      <c r="CK133" s="1">
        <f t="shared" si="54"/>
        <v>26.599999999999937</v>
      </c>
      <c r="CL133" s="1" t="str">
        <f t="shared" si="40"/>
        <v>0.0215973472222222+57.448943611111i</v>
      </c>
      <c r="CM133" s="1" t="str">
        <f t="shared" si="41"/>
        <v>86.3893888888889</v>
      </c>
      <c r="CN133" s="1" t="str">
        <f t="shared" si="42"/>
        <v>-2.02982586675021i</v>
      </c>
      <c r="CO133" s="1" t="str">
        <f t="shared" si="43"/>
        <v>26.4951037737641+37.7899187986414i</v>
      </c>
      <c r="CP133" s="1" t="str">
        <f t="shared" si="44"/>
        <v>0.0191834803010191+12.7570144001777i</v>
      </c>
      <c r="CQ133" s="1" t="str">
        <f t="shared" si="45"/>
        <v>1.33601066532639+10.2281505094662i</v>
      </c>
      <c r="CR133" s="2">
        <f t="shared" si="46"/>
        <v>26.599999999999937</v>
      </c>
      <c r="CS133" s="2">
        <f t="shared" si="47"/>
        <v>0.22349818699665239</v>
      </c>
      <c r="CT133" s="1">
        <f t="shared" si="48"/>
        <v>26.599999999999937</v>
      </c>
      <c r="CU133" s="1">
        <f t="shared" si="49"/>
        <v>0.80857675368295534</v>
      </c>
      <c r="CX133" s="2">
        <f t="shared" si="55"/>
        <v>26.599999999999937</v>
      </c>
      <c r="CY133" s="2">
        <f t="shared" si="56"/>
        <v>46.152665002039043</v>
      </c>
      <c r="CZ133" s="2">
        <f t="shared" si="57"/>
        <v>12.757028823838944</v>
      </c>
      <c r="DA133" s="2">
        <f t="shared" si="58"/>
        <v>10.315036953019586</v>
      </c>
    </row>
    <row r="134" spans="2:105" ht="18" customHeight="1" x14ac:dyDescent="0.25">
      <c r="B134" s="6"/>
      <c r="C134" s="153"/>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8"/>
      <c r="AR134" s="6"/>
      <c r="CF134" s="8"/>
      <c r="CK134" s="1">
        <f t="shared" si="54"/>
        <v>26.799999999999937</v>
      </c>
      <c r="CL134" s="1" t="str">
        <f t="shared" ref="CL134:CL197" si="61">COMPLEX($AJ$34/$S$34,$AJ$34*CK134)</f>
        <v>0.0215973472222222+57.8808905555554i</v>
      </c>
      <c r="CM134" s="1" t="str">
        <f t="shared" ref="CM134:CM197" si="62">COMPLEX($AJ$40,"0")</f>
        <v>86.3893888888889</v>
      </c>
      <c r="CN134" s="1" t="str">
        <f t="shared" ref="CN134:CN197" si="63">COMPLEX("0",-$AJ$30/CK134)</f>
        <v>-2.01467791252073i</v>
      </c>
      <c r="CO134" s="1" t="str">
        <f t="shared" ref="CO134:CO197" si="64">IMSUM(IMDIV(IMPRODUCT(CL134,CM134),IMSUM(CL134,CM134)),CN134)</f>
        <v>26.7709381437819+37.9197004920997i</v>
      </c>
      <c r="CP134" s="1" t="str">
        <f t="shared" ref="CP134:CP197" si="65">COMPLEX($CZ$1,$CZ$2*CK134)</f>
        <v>0.0191834803010191+12.8529318016828i</v>
      </c>
      <c r="CQ134" s="1" t="str">
        <f t="shared" ref="CQ134:CQ197" si="66">IMDIV(IMPRODUCT(CP134,CO134),IMSUM(CO134,CP134))</f>
        <v>1.35449795170173+10.3038370443204i</v>
      </c>
      <c r="CR134" s="2">
        <f t="shared" ref="CR134:CR197" si="67">CK134</f>
        <v>26.799999999999937</v>
      </c>
      <c r="CS134" s="2">
        <f t="shared" ref="CS134:CS197" si="68">IMABS(IMDIV(CP134,IMSUM(CO134,CP134)))</f>
        <v>0.22389137491937328</v>
      </c>
      <c r="CT134" s="1">
        <f t="shared" ref="CT134:CT197" si="69">CR134</f>
        <v>26.799999999999937</v>
      </c>
      <c r="CU134" s="1">
        <f t="shared" ref="CU134:CU197" si="70">IMABS(IMDIV(CO134,IMSUM(CO134,CP134)))</f>
        <v>0.80856823403334954</v>
      </c>
      <c r="CX134" s="2">
        <f t="shared" si="55"/>
        <v>26.799999999999937</v>
      </c>
      <c r="CY134" s="2">
        <f t="shared" si="56"/>
        <v>46.417527018452233</v>
      </c>
      <c r="CZ134" s="2">
        <f t="shared" si="57"/>
        <v>12.852946117704903</v>
      </c>
      <c r="DA134" s="2">
        <f t="shared" si="58"/>
        <v>10.392483944518439</v>
      </c>
    </row>
    <row r="135" spans="2:105" ht="18" customHeight="1" x14ac:dyDescent="0.25">
      <c r="B135" s="6"/>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8"/>
      <c r="AR135" s="6"/>
      <c r="CF135" s="8"/>
      <c r="CK135" s="1">
        <f t="shared" ref="CK135:CK198" si="71">CK134+0.2</f>
        <v>26.999999999999936</v>
      </c>
      <c r="CL135" s="1" t="str">
        <f t="shared" si="61"/>
        <v>0.0215973472222222+58.3128374999999i</v>
      </c>
      <c r="CM135" s="1" t="str">
        <f t="shared" si="62"/>
        <v>86.3893888888889</v>
      </c>
      <c r="CN135" s="1" t="str">
        <f t="shared" si="63"/>
        <v>-1.99975437242799i</v>
      </c>
      <c r="CO135" s="1" t="str">
        <f t="shared" si="64"/>
        <v>27.046281307351+38.0468315986173i</v>
      </c>
      <c r="CP135" s="1" t="str">
        <f t="shared" si="65"/>
        <v>0.0191834803010191+12.9488492031879i</v>
      </c>
      <c r="CQ135" s="1" t="str">
        <f t="shared" si="66"/>
        <v>1.37311705070001+10.3794652034769i</v>
      </c>
      <c r="CR135" s="2">
        <f t="shared" si="67"/>
        <v>26.999999999999936</v>
      </c>
      <c r="CS135" s="2">
        <f t="shared" si="68"/>
        <v>0.22428878243596617</v>
      </c>
      <c r="CT135" s="1">
        <f t="shared" si="69"/>
        <v>26.999999999999936</v>
      </c>
      <c r="CU135" s="1">
        <f t="shared" si="70"/>
        <v>0.8085572387390455</v>
      </c>
      <c r="CX135" s="2">
        <f t="shared" si="55"/>
        <v>26.999999999999936</v>
      </c>
      <c r="CY135" s="2">
        <f t="shared" si="56"/>
        <v>46.680431952263554</v>
      </c>
      <c r="CZ135" s="2">
        <f t="shared" si="57"/>
        <v>12.948863413165512</v>
      </c>
      <c r="DA135" s="2">
        <f t="shared" si="58"/>
        <v>10.469897246158192</v>
      </c>
    </row>
    <row r="136" spans="2:105" ht="18" customHeight="1" x14ac:dyDescent="0.25">
      <c r="B136" s="6"/>
      <c r="C136" s="178" t="s">
        <v>289</v>
      </c>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8"/>
      <c r="AR136" s="6"/>
      <c r="CF136" s="8"/>
      <c r="CK136" s="1">
        <f t="shared" si="71"/>
        <v>27.199999999999935</v>
      </c>
      <c r="CL136" s="1" t="str">
        <f t="shared" si="61"/>
        <v>0.0215973472222222+58.7447844444443i</v>
      </c>
      <c r="CM136" s="1" t="str">
        <f t="shared" si="62"/>
        <v>86.3893888888889</v>
      </c>
      <c r="CN136" s="1" t="str">
        <f t="shared" si="63"/>
        <v>-1.98505029616014i</v>
      </c>
      <c r="CO136" s="1" t="str">
        <f t="shared" si="64"/>
        <v>27.3211118061464+38.1713390227749i</v>
      </c>
      <c r="CP136" s="1" t="str">
        <f t="shared" si="65"/>
        <v>0.0191834803010191+13.044766604693i</v>
      </c>
      <c r="CQ136" s="1" t="str">
        <f t="shared" si="66"/>
        <v>1.39186774954251+10.4550348614474i</v>
      </c>
      <c r="CR136" s="2">
        <f t="shared" si="67"/>
        <v>27.199999999999935</v>
      </c>
      <c r="CS136" s="2">
        <f t="shared" si="68"/>
        <v>0.22469033114805909</v>
      </c>
      <c r="CT136" s="1">
        <f t="shared" si="69"/>
        <v>27.199999999999935</v>
      </c>
      <c r="CU136" s="1">
        <f t="shared" si="70"/>
        <v>0.80854382484051901</v>
      </c>
      <c r="CX136" s="2">
        <f t="shared" si="55"/>
        <v>27.199999999999935</v>
      </c>
      <c r="CY136" s="2">
        <f t="shared" si="56"/>
        <v>46.941391895805239</v>
      </c>
      <c r="CZ136" s="2">
        <f t="shared" si="57"/>
        <v>13.044780710185597</v>
      </c>
      <c r="DA136" s="2">
        <f t="shared" si="58"/>
        <v>10.547276889619281</v>
      </c>
    </row>
    <row r="137" spans="2:105" ht="18" customHeight="1" x14ac:dyDescent="0.25">
      <c r="B137" s="6"/>
      <c r="C137" s="153" t="str">
        <f>"A quantity of 3 stainless steel grid resistors shall be provided. Each resistor shall have an ohmic value per phase of "&amp;ROUND(AJ40,2)&amp;" ohms, a continuous power rating of "&amp;ROUND(S39,2)&amp;" kW, and an RMS current rating of "&amp;ROUND(O41,2)&amp;" amps. The resistor element shall be divided into "&amp;ROUNDUP(S17/(1.73*5),0)&amp;" series groups to ensure adequate withstand voltage during switching transients, with the overall BIL rating coordinated to "&amp;W116&amp;" kV. "</f>
        <v xml:space="preserve">A quantity of 3 stainless steel grid resistors shall be provided. Each resistor shall have an ohmic value per phase of 86.39 ohms, a continuous power rating of 150 kW, and an RMS current rating of 41.67 amps. The resistor element shall be divided into 2 series groups to ensure adequate withstand voltage during switching transients, with the overall BIL rating coordinated to 95 kV. </v>
      </c>
      <c r="D137" s="153"/>
      <c r="E137" s="153"/>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53"/>
      <c r="AB137" s="153"/>
      <c r="AC137" s="153"/>
      <c r="AD137" s="153"/>
      <c r="AE137" s="153"/>
      <c r="AF137" s="153"/>
      <c r="AG137" s="153"/>
      <c r="AH137" s="153"/>
      <c r="AI137" s="153"/>
      <c r="AJ137" s="153"/>
      <c r="AK137" s="153"/>
      <c r="AL137" s="153"/>
      <c r="AM137" s="153"/>
      <c r="AN137" s="153"/>
      <c r="AO137" s="153"/>
      <c r="AP137" s="8"/>
      <c r="AR137" s="6"/>
      <c r="CF137" s="8"/>
      <c r="CK137" s="1">
        <f t="shared" si="71"/>
        <v>27.399999999999935</v>
      </c>
      <c r="CL137" s="1" t="str">
        <f t="shared" si="61"/>
        <v>0.0215973472222222+59.1767313888888i</v>
      </c>
      <c r="CM137" s="1" t="str">
        <f t="shared" si="62"/>
        <v>86.3893888888889</v>
      </c>
      <c r="CN137" s="1" t="str">
        <f t="shared" si="63"/>
        <v>-1.97056087793999i</v>
      </c>
      <c r="CO137" s="1" t="str">
        <f t="shared" si="64"/>
        <v>27.5954086806952+38.2932496120501i</v>
      </c>
      <c r="CP137" s="1" t="str">
        <f t="shared" si="65"/>
        <v>0.0191834803010191+13.1406840061981i</v>
      </c>
      <c r="CQ137" s="1" t="str">
        <f t="shared" si="66"/>
        <v>1.41074983571186+10.5305458866519i</v>
      </c>
      <c r="CR137" s="2">
        <f t="shared" si="67"/>
        <v>27.399999999999935</v>
      </c>
      <c r="CS137" s="2">
        <f t="shared" si="68"/>
        <v>0.22509594498331606</v>
      </c>
      <c r="CT137" s="1">
        <f t="shared" si="69"/>
        <v>27.399999999999935</v>
      </c>
      <c r="CU137" s="1">
        <f t="shared" si="70"/>
        <v>0.80852804722130078</v>
      </c>
      <c r="CX137" s="2">
        <f t="shared" si="55"/>
        <v>27.399999999999935</v>
      </c>
      <c r="CY137" s="2">
        <f t="shared" si="56"/>
        <v>47.200418918748625</v>
      </c>
      <c r="CZ137" s="2">
        <f t="shared" si="57"/>
        <v>13.140698008731006</v>
      </c>
      <c r="DA137" s="2">
        <f t="shared" si="58"/>
        <v>10.624622900124139</v>
      </c>
    </row>
    <row r="138" spans="2:105" ht="18" customHeight="1" x14ac:dyDescent="0.25">
      <c r="B138" s="6"/>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3"/>
      <c r="AK138" s="153"/>
      <c r="AL138" s="153"/>
      <c r="AM138" s="153"/>
      <c r="AN138" s="153"/>
      <c r="AO138" s="153"/>
      <c r="AP138" s="8"/>
      <c r="AR138" s="6"/>
      <c r="CF138" s="8"/>
      <c r="CK138" s="1">
        <f t="shared" si="71"/>
        <v>27.599999999999934</v>
      </c>
      <c r="CL138" s="1" t="str">
        <f t="shared" si="61"/>
        <v>0.0215973472222222+59.6086783333332i</v>
      </c>
      <c r="CM138" s="1" t="str">
        <f t="shared" si="62"/>
        <v>86.3893888888889</v>
      </c>
      <c r="CN138" s="1" t="str">
        <f t="shared" si="63"/>
        <v>-1.95628145128825i</v>
      </c>
      <c r="CO138" s="1" t="str">
        <f t="shared" si="64"/>
        <v>27.869151466028+38.4125901525848i</v>
      </c>
      <c r="CP138" s="1" t="str">
        <f t="shared" si="65"/>
        <v>0.0191834803010191+13.2366014077032i</v>
      </c>
      <c r="CQ138" s="1" t="str">
        <f t="shared" si="66"/>
        <v>1.42976309689111+10.6059981417068i</v>
      </c>
      <c r="CR138" s="2">
        <f t="shared" si="67"/>
        <v>27.599999999999934</v>
      </c>
      <c r="CS138" s="2">
        <f t="shared" si="68"/>
        <v>0.22550555009297316</v>
      </c>
      <c r="CT138" s="1">
        <f t="shared" si="69"/>
        <v>27.599999999999934</v>
      </c>
      <c r="CU138" s="1">
        <f t="shared" si="70"/>
        <v>0.80850995870732023</v>
      </c>
      <c r="CX138" s="2">
        <f t="shared" si="55"/>
        <v>27.599999999999934</v>
      </c>
      <c r="CY138" s="2">
        <f t="shared" si="56"/>
        <v>47.457525068916787</v>
      </c>
      <c r="CZ138" s="2">
        <f t="shared" si="57"/>
        <v>13.236615308768581</v>
      </c>
      <c r="DA138" s="2">
        <f t="shared" si="58"/>
        <v>10.701935296717121</v>
      </c>
    </row>
    <row r="139" spans="2:105" ht="18" customHeight="1" x14ac:dyDescent="0.25">
      <c r="B139" s="6"/>
      <c r="C139" s="153"/>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3"/>
      <c r="AJ139" s="153"/>
      <c r="AK139" s="153"/>
      <c r="AL139" s="153"/>
      <c r="AM139" s="153"/>
      <c r="AN139" s="153"/>
      <c r="AO139" s="153"/>
      <c r="AP139" s="8"/>
      <c r="AR139" s="6"/>
      <c r="CF139" s="8"/>
      <c r="CK139" s="1">
        <f t="shared" si="71"/>
        <v>27.799999999999933</v>
      </c>
      <c r="CL139" s="1" t="str">
        <f t="shared" si="61"/>
        <v>0.0215973472222222+60.0406252777777i</v>
      </c>
      <c r="CM139" s="1" t="str">
        <f t="shared" si="62"/>
        <v>86.3893888888889</v>
      </c>
      <c r="CN139" s="1" t="str">
        <f t="shared" si="63"/>
        <v>-1.94220748401279i</v>
      </c>
      <c r="CO139" s="1" t="str">
        <f t="shared" si="64"/>
        <v>28.1423201872024+38.529387364947i</v>
      </c>
      <c r="CP139" s="1" t="str">
        <f t="shared" si="65"/>
        <v>0.0191834803010191+13.3325188092083i</v>
      </c>
      <c r="CQ139" s="1" t="str">
        <f t="shared" si="66"/>
        <v>1.44890732090659+10.6813914837001i</v>
      </c>
      <c r="CR139" s="2">
        <f t="shared" si="67"/>
        <v>27.799999999999933</v>
      </c>
      <c r="CS139" s="2">
        <f t="shared" si="68"/>
        <v>0.22591907475490178</v>
      </c>
      <c r="CT139" s="1">
        <f t="shared" si="69"/>
        <v>27.799999999999933</v>
      </c>
      <c r="CU139" s="1">
        <f t="shared" si="70"/>
        <v>0.80848961016092402</v>
      </c>
      <c r="CX139" s="2">
        <f t="shared" ref="CX139:CX202" si="72">CK139</f>
        <v>27.799999999999933</v>
      </c>
      <c r="CY139" s="2">
        <f t="shared" ref="CY139:CY202" si="73">IMABS(CO139)</f>
        <v>47.712722372939034</v>
      </c>
      <c r="CZ139" s="2">
        <f t="shared" ref="CZ139:CZ202" si="74">IMABS(CP139)</f>
        <v>13.332532610266123</v>
      </c>
      <c r="DA139" s="2">
        <f t="shared" ref="DA139:DA202" si="75">IMABS(CQ139)</f>
        <v>10.779214092531873</v>
      </c>
    </row>
    <row r="140" spans="2:105" ht="18" customHeight="1" x14ac:dyDescent="0.25">
      <c r="B140" s="6"/>
      <c r="C140" s="153"/>
      <c r="D140" s="153"/>
      <c r="E140" s="153"/>
      <c r="F140" s="153"/>
      <c r="G140" s="153"/>
      <c r="H140" s="153"/>
      <c r="I140" s="153"/>
      <c r="J140" s="153"/>
      <c r="K140" s="153"/>
      <c r="L140" s="153"/>
      <c r="M140" s="153"/>
      <c r="N140" s="153"/>
      <c r="O140" s="153"/>
      <c r="P140" s="153"/>
      <c r="Q140" s="153"/>
      <c r="R140" s="153"/>
      <c r="S140" s="153"/>
      <c r="T140" s="153"/>
      <c r="U140" s="153"/>
      <c r="V140" s="153"/>
      <c r="W140" s="153"/>
      <c r="X140" s="153"/>
      <c r="Y140" s="153"/>
      <c r="Z140" s="153"/>
      <c r="AA140" s="153"/>
      <c r="AB140" s="153"/>
      <c r="AC140" s="153"/>
      <c r="AD140" s="153"/>
      <c r="AE140" s="153"/>
      <c r="AF140" s="153"/>
      <c r="AG140" s="153"/>
      <c r="AH140" s="153"/>
      <c r="AI140" s="153"/>
      <c r="AJ140" s="153"/>
      <c r="AK140" s="153"/>
      <c r="AL140" s="153"/>
      <c r="AM140" s="153"/>
      <c r="AN140" s="153"/>
      <c r="AO140" s="153"/>
      <c r="AP140" s="8"/>
      <c r="AR140" s="6"/>
      <c r="CF140" s="8"/>
      <c r="CK140" s="1">
        <f t="shared" si="71"/>
        <v>27.999999999999932</v>
      </c>
      <c r="CL140" s="1" t="str">
        <f t="shared" si="61"/>
        <v>0.0215973472222222+60.4725722222221i</v>
      </c>
      <c r="CM140" s="1" t="str">
        <f t="shared" si="62"/>
        <v>86.3893888888889</v>
      </c>
      <c r="CN140" s="1" t="str">
        <f t="shared" si="63"/>
        <v>-1.9283345734127i</v>
      </c>
      <c r="CO140" s="1" t="str">
        <f t="shared" si="64"/>
        <v>28.4148953547022+38.6436678998997i</v>
      </c>
      <c r="CP140" s="1" t="str">
        <f t="shared" si="65"/>
        <v>0.0191834803010191+13.4284362107134i</v>
      </c>
      <c r="CQ140" s="1" t="str">
        <f t="shared" si="66"/>
        <v>1.46818229567401+10.7567257644519i</v>
      </c>
      <c r="CR140" s="2">
        <f t="shared" si="67"/>
        <v>27.999999999999932</v>
      </c>
      <c r="CS140" s="2">
        <f t="shared" si="68"/>
        <v>0.22633644928185731</v>
      </c>
      <c r="CT140" s="1">
        <f t="shared" si="69"/>
        <v>27.999999999999932</v>
      </c>
      <c r="CU140" s="1">
        <f t="shared" si="70"/>
        <v>0.80846705056990587</v>
      </c>
      <c r="CX140" s="2">
        <f t="shared" si="72"/>
        <v>27.999999999999932</v>
      </c>
      <c r="CY140" s="2">
        <f t="shared" si="73"/>
        <v>47.966022836758263</v>
      </c>
      <c r="CZ140" s="2">
        <f t="shared" si="74"/>
        <v>13.428449913192338</v>
      </c>
      <c r="DA140" s="2">
        <f t="shared" si="75"/>
        <v>10.856459295044306</v>
      </c>
    </row>
    <row r="141" spans="2:105" ht="18" customHeight="1" x14ac:dyDescent="0.25">
      <c r="B141" s="6"/>
      <c r="C141" s="163" t="s">
        <v>194</v>
      </c>
      <c r="D141" s="163"/>
      <c r="E141" s="163"/>
      <c r="F141" s="163"/>
      <c r="G141" s="163"/>
      <c r="H141" s="163"/>
      <c r="I141" s="163"/>
      <c r="J141" s="163"/>
      <c r="K141" s="163"/>
      <c r="L141" s="163"/>
      <c r="M141" s="163"/>
      <c r="N141" s="163"/>
      <c r="O141" s="163"/>
      <c r="P141" s="163"/>
      <c r="Q141" s="163"/>
      <c r="R141" s="163"/>
      <c r="S141" s="163"/>
      <c r="T141" s="163"/>
      <c r="U141" s="163"/>
      <c r="V141" s="163"/>
      <c r="W141" s="163"/>
      <c r="X141" s="163"/>
      <c r="Y141" s="163"/>
      <c r="Z141" s="163"/>
      <c r="AA141" s="163"/>
      <c r="AB141" s="163"/>
      <c r="AC141" s="163"/>
      <c r="AD141" s="163"/>
      <c r="AE141" s="163"/>
      <c r="AF141" s="163"/>
      <c r="AG141" s="163"/>
      <c r="AH141" s="163"/>
      <c r="AI141" s="163"/>
      <c r="AJ141" s="163"/>
      <c r="AK141" s="163"/>
      <c r="AL141" s="163"/>
      <c r="AM141" s="163"/>
      <c r="AN141" s="163"/>
      <c r="AO141" s="163"/>
      <c r="AP141" s="8"/>
      <c r="AR141" s="6"/>
      <c r="CF141" s="8"/>
      <c r="CK141" s="1">
        <f t="shared" si="71"/>
        <v>28.199999999999932</v>
      </c>
      <c r="CL141" s="1" t="str">
        <f t="shared" si="61"/>
        <v>0.0215973472222222+60.9045191666665i</v>
      </c>
      <c r="CM141" s="1" t="str">
        <f t="shared" si="62"/>
        <v>86.3893888888889</v>
      </c>
      <c r="CN141" s="1" t="str">
        <f t="shared" si="63"/>
        <v>-1.91465844168637i</v>
      </c>
      <c r="CO141" s="1" t="str">
        <f t="shared" si="64"/>
        <v>28.6868579597204+38.7554583341833i</v>
      </c>
      <c r="CP141" s="1" t="str">
        <f t="shared" si="65"/>
        <v>0.0191834803010191+13.5243536122185i</v>
      </c>
      <c r="CQ141" s="1" t="str">
        <f t="shared" si="66"/>
        <v>1.48758780914777+10.8320008307637i</v>
      </c>
      <c r="CR141" s="2">
        <f t="shared" si="67"/>
        <v>28.199999999999932</v>
      </c>
      <c r="CS141" s="2">
        <f t="shared" si="68"/>
        <v>0.22675760593461497</v>
      </c>
      <c r="CT141" s="1">
        <f t="shared" si="69"/>
        <v>28.199999999999932</v>
      </c>
      <c r="CU141" s="1">
        <f t="shared" si="70"/>
        <v>0.80844232713181963</v>
      </c>
      <c r="CX141" s="2">
        <f t="shared" si="72"/>
        <v>28.199999999999932</v>
      </c>
      <c r="CY141" s="2">
        <f t="shared" si="73"/>
        <v>48.217438445999925</v>
      </c>
      <c r="CZ141" s="2">
        <f t="shared" si="74"/>
        <v>13.524367217516833</v>
      </c>
      <c r="DA141" s="2">
        <f t="shared" si="75"/>
        <v>10.93367090631461</v>
      </c>
    </row>
    <row r="142" spans="2:105" ht="18" customHeight="1" x14ac:dyDescent="0.25">
      <c r="B142" s="6"/>
      <c r="C142" s="163"/>
      <c r="D142" s="163"/>
      <c r="E142" s="163"/>
      <c r="F142" s="163"/>
      <c r="G142" s="163"/>
      <c r="H142" s="163"/>
      <c r="I142" s="163"/>
      <c r="J142" s="163"/>
      <c r="K142" s="163"/>
      <c r="L142" s="163"/>
      <c r="M142" s="163"/>
      <c r="N142" s="163"/>
      <c r="O142" s="163"/>
      <c r="P142" s="163"/>
      <c r="Q142" s="163"/>
      <c r="R142" s="163"/>
      <c r="S142" s="163"/>
      <c r="T142" s="163"/>
      <c r="U142" s="163"/>
      <c r="V142" s="163"/>
      <c r="W142" s="163"/>
      <c r="X142" s="163"/>
      <c r="Y142" s="163"/>
      <c r="Z142" s="163"/>
      <c r="AA142" s="163"/>
      <c r="AB142" s="163"/>
      <c r="AC142" s="163"/>
      <c r="AD142" s="163"/>
      <c r="AE142" s="163"/>
      <c r="AF142" s="163"/>
      <c r="AG142" s="163"/>
      <c r="AH142" s="163"/>
      <c r="AI142" s="163"/>
      <c r="AJ142" s="163"/>
      <c r="AK142" s="163"/>
      <c r="AL142" s="163"/>
      <c r="AM142" s="163"/>
      <c r="AN142" s="163"/>
      <c r="AO142" s="163"/>
      <c r="AP142" s="8"/>
      <c r="AR142" s="6"/>
      <c r="CF142" s="8"/>
      <c r="CK142" s="1">
        <f t="shared" si="71"/>
        <v>28.399999999999931</v>
      </c>
      <c r="CL142" s="1" t="str">
        <f t="shared" si="61"/>
        <v>0.0215973472222222+61.336466111111i</v>
      </c>
      <c r="CM142" s="1" t="str">
        <f t="shared" si="62"/>
        <v>86.3893888888889</v>
      </c>
      <c r="CN142" s="1" t="str">
        <f t="shared" si="63"/>
        <v>-1.90117493153365i</v>
      </c>
      <c r="CO142" s="1" t="str">
        <f t="shared" si="64"/>
        <v>28.9581894693347+38.8647851663252i</v>
      </c>
      <c r="CP142" s="1" t="str">
        <f t="shared" si="65"/>
        <v>0.0191834803010191+13.6202710137236i</v>
      </c>
      <c r="CQ142" s="1" t="str">
        <f t="shared" si="66"/>
        <v>1.50712364927324+10.9072165246548i</v>
      </c>
      <c r="CR142" s="2">
        <f t="shared" si="67"/>
        <v>28.399999999999931</v>
      </c>
      <c r="CS142" s="2">
        <f t="shared" si="68"/>
        <v>0.22718247883966361</v>
      </c>
      <c r="CT142" s="1">
        <f t="shared" si="69"/>
        <v>28.399999999999931</v>
      </c>
      <c r="CU142" s="1">
        <f t="shared" si="70"/>
        <v>0.80841548533389707</v>
      </c>
      <c r="CX142" s="2">
        <f t="shared" si="72"/>
        <v>28.399999999999931</v>
      </c>
      <c r="CY142" s="2">
        <f t="shared" si="73"/>
        <v>48.466981166217664</v>
      </c>
      <c r="CZ142" s="2">
        <f t="shared" si="74"/>
        <v>13.620284523210071</v>
      </c>
      <c r="DA142" s="2">
        <f t="shared" si="75"/>
        <v>11.010848923216656</v>
      </c>
    </row>
    <row r="143" spans="2:105" ht="18" customHeight="1" x14ac:dyDescent="0.25">
      <c r="B143" s="6"/>
      <c r="C143" s="163"/>
      <c r="D143" s="163"/>
      <c r="E143" s="163"/>
      <c r="F143" s="163"/>
      <c r="G143" s="163"/>
      <c r="H143" s="163"/>
      <c r="I143" s="163"/>
      <c r="J143" s="163"/>
      <c r="K143" s="163"/>
      <c r="L143" s="163"/>
      <c r="M143" s="163"/>
      <c r="N143" s="163"/>
      <c r="O143" s="163"/>
      <c r="P143" s="163"/>
      <c r="Q143" s="163"/>
      <c r="R143" s="163"/>
      <c r="S143" s="163"/>
      <c r="T143" s="163"/>
      <c r="U143" s="163"/>
      <c r="V143" s="163"/>
      <c r="W143" s="163"/>
      <c r="X143" s="163"/>
      <c r="Y143" s="163"/>
      <c r="Z143" s="163"/>
      <c r="AA143" s="163"/>
      <c r="AB143" s="163"/>
      <c r="AC143" s="163"/>
      <c r="AD143" s="163"/>
      <c r="AE143" s="163"/>
      <c r="AF143" s="163"/>
      <c r="AG143" s="163"/>
      <c r="AH143" s="163"/>
      <c r="AI143" s="163"/>
      <c r="AJ143" s="163"/>
      <c r="AK143" s="163"/>
      <c r="AL143" s="163"/>
      <c r="AM143" s="163"/>
      <c r="AN143" s="163"/>
      <c r="AO143" s="163"/>
      <c r="AP143" s="8"/>
      <c r="AR143" s="6"/>
      <c r="CF143" s="8"/>
      <c r="CK143" s="1">
        <f t="shared" si="71"/>
        <v>28.59999999999993</v>
      </c>
      <c r="CL143" s="1" t="str">
        <f t="shared" si="61"/>
        <v>0.0215973472222222+61.7684130555554i</v>
      </c>
      <c r="CM143" s="1" t="str">
        <f t="shared" si="62"/>
        <v>86.3893888888889</v>
      </c>
      <c r="CN143" s="1" t="str">
        <f t="shared" si="63"/>
        <v>-1.88788000194251i</v>
      </c>
      <c r="CO143" s="1" t="str">
        <f t="shared" si="64"/>
        <v>29.2288718215791+38.9716748124803i</v>
      </c>
      <c r="CP143" s="1" t="str">
        <f t="shared" si="65"/>
        <v>0.0191834803010191+13.7161884152287i</v>
      </c>
      <c r="CQ143" s="1" t="str">
        <f t="shared" si="66"/>
        <v>1.52678960394173+10.9823726835881i</v>
      </c>
      <c r="CR143" s="2">
        <f t="shared" si="67"/>
        <v>28.59999999999993</v>
      </c>
      <c r="CS143" s="2">
        <f t="shared" si="68"/>
        <v>0.22761100391121136</v>
      </c>
      <c r="CT143" s="1">
        <f t="shared" si="69"/>
        <v>28.59999999999993</v>
      </c>
      <c r="CU143" s="1">
        <f t="shared" si="70"/>
        <v>0.80838656902880279</v>
      </c>
      <c r="CX143" s="2">
        <f t="shared" si="72"/>
        <v>28.59999999999993</v>
      </c>
      <c r="CY143" s="2">
        <f t="shared" si="73"/>
        <v>48.714662943019661</v>
      </c>
      <c r="CZ143" s="2">
        <f t="shared" si="74"/>
        <v>13.716201830243332</v>
      </c>
      <c r="DA143" s="2">
        <f t="shared" si="75"/>
        <v>11.087993337657027</v>
      </c>
    </row>
    <row r="144" spans="2:105" ht="18" customHeight="1" x14ac:dyDescent="0.25">
      <c r="B144" s="6"/>
      <c r="C144" s="163"/>
      <c r="D144" s="163"/>
      <c r="E144" s="163"/>
      <c r="F144" s="163"/>
      <c r="G144" s="163"/>
      <c r="H144" s="163"/>
      <c r="I144" s="163"/>
      <c r="J144" s="163"/>
      <c r="K144" s="163"/>
      <c r="L144" s="163"/>
      <c r="M144" s="163"/>
      <c r="N144" s="163"/>
      <c r="O144" s="163"/>
      <c r="P144" s="163"/>
      <c r="Q144" s="163"/>
      <c r="R144" s="163"/>
      <c r="S144" s="163"/>
      <c r="T144" s="163"/>
      <c r="U144" s="163"/>
      <c r="V144" s="163"/>
      <c r="W144" s="163"/>
      <c r="X144" s="163"/>
      <c r="Y144" s="163"/>
      <c r="Z144" s="163"/>
      <c r="AA144" s="163"/>
      <c r="AB144" s="163"/>
      <c r="AC144" s="163"/>
      <c r="AD144" s="163"/>
      <c r="AE144" s="163"/>
      <c r="AF144" s="163"/>
      <c r="AG144" s="163"/>
      <c r="AH144" s="163"/>
      <c r="AI144" s="163"/>
      <c r="AJ144" s="163"/>
      <c r="AK144" s="163"/>
      <c r="AL144" s="163"/>
      <c r="AM144" s="163"/>
      <c r="AN144" s="163"/>
      <c r="AO144" s="163"/>
      <c r="AP144" s="8"/>
      <c r="AR144" s="6"/>
      <c r="CF144" s="8"/>
      <c r="CK144" s="1">
        <f t="shared" si="71"/>
        <v>28.79999999999993</v>
      </c>
      <c r="CL144" s="1" t="str">
        <f t="shared" si="61"/>
        <v>0.0215973472222222+62.2003599999999i</v>
      </c>
      <c r="CM144" s="1" t="str">
        <f t="shared" si="62"/>
        <v>86.3893888888889</v>
      </c>
      <c r="CN144" s="1" t="str">
        <f t="shared" si="63"/>
        <v>-1.87476972415124i</v>
      </c>
      <c r="CO144" s="1" t="str">
        <f t="shared" si="64"/>
        <v>29.4988874204217+39.0761536023135i</v>
      </c>
      <c r="CP144" s="1" t="str">
        <f t="shared" si="65"/>
        <v>0.0191834803010191+13.8121058167338i</v>
      </c>
      <c r="CQ144" s="1" t="str">
        <f t="shared" si="66"/>
        <v>1.54658546094822+11.0574691406851i</v>
      </c>
      <c r="CR144" s="2">
        <f t="shared" si="67"/>
        <v>28.79999999999993</v>
      </c>
      <c r="CS144" s="2">
        <f t="shared" si="68"/>
        <v>0.22804311877722666</v>
      </c>
      <c r="CT144" s="1">
        <f t="shared" si="69"/>
        <v>28.79999999999993</v>
      </c>
      <c r="CU144" s="1">
        <f t="shared" si="70"/>
        <v>0.80835562050649246</v>
      </c>
      <c r="CX144" s="2">
        <f t="shared" si="72"/>
        <v>28.79999999999993</v>
      </c>
      <c r="CY144" s="2">
        <f t="shared" si="73"/>
        <v>48.960495702089375</v>
      </c>
      <c r="CZ144" s="2">
        <f t="shared" si="74"/>
        <v>13.812119138588695</v>
      </c>
      <c r="DA144" s="2">
        <f t="shared" si="75"/>
        <v>11.165104136783487</v>
      </c>
    </row>
    <row r="145" spans="2:105" ht="18" customHeight="1" thickBot="1" x14ac:dyDescent="0.3">
      <c r="B145" s="6"/>
      <c r="C145" s="57"/>
      <c r="D145" s="57"/>
      <c r="E145" s="57"/>
      <c r="F145" s="57"/>
      <c r="G145" s="57"/>
      <c r="H145" s="57"/>
      <c r="I145" s="57"/>
      <c r="J145" s="57"/>
      <c r="K145" s="57"/>
      <c r="L145" s="57"/>
      <c r="M145" s="57"/>
      <c r="N145" s="57"/>
      <c r="O145" s="57"/>
      <c r="P145" s="57"/>
      <c r="Q145" s="57"/>
      <c r="R145" s="57"/>
      <c r="S145" s="57"/>
      <c r="T145" s="57"/>
      <c r="U145" s="57"/>
      <c r="V145" s="57"/>
      <c r="W145" s="57"/>
      <c r="X145" s="57"/>
      <c r="Y145" s="57"/>
      <c r="Z145" s="57"/>
      <c r="AA145" s="57"/>
      <c r="AB145" s="57"/>
      <c r="AC145" s="57"/>
      <c r="AD145" s="57"/>
      <c r="AE145" s="57"/>
      <c r="AF145" s="57"/>
      <c r="AG145" s="57"/>
      <c r="AH145" s="57"/>
      <c r="AI145" s="57"/>
      <c r="AJ145" s="57"/>
      <c r="AK145" s="57"/>
      <c r="AL145" s="57"/>
      <c r="AM145" s="57"/>
      <c r="AN145" s="57"/>
      <c r="AO145" s="57"/>
      <c r="AP145" s="8"/>
      <c r="AR145" s="6"/>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1"/>
      <c r="CE145" s="10"/>
      <c r="CF145" s="8"/>
      <c r="CK145" s="1">
        <f t="shared" si="71"/>
        <v>28.999999999999929</v>
      </c>
      <c r="CL145" s="1" t="str">
        <f t="shared" si="61"/>
        <v>0.0215973472222222+62.6323069444443i</v>
      </c>
      <c r="CM145" s="1" t="str">
        <f t="shared" si="62"/>
        <v>86.3893888888889</v>
      </c>
      <c r="CN145" s="1" t="str">
        <f t="shared" si="63"/>
        <v>-1.86184027777778i</v>
      </c>
      <c r="CO145" s="1" t="str">
        <f t="shared" si="64"/>
        <v>29.7682191306528+39.1782477749302i</v>
      </c>
      <c r="CP145" s="1" t="str">
        <f t="shared" si="65"/>
        <v>0.0191834803010191+13.9080232182389i</v>
      </c>
      <c r="CQ145" s="1" t="str">
        <f t="shared" si="66"/>
        <v>1.56651100795142+11.1325057249311i</v>
      </c>
      <c r="CR145" s="2">
        <f t="shared" si="67"/>
        <v>28.999999999999929</v>
      </c>
      <c r="CS145" s="2">
        <f t="shared" si="68"/>
        <v>0.22847876270928613</v>
      </c>
      <c r="CT145" s="1">
        <f t="shared" si="69"/>
        <v>28.999999999999929</v>
      </c>
      <c r="CU145" s="1">
        <f t="shared" si="70"/>
        <v>0.8083226805623891</v>
      </c>
      <c r="CX145" s="2">
        <f t="shared" si="72"/>
        <v>28.999999999999929</v>
      </c>
      <c r="CY145" s="2">
        <f t="shared" si="73"/>
        <v>49.204491349107414</v>
      </c>
      <c r="CZ145" s="2">
        <f t="shared" si="74"/>
        <v>13.908036448219022</v>
      </c>
      <c r="DA145" s="2">
        <f t="shared" si="75"/>
        <v>11.242181303183855</v>
      </c>
    </row>
    <row r="146" spans="2:105" ht="18" customHeight="1" x14ac:dyDescent="0.25">
      <c r="B146" s="6"/>
      <c r="D146" s="43" t="s">
        <v>84</v>
      </c>
      <c r="AO146" s="29" t="s">
        <v>148</v>
      </c>
      <c r="AP146" s="8"/>
      <c r="AR146" s="6"/>
      <c r="AT146" s="43" t="s">
        <v>84</v>
      </c>
      <c r="CE146" s="29" t="s">
        <v>149</v>
      </c>
      <c r="CF146" s="8"/>
      <c r="CK146" s="1">
        <f t="shared" si="71"/>
        <v>29.199999999999928</v>
      </c>
      <c r="CL146" s="1" t="str">
        <f t="shared" si="61"/>
        <v>0.0215973472222222+63.0642538888888i</v>
      </c>
      <c r="CM146" s="1" t="str">
        <f t="shared" si="62"/>
        <v>86.3893888888889</v>
      </c>
      <c r="CN146" s="1" t="str">
        <f t="shared" si="63"/>
        <v>-1.84908794710807i</v>
      </c>
      <c r="CO146" s="1" t="str">
        <f t="shared" si="64"/>
        <v>30.0368502726912+39.2779834748607i</v>
      </c>
      <c r="CP146" s="1" t="str">
        <f t="shared" si="65"/>
        <v>0.0191834803010191+14.003940619744i</v>
      </c>
      <c r="CQ146" s="1" t="str">
        <f t="shared" si="66"/>
        <v>1.58656603243624+11.2074822613706i</v>
      </c>
      <c r="CR146" s="2">
        <f t="shared" si="67"/>
        <v>29.199999999999928</v>
      </c>
      <c r="CS146" s="2">
        <f t="shared" si="68"/>
        <v>0.22891787655599588</v>
      </c>
      <c r="CT146" s="1">
        <f t="shared" si="69"/>
        <v>29.199999999999928</v>
      </c>
      <c r="CU146" s="1">
        <f t="shared" si="70"/>
        <v>0.8082877885621097</v>
      </c>
      <c r="CX146" s="2">
        <f t="shared" si="72"/>
        <v>29.199999999999928</v>
      </c>
      <c r="CY146" s="2">
        <f t="shared" si="73"/>
        <v>49.446661769582583</v>
      </c>
      <c r="CZ146" s="2">
        <f t="shared" si="74"/>
        <v>14.003953759107905</v>
      </c>
      <c r="DA146" s="2">
        <f t="shared" si="75"/>
        <v>11.31922481507533</v>
      </c>
    </row>
    <row r="147" spans="2:105" ht="18" customHeight="1" x14ac:dyDescent="0.25">
      <c r="B147" s="45"/>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7"/>
      <c r="AR147" s="45"/>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7"/>
      <c r="CK147" s="1">
        <f t="shared" si="71"/>
        <v>29.399999999999928</v>
      </c>
      <c r="CL147" s="1" t="str">
        <f t="shared" si="61"/>
        <v>0.0215973472222222+63.4962008333332i</v>
      </c>
      <c r="CM147" s="1" t="str">
        <f t="shared" si="62"/>
        <v>86.3893888888889</v>
      </c>
      <c r="CN147" s="1" t="str">
        <f t="shared" si="63"/>
        <v>-1.83650911753591i</v>
      </c>
      <c r="CO147" s="1" t="str">
        <f t="shared" si="64"/>
        <v>30.304764617314+39.3753867481051i</v>
      </c>
      <c r="CP147" s="1" t="str">
        <f t="shared" si="65"/>
        <v>0.0191834803010191+14.0998580212491i</v>
      </c>
      <c r="CQ147" s="1" t="str">
        <f t="shared" si="66"/>
        <v>1.60675032167829+11.2823985712946i</v>
      </c>
      <c r="CR147" s="2">
        <f t="shared" si="67"/>
        <v>29.399999999999928</v>
      </c>
      <c r="CS147" s="2">
        <f t="shared" si="68"/>
        <v>0.22936040267978611</v>
      </c>
      <c r="CT147" s="1">
        <f t="shared" si="69"/>
        <v>29.399999999999928</v>
      </c>
      <c r="CU147" s="1">
        <f t="shared" si="70"/>
        <v>0.80825098250291616</v>
      </c>
      <c r="CX147" s="2">
        <f t="shared" si="72"/>
        <v>29.399999999999928</v>
      </c>
      <c r="CY147" s="2">
        <f t="shared" si="73"/>
        <v>49.687018828600067</v>
      </c>
      <c r="CZ147" s="2">
        <f t="shared" si="74"/>
        <v>14.099871071229661</v>
      </c>
      <c r="DA147" s="2">
        <f t="shared" si="75"/>
        <v>11.396234646485816</v>
      </c>
    </row>
    <row r="148" spans="2:105" ht="18" customHeight="1" x14ac:dyDescent="0.25">
      <c r="CK148" s="1">
        <f t="shared" si="71"/>
        <v>29.599999999999927</v>
      </c>
      <c r="CL148" s="1" t="str">
        <f t="shared" si="61"/>
        <v>0.0215973472222222+63.9281477777776i</v>
      </c>
      <c r="CM148" s="1" t="str">
        <f t="shared" si="62"/>
        <v>86.3893888888889</v>
      </c>
      <c r="CN148" s="1" t="str">
        <f t="shared" si="63"/>
        <v>-1.82410027214715i</v>
      </c>
      <c r="CO148" s="1" t="str">
        <f t="shared" si="64"/>
        <v>30.5719463803164+39.4704835382439i</v>
      </c>
      <c r="CP148" s="1" t="str">
        <f t="shared" si="65"/>
        <v>0.0191834803010191+14.1957754227542i</v>
      </c>
      <c r="CQ148" s="1" t="str">
        <f t="shared" si="66"/>
        <v>1.62706366271064+11.3572544724182i</v>
      </c>
      <c r="CR148" s="2">
        <f t="shared" si="67"/>
        <v>29.599999999999927</v>
      </c>
      <c r="CS148" s="2">
        <f t="shared" si="68"/>
        <v>0.22980628489687518</v>
      </c>
      <c r="CT148" s="1">
        <f t="shared" si="69"/>
        <v>29.599999999999927</v>
      </c>
      <c r="CU148" s="1">
        <f t="shared" si="70"/>
        <v>0.80821229907211245</v>
      </c>
      <c r="CX148" s="2">
        <f t="shared" si="72"/>
        <v>29.599999999999927</v>
      </c>
      <c r="CY148" s="2">
        <f t="shared" si="73"/>
        <v>49.925574370493969</v>
      </c>
      <c r="CZ148" s="2">
        <f t="shared" si="74"/>
        <v>14.195788384559298</v>
      </c>
      <c r="DA148" s="2">
        <f t="shared" si="75"/>
        <v>11.473210767425854</v>
      </c>
    </row>
    <row r="149" spans="2:105" ht="18" customHeight="1" x14ac:dyDescent="0.25">
      <c r="B149" s="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5"/>
      <c r="AR149" s="3"/>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5"/>
      <c r="CK149" s="1">
        <f t="shared" si="71"/>
        <v>29.799999999999926</v>
      </c>
      <c r="CL149" s="1" t="str">
        <f t="shared" si="61"/>
        <v>0.0215973472222222+64.3600947222221i</v>
      </c>
      <c r="CM149" s="1" t="str">
        <f t="shared" si="62"/>
        <v>86.3893888888889</v>
      </c>
      <c r="CN149" s="1" t="str">
        <f t="shared" si="63"/>
        <v>-1.81185798844147i</v>
      </c>
      <c r="CO149" s="1" t="str">
        <f t="shared" si="64"/>
        <v>30.8383802171072+39.563299682618i</v>
      </c>
      <c r="CP149" s="1" t="str">
        <f t="shared" si="65"/>
        <v>0.0191834803010191+14.2916928242592i</v>
      </c>
      <c r="CQ149" s="1" t="str">
        <f t="shared" si="66"/>
        <v>1.64750584229233+11.4320497790515i</v>
      </c>
      <c r="CR149" s="2">
        <f t="shared" si="67"/>
        <v>29.799999999999926</v>
      </c>
      <c r="CS149" s="2">
        <f t="shared" si="68"/>
        <v>0.23025546842022654</v>
      </c>
      <c r="CT149" s="1">
        <f t="shared" si="69"/>
        <v>29.799999999999926</v>
      </c>
      <c r="CU149" s="1">
        <f t="shared" si="70"/>
        <v>0.80817177370253157</v>
      </c>
      <c r="CX149" s="2">
        <f t="shared" si="72"/>
        <v>29.799999999999926</v>
      </c>
      <c r="CY149" s="2">
        <f t="shared" si="73"/>
        <v>50.162340218449842</v>
      </c>
      <c r="CZ149" s="2">
        <f t="shared" si="74"/>
        <v>14.291705699072395</v>
      </c>
      <c r="DA149" s="2">
        <f t="shared" si="75"/>
        <v>11.550153144053928</v>
      </c>
    </row>
    <row r="150" spans="2:105" ht="18" customHeight="1" x14ac:dyDescent="0.25">
      <c r="B150" s="6"/>
      <c r="AN150" s="7"/>
      <c r="AP150" s="8"/>
      <c r="AR150" s="6"/>
      <c r="CD150" s="7"/>
      <c r="CF150" s="8"/>
      <c r="CK150" s="1">
        <f t="shared" si="71"/>
        <v>29.999999999999925</v>
      </c>
      <c r="CL150" s="1" t="str">
        <f t="shared" si="61"/>
        <v>0.0215973472222222+64.7920416666665i</v>
      </c>
      <c r="CM150" s="1" t="str">
        <f t="shared" si="62"/>
        <v>86.3893888888889</v>
      </c>
      <c r="CN150" s="1" t="str">
        <f t="shared" si="63"/>
        <v>-1.79977893518519i</v>
      </c>
      <c r="CO150" s="1" t="str">
        <f t="shared" si="64"/>
        <v>31.1040512172461+39.6538609085859i</v>
      </c>
      <c r="CP150" s="1" t="str">
        <f t="shared" si="65"/>
        <v>0.0191834803010191+14.3876102257643i</v>
      </c>
      <c r="CQ150" s="1" t="str">
        <f t="shared" si="66"/>
        <v>1.6680766468788+11.5067843022623i</v>
      </c>
      <c r="CR150" s="2">
        <f t="shared" si="67"/>
        <v>29.999999999999925</v>
      </c>
      <c r="CS150" s="2">
        <f t="shared" si="68"/>
        <v>0.2307078998053213</v>
      </c>
      <c r="CT150" s="1">
        <f t="shared" si="69"/>
        <v>29.999999999999925</v>
      </c>
      <c r="CU150" s="1">
        <f t="shared" si="70"/>
        <v>0.80812944062529013</v>
      </c>
      <c r="CX150" s="2">
        <f t="shared" si="72"/>
        <v>29.999999999999925</v>
      </c>
      <c r="CY150" s="2">
        <f t="shared" si="73"/>
        <v>50.397328174046535</v>
      </c>
      <c r="CZ150" s="2">
        <f t="shared" si="74"/>
        <v>14.387623014745484</v>
      </c>
      <c r="DA150" s="2">
        <f t="shared" si="75"/>
        <v>11.627061738833785</v>
      </c>
    </row>
    <row r="151" spans="2:105" ht="18" customHeight="1" x14ac:dyDescent="0.25">
      <c r="B151" s="6"/>
      <c r="AN151" s="9"/>
      <c r="AP151" s="8"/>
      <c r="AR151" s="6"/>
      <c r="CD151" s="9"/>
      <c r="CF151" s="8"/>
      <c r="CK151" s="1">
        <f t="shared" si="71"/>
        <v>30.199999999999925</v>
      </c>
      <c r="CL151" s="1" t="str">
        <f t="shared" si="61"/>
        <v>0.0215973472222222+65.223988611111i</v>
      </c>
      <c r="CM151" s="1" t="str">
        <f t="shared" si="62"/>
        <v>86.3893888888889</v>
      </c>
      <c r="CN151" s="1" t="str">
        <f t="shared" si="63"/>
        <v>-1.78785986938926i</v>
      </c>
      <c r="CO151" s="1" t="str">
        <f t="shared" si="64"/>
        <v>31.3689448989279+39.7421928298564i</v>
      </c>
      <c r="CP151" s="1" t="str">
        <f t="shared" si="65"/>
        <v>0.0191834803010191+14.4835276272694i</v>
      </c>
      <c r="CQ151" s="1" t="str">
        <f t="shared" si="66"/>
        <v>1.68877586259397+11.5814578500317i</v>
      </c>
      <c r="CR151" s="2">
        <f t="shared" si="67"/>
        <v>30.199999999999925</v>
      </c>
      <c r="CS151" s="2">
        <f t="shared" si="68"/>
        <v>0.23116352689859138</v>
      </c>
      <c r="CT151" s="1">
        <f t="shared" si="69"/>
        <v>30.199999999999925</v>
      </c>
      <c r="CU151" s="1">
        <f t="shared" si="70"/>
        <v>0.80808533291997064</v>
      </c>
      <c r="CX151" s="2">
        <f t="shared" si="72"/>
        <v>30.199999999999925</v>
      </c>
      <c r="CY151" s="2">
        <f t="shared" si="73"/>
        <v>50.630550016738546</v>
      </c>
      <c r="CZ151" s="2">
        <f t="shared" si="74"/>
        <v>14.483540331555417</v>
      </c>
      <c r="DA151" s="2">
        <f t="shared" si="75"/>
        <v>11.703936510684809</v>
      </c>
    </row>
    <row r="152" spans="2:105" ht="18" customHeight="1" thickBot="1" x14ac:dyDescent="0.3">
      <c r="B152" s="6"/>
      <c r="C152" s="10" t="str">
        <f>"Harmonic Filter Design - High-Pass (HP) Type | "&amp; H12 &amp; " | " &amp; AE13</f>
        <v>Harmonic Filter Design - High-Pass (HP) Type | Enter Customer PO #  | Stage 1</v>
      </c>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1"/>
      <c r="AO152" s="10"/>
      <c r="AP152" s="8"/>
      <c r="AR152" s="6"/>
      <c r="AS152" s="10" t="str">
        <f>"Harmonic Filter Design - High-Pass (HP) Type | "&amp; H12 &amp; " | " &amp; AE13</f>
        <v>Harmonic Filter Design - High-Pass (HP) Type | Enter Customer PO #  | Stage 1</v>
      </c>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1"/>
      <c r="CE152" s="10"/>
      <c r="CF152" s="8"/>
      <c r="CK152" s="1">
        <f t="shared" si="71"/>
        <v>30.399999999999924</v>
      </c>
      <c r="CL152" s="1" t="str">
        <f t="shared" si="61"/>
        <v>0.0215973472222222+65.6559355555554i</v>
      </c>
      <c r="CM152" s="1" t="str">
        <f t="shared" si="62"/>
        <v>86.3893888888889</v>
      </c>
      <c r="CN152" s="1" t="str">
        <f t="shared" si="63"/>
        <v>-1.77609763340644i</v>
      </c>
      <c r="CO152" s="1" t="str">
        <f t="shared" si="64"/>
        <v>31.6330472034191+39.8283209429065i</v>
      </c>
      <c r="CP152" s="1" t="str">
        <f t="shared" si="65"/>
        <v>0.0191834803010191+14.5794450287745i</v>
      </c>
      <c r="CQ152" s="1" t="str">
        <f t="shared" si="66"/>
        <v>1.70960327520397+11.6560702274027i</v>
      </c>
      <c r="CR152" s="2">
        <f t="shared" si="67"/>
        <v>30.399999999999924</v>
      </c>
      <c r="CS152" s="2">
        <f t="shared" si="68"/>
        <v>0.23162229878835738</v>
      </c>
      <c r="CT152" s="1">
        <f t="shared" si="69"/>
        <v>30.399999999999924</v>
      </c>
      <c r="CU152" s="1">
        <f t="shared" si="70"/>
        <v>0.80803948256236413</v>
      </c>
      <c r="CX152" s="2">
        <f t="shared" si="72"/>
        <v>30.399999999999924</v>
      </c>
      <c r="CY152" s="2">
        <f t="shared" si="73"/>
        <v>50.862017503289287</v>
      </c>
      <c r="CZ152" s="2">
        <f t="shared" si="74"/>
        <v>14.579457649479764</v>
      </c>
      <c r="DA152" s="2">
        <f t="shared" si="75"/>
        <v>11.780777415125531</v>
      </c>
    </row>
    <row r="153" spans="2:105" ht="18" customHeight="1" x14ac:dyDescent="0.25">
      <c r="B153" s="6"/>
      <c r="AN153" s="9"/>
      <c r="AP153" s="8"/>
      <c r="AR153" s="6"/>
      <c r="CD153" s="9"/>
      <c r="CF153" s="8"/>
      <c r="CK153" s="1">
        <f t="shared" si="71"/>
        <v>30.599999999999923</v>
      </c>
      <c r="CL153" s="1" t="str">
        <f t="shared" si="61"/>
        <v>0.0215973472222222+66.0878824999998i</v>
      </c>
      <c r="CM153" s="1" t="str">
        <f t="shared" si="62"/>
        <v>86.3893888888889</v>
      </c>
      <c r="CN153" s="1" t="str">
        <f t="shared" si="63"/>
        <v>-1.76448915214234i</v>
      </c>
      <c r="CO153" s="1" t="str">
        <f t="shared" si="64"/>
        <v>31.8963444894527+39.9122706234824i</v>
      </c>
      <c r="CP153" s="1" t="str">
        <f t="shared" si="65"/>
        <v>0.0191834803010191+14.6753624302796i</v>
      </c>
      <c r="CQ153" s="1" t="str">
        <f t="shared" si="66"/>
        <v>1.73055867009242+11.7306212366232i</v>
      </c>
      <c r="CR153" s="2">
        <f t="shared" si="67"/>
        <v>30.599999999999923</v>
      </c>
      <c r="CS153" s="2">
        <f t="shared" si="68"/>
        <v>0.23208416575814456</v>
      </c>
      <c r="CT153" s="1">
        <f t="shared" si="69"/>
        <v>30.599999999999923</v>
      </c>
      <c r="CU153" s="1">
        <f t="shared" si="70"/>
        <v>0.80799192046990886</v>
      </c>
      <c r="CX153" s="2">
        <f t="shared" si="72"/>
        <v>30.599999999999923</v>
      </c>
      <c r="CY153" s="2">
        <f t="shared" si="73"/>
        <v>51.091742367156904</v>
      </c>
      <c r="CZ153" s="2">
        <f t="shared" si="74"/>
        <v>14.675374968496664</v>
      </c>
      <c r="DA153" s="2">
        <f t="shared" si="75"/>
        <v>11.857584404411689</v>
      </c>
    </row>
    <row r="154" spans="2:105" ht="18" customHeight="1" x14ac:dyDescent="0.3">
      <c r="B154" s="6"/>
      <c r="AO154" s="17"/>
      <c r="AP154" s="8"/>
      <c r="AR154" s="6"/>
      <c r="AS154" s="154" t="s">
        <v>150</v>
      </c>
      <c r="AT154" s="154"/>
      <c r="AU154" s="154"/>
      <c r="AV154" s="154"/>
      <c r="AW154" s="154"/>
      <c r="AX154" s="154"/>
      <c r="AY154" s="154"/>
      <c r="AZ154" s="154"/>
      <c r="BA154" s="154"/>
      <c r="BB154" s="154"/>
      <c r="BC154" s="154"/>
      <c r="BD154" s="154"/>
      <c r="BE154" s="154"/>
      <c r="BF154" s="154"/>
      <c r="BG154" s="154"/>
      <c r="BH154" s="154"/>
      <c r="BI154" s="154"/>
      <c r="BJ154" s="154"/>
      <c r="BK154" s="154"/>
      <c r="BL154" s="154"/>
      <c r="BM154" s="154"/>
      <c r="BN154" s="154"/>
      <c r="BO154" s="154"/>
      <c r="BP154" s="154"/>
      <c r="BQ154" s="154"/>
      <c r="BR154" s="154"/>
      <c r="BS154" s="154"/>
      <c r="BT154" s="154"/>
      <c r="BU154" s="154"/>
      <c r="BV154" s="154"/>
      <c r="BW154" s="154"/>
      <c r="BX154" s="154"/>
      <c r="BY154" s="154"/>
      <c r="BZ154" s="154"/>
      <c r="CA154" s="154"/>
      <c r="CB154" s="154"/>
      <c r="CC154" s="154"/>
      <c r="CD154" s="154"/>
      <c r="CE154" s="154"/>
      <c r="CF154" s="8"/>
      <c r="CK154" s="1">
        <f t="shared" si="71"/>
        <v>30.799999999999923</v>
      </c>
      <c r="CL154" s="1" t="str">
        <f t="shared" si="61"/>
        <v>0.0215973472222222+66.5198294444443i</v>
      </c>
      <c r="CM154" s="1" t="str">
        <f t="shared" si="62"/>
        <v>86.3893888888889</v>
      </c>
      <c r="CN154" s="1" t="str">
        <f t="shared" si="63"/>
        <v>-1.75303143037519i</v>
      </c>
      <c r="CO154" s="1" t="str">
        <f t="shared" si="64"/>
        <v>32.1588235275855+39.99406712319i</v>
      </c>
      <c r="CP154" s="1" t="str">
        <f t="shared" si="65"/>
        <v>0.0191834803010191+14.7712798317847i</v>
      </c>
      <c r="CQ154" s="1" t="str">
        <f t="shared" si="66"/>
        <v>1.75164183223715+11.8051106772817i</v>
      </c>
      <c r="CR154" s="2">
        <f t="shared" si="67"/>
        <v>30.799999999999923</v>
      </c>
      <c r="CS154" s="2">
        <f t="shared" si="68"/>
        <v>0.2325490792422189</v>
      </c>
      <c r="CT154" s="1">
        <f t="shared" si="69"/>
        <v>30.799999999999923</v>
      </c>
      <c r="CU154" s="1">
        <f t="shared" si="70"/>
        <v>0.80794267654495877</v>
      </c>
      <c r="CX154" s="2">
        <f t="shared" si="72"/>
        <v>30.799999999999923</v>
      </c>
      <c r="CY154" s="2">
        <f t="shared" si="73"/>
        <v>51.319736317839883</v>
      </c>
      <c r="CZ154" s="2">
        <f t="shared" si="74"/>
        <v>14.771292288584839</v>
      </c>
      <c r="DA154" s="2">
        <f t="shared" si="75"/>
        <v>11.934357427667125</v>
      </c>
    </row>
    <row r="155" spans="2:105" ht="18" customHeight="1" x14ac:dyDescent="0.25">
      <c r="B155" s="6"/>
      <c r="AP155" s="8"/>
      <c r="AR155" s="6"/>
      <c r="AU155" s="177" t="s">
        <v>151</v>
      </c>
      <c r="AV155" s="177"/>
      <c r="AW155" s="177"/>
      <c r="AX155" s="177"/>
      <c r="AY155" s="177"/>
      <c r="AZ155" s="177"/>
      <c r="BA155" s="177"/>
      <c r="BB155" s="24" t="s">
        <v>152</v>
      </c>
      <c r="CF155" s="8"/>
      <c r="CK155" s="1">
        <f t="shared" si="71"/>
        <v>30.999999999999922</v>
      </c>
      <c r="CL155" s="1" t="str">
        <f t="shared" si="61"/>
        <v>0.0215973472222222+66.9517763888887i</v>
      </c>
      <c r="CM155" s="1" t="str">
        <f t="shared" si="62"/>
        <v>86.3893888888889</v>
      </c>
      <c r="CN155" s="1" t="str">
        <f t="shared" si="63"/>
        <v>-1.74172155017922i</v>
      </c>
      <c r="CO155" s="1" t="str">
        <f t="shared" si="64"/>
        <v>32.4204714945231+40.0737355661751i</v>
      </c>
      <c r="CP155" s="1" t="str">
        <f t="shared" si="65"/>
        <v>0.0191834803010191+14.8671972332898i</v>
      </c>
      <c r="CQ155" s="1" t="str">
        <f t="shared" si="66"/>
        <v>1.77285254618824+11.8795383464385i</v>
      </c>
      <c r="CR155" s="2">
        <f t="shared" si="67"/>
        <v>30.999999999999922</v>
      </c>
      <c r="CS155" s="2">
        <f t="shared" si="68"/>
        <v>0.23301699178325297</v>
      </c>
      <c r="CT155" s="1">
        <f t="shared" si="69"/>
        <v>30.999999999999922</v>
      </c>
      <c r="CU155" s="1">
        <f t="shared" si="70"/>
        <v>0.80789177971599802</v>
      </c>
      <c r="CX155" s="2">
        <f t="shared" si="72"/>
        <v>30.999999999999922</v>
      </c>
      <c r="CY155" s="2">
        <f t="shared" si="73"/>
        <v>51.54601104018537</v>
      </c>
      <c r="CZ155" s="2">
        <f t="shared" si="74"/>
        <v>14.867209609723556</v>
      </c>
      <c r="DA155" s="2">
        <f t="shared" si="75"/>
        <v>12.011096431010319</v>
      </c>
    </row>
    <row r="156" spans="2:105" ht="18" customHeight="1" x14ac:dyDescent="0.25">
      <c r="B156" s="6"/>
      <c r="AP156" s="8"/>
      <c r="AR156" s="6"/>
      <c r="AT156" s="24"/>
      <c r="AU156" s="177" t="s">
        <v>153</v>
      </c>
      <c r="AV156" s="177"/>
      <c r="AW156" s="177"/>
      <c r="AX156" s="177"/>
      <c r="AY156" s="177"/>
      <c r="AZ156" s="177"/>
      <c r="BA156" s="177"/>
      <c r="BB156" s="24" t="s">
        <v>154</v>
      </c>
      <c r="CF156" s="8"/>
      <c r="CK156" s="1">
        <f t="shared" si="71"/>
        <v>31.199999999999921</v>
      </c>
      <c r="CL156" s="1" t="str">
        <f t="shared" si="61"/>
        <v>0.0215973472222222+67.3837233333332i</v>
      </c>
      <c r="CM156" s="1" t="str">
        <f t="shared" si="62"/>
        <v>86.3893888888889</v>
      </c>
      <c r="CN156" s="1" t="str">
        <f t="shared" si="63"/>
        <v>-1.7305566684473i</v>
      </c>
      <c r="CO156" s="1" t="str">
        <f t="shared" si="64"/>
        <v>32.6812759674182+40.1513009458962i</v>
      </c>
      <c r="CP156" s="1" t="str">
        <f t="shared" si="65"/>
        <v>0.0191834803010191+14.9631146347949i</v>
      </c>
      <c r="CQ156" s="1" t="str">
        <f t="shared" si="66"/>
        <v>1.79419059604734+11.9539040387503i</v>
      </c>
      <c r="CR156" s="2">
        <f t="shared" si="67"/>
        <v>31.199999999999921</v>
      </c>
      <c r="CS156" s="2">
        <f t="shared" si="68"/>
        <v>0.23348785699197283</v>
      </c>
      <c r="CT156" s="1">
        <f t="shared" si="69"/>
        <v>31.199999999999921</v>
      </c>
      <c r="CU156" s="1">
        <f t="shared" si="70"/>
        <v>0.80783925797690836</v>
      </c>
      <c r="CX156" s="2">
        <f t="shared" si="72"/>
        <v>31.199999999999921</v>
      </c>
      <c r="CY156" s="2">
        <f t="shared" si="73"/>
        <v>51.770578193665862</v>
      </c>
      <c r="CZ156" s="2">
        <f t="shared" si="74"/>
        <v>14.963126931892605</v>
      </c>
      <c r="DA156" s="2">
        <f t="shared" si="75"/>
        <v>12.087801357674417</v>
      </c>
    </row>
    <row r="157" spans="2:105" ht="18" customHeight="1" x14ac:dyDescent="0.25">
      <c r="B157" s="6"/>
      <c r="AP157" s="8"/>
      <c r="AR157" s="6"/>
      <c r="AT157" s="24"/>
      <c r="AU157" s="177" t="s">
        <v>155</v>
      </c>
      <c r="AV157" s="177"/>
      <c r="AW157" s="177"/>
      <c r="AX157" s="177"/>
      <c r="AY157" s="177"/>
      <c r="AZ157" s="177"/>
      <c r="BA157" s="177"/>
      <c r="BB157" s="24" t="s">
        <v>156</v>
      </c>
      <c r="CF157" s="8"/>
      <c r="CK157" s="1">
        <f t="shared" si="71"/>
        <v>31.39999999999992</v>
      </c>
      <c r="CL157" s="1" t="str">
        <f t="shared" si="61"/>
        <v>0.0215973472222222+67.8156702777776i</v>
      </c>
      <c r="CM157" s="1" t="str">
        <f t="shared" si="62"/>
        <v>86.3893888888889</v>
      </c>
      <c r="CN157" s="1" t="str">
        <f t="shared" si="63"/>
        <v>-1.71953401450814i</v>
      </c>
      <c r="CO157" s="1" t="str">
        <f t="shared" si="64"/>
        <v>32.9412249181449+40.2267881219917i</v>
      </c>
      <c r="CP157" s="1" t="str">
        <f t="shared" si="65"/>
        <v>0.0191834803010191+15.0590320363i</v>
      </c>
      <c r="CQ157" s="1" t="str">
        <f t="shared" si="66"/>
        <v>1.81565576544831+12.0282075465901i</v>
      </c>
      <c r="CR157" s="2">
        <f t="shared" si="67"/>
        <v>31.39999999999992</v>
      </c>
      <c r="CS157" s="2">
        <f t="shared" si="68"/>
        <v>0.2339616295087048</v>
      </c>
      <c r="CT157" s="1">
        <f t="shared" si="69"/>
        <v>31.39999999999992</v>
      </c>
      <c r="CU157" s="1">
        <f t="shared" si="70"/>
        <v>0.80778513842439592</v>
      </c>
      <c r="CX157" s="2">
        <f t="shared" si="72"/>
        <v>31.39999999999992</v>
      </c>
      <c r="CY157" s="2">
        <f t="shared" si="73"/>
        <v>51.993449411627068</v>
      </c>
      <c r="CZ157" s="2">
        <f t="shared" si="74"/>
        <v>15.059044255072305</v>
      </c>
      <c r="DA157" s="2">
        <f t="shared" si="75"/>
        <v>12.164472148122693</v>
      </c>
    </row>
    <row r="158" spans="2:105" ht="18" customHeight="1" x14ac:dyDescent="0.25">
      <c r="B158" s="6"/>
      <c r="AP158" s="8"/>
      <c r="AR158" s="6"/>
      <c r="AT158" s="24"/>
      <c r="AU158" s="177" t="s">
        <v>157</v>
      </c>
      <c r="AV158" s="177"/>
      <c r="AW158" s="177"/>
      <c r="AX158" s="177"/>
      <c r="AY158" s="177"/>
      <c r="AZ158" s="177"/>
      <c r="BA158" s="177"/>
      <c r="BB158" s="24" t="s">
        <v>158</v>
      </c>
      <c r="CF158" s="8"/>
      <c r="CK158" s="1">
        <f t="shared" si="71"/>
        <v>31.59999999999992</v>
      </c>
      <c r="CL158" s="1" t="str">
        <f t="shared" si="61"/>
        <v>0.0215973472222222+68.2476172222221i</v>
      </c>
      <c r="CM158" s="1" t="str">
        <f t="shared" si="62"/>
        <v>86.3893888888889</v>
      </c>
      <c r="CN158" s="1" t="str">
        <f t="shared" si="63"/>
        <v>-1.70865088783404i</v>
      </c>
      <c r="CO158" s="1" t="str">
        <f t="shared" si="64"/>
        <v>33.2003067075559+40.3002218172428i</v>
      </c>
      <c r="CP158" s="1" t="str">
        <f t="shared" si="65"/>
        <v>0.0191834803010191+15.1549494378051i</v>
      </c>
      <c r="CQ158" s="1" t="str">
        <f t="shared" si="66"/>
        <v>1.83724783753896+12.1024486601622i</v>
      </c>
      <c r="CR158" s="2">
        <f t="shared" si="67"/>
        <v>31.59999999999992</v>
      </c>
      <c r="CS158" s="2">
        <f t="shared" si="68"/>
        <v>0.23443826496669853</v>
      </c>
      <c r="CT158" s="1">
        <f t="shared" si="69"/>
        <v>31.59999999999992</v>
      </c>
      <c r="CU158" s="1">
        <f t="shared" si="70"/>
        <v>0.80772944729367779</v>
      </c>
      <c r="CX158" s="2">
        <f t="shared" si="72"/>
        <v>31.59999999999992</v>
      </c>
      <c r="CY158" s="2">
        <f t="shared" si="73"/>
        <v>52.214636300512083</v>
      </c>
      <c r="CZ158" s="2">
        <f t="shared" si="74"/>
        <v>15.154961579243466</v>
      </c>
      <c r="DA158" s="2">
        <f t="shared" si="75"/>
        <v>12.241108740159259</v>
      </c>
    </row>
    <row r="159" spans="2:105" ht="18" customHeight="1" x14ac:dyDescent="0.25">
      <c r="B159" s="6"/>
      <c r="AP159" s="8"/>
      <c r="AR159" s="6"/>
      <c r="AT159" s="24"/>
      <c r="AU159" s="177" t="s">
        <v>65</v>
      </c>
      <c r="AV159" s="177"/>
      <c r="AW159" s="177"/>
      <c r="AX159" s="177"/>
      <c r="AY159" s="177"/>
      <c r="AZ159" s="177"/>
      <c r="BA159" s="177"/>
      <c r="BB159" s="24" t="s">
        <v>159</v>
      </c>
      <c r="CF159" s="8"/>
      <c r="CK159" s="1">
        <f t="shared" si="71"/>
        <v>31.799999999999919</v>
      </c>
      <c r="CL159" s="1" t="str">
        <f t="shared" si="61"/>
        <v>0.0215973472222222+68.6795641666665i</v>
      </c>
      <c r="CM159" s="1" t="str">
        <f t="shared" si="62"/>
        <v>86.3893888888889</v>
      </c>
      <c r="CN159" s="1" t="str">
        <f t="shared" si="63"/>
        <v>-1.69790465583509i</v>
      </c>
      <c r="CO159" s="1" t="str">
        <f t="shared" si="64"/>
        <v>33.4585100797244+40.371626614633i</v>
      </c>
      <c r="CP159" s="1" t="str">
        <f t="shared" si="65"/>
        <v>0.0191834803010191+15.2508668393102i</v>
      </c>
      <c r="CQ159" s="1" t="str">
        <f t="shared" si="66"/>
        <v>1.85896659496376+12.1766271676123i</v>
      </c>
      <c r="CR159" s="2">
        <f t="shared" si="67"/>
        <v>31.799999999999919</v>
      </c>
      <c r="CS159" s="2">
        <f t="shared" si="68"/>
        <v>0.23491771995714836</v>
      </c>
      <c r="CT159" s="1">
        <f t="shared" si="69"/>
        <v>31.799999999999919</v>
      </c>
      <c r="CU159" s="1">
        <f t="shared" si="70"/>
        <v>0.8076722099925262</v>
      </c>
      <c r="CX159" s="2">
        <f t="shared" si="72"/>
        <v>31.799999999999919</v>
      </c>
      <c r="CY159" s="2">
        <f t="shared" si="73"/>
        <v>52.434150439063686</v>
      </c>
      <c r="CZ159" s="2">
        <f t="shared" si="74"/>
        <v>15.250878904387379</v>
      </c>
      <c r="DA159" s="2">
        <f t="shared" si="75"/>
        <v>12.317711069034909</v>
      </c>
    </row>
    <row r="160" spans="2:105" ht="18" customHeight="1" x14ac:dyDescent="0.25">
      <c r="B160" s="6"/>
      <c r="AP160" s="8"/>
      <c r="AR160" s="6"/>
      <c r="AT160" s="24"/>
      <c r="AU160" s="177" t="s">
        <v>160</v>
      </c>
      <c r="AV160" s="177"/>
      <c r="AW160" s="177"/>
      <c r="AX160" s="177"/>
      <c r="AY160" s="177"/>
      <c r="AZ160" s="177"/>
      <c r="BA160" s="177"/>
      <c r="BB160" s="24" t="s">
        <v>161</v>
      </c>
      <c r="CF160" s="8"/>
      <c r="CK160" s="1">
        <f t="shared" si="71"/>
        <v>31.999999999999918</v>
      </c>
      <c r="CL160" s="1" t="str">
        <f t="shared" si="61"/>
        <v>0.0215973472222222+69.111511111111i</v>
      </c>
      <c r="CM160" s="1" t="str">
        <f t="shared" si="62"/>
        <v>86.3893888888889</v>
      </c>
      <c r="CN160" s="1" t="str">
        <f t="shared" si="63"/>
        <v>-1.68729275173612i</v>
      </c>
      <c r="CO160" s="1" t="str">
        <f t="shared" si="64"/>
        <v>33.7158241561773+40.4410269545065i</v>
      </c>
      <c r="CP160" s="1" t="str">
        <f t="shared" si="65"/>
        <v>0.0191834803010191+15.3467842408153i</v>
      </c>
      <c r="CQ160" s="1" t="str">
        <f t="shared" si="66"/>
        <v>1.88081181984781+12.2507428551334i</v>
      </c>
      <c r="CR160" s="2">
        <f t="shared" si="67"/>
        <v>31.999999999999918</v>
      </c>
      <c r="CS160" s="2">
        <f t="shared" si="68"/>
        <v>0.23539995199580399</v>
      </c>
      <c r="CT160" s="1">
        <f t="shared" si="69"/>
        <v>31.999999999999918</v>
      </c>
      <c r="CU160" s="1">
        <f t="shared" si="70"/>
        <v>0.8076134511337395</v>
      </c>
      <c r="CX160" s="2">
        <f t="shared" si="72"/>
        <v>31.999999999999918</v>
      </c>
      <c r="CY160" s="2">
        <f t="shared" si="73"/>
        <v>52.652003377510624</v>
      </c>
      <c r="CZ160" s="2">
        <f t="shared" si="74"/>
        <v>15.346796230485806</v>
      </c>
      <c r="DA160" s="2">
        <f t="shared" si="75"/>
        <v>12.394279067548919</v>
      </c>
    </row>
    <row r="161" spans="2:105" ht="18" customHeight="1" x14ac:dyDescent="0.25">
      <c r="B161" s="6"/>
      <c r="AP161" s="8"/>
      <c r="AR161" s="6"/>
      <c r="AT161" s="24"/>
      <c r="AU161" s="177" t="s">
        <v>162</v>
      </c>
      <c r="AV161" s="177"/>
      <c r="AW161" s="177"/>
      <c r="AX161" s="177"/>
      <c r="AY161" s="177"/>
      <c r="AZ161" s="177"/>
      <c r="BA161" s="177"/>
      <c r="BB161" s="24" t="s">
        <v>163</v>
      </c>
      <c r="CF161" s="8"/>
      <c r="CK161" s="1">
        <f t="shared" si="71"/>
        <v>32.199999999999918</v>
      </c>
      <c r="CL161" s="1" t="str">
        <f t="shared" si="61"/>
        <v>0.0215973472222222+69.5434580555554i</v>
      </c>
      <c r="CM161" s="1" t="str">
        <f t="shared" si="62"/>
        <v>86.3893888888889</v>
      </c>
      <c r="CN161" s="1" t="str">
        <f t="shared" si="63"/>
        <v>-1.67681267253279i</v>
      </c>
      <c r="CO161" s="1" t="str">
        <f t="shared" si="64"/>
        <v>33.9722384301216+40.5084471318237i</v>
      </c>
      <c r="CP161" s="1" t="str">
        <f t="shared" si="65"/>
        <v>0.0191834803010191+15.4427016423204i</v>
      </c>
      <c r="CQ161" s="1" t="str">
        <f t="shared" si="66"/>
        <v>1.90278329378163+12.3247955070667i</v>
      </c>
      <c r="CR161" s="2">
        <f t="shared" si="67"/>
        <v>32.199999999999918</v>
      </c>
      <c r="CS161" s="2">
        <f t="shared" si="68"/>
        <v>0.23588491949110518</v>
      </c>
      <c r="CT161" s="1">
        <f t="shared" si="69"/>
        <v>32.199999999999918</v>
      </c>
      <c r="CU161" s="1">
        <f t="shared" si="70"/>
        <v>0.80755319456614327</v>
      </c>
      <c r="CX161" s="2">
        <f t="shared" si="72"/>
        <v>32.199999999999918</v>
      </c>
      <c r="CY161" s="2">
        <f t="shared" si="73"/>
        <v>52.868206636737611</v>
      </c>
      <c r="CZ161" s="2">
        <f t="shared" si="74"/>
        <v>15.44271355752096</v>
      </c>
      <c r="DA161" s="2">
        <f t="shared" si="75"/>
        <v>12.470812666145937</v>
      </c>
    </row>
    <row r="162" spans="2:105" ht="18" customHeight="1" x14ac:dyDescent="0.25">
      <c r="B162" s="6"/>
      <c r="AP162" s="8"/>
      <c r="AR162" s="6"/>
      <c r="AT162" s="24"/>
      <c r="AU162" s="177" t="s">
        <v>164</v>
      </c>
      <c r="AV162" s="177"/>
      <c r="AW162" s="177"/>
      <c r="AX162" s="177"/>
      <c r="AY162" s="177"/>
      <c r="AZ162" s="177"/>
      <c r="BA162" s="177"/>
      <c r="BB162" s="24" t="s">
        <v>165</v>
      </c>
      <c r="CF162" s="8"/>
      <c r="CK162" s="1">
        <f t="shared" si="71"/>
        <v>32.39999999999992</v>
      </c>
      <c r="CL162" s="1" t="str">
        <f t="shared" si="61"/>
        <v>0.0215973472222222+69.9754049999998i</v>
      </c>
      <c r="CM162" s="1" t="str">
        <f t="shared" si="62"/>
        <v>86.3893888888889</v>
      </c>
      <c r="CN162" s="1" t="str">
        <f t="shared" si="63"/>
        <v>-1.66646197702332i</v>
      </c>
      <c r="CO162" s="1" t="str">
        <f t="shared" si="64"/>
        <v>34.2277427606694+40.5739112935167i</v>
      </c>
      <c r="CP162" s="1" t="str">
        <f t="shared" si="65"/>
        <v>0.0191834803010191+15.5386190438255i</v>
      </c>
      <c r="CQ162" s="1" t="str">
        <f t="shared" si="66"/>
        <v>1.92488079780692+12.3987849059996i</v>
      </c>
      <c r="CR162" s="2">
        <f t="shared" si="67"/>
        <v>32.39999999999992</v>
      </c>
      <c r="CS162" s="2">
        <f t="shared" si="68"/>
        <v>0.23637258171374376</v>
      </c>
      <c r="CT162" s="1">
        <f t="shared" si="69"/>
        <v>32.39999999999992</v>
      </c>
      <c r="CU162" s="1">
        <f t="shared" si="70"/>
        <v>0.80749146340418154</v>
      </c>
      <c r="CX162" s="2">
        <f t="shared" si="72"/>
        <v>32.39999999999992</v>
      </c>
      <c r="CY162" s="2">
        <f t="shared" si="73"/>
        <v>53.082771707444955</v>
      </c>
      <c r="CZ162" s="2">
        <f t="shared" si="74"/>
        <v>15.538630885475497</v>
      </c>
      <c r="DA162" s="2">
        <f t="shared" si="75"/>
        <v>12.547311793010058</v>
      </c>
    </row>
    <row r="163" spans="2:105" ht="18" customHeight="1" x14ac:dyDescent="0.25">
      <c r="B163" s="6"/>
      <c r="AP163" s="8"/>
      <c r="AR163" s="6"/>
      <c r="AT163" s="24"/>
      <c r="AU163" s="177" t="s">
        <v>166</v>
      </c>
      <c r="AV163" s="177"/>
      <c r="AW163" s="177"/>
      <c r="AX163" s="177"/>
      <c r="AY163" s="177"/>
      <c r="AZ163" s="177"/>
      <c r="BA163" s="177"/>
      <c r="BB163" s="24" t="s">
        <v>167</v>
      </c>
      <c r="CF163" s="8"/>
      <c r="CK163" s="1">
        <f t="shared" si="71"/>
        <v>32.599999999999923</v>
      </c>
      <c r="CL163" s="1" t="str">
        <f t="shared" si="61"/>
        <v>0.0215973472222222+70.4073519444443i</v>
      </c>
      <c r="CM163" s="1" t="str">
        <f t="shared" si="62"/>
        <v>86.3893888888889</v>
      </c>
      <c r="CN163" s="1" t="str">
        <f t="shared" si="63"/>
        <v>-1.65623828391275i</v>
      </c>
      <c r="CO163" s="1" t="str">
        <f t="shared" si="64"/>
        <v>34.4823273670641+40.6374434359445i</v>
      </c>
      <c r="CP163" s="1" t="str">
        <f t="shared" si="65"/>
        <v>0.0191834803010191+15.6345364453306i</v>
      </c>
      <c r="CQ163" s="1" t="str">
        <f t="shared" si="66"/>
        <v>1.9471041124032+12.4727108328587i</v>
      </c>
      <c r="CR163" s="2">
        <f t="shared" si="67"/>
        <v>32.599999999999923</v>
      </c>
      <c r="CS163" s="2">
        <f t="shared" si="68"/>
        <v>0.23686289876758904</v>
      </c>
      <c r="CT163" s="1">
        <f t="shared" si="69"/>
        <v>32.599999999999923</v>
      </c>
      <c r="CU163" s="1">
        <f t="shared" si="70"/>
        <v>0.80742828005618139</v>
      </c>
      <c r="CX163" s="2">
        <f t="shared" si="72"/>
        <v>32.599999999999923</v>
      </c>
      <c r="CY163" s="2">
        <f t="shared" si="73"/>
        <v>53.295710049299146</v>
      </c>
      <c r="CZ163" s="2">
        <f t="shared" si="74"/>
        <v>15.634548214332492</v>
      </c>
      <c r="DA163" s="2">
        <f t="shared" si="75"/>
        <v>12.623776374153982</v>
      </c>
    </row>
    <row r="164" spans="2:105" ht="18" customHeight="1" x14ac:dyDescent="0.25">
      <c r="B164" s="6"/>
      <c r="AP164" s="8"/>
      <c r="AR164" s="6"/>
      <c r="AT164" s="24"/>
      <c r="AU164" s="177" t="s">
        <v>168</v>
      </c>
      <c r="AV164" s="177"/>
      <c r="AW164" s="177"/>
      <c r="AX164" s="177"/>
      <c r="AY164" s="177"/>
      <c r="AZ164" s="177"/>
      <c r="BA164" s="177"/>
      <c r="BB164" s="24" t="s">
        <v>292</v>
      </c>
      <c r="CF164" s="8"/>
      <c r="CK164" s="1">
        <f t="shared" si="71"/>
        <v>32.799999999999926</v>
      </c>
      <c r="CL164" s="1" t="str">
        <f t="shared" si="61"/>
        <v>0.0215973472222222+70.8392988888887i</v>
      </c>
      <c r="CM164" s="1" t="str">
        <f t="shared" si="62"/>
        <v>86.3893888888889</v>
      </c>
      <c r="CN164" s="1" t="str">
        <f t="shared" si="63"/>
        <v>-1.64613926998645i</v>
      </c>
      <c r="CO164" s="1" t="str">
        <f t="shared" si="64"/>
        <v>34.7359828229116+40.6990674024468i</v>
      </c>
      <c r="CP164" s="1" t="str">
        <f t="shared" si="65"/>
        <v>0.0191834803010191+15.7304538468357i</v>
      </c>
      <c r="CQ164" s="1" t="str">
        <f t="shared" si="66"/>
        <v>1.96945301747529+12.5465730669998i</v>
      </c>
      <c r="CR164" s="2">
        <f t="shared" si="67"/>
        <v>32.799999999999926</v>
      </c>
      <c r="CS164" s="2">
        <f t="shared" si="68"/>
        <v>0.23735583156190329</v>
      </c>
      <c r="CT164" s="1">
        <f t="shared" si="69"/>
        <v>32.799999999999926</v>
      </c>
      <c r="CU164" s="1">
        <f t="shared" si="70"/>
        <v>0.80736366625135181</v>
      </c>
      <c r="CX164" s="2">
        <f t="shared" si="72"/>
        <v>32.799999999999926</v>
      </c>
      <c r="CY164" s="2">
        <f t="shared" si="73"/>
        <v>53.507033090076277</v>
      </c>
      <c r="CZ164" s="2">
        <f t="shared" si="74"/>
        <v>15.730465544075434</v>
      </c>
      <c r="DA164" s="2">
        <f t="shared" si="75"/>
        <v>12.700206333505266</v>
      </c>
    </row>
    <row r="165" spans="2:105" ht="18" customHeight="1" x14ac:dyDescent="0.25">
      <c r="B165" s="6"/>
      <c r="AP165" s="8"/>
      <c r="AR165" s="6"/>
      <c r="AT165" s="24"/>
      <c r="AU165" s="177" t="s">
        <v>169</v>
      </c>
      <c r="AV165" s="177"/>
      <c r="AW165" s="177"/>
      <c r="AX165" s="177"/>
      <c r="AY165" s="177"/>
      <c r="AZ165" s="177"/>
      <c r="BA165" s="177"/>
      <c r="BB165" s="24" t="s">
        <v>170</v>
      </c>
      <c r="CF165" s="8"/>
      <c r="CK165" s="1">
        <f t="shared" si="71"/>
        <v>32.999999999999929</v>
      </c>
      <c r="CL165" s="1" t="str">
        <f t="shared" si="61"/>
        <v>0.0215973472222222+71.2712458333332i</v>
      </c>
      <c r="CM165" s="1" t="str">
        <f t="shared" si="62"/>
        <v>86.3893888888889</v>
      </c>
      <c r="CN165" s="1" t="str">
        <f t="shared" si="63"/>
        <v>-1.63616266835017i</v>
      </c>
      <c r="CO165" s="1" t="str">
        <f t="shared" si="64"/>
        <v>34.9887000504217+40.7588068809978i</v>
      </c>
      <c r="CP165" s="1" t="str">
        <f t="shared" si="65"/>
        <v>0.0191834803010191+15.8263712483408i</v>
      </c>
      <c r="CQ165" s="1" t="str">
        <f t="shared" si="66"/>
        <v>1.99192729234164+12.6203713862946i</v>
      </c>
      <c r="CR165" s="2">
        <f t="shared" si="67"/>
        <v>32.999999999999929</v>
      </c>
      <c r="CS165" s="2">
        <f t="shared" si="68"/>
        <v>0.23785134178477019</v>
      </c>
      <c r="CT165" s="1">
        <f t="shared" si="69"/>
        <v>32.999999999999929</v>
      </c>
      <c r="CU165" s="1">
        <f t="shared" si="70"/>
        <v>0.80729764306558693</v>
      </c>
      <c r="CX165" s="2">
        <f t="shared" si="72"/>
        <v>32.999999999999929</v>
      </c>
      <c r="CY165" s="2">
        <f t="shared" si="73"/>
        <v>53.716752224802768</v>
      </c>
      <c r="CZ165" s="2">
        <f t="shared" si="74"/>
        <v>15.826382874688226</v>
      </c>
      <c r="DA165" s="2">
        <f t="shared" si="75"/>
        <v>12.77660159298939</v>
      </c>
    </row>
    <row r="166" spans="2:105" ht="18" customHeight="1" x14ac:dyDescent="0.25">
      <c r="B166" s="6"/>
      <c r="AP166" s="8"/>
      <c r="AR166" s="6"/>
      <c r="AT166" s="177" t="s">
        <v>51</v>
      </c>
      <c r="AU166" s="177"/>
      <c r="AV166" s="177"/>
      <c r="AW166" s="177"/>
      <c r="AX166" s="177"/>
      <c r="AY166" s="177"/>
      <c r="AZ166" s="177"/>
      <c r="BA166" s="177"/>
      <c r="BB166" s="24" t="s">
        <v>171</v>
      </c>
      <c r="CF166" s="8"/>
      <c r="CK166" s="1">
        <f t="shared" si="71"/>
        <v>33.199999999999932</v>
      </c>
      <c r="CL166" s="1" t="str">
        <f t="shared" si="61"/>
        <v>0.0215973472222222+71.7031927777776i</v>
      </c>
      <c r="CM166" s="1" t="str">
        <f t="shared" si="62"/>
        <v>86.3893888888889</v>
      </c>
      <c r="CN166" s="1" t="str">
        <f t="shared" si="63"/>
        <v>-1.6263062667336i</v>
      </c>
      <c r="CO166" s="1" t="str">
        <f t="shared" si="64"/>
        <v>35.2404703146591+40.8166854019599i</v>
      </c>
      <c r="CP166" s="1" t="str">
        <f t="shared" si="65"/>
        <v>0.0191834803010191+15.9222886498459i</v>
      </c>
      <c r="CQ166" s="1" t="str">
        <f t="shared" si="66"/>
        <v>2.01452671572319+12.6941055672129i</v>
      </c>
      <c r="CR166" s="2">
        <f t="shared" si="67"/>
        <v>33.199999999999932</v>
      </c>
      <c r="CS166" s="2">
        <f t="shared" si="68"/>
        <v>0.23834939187769619</v>
      </c>
      <c r="CT166" s="1">
        <f t="shared" si="69"/>
        <v>33.199999999999932</v>
      </c>
      <c r="CU166" s="1">
        <f t="shared" si="70"/>
        <v>0.80723023094613455</v>
      </c>
      <c r="CX166" s="2">
        <f t="shared" si="72"/>
        <v>33.199999999999932</v>
      </c>
      <c r="CY166" s="2">
        <f t="shared" si="73"/>
        <v>53.924878814893368</v>
      </c>
      <c r="CZ166" s="2">
        <f t="shared" si="74"/>
        <v>15.922300206155141</v>
      </c>
      <c r="DA166" s="2">
        <f t="shared" si="75"/>
        <v>12.852962072608321</v>
      </c>
    </row>
    <row r="167" spans="2:105" ht="18" customHeight="1" x14ac:dyDescent="0.25">
      <c r="B167" s="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8"/>
      <c r="AR167" s="6"/>
      <c r="AT167" s="24"/>
      <c r="AU167" s="177" t="s">
        <v>172</v>
      </c>
      <c r="AV167" s="177"/>
      <c r="AW167" s="177"/>
      <c r="AX167" s="177"/>
      <c r="AY167" s="177"/>
      <c r="AZ167" s="177"/>
      <c r="BA167" s="177"/>
      <c r="BB167" s="24" t="s">
        <v>173</v>
      </c>
      <c r="CF167" s="8"/>
      <c r="CK167" s="1">
        <f t="shared" si="71"/>
        <v>33.399999999999935</v>
      </c>
      <c r="CL167" s="1" t="str">
        <f t="shared" si="61"/>
        <v>0.0215973472222222+72.1351397222221i</v>
      </c>
      <c r="CM167" s="1" t="str">
        <f t="shared" si="62"/>
        <v>86.3893888888889</v>
      </c>
      <c r="CN167" s="1" t="str">
        <f t="shared" si="63"/>
        <v>-1.61656790585496i</v>
      </c>
      <c r="CO167" s="1" t="str">
        <f t="shared" si="64"/>
        <v>35.4912852178116+40.872726335934i</v>
      </c>
      <c r="CP167" s="1" t="str">
        <f t="shared" si="65"/>
        <v>0.0191834803010191+16.018206051351i</v>
      </c>
      <c r="CQ167" s="1" t="str">
        <f t="shared" si="66"/>
        <v>2.03725106573331+12.767775384903i</v>
      </c>
      <c r="CR167" s="2">
        <f t="shared" si="67"/>
        <v>33.399999999999935</v>
      </c>
      <c r="CS167" s="2">
        <f t="shared" si="68"/>
        <v>0.23884994501130277</v>
      </c>
      <c r="CT167" s="1">
        <f t="shared" si="69"/>
        <v>33.399999999999935</v>
      </c>
      <c r="CU167" s="1">
        <f t="shared" si="70"/>
        <v>0.80716144973517434</v>
      </c>
      <c r="CX167" s="2">
        <f t="shared" si="72"/>
        <v>33.399999999999935</v>
      </c>
      <c r="CY167" s="2">
        <f t="shared" si="73"/>
        <v>54.131424187288893</v>
      </c>
      <c r="CZ167" s="2">
        <f t="shared" si="74"/>
        <v>16.018217538460835</v>
      </c>
      <c r="DA167" s="2">
        <f t="shared" si="75"/>
        <v>12.929287690517466</v>
      </c>
    </row>
    <row r="168" spans="2:105" ht="18" customHeight="1" x14ac:dyDescent="0.3">
      <c r="B168" s="6"/>
      <c r="C168" s="30" t="s">
        <v>174</v>
      </c>
      <c r="AP168" s="8"/>
      <c r="AR168" s="6"/>
      <c r="AT168" s="24"/>
      <c r="AU168" s="177" t="s">
        <v>53</v>
      </c>
      <c r="AV168" s="177"/>
      <c r="AW168" s="177"/>
      <c r="AX168" s="177"/>
      <c r="AY168" s="177"/>
      <c r="AZ168" s="177"/>
      <c r="BA168" s="177"/>
      <c r="BB168" s="24" t="s">
        <v>175</v>
      </c>
      <c r="CF168" s="8"/>
      <c r="CK168" s="1">
        <f t="shared" si="71"/>
        <v>33.599999999999937</v>
      </c>
      <c r="CL168" s="1" t="str">
        <f t="shared" si="61"/>
        <v>0.0215973472222222+72.5670866666666i</v>
      </c>
      <c r="CM168" s="1" t="str">
        <f t="shared" si="62"/>
        <v>86.3893888888889</v>
      </c>
      <c r="CN168" s="1" t="str">
        <f t="shared" si="63"/>
        <v>-1.60694547784392i</v>
      </c>
      <c r="CO168" s="1" t="str">
        <f t="shared" si="64"/>
        <v>35.7411366934752+40.9269528917113i</v>
      </c>
      <c r="CP168" s="1" t="str">
        <f t="shared" si="65"/>
        <v>0.0191834803010191+16.1141234528561i</v>
      </c>
      <c r="CQ168" s="1" t="str">
        <f t="shared" si="66"/>
        <v>2.06010011986807+12.8413806132683i</v>
      </c>
      <c r="CR168" s="2">
        <f t="shared" si="67"/>
        <v>33.599999999999937</v>
      </c>
      <c r="CS168" s="2">
        <f t="shared" si="68"/>
        <v>0.23935296506206244</v>
      </c>
      <c r="CT168" s="1">
        <f t="shared" si="69"/>
        <v>33.599999999999937</v>
      </c>
      <c r="CU168" s="1">
        <f t="shared" si="70"/>
        <v>0.80709131869238371</v>
      </c>
      <c r="CX168" s="2">
        <f t="shared" si="72"/>
        <v>33.599999999999937</v>
      </c>
      <c r="CY168" s="2">
        <f t="shared" si="73"/>
        <v>54.336399633597694</v>
      </c>
      <c r="CZ168" s="2">
        <f t="shared" si="74"/>
        <v>16.114134871590327</v>
      </c>
      <c r="DA168" s="2">
        <f t="shared" si="75"/>
        <v>13.005578363098788</v>
      </c>
    </row>
    <row r="169" spans="2:105" ht="18" customHeight="1" x14ac:dyDescent="0.25">
      <c r="B169" s="6"/>
      <c r="AP169" s="8"/>
      <c r="AR169" s="6"/>
      <c r="AT169" s="24"/>
      <c r="AU169" s="177" t="s">
        <v>176</v>
      </c>
      <c r="AV169" s="177"/>
      <c r="AW169" s="177"/>
      <c r="AX169" s="177"/>
      <c r="AY169" s="177"/>
      <c r="AZ169" s="177"/>
      <c r="BA169" s="177"/>
      <c r="BB169" s="24" t="s">
        <v>177</v>
      </c>
      <c r="CF169" s="8"/>
      <c r="CK169" s="1">
        <f t="shared" si="71"/>
        <v>33.79999999999994</v>
      </c>
      <c r="CL169" s="1" t="str">
        <f t="shared" si="61"/>
        <v>0.0215973472222222+72.999033611111i</v>
      </c>
      <c r="CM169" s="1" t="str">
        <f t="shared" si="62"/>
        <v>86.3893888888889</v>
      </c>
      <c r="CN169" s="1" t="str">
        <f t="shared" si="63"/>
        <v>-1.59743692472058i</v>
      </c>
      <c r="CO169" s="1" t="str">
        <f t="shared" si="64"/>
        <v>35.9900170009605+40.9793881143191i</v>
      </c>
      <c r="CP169" s="1" t="str">
        <f t="shared" si="65"/>
        <v>0.0191834803010191+16.2100408543612i</v>
      </c>
      <c r="CQ169" s="1" t="str">
        <f t="shared" si="66"/>
        <v>2.08307365499737+12.914921025041i</v>
      </c>
      <c r="CR169" s="2">
        <f t="shared" si="67"/>
        <v>33.79999999999994</v>
      </c>
      <c r="CS169" s="2">
        <f t="shared" si="68"/>
        <v>0.23985841659003679</v>
      </c>
      <c r="CT169" s="1">
        <f t="shared" si="69"/>
        <v>33.79999999999994</v>
      </c>
      <c r="CU169" s="1">
        <f t="shared" si="70"/>
        <v>0.80701985651651331</v>
      </c>
      <c r="CX169" s="2">
        <f t="shared" si="72"/>
        <v>33.79999999999994</v>
      </c>
      <c r="CY169" s="2">
        <f t="shared" si="73"/>
        <v>54.539816409238334</v>
      </c>
      <c r="CZ169" s="2">
        <f t="shared" si="74"/>
        <v>16.210052205529003</v>
      </c>
      <c r="DA169" s="2">
        <f t="shared" si="75"/>
        <v>13.081834005031181</v>
      </c>
    </row>
    <row r="170" spans="2:105" ht="18" customHeight="1" x14ac:dyDescent="0.25">
      <c r="B170" s="6"/>
      <c r="C170" s="163" t="s">
        <v>293</v>
      </c>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163"/>
      <c r="AB170" s="163"/>
      <c r="AC170" s="163"/>
      <c r="AD170" s="163"/>
      <c r="AE170" s="163"/>
      <c r="AF170" s="163"/>
      <c r="AG170" s="163"/>
      <c r="AH170" s="163"/>
      <c r="AI170" s="163"/>
      <c r="AJ170" s="163"/>
      <c r="AK170" s="163"/>
      <c r="AL170" s="163"/>
      <c r="AM170" s="163"/>
      <c r="AN170" s="163"/>
      <c r="AP170" s="8"/>
      <c r="AR170" s="6"/>
      <c r="AT170" s="24"/>
      <c r="BA170" s="32" t="s">
        <v>178</v>
      </c>
      <c r="BB170" s="24" t="s">
        <v>285</v>
      </c>
      <c r="BC170" s="23"/>
      <c r="BD170" s="23"/>
      <c r="BE170" s="23"/>
      <c r="BF170" s="23"/>
      <c r="BH170" s="23"/>
      <c r="BI170" s="23"/>
      <c r="BJ170" s="23"/>
      <c r="BK170" s="23"/>
      <c r="BL170" s="23"/>
      <c r="BM170" s="23"/>
      <c r="BN170" s="23"/>
      <c r="BO170" s="23"/>
      <c r="BP170" s="23"/>
      <c r="BQ170" s="23"/>
      <c r="CF170" s="8"/>
      <c r="CK170" s="1">
        <f t="shared" si="71"/>
        <v>33.999999999999943</v>
      </c>
      <c r="CL170" s="1" t="str">
        <f t="shared" si="61"/>
        <v>0.0215973472222222+73.4309805555555i</v>
      </c>
      <c r="CM170" s="1" t="str">
        <f t="shared" si="62"/>
        <v>86.3893888888889</v>
      </c>
      <c r="CN170" s="1" t="str">
        <f t="shared" si="63"/>
        <v>-1.58804023692811i</v>
      </c>
      <c r="CO170" s="1" t="str">
        <f t="shared" si="64"/>
        <v>36.2379187196235+41.0300548831674i</v>
      </c>
      <c r="CP170" s="1" t="str">
        <f t="shared" si="65"/>
        <v>0.0191834803010191+16.3059582558663i</v>
      </c>
      <c r="CQ170" s="1" t="str">
        <f t="shared" si="66"/>
        <v>2.10617144735656+12.9883963918535i</v>
      </c>
      <c r="CR170" s="2">
        <f t="shared" si="67"/>
        <v>33.999999999999943</v>
      </c>
      <c r="CS170" s="2">
        <f t="shared" si="68"/>
        <v>0.24036626481754067</v>
      </c>
      <c r="CT170" s="1">
        <f t="shared" si="69"/>
        <v>33.999999999999943</v>
      </c>
      <c r="CU170" s="1">
        <f t="shared" si="70"/>
        <v>0.80694708136604965</v>
      </c>
      <c r="CX170" s="2">
        <f t="shared" si="72"/>
        <v>33.999999999999943</v>
      </c>
      <c r="CY170" s="2">
        <f t="shared" si="73"/>
        <v>54.741685732591108</v>
      </c>
      <c r="CZ170" s="2">
        <f t="shared" si="74"/>
        <v>16.305969540262577</v>
      </c>
      <c r="DA170" s="2">
        <f t="shared" si="75"/>
        <v>13.158054529358548</v>
      </c>
    </row>
    <row r="171" spans="2:105" ht="18" customHeight="1" x14ac:dyDescent="0.25">
      <c r="B171" s="6"/>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163"/>
      <c r="AB171" s="163"/>
      <c r="AC171" s="163"/>
      <c r="AD171" s="163"/>
      <c r="AE171" s="163"/>
      <c r="AF171" s="163"/>
      <c r="AG171" s="163"/>
      <c r="AH171" s="163"/>
      <c r="AI171" s="163"/>
      <c r="AJ171" s="163"/>
      <c r="AK171" s="163"/>
      <c r="AL171" s="163"/>
      <c r="AM171" s="163"/>
      <c r="AN171" s="163"/>
      <c r="AP171" s="8"/>
      <c r="AR171" s="6"/>
      <c r="AT171" s="24"/>
      <c r="BA171" s="32" t="s">
        <v>179</v>
      </c>
      <c r="BB171" s="24" t="s">
        <v>286</v>
      </c>
      <c r="BC171" s="23"/>
      <c r="BD171" s="23"/>
      <c r="BE171" s="23"/>
      <c r="BF171" s="23"/>
      <c r="BG171" s="23"/>
      <c r="BH171" s="23"/>
      <c r="BI171" s="23"/>
      <c r="BJ171" s="23"/>
      <c r="BK171" s="23"/>
      <c r="BL171" s="23"/>
      <c r="BM171" s="23"/>
      <c r="BN171" s="23"/>
      <c r="BO171" s="23"/>
      <c r="BP171" s="23"/>
      <c r="BQ171" s="23"/>
      <c r="CF171" s="8"/>
      <c r="CK171" s="1">
        <f t="shared" si="71"/>
        <v>34.199999999999946</v>
      </c>
      <c r="CL171" s="1" t="str">
        <f t="shared" si="61"/>
        <v>0.0215973472222222+73.8629274999999i</v>
      </c>
      <c r="CM171" s="1" t="str">
        <f t="shared" si="62"/>
        <v>86.3893888888889</v>
      </c>
      <c r="CN171" s="1" t="str">
        <f t="shared" si="63"/>
        <v>-1.57875345191683i</v>
      </c>
      <c r="CO171" s="1" t="str">
        <f t="shared" si="64"/>
        <v>36.4848347432216+41.0789759102882i</v>
      </c>
      <c r="CP171" s="1" t="str">
        <f t="shared" si="65"/>
        <v>0.0191834803010191+16.4018756573714i</v>
      </c>
      <c r="CQ171" s="1" t="str">
        <f t="shared" si="66"/>
        <v>2.12939327253875+13.0618064843066i</v>
      </c>
      <c r="CR171" s="2">
        <f t="shared" si="67"/>
        <v>34.199999999999946</v>
      </c>
      <c r="CS171" s="2">
        <f t="shared" si="68"/>
        <v>0.24087647560871803</v>
      </c>
      <c r="CT171" s="1">
        <f t="shared" si="69"/>
        <v>34.199999999999946</v>
      </c>
      <c r="CU171" s="1">
        <f t="shared" si="70"/>
        <v>0.80687301087898544</v>
      </c>
      <c r="CX171" s="2">
        <f t="shared" si="72"/>
        <v>34.199999999999946</v>
      </c>
      <c r="CY171" s="2">
        <f t="shared" si="73"/>
        <v>54.942018784153063</v>
      </c>
      <c r="CZ171" s="2">
        <f t="shared" si="74"/>
        <v>16.401886875777095</v>
      </c>
      <c r="DA171" s="2">
        <f t="shared" si="75"/>
        <v>13.234239847554798</v>
      </c>
    </row>
    <row r="172" spans="2:105" ht="18" customHeight="1" x14ac:dyDescent="0.25">
      <c r="B172" s="6"/>
      <c r="AP172" s="8"/>
      <c r="AR172" s="6"/>
      <c r="AT172" s="24"/>
      <c r="AU172" s="177" t="s">
        <v>180</v>
      </c>
      <c r="AV172" s="177"/>
      <c r="AW172" s="177"/>
      <c r="AX172" s="177"/>
      <c r="AY172" s="177"/>
      <c r="AZ172" s="177"/>
      <c r="BA172" s="177"/>
      <c r="BB172" s="24" t="s">
        <v>181</v>
      </c>
      <c r="CF172" s="8"/>
      <c r="CK172" s="1">
        <f t="shared" si="71"/>
        <v>34.399999999999949</v>
      </c>
      <c r="CL172" s="1" t="str">
        <f t="shared" si="61"/>
        <v>0.0215973472222222+74.2948744444443i</v>
      </c>
      <c r="CM172" s="1" t="str">
        <f t="shared" si="62"/>
        <v>86.3893888888889</v>
      </c>
      <c r="CN172" s="1" t="str">
        <f t="shared" si="63"/>
        <v>-1.56957465277778i</v>
      </c>
      <c r="CO172" s="1" t="str">
        <f t="shared" si="64"/>
        <v>36.7307582742996+41.126173738671i</v>
      </c>
      <c r="CP172" s="1" t="str">
        <f t="shared" si="65"/>
        <v>0.0191834803010191+16.4977930588765i</v>
      </c>
      <c r="CQ172" s="1" t="str">
        <f t="shared" si="66"/>
        <v>2.15273890548761+13.1351510720353i</v>
      </c>
      <c r="CR172" s="2">
        <f t="shared" si="67"/>
        <v>34.399999999999949</v>
      </c>
      <c r="CS172" s="2">
        <f t="shared" si="68"/>
        <v>0.24138901544995825</v>
      </c>
      <c r="CT172" s="1">
        <f t="shared" si="69"/>
        <v>34.399999999999949</v>
      </c>
      <c r="CU172" s="1">
        <f t="shared" si="70"/>
        <v>0.80679766219175431</v>
      </c>
      <c r="CX172" s="2">
        <f t="shared" si="72"/>
        <v>34.399999999999949</v>
      </c>
      <c r="CY172" s="2">
        <f t="shared" si="73"/>
        <v>55.140826705703105</v>
      </c>
      <c r="CZ172" s="2">
        <f t="shared" si="74"/>
        <v>16.497804212058952</v>
      </c>
      <c r="DA172" s="2">
        <f t="shared" si="75"/>
        <v>13.310389869586469</v>
      </c>
    </row>
    <row r="173" spans="2:105" ht="18" customHeight="1" x14ac:dyDescent="0.25">
      <c r="B173" s="6"/>
      <c r="AP173" s="8"/>
      <c r="AR173" s="6"/>
      <c r="AT173" s="24"/>
      <c r="AU173" s="177" t="s">
        <v>182</v>
      </c>
      <c r="AV173" s="177"/>
      <c r="AW173" s="177"/>
      <c r="AX173" s="177"/>
      <c r="AY173" s="177"/>
      <c r="AZ173" s="177"/>
      <c r="BA173" s="177"/>
      <c r="BB173" s="24" t="s">
        <v>183</v>
      </c>
      <c r="CF173" s="8"/>
      <c r="CK173" s="1">
        <f t="shared" si="71"/>
        <v>34.599999999999952</v>
      </c>
      <c r="CL173" s="1" t="str">
        <f t="shared" si="61"/>
        <v>0.0215973472222222+74.7268213888888i</v>
      </c>
      <c r="CM173" s="1" t="str">
        <f t="shared" si="62"/>
        <v>86.3893888888889</v>
      </c>
      <c r="CN173" s="1" t="str">
        <f t="shared" si="63"/>
        <v>-1.56050196692357i</v>
      </c>
      <c r="CO173" s="1" t="str">
        <f t="shared" si="64"/>
        <v>36.9756828186065+41.1716707406938i</v>
      </c>
      <c r="CP173" s="1" t="str">
        <f t="shared" si="65"/>
        <v>0.0191834803010191+16.5937104603816i</v>
      </c>
      <c r="CQ173" s="1" t="str">
        <f t="shared" si="66"/>
        <v>2.17620812049066+13.2084299237727i</v>
      </c>
      <c r="CR173" s="2">
        <f t="shared" si="67"/>
        <v>34.599999999999952</v>
      </c>
      <c r="CS173" s="2">
        <f t="shared" si="68"/>
        <v>0.24190385143112222</v>
      </c>
      <c r="CT173" s="1">
        <f t="shared" si="69"/>
        <v>34.599999999999952</v>
      </c>
      <c r="CU173" s="1">
        <f t="shared" si="70"/>
        <v>0.80672105195737176</v>
      </c>
      <c r="CX173" s="2">
        <f t="shared" si="72"/>
        <v>34.599999999999952</v>
      </c>
      <c r="CY173" s="2">
        <f t="shared" si="73"/>
        <v>55.3381205994773</v>
      </c>
      <c r="CZ173" s="2">
        <f t="shared" si="74"/>
        <v>16.593721549094834</v>
      </c>
      <c r="DA173" s="2">
        <f t="shared" si="75"/>
        <v>13.38650450397353</v>
      </c>
    </row>
    <row r="174" spans="2:105" ht="18" customHeight="1" x14ac:dyDescent="0.25">
      <c r="B174" s="6"/>
      <c r="AP174" s="8"/>
      <c r="AR174" s="6"/>
      <c r="AT174" s="24"/>
      <c r="AU174" s="177" t="s">
        <v>56</v>
      </c>
      <c r="AV174" s="177"/>
      <c r="AW174" s="177"/>
      <c r="AX174" s="177"/>
      <c r="AY174" s="177"/>
      <c r="AZ174" s="177"/>
      <c r="BA174" s="177"/>
      <c r="BB174" s="24" t="s">
        <v>184</v>
      </c>
      <c r="CF174" s="8"/>
      <c r="CK174" s="1">
        <f t="shared" si="71"/>
        <v>34.799999999999955</v>
      </c>
      <c r="CL174" s="1" t="str">
        <f t="shared" si="61"/>
        <v>0.0215973472222222+75.1587683333333i</v>
      </c>
      <c r="CM174" s="1" t="str">
        <f t="shared" si="62"/>
        <v>86.3893888888889</v>
      </c>
      <c r="CN174" s="1" t="str">
        <f t="shared" si="63"/>
        <v>-1.55153356481482i</v>
      </c>
      <c r="CO174" s="1" t="str">
        <f t="shared" si="64"/>
        <v>37.2196021795459+41.2154891166433i</v>
      </c>
      <c r="CP174" s="1" t="str">
        <f t="shared" si="65"/>
        <v>0.0191834803010191+16.6896278618867i</v>
      </c>
      <c r="CQ174" s="1" t="str">
        <f t="shared" si="66"/>
        <v>2.19980069117319+13.2816428074108i</v>
      </c>
      <c r="CR174" s="2">
        <f t="shared" si="67"/>
        <v>34.799999999999955</v>
      </c>
      <c r="CS174" s="2">
        <f t="shared" si="68"/>
        <v>0.2424209512275467</v>
      </c>
      <c r="CT174" s="1">
        <f t="shared" si="69"/>
        <v>34.799999999999955</v>
      </c>
      <c r="CU174" s="1">
        <f t="shared" si="70"/>
        <v>0.80664319636280513</v>
      </c>
      <c r="CX174" s="2">
        <f t="shared" si="72"/>
        <v>34.799999999999955</v>
      </c>
      <c r="CY174" s="2">
        <f t="shared" si="73"/>
        <v>55.533911527352366</v>
      </c>
      <c r="CZ174" s="2">
        <f t="shared" si="74"/>
        <v>16.689638886871737</v>
      </c>
      <c r="DA174" s="2">
        <f t="shared" si="75"/>
        <v>13.462583657847148</v>
      </c>
    </row>
    <row r="175" spans="2:105" ht="18" customHeight="1" x14ac:dyDescent="0.25">
      <c r="B175" s="6"/>
      <c r="AP175" s="8"/>
      <c r="AR175" s="6"/>
      <c r="AU175" s="177" t="s">
        <v>52</v>
      </c>
      <c r="AV175" s="177"/>
      <c r="AW175" s="177"/>
      <c r="AX175" s="177"/>
      <c r="AY175" s="177"/>
      <c r="AZ175" s="177"/>
      <c r="BA175" s="177"/>
      <c r="BB175" s="24" t="s">
        <v>185</v>
      </c>
      <c r="CF175" s="8"/>
      <c r="CK175" s="1">
        <f t="shared" si="71"/>
        <v>34.999999999999957</v>
      </c>
      <c r="CL175" s="1" t="str">
        <f t="shared" si="61"/>
        <v>0.0215973472222222+75.5907152777777i</v>
      </c>
      <c r="CM175" s="1" t="str">
        <f t="shared" si="62"/>
        <v>86.3893888888889</v>
      </c>
      <c r="CN175" s="1" t="str">
        <f t="shared" si="63"/>
        <v>-1.54266765873016i</v>
      </c>
      <c r="CO175" s="1" t="str">
        <f t="shared" si="64"/>
        <v>37.462510452662+41.2576508933303i</v>
      </c>
      <c r="CP175" s="1" t="str">
        <f t="shared" si="65"/>
        <v>0.0191834803010191+16.7855452633918i</v>
      </c>
      <c r="CQ175" s="1" t="str">
        <f t="shared" si="66"/>
        <v>2.22351639049252+13.35478949006i</v>
      </c>
      <c r="CR175" s="2">
        <f t="shared" si="67"/>
        <v>34.999999999999957</v>
      </c>
      <c r="CS175" s="2">
        <f t="shared" si="68"/>
        <v>0.24294028308277049</v>
      </c>
      <c r="CT175" s="1">
        <f t="shared" si="69"/>
        <v>34.999999999999957</v>
      </c>
      <c r="CU175" s="1">
        <f t="shared" si="70"/>
        <v>0.80656411114563276</v>
      </c>
      <c r="CX175" s="2">
        <f t="shared" si="72"/>
        <v>34.999999999999957</v>
      </c>
      <c r="CY175" s="2">
        <f t="shared" si="73"/>
        <v>55.728210510043546</v>
      </c>
      <c r="CZ175" s="2">
        <f t="shared" si="74"/>
        <v>16.785556225376965</v>
      </c>
      <c r="DA175" s="2">
        <f t="shared" si="75"/>
        <v>13.538627237006192</v>
      </c>
    </row>
    <row r="176" spans="2:105" ht="18" customHeight="1" x14ac:dyDescent="0.25">
      <c r="B176" s="6"/>
      <c r="AP176" s="8"/>
      <c r="AR176" s="6"/>
      <c r="AU176" s="177" t="s">
        <v>195</v>
      </c>
      <c r="AV176" s="177"/>
      <c r="AW176" s="177"/>
      <c r="AX176" s="177"/>
      <c r="AY176" s="177"/>
      <c r="AZ176" s="177"/>
      <c r="BA176" s="177"/>
      <c r="BB176" s="24" t="s">
        <v>259</v>
      </c>
      <c r="CF176" s="8"/>
      <c r="CK176" s="1">
        <f t="shared" si="71"/>
        <v>35.19999999999996</v>
      </c>
      <c r="CL176" s="1" t="str">
        <f t="shared" si="61"/>
        <v>0.0215973472222222+76.0226622222222i</v>
      </c>
      <c r="CM176" s="1" t="str">
        <f t="shared" si="62"/>
        <v>86.3893888888889</v>
      </c>
      <c r="CN176" s="1" t="str">
        <f t="shared" si="63"/>
        <v>-1.53390250157829i</v>
      </c>
      <c r="CO176" s="1" t="str">
        <f t="shared" si="64"/>
        <v>37.7044020201642+41.2981779227934i</v>
      </c>
      <c r="CP176" s="1" t="str">
        <f t="shared" si="65"/>
        <v>0.0191834803010191+16.8814626648969i</v>
      </c>
      <c r="CQ176" s="1" t="str">
        <f t="shared" si="66"/>
        <v>2.24735499073279+13.4278697381054i</v>
      </c>
      <c r="CR176" s="2">
        <f t="shared" si="67"/>
        <v>35.19999999999996</v>
      </c>
      <c r="CS176" s="2">
        <f t="shared" si="68"/>
        <v>0.24346181579196291</v>
      </c>
      <c r="CT176" s="1">
        <f t="shared" si="69"/>
        <v>35.19999999999996</v>
      </c>
      <c r="CU176" s="1">
        <f t="shared" si="70"/>
        <v>0.80648381161000593</v>
      </c>
      <c r="CX176" s="2">
        <f t="shared" si="72"/>
        <v>35.19999999999996</v>
      </c>
      <c r="CY176" s="2">
        <f t="shared" si="73"/>
        <v>55.921028526314345</v>
      </c>
      <c r="CZ176" s="2">
        <f t="shared" si="74"/>
        <v>16.881473564598096</v>
      </c>
      <c r="DA176" s="2">
        <f t="shared" si="75"/>
        <v>13.614635145970619</v>
      </c>
    </row>
    <row r="177" spans="2:105" ht="18" customHeight="1" x14ac:dyDescent="0.25">
      <c r="B177" s="6"/>
      <c r="AP177" s="8"/>
      <c r="AR177" s="6"/>
      <c r="BA177" s="35" t="s">
        <v>196</v>
      </c>
      <c r="BB177" s="1" t="s">
        <v>197</v>
      </c>
      <c r="CF177" s="8"/>
      <c r="CK177" s="1">
        <f t="shared" si="71"/>
        <v>35.399999999999963</v>
      </c>
      <c r="CL177" s="1" t="str">
        <f t="shared" si="61"/>
        <v>0.0215973472222222+76.4546091666666i</v>
      </c>
      <c r="CM177" s="1" t="str">
        <f t="shared" si="62"/>
        <v>86.3893888888889</v>
      </c>
      <c r="CN177" s="1" t="str">
        <f t="shared" si="63"/>
        <v>-1.52523638575016i</v>
      </c>
      <c r="CO177" s="1" t="str">
        <f t="shared" si="64"/>
        <v>37.9452715454902+41.3370918810909i</v>
      </c>
      <c r="CP177" s="1" t="str">
        <f t="shared" si="65"/>
        <v>0.0191834803010191+16.977380066402i</v>
      </c>
      <c r="CQ177" s="1" t="str">
        <f t="shared" si="66"/>
        <v>2.27131626350023+13.5008833172621i</v>
      </c>
      <c r="CR177" s="2">
        <f t="shared" si="67"/>
        <v>35.399999999999963</v>
      </c>
      <c r="CS177" s="2">
        <f t="shared" si="68"/>
        <v>0.24398551868601659</v>
      </c>
      <c r="CT177" s="1">
        <f t="shared" si="69"/>
        <v>35.399999999999963</v>
      </c>
      <c r="CU177" s="1">
        <f t="shared" si="70"/>
        <v>0.80640231264195583</v>
      </c>
      <c r="CX177" s="2">
        <f t="shared" si="72"/>
        <v>35.399999999999963</v>
      </c>
      <c r="CY177" s="2">
        <f t="shared" si="73"/>
        <v>56.112376512198622</v>
      </c>
      <c r="CZ177" s="2">
        <f t="shared" si="74"/>
        <v>16.977390904523006</v>
      </c>
      <c r="DA177" s="2">
        <f t="shared" si="75"/>
        <v>13.690607288033894</v>
      </c>
    </row>
    <row r="178" spans="2:105" ht="18" customHeight="1" x14ac:dyDescent="0.35">
      <c r="B178" s="6"/>
      <c r="AP178" s="8"/>
      <c r="AR178" s="6"/>
      <c r="BA178" s="35" t="s">
        <v>186</v>
      </c>
      <c r="BB178" s="1" t="s">
        <v>187</v>
      </c>
      <c r="CF178" s="8"/>
      <c r="CK178" s="1">
        <f t="shared" si="71"/>
        <v>35.599999999999966</v>
      </c>
      <c r="CL178" s="1" t="str">
        <f t="shared" si="61"/>
        <v>0.0215973472222222+76.8865561111111i</v>
      </c>
      <c r="CM178" s="1" t="str">
        <f t="shared" si="62"/>
        <v>86.3893888888889</v>
      </c>
      <c r="CN178" s="1" t="str">
        <f t="shared" si="63"/>
        <v>-1.51666764200999i</v>
      </c>
      <c r="CO178" s="1" t="str">
        <f t="shared" si="64"/>
        <v>38.1851139679116+41.3744142671825i</v>
      </c>
      <c r="CP178" s="1" t="str">
        <f t="shared" si="65"/>
        <v>0.0191834803010191+17.073297467907i</v>
      </c>
      <c r="CQ178" s="1" t="str">
        <f t="shared" si="66"/>
        <v>2.29539997971864+13.5738299926278i</v>
      </c>
      <c r="CR178" s="2">
        <f t="shared" si="67"/>
        <v>35.599999999999966</v>
      </c>
      <c r="CS178" s="2">
        <f t="shared" si="68"/>
        <v>0.24451136161626946</v>
      </c>
      <c r="CT178" s="1">
        <f t="shared" si="69"/>
        <v>35.599999999999966</v>
      </c>
      <c r="CU178" s="1">
        <f t="shared" si="70"/>
        <v>0.8063196287240737</v>
      </c>
      <c r="CX178" s="2">
        <f t="shared" si="72"/>
        <v>35.599999999999966</v>
      </c>
      <c r="CY178" s="2">
        <f t="shared" si="73"/>
        <v>56.302265360239574</v>
      </c>
      <c r="CZ178" s="2">
        <f t="shared" si="74"/>
        <v>17.073308245139721</v>
      </c>
      <c r="DA178" s="2">
        <f t="shared" si="75"/>
        <v>13.766543565312769</v>
      </c>
    </row>
    <row r="179" spans="2:105" ht="18" customHeight="1" x14ac:dyDescent="0.25">
      <c r="B179" s="6"/>
      <c r="AP179" s="8"/>
      <c r="AR179" s="6"/>
      <c r="CF179" s="8"/>
      <c r="CK179" s="1">
        <f t="shared" si="71"/>
        <v>35.799999999999969</v>
      </c>
      <c r="CL179" s="1" t="str">
        <f t="shared" si="61"/>
        <v>0.0215973472222222+77.3185030555555i</v>
      </c>
      <c r="CM179" s="1" t="str">
        <f t="shared" si="62"/>
        <v>86.3893888888889</v>
      </c>
      <c r="CN179" s="1" t="str">
        <f t="shared" si="63"/>
        <v>-1.50819463842334i</v>
      </c>
      <c r="CO179" s="1" t="str">
        <f t="shared" si="64"/>
        <v>38.4239244971821+41.4101664018942i</v>
      </c>
      <c r="CP179" s="1" t="str">
        <f t="shared" si="65"/>
        <v>0.0191834803010191+17.1692148694121i</v>
      </c>
      <c r="CQ179" s="1" t="str">
        <f t="shared" si="66"/>
        <v>2.31960590962565+13.6467095287344i</v>
      </c>
      <c r="CR179" s="2">
        <f t="shared" si="67"/>
        <v>35.799999999999969</v>
      </c>
      <c r="CS179" s="2">
        <f t="shared" si="68"/>
        <v>0.24503931493983527</v>
      </c>
      <c r="CT179" s="1">
        <f t="shared" si="69"/>
        <v>35.799999999999969</v>
      </c>
      <c r="CU179" s="1">
        <f t="shared" si="70"/>
        <v>0.80623577394959467</v>
      </c>
      <c r="CX179" s="2">
        <f t="shared" si="72"/>
        <v>35.799999999999969</v>
      </c>
      <c r="CY179" s="2">
        <f t="shared" si="73"/>
        <v>56.490705918741341</v>
      </c>
      <c r="CZ179" s="2">
        <f t="shared" si="74"/>
        <v>17.169225586436859</v>
      </c>
      <c r="DA179" s="2">
        <f t="shared" si="75"/>
        <v>13.84244387879613</v>
      </c>
    </row>
    <row r="180" spans="2:105" ht="18" customHeight="1" x14ac:dyDescent="0.25">
      <c r="B180" s="6"/>
      <c r="AP180" s="8"/>
      <c r="AR180" s="6"/>
      <c r="AS180" s="215" t="s">
        <v>265</v>
      </c>
      <c r="AT180" s="288"/>
      <c r="AU180" s="288"/>
      <c r="AV180" s="288"/>
      <c r="AW180" s="288"/>
      <c r="AX180" s="288"/>
      <c r="AY180" s="288"/>
      <c r="AZ180" s="288"/>
      <c r="BA180" s="288"/>
      <c r="BB180" s="288"/>
      <c r="BC180" s="288"/>
      <c r="BD180" s="288"/>
      <c r="BE180" s="288"/>
      <c r="BF180" s="288"/>
      <c r="BG180" s="288"/>
      <c r="BH180" s="288"/>
      <c r="BI180" s="288"/>
      <c r="BJ180" s="288"/>
      <c r="BK180" s="288"/>
      <c r="BL180" s="288"/>
      <c r="BM180" s="288"/>
      <c r="BN180" s="288"/>
      <c r="BO180" s="288"/>
      <c r="BP180" s="288"/>
      <c r="BQ180" s="288"/>
      <c r="BR180" s="288"/>
      <c r="BS180" s="288"/>
      <c r="BT180" s="288"/>
      <c r="BU180" s="288"/>
      <c r="BV180" s="288"/>
      <c r="BW180" s="288"/>
      <c r="BX180" s="288"/>
      <c r="BY180" s="288"/>
      <c r="BZ180" s="288"/>
      <c r="CA180" s="288"/>
      <c r="CB180" s="288"/>
      <c r="CC180" s="288"/>
      <c r="CD180" s="288"/>
      <c r="CE180" s="288"/>
      <c r="CF180" s="8"/>
      <c r="CK180" s="1">
        <f t="shared" si="71"/>
        <v>35.999999999999972</v>
      </c>
      <c r="CL180" s="1" t="str">
        <f t="shared" si="61"/>
        <v>0.0215973472222222+77.75045i</v>
      </c>
      <c r="CM180" s="1" t="str">
        <f t="shared" si="62"/>
        <v>86.3893888888889</v>
      </c>
      <c r="CN180" s="1" t="str">
        <f t="shared" si="63"/>
        <v>-1.49981577932099i</v>
      </c>
      <c r="CO180" s="1" t="str">
        <f t="shared" si="64"/>
        <v>38.6616986082313+41.4443694269692i</v>
      </c>
      <c r="CP180" s="1" t="str">
        <f t="shared" si="65"/>
        <v>0.0191834803010191+17.2651322709172i</v>
      </c>
      <c r="CQ180" s="1" t="str">
        <f t="shared" si="66"/>
        <v>2.3439338227689+13.7195216895968i</v>
      </c>
      <c r="CR180" s="2">
        <f t="shared" si="67"/>
        <v>35.999999999999972</v>
      </c>
      <c r="CS180" s="2">
        <f t="shared" si="68"/>
        <v>0.24556934950549583</v>
      </c>
      <c r="CT180" s="1">
        <f t="shared" si="69"/>
        <v>35.999999999999972</v>
      </c>
      <c r="CU180" s="1">
        <f t="shared" si="70"/>
        <v>0.8061507620359164</v>
      </c>
      <c r="CX180" s="2">
        <f t="shared" si="72"/>
        <v>35.999999999999972</v>
      </c>
      <c r="CY180" s="2">
        <f t="shared" si="73"/>
        <v>56.677708991038216</v>
      </c>
      <c r="CZ180" s="2">
        <f t="shared" si="74"/>
        <v>17.265142928402966</v>
      </c>
      <c r="DA180" s="2">
        <f t="shared" si="75"/>
        <v>13.918308128391075</v>
      </c>
    </row>
    <row r="181" spans="2:105" ht="18" customHeight="1" x14ac:dyDescent="0.25">
      <c r="B181" s="6"/>
      <c r="AP181" s="8"/>
      <c r="AR181" s="6"/>
      <c r="AS181" s="289" t="s">
        <v>266</v>
      </c>
      <c r="AT181" s="289"/>
      <c r="AU181" s="289"/>
      <c r="AV181" s="289"/>
      <c r="AW181" s="289"/>
      <c r="AX181" s="289"/>
      <c r="AY181" s="289"/>
      <c r="AZ181" s="289"/>
      <c r="BA181" s="289"/>
      <c r="BB181" s="289"/>
      <c r="BC181" s="289"/>
      <c r="BD181" s="289"/>
      <c r="BE181" s="289"/>
      <c r="BF181" s="289"/>
      <c r="BG181" s="289"/>
      <c r="BH181" s="289"/>
      <c r="BI181" s="289"/>
      <c r="BJ181" s="289"/>
      <c r="BK181" s="289"/>
      <c r="BL181" s="289"/>
      <c r="BM181" s="289"/>
      <c r="BN181" s="289"/>
      <c r="BO181" s="289"/>
      <c r="BP181" s="289"/>
      <c r="BQ181" s="289"/>
      <c r="BR181" s="289"/>
      <c r="BS181" s="289"/>
      <c r="BT181" s="289"/>
      <c r="BU181" s="289"/>
      <c r="BV181" s="289"/>
      <c r="BW181" s="289"/>
      <c r="BX181" s="289"/>
      <c r="BY181" s="289"/>
      <c r="BZ181" s="289"/>
      <c r="CA181" s="289"/>
      <c r="CB181" s="289"/>
      <c r="CC181" s="289"/>
      <c r="CD181" s="289"/>
      <c r="CE181" s="289"/>
      <c r="CF181" s="8"/>
      <c r="CK181" s="1">
        <f t="shared" si="71"/>
        <v>36.199999999999974</v>
      </c>
      <c r="CL181" s="1" t="str">
        <f t="shared" si="61"/>
        <v>0.0215973472222222+78.1823969444444i</v>
      </c>
      <c r="CM181" s="1" t="str">
        <f t="shared" si="62"/>
        <v>86.3893888888889</v>
      </c>
      <c r="CN181" s="1" t="str">
        <f t="shared" si="63"/>
        <v>-1.49152950429712i</v>
      </c>
      <c r="CO181" s="1" t="str">
        <f t="shared" si="64"/>
        <v>38.8984320359046+41.4770443042016i</v>
      </c>
      <c r="CP181" s="1" t="str">
        <f t="shared" si="65"/>
        <v>0.0191834803010191+17.3610496724223i</v>
      </c>
      <c r="CQ181" s="1" t="str">
        <f t="shared" si="66"/>
        <v>2.36838348800289+13.7922662387609i</v>
      </c>
      <c r="CR181" s="2">
        <f t="shared" si="67"/>
        <v>36.199999999999974</v>
      </c>
      <c r="CS181" s="2">
        <f t="shared" si="68"/>
        <v>0.24610143664015144</v>
      </c>
      <c r="CT181" s="1">
        <f t="shared" si="69"/>
        <v>36.199999999999974</v>
      </c>
      <c r="CU181" s="1">
        <f t="shared" si="70"/>
        <v>0.80606460633757071</v>
      </c>
      <c r="CX181" s="2">
        <f t="shared" si="72"/>
        <v>36.199999999999974</v>
      </c>
      <c r="CY181" s="2">
        <f t="shared" si="73"/>
        <v>56.863285334779874</v>
      </c>
      <c r="CZ181" s="2">
        <f t="shared" si="74"/>
        <v>17.361060271026965</v>
      </c>
      <c r="DA181" s="2">
        <f t="shared" si="75"/>
        <v>13.994136212968218</v>
      </c>
    </row>
    <row r="182" spans="2:105" ht="18" customHeight="1" x14ac:dyDescent="0.25">
      <c r="B182" s="6"/>
      <c r="AP182" s="8"/>
      <c r="AR182" s="6"/>
      <c r="AS182" s="289"/>
      <c r="AT182" s="289"/>
      <c r="AU182" s="289"/>
      <c r="AV182" s="289"/>
      <c r="AW182" s="289"/>
      <c r="AX182" s="289"/>
      <c r="AY182" s="289"/>
      <c r="AZ182" s="289"/>
      <c r="BA182" s="289"/>
      <c r="BB182" s="289"/>
      <c r="BC182" s="289"/>
      <c r="BD182" s="289"/>
      <c r="BE182" s="289"/>
      <c r="BF182" s="289"/>
      <c r="BG182" s="289"/>
      <c r="BH182" s="289"/>
      <c r="BI182" s="289"/>
      <c r="BJ182" s="289"/>
      <c r="BK182" s="289"/>
      <c r="BL182" s="289"/>
      <c r="BM182" s="289"/>
      <c r="BN182" s="289"/>
      <c r="BO182" s="289"/>
      <c r="BP182" s="289"/>
      <c r="BQ182" s="289"/>
      <c r="BR182" s="289"/>
      <c r="BS182" s="289"/>
      <c r="BT182" s="289"/>
      <c r="BU182" s="289"/>
      <c r="BV182" s="289"/>
      <c r="BW182" s="289"/>
      <c r="BX182" s="289"/>
      <c r="BY182" s="289"/>
      <c r="BZ182" s="289"/>
      <c r="CA182" s="289"/>
      <c r="CB182" s="289"/>
      <c r="CC182" s="289"/>
      <c r="CD182" s="289"/>
      <c r="CE182" s="289"/>
      <c r="CF182" s="8"/>
      <c r="CK182" s="1">
        <f t="shared" si="71"/>
        <v>36.399999999999977</v>
      </c>
      <c r="CL182" s="1" t="str">
        <f t="shared" si="61"/>
        <v>0.0215973472222222+78.6143438888889i</v>
      </c>
      <c r="CM182" s="1" t="str">
        <f t="shared" si="62"/>
        <v>86.3893888888889</v>
      </c>
      <c r="CN182" s="1" t="str">
        <f t="shared" si="63"/>
        <v>-1.48333428724054i</v>
      </c>
      <c r="CO182" s="1" t="str">
        <f t="shared" si="64"/>
        <v>39.1341207697503+41.5082118146502i</v>
      </c>
      <c r="CP182" s="1" t="str">
        <f t="shared" si="65"/>
        <v>0.0191834803010191+17.4569670739274i</v>
      </c>
      <c r="CQ182" s="1" t="str">
        <f t="shared" si="66"/>
        <v>2.39295467348606+13.8649429393493i</v>
      </c>
      <c r="CR182" s="2">
        <f t="shared" si="67"/>
        <v>36.399999999999977</v>
      </c>
      <c r="CS182" s="2">
        <f t="shared" si="68"/>
        <v>0.24663554813578986</v>
      </c>
      <c r="CT182" s="1">
        <f t="shared" si="69"/>
        <v>36.399999999999977</v>
      </c>
      <c r="CU182" s="1">
        <f t="shared" si="70"/>
        <v>0.80597731985867416</v>
      </c>
      <c r="CX182" s="2">
        <f t="shared" si="72"/>
        <v>36.399999999999977</v>
      </c>
      <c r="CY182" s="2">
        <f t="shared" si="73"/>
        <v>57.047445661232445</v>
      </c>
      <c r="CZ182" s="2">
        <f t="shared" si="74"/>
        <v>17.456977614298012</v>
      </c>
      <c r="DA182" s="2">
        <f t="shared" si="75"/>
        <v>14.069928030404803</v>
      </c>
    </row>
    <row r="183" spans="2:105" ht="18" customHeight="1" x14ac:dyDescent="0.25">
      <c r="B183" s="6"/>
      <c r="AP183" s="8"/>
      <c r="AR183" s="6"/>
      <c r="AS183" s="289"/>
      <c r="AT183" s="289"/>
      <c r="AU183" s="289"/>
      <c r="AV183" s="289"/>
      <c r="AW183" s="289"/>
      <c r="AX183" s="289"/>
      <c r="AY183" s="289"/>
      <c r="AZ183" s="289"/>
      <c r="BA183" s="289"/>
      <c r="BB183" s="289"/>
      <c r="BC183" s="289"/>
      <c r="BD183" s="289"/>
      <c r="BE183" s="289"/>
      <c r="BF183" s="289"/>
      <c r="BG183" s="289"/>
      <c r="BH183" s="289"/>
      <c r="BI183" s="289"/>
      <c r="BJ183" s="289"/>
      <c r="BK183" s="289"/>
      <c r="BL183" s="289"/>
      <c r="BM183" s="289"/>
      <c r="BN183" s="289"/>
      <c r="BO183" s="289"/>
      <c r="BP183" s="289"/>
      <c r="BQ183" s="289"/>
      <c r="BR183" s="289"/>
      <c r="BS183" s="289"/>
      <c r="BT183" s="289"/>
      <c r="BU183" s="289"/>
      <c r="BV183" s="289"/>
      <c r="BW183" s="289"/>
      <c r="BX183" s="289"/>
      <c r="BY183" s="289"/>
      <c r="BZ183" s="289"/>
      <c r="CA183" s="289"/>
      <c r="CB183" s="289"/>
      <c r="CC183" s="289"/>
      <c r="CD183" s="289"/>
      <c r="CE183" s="289"/>
      <c r="CF183" s="8"/>
      <c r="CK183" s="1">
        <f t="shared" si="71"/>
        <v>36.59999999999998</v>
      </c>
      <c r="CL183" s="1" t="str">
        <f t="shared" si="61"/>
        <v>0.0215973472222222+79.0462908333333i</v>
      </c>
      <c r="CM183" s="1" t="str">
        <f t="shared" si="62"/>
        <v>86.3893888888889</v>
      </c>
      <c r="CN183" s="1" t="str">
        <f t="shared" si="63"/>
        <v>-1.47522863539769i</v>
      </c>
      <c r="CO183" s="1" t="str">
        <f t="shared" si="64"/>
        <v>39.3687610488574+41.5378925579328i</v>
      </c>
      <c r="CP183" s="1" t="str">
        <f t="shared" si="65"/>
        <v>0.0191834803010191+17.5528844754325i</v>
      </c>
      <c r="CQ183" s="1" t="str">
        <f t="shared" si="66"/>
        <v>2.41764714667832+13.937551554106i</v>
      </c>
      <c r="CR183" s="2">
        <f t="shared" si="67"/>
        <v>36.59999999999998</v>
      </c>
      <c r="CS183" s="2">
        <f t="shared" si="68"/>
        <v>0.24717165623695195</v>
      </c>
      <c r="CT183" s="1">
        <f t="shared" si="69"/>
        <v>36.59999999999998</v>
      </c>
      <c r="CU183" s="1">
        <f t="shared" si="70"/>
        <v>0.80588891526489059</v>
      </c>
      <c r="CX183" s="2">
        <f t="shared" si="72"/>
        <v>36.59999999999998</v>
      </c>
      <c r="CY183" s="2">
        <f t="shared" si="73"/>
        <v>57.230200634598525</v>
      </c>
      <c r="CZ183" s="2">
        <f t="shared" si="74"/>
        <v>17.552894958205489</v>
      </c>
      <c r="DA183" s="2">
        <f t="shared" si="75"/>
        <v>14.14568347762682</v>
      </c>
    </row>
    <row r="184" spans="2:105" ht="18" customHeight="1" x14ac:dyDescent="0.25">
      <c r="B184" s="6"/>
      <c r="AP184" s="8"/>
      <c r="AR184" s="6"/>
      <c r="AS184" s="289"/>
      <c r="AT184" s="289"/>
      <c r="AU184" s="289"/>
      <c r="AV184" s="289"/>
      <c r="AW184" s="289"/>
      <c r="AX184" s="289"/>
      <c r="AY184" s="289"/>
      <c r="AZ184" s="289"/>
      <c r="BA184" s="289"/>
      <c r="BB184" s="289"/>
      <c r="BC184" s="289"/>
      <c r="BD184" s="289"/>
      <c r="BE184" s="289"/>
      <c r="BF184" s="289"/>
      <c r="BG184" s="289"/>
      <c r="BH184" s="289"/>
      <c r="BI184" s="289"/>
      <c r="BJ184" s="289"/>
      <c r="BK184" s="289"/>
      <c r="BL184" s="289"/>
      <c r="BM184" s="289"/>
      <c r="BN184" s="289"/>
      <c r="BO184" s="289"/>
      <c r="BP184" s="289"/>
      <c r="BQ184" s="289"/>
      <c r="BR184" s="289"/>
      <c r="BS184" s="289"/>
      <c r="BT184" s="289"/>
      <c r="BU184" s="289"/>
      <c r="BV184" s="289"/>
      <c r="BW184" s="289"/>
      <c r="BX184" s="289"/>
      <c r="BY184" s="289"/>
      <c r="BZ184" s="289"/>
      <c r="CA184" s="289"/>
      <c r="CB184" s="289"/>
      <c r="CC184" s="289"/>
      <c r="CD184" s="289"/>
      <c r="CE184" s="289"/>
      <c r="CF184" s="8"/>
      <c r="CK184" s="1">
        <f t="shared" si="71"/>
        <v>36.799999999999983</v>
      </c>
      <c r="CL184" s="1" t="str">
        <f t="shared" si="61"/>
        <v>0.0215973472222222+79.4782377777778i</v>
      </c>
      <c r="CM184" s="1" t="str">
        <f t="shared" si="62"/>
        <v>86.3893888888889</v>
      </c>
      <c r="CN184" s="1" t="str">
        <f t="shared" si="63"/>
        <v>-1.46721108846618i</v>
      </c>
      <c r="CO184" s="1" t="str">
        <f t="shared" si="64"/>
        <v>39.6023493567426+41.5661069515985i</v>
      </c>
      <c r="CP184" s="1" t="str">
        <f t="shared" si="65"/>
        <v>0.0191834803010191+17.6488018769376i</v>
      </c>
      <c r="CQ184" s="1" t="str">
        <f t="shared" si="66"/>
        <v>2.44246067433865+14.0100918454392i</v>
      </c>
      <c r="CR184" s="2">
        <f t="shared" si="67"/>
        <v>36.799999999999983</v>
      </c>
      <c r="CS184" s="2">
        <f t="shared" si="68"/>
        <v>0.24770973362866813</v>
      </c>
      <c r="CT184" s="1">
        <f t="shared" si="69"/>
        <v>36.799999999999983</v>
      </c>
      <c r="CU184" s="1">
        <f t="shared" si="70"/>
        <v>0.80579940489491919</v>
      </c>
      <c r="CX184" s="2">
        <f t="shared" si="72"/>
        <v>36.799999999999983</v>
      </c>
      <c r="CY184" s="2">
        <f t="shared" si="73"/>
        <v>57.411560871354261</v>
      </c>
      <c r="CZ184" s="2">
        <f t="shared" si="74"/>
        <v>17.648812302739035</v>
      </c>
      <c r="DA184" s="2">
        <f t="shared" si="75"/>
        <v>14.22140245064926</v>
      </c>
    </row>
    <row r="185" spans="2:105" ht="18" customHeight="1" x14ac:dyDescent="0.25">
      <c r="B185" s="6"/>
      <c r="AP185" s="8"/>
      <c r="AR185" s="6"/>
      <c r="AS185" s="289"/>
      <c r="AT185" s="289"/>
      <c r="AU185" s="289"/>
      <c r="AV185" s="289"/>
      <c r="AW185" s="289"/>
      <c r="AX185" s="289"/>
      <c r="AY185" s="289"/>
      <c r="AZ185" s="289"/>
      <c r="BA185" s="289"/>
      <c r="BB185" s="289"/>
      <c r="BC185" s="289"/>
      <c r="BD185" s="289"/>
      <c r="BE185" s="289"/>
      <c r="BF185" s="289"/>
      <c r="BG185" s="289"/>
      <c r="BH185" s="289"/>
      <c r="BI185" s="289"/>
      <c r="BJ185" s="289"/>
      <c r="BK185" s="289"/>
      <c r="BL185" s="289"/>
      <c r="BM185" s="289"/>
      <c r="BN185" s="289"/>
      <c r="BO185" s="289"/>
      <c r="BP185" s="289"/>
      <c r="BQ185" s="289"/>
      <c r="BR185" s="289"/>
      <c r="BS185" s="289"/>
      <c r="BT185" s="289"/>
      <c r="BU185" s="289"/>
      <c r="BV185" s="289"/>
      <c r="BW185" s="289"/>
      <c r="BX185" s="289"/>
      <c r="BY185" s="289"/>
      <c r="BZ185" s="289"/>
      <c r="CA185" s="289"/>
      <c r="CB185" s="289"/>
      <c r="CC185" s="289"/>
      <c r="CD185" s="289"/>
      <c r="CE185" s="289"/>
      <c r="CF185" s="8"/>
      <c r="CK185" s="1">
        <f t="shared" si="71"/>
        <v>36.999999999999986</v>
      </c>
      <c r="CL185" s="1" t="str">
        <f t="shared" si="61"/>
        <v>0.0215973472222222+79.9101847222222i</v>
      </c>
      <c r="CM185" s="1" t="str">
        <f t="shared" si="62"/>
        <v>86.3893888888889</v>
      </c>
      <c r="CN185" s="1" t="str">
        <f t="shared" si="63"/>
        <v>-1.45928021771772i</v>
      </c>
      <c r="CO185" s="1" t="str">
        <f t="shared" si="64"/>
        <v>39.834882416289+41.5928752305751i</v>
      </c>
      <c r="CP185" s="1" t="str">
        <f t="shared" si="65"/>
        <v>0.0191834803010191+17.7447192784427i</v>
      </c>
      <c r="CQ185" s="1" t="str">
        <f t="shared" si="66"/>
        <v>2.46739502252325+14.0825635754629i</v>
      </c>
      <c r="CR185" s="2">
        <f t="shared" si="67"/>
        <v>36.999999999999986</v>
      </c>
      <c r="CS185" s="2">
        <f t="shared" si="68"/>
        <v>0.24824975342485761</v>
      </c>
      <c r="CT185" s="1">
        <f t="shared" si="69"/>
        <v>36.999999999999986</v>
      </c>
      <c r="CU185" s="1">
        <f t="shared" si="70"/>
        <v>0.80570880077152984</v>
      </c>
      <c r="CX185" s="2">
        <f t="shared" si="72"/>
        <v>36.999999999999986</v>
      </c>
      <c r="CY185" s="2">
        <f t="shared" si="73"/>
        <v>57.591536939603877</v>
      </c>
      <c r="CZ185" s="2">
        <f t="shared" si="74"/>
        <v>17.744729647888487</v>
      </c>
      <c r="DA185" s="2">
        <f t="shared" si="75"/>
        <v>14.297084844615245</v>
      </c>
    </row>
    <row r="186" spans="2:105" ht="18" customHeight="1" x14ac:dyDescent="0.25">
      <c r="B186" s="6"/>
      <c r="C186" s="176" t="s">
        <v>198</v>
      </c>
      <c r="D186" s="176"/>
      <c r="E186" s="176"/>
      <c r="F186" s="176"/>
      <c r="G186" s="176"/>
      <c r="H186" s="176"/>
      <c r="I186" s="176"/>
      <c r="J186" s="176"/>
      <c r="K186" s="176"/>
      <c r="L186" s="176"/>
      <c r="AP186" s="8"/>
      <c r="AR186" s="6"/>
      <c r="CF186" s="8"/>
      <c r="CK186" s="1">
        <f t="shared" si="71"/>
        <v>37.199999999999989</v>
      </c>
      <c r="CL186" s="1" t="str">
        <f t="shared" si="61"/>
        <v>0.0215973472222222+80.3421316666667i</v>
      </c>
      <c r="CM186" s="1" t="str">
        <f t="shared" si="62"/>
        <v>86.3893888888889</v>
      </c>
      <c r="CN186" s="1" t="str">
        <f t="shared" si="63"/>
        <v>-1.45143462514934i</v>
      </c>
      <c r="CO186" s="1" t="str">
        <f t="shared" si="64"/>
        <v>40.0663571847388+41.6182174466924i</v>
      </c>
      <c r="CP186" s="1" t="str">
        <f t="shared" si="65"/>
        <v>0.0191834803010191+17.8406366799478i</v>
      </c>
      <c r="CQ186" s="1" t="str">
        <f t="shared" si="66"/>
        <v>2.49244995658383+14.154966506037i</v>
      </c>
      <c r="CR186" s="2">
        <f t="shared" si="67"/>
        <v>37.199999999999989</v>
      </c>
      <c r="CS186" s="2">
        <f t="shared" si="68"/>
        <v>0.24879168915714822</v>
      </c>
      <c r="CT186" s="1">
        <f t="shared" si="69"/>
        <v>37.199999999999989</v>
      </c>
      <c r="CU186" s="1">
        <f t="shared" si="70"/>
        <v>0.80561711461217167</v>
      </c>
      <c r="CX186" s="2">
        <f t="shared" si="72"/>
        <v>37.199999999999989</v>
      </c>
      <c r="CY186" s="2">
        <f t="shared" si="73"/>
        <v>57.770139358454394</v>
      </c>
      <c r="CZ186" s="2">
        <f t="shared" si="74"/>
        <v>17.840646993643904</v>
      </c>
      <c r="DA186" s="2">
        <f t="shared" si="75"/>
        <v>14.372730553833675</v>
      </c>
    </row>
    <row r="187" spans="2:105" ht="18" customHeight="1" x14ac:dyDescent="0.25">
      <c r="B187" s="6"/>
      <c r="C187" s="176"/>
      <c r="D187" s="176"/>
      <c r="E187" s="176"/>
      <c r="F187" s="176"/>
      <c r="G187" s="176"/>
      <c r="H187" s="176"/>
      <c r="I187" s="176"/>
      <c r="J187" s="176"/>
      <c r="K187" s="176"/>
      <c r="L187" s="176"/>
      <c r="AP187" s="8"/>
      <c r="AR187" s="6"/>
      <c r="CF187" s="8"/>
      <c r="CK187" s="1">
        <f t="shared" si="71"/>
        <v>37.399999999999991</v>
      </c>
      <c r="CL187" s="1" t="str">
        <f t="shared" si="61"/>
        <v>0.0215973472222222+80.7740786111111i</v>
      </c>
      <c r="CM187" s="1" t="str">
        <f t="shared" si="62"/>
        <v>86.3893888888889</v>
      </c>
      <c r="CN187" s="1" t="str">
        <f t="shared" si="63"/>
        <v>-1.44367294266191i</v>
      </c>
      <c r="CO187" s="1" t="str">
        <f t="shared" si="64"/>
        <v>40.2967708487377+41.6421534682768i</v>
      </c>
      <c r="CP187" s="1" t="str">
        <f t="shared" si="65"/>
        <v>0.0191834803010191+17.9365540814529i</v>
      </c>
      <c r="CQ187" s="1" t="str">
        <f t="shared" si="66"/>
        <v>2.51762524116625+14.2273003988063i</v>
      </c>
      <c r="CR187" s="2">
        <f t="shared" si="67"/>
        <v>37.399999999999991</v>
      </c>
      <c r="CS187" s="2">
        <f t="shared" si="68"/>
        <v>0.24933551476412061</v>
      </c>
      <c r="CT187" s="1">
        <f t="shared" si="69"/>
        <v>37.399999999999991</v>
      </c>
      <c r="CU187" s="1">
        <f t="shared" si="70"/>
        <v>0.80552435783916376</v>
      </c>
      <c r="CX187" s="2">
        <f t="shared" si="72"/>
        <v>37.399999999999991</v>
      </c>
      <c r="CY187" s="2">
        <f t="shared" si="73"/>
        <v>57.947378597406754</v>
      </c>
      <c r="CZ187" s="2">
        <f t="shared" si="74"/>
        <v>17.936564339995581</v>
      </c>
      <c r="DA187" s="2">
        <f t="shared" si="75"/>
        <v>14.44833947181583</v>
      </c>
    </row>
    <row r="188" spans="2:105" ht="18" customHeight="1" x14ac:dyDescent="0.25">
      <c r="B188" s="6"/>
      <c r="C188" s="176"/>
      <c r="D188" s="176"/>
      <c r="E188" s="176"/>
      <c r="F188" s="176"/>
      <c r="G188" s="176"/>
      <c r="H188" s="176"/>
      <c r="I188" s="176"/>
      <c r="J188" s="176"/>
      <c r="K188" s="176"/>
      <c r="L188" s="176"/>
      <c r="AP188" s="8"/>
      <c r="AR188" s="6"/>
      <c r="CF188" s="8"/>
      <c r="CK188" s="1">
        <f t="shared" si="71"/>
        <v>37.599999999999994</v>
      </c>
      <c r="CL188" s="1" t="str">
        <f t="shared" si="61"/>
        <v>0.0215973472222222+81.2060255555556i</v>
      </c>
      <c r="CM188" s="1" t="str">
        <f t="shared" si="62"/>
        <v>86.3893888888889</v>
      </c>
      <c r="CN188" s="1" t="str">
        <f t="shared" si="63"/>
        <v>-1.43599383126478i</v>
      </c>
      <c r="CO188" s="1" t="str">
        <f t="shared" si="64"/>
        <v>40.5261208194357+41.6647029798185i</v>
      </c>
      <c r="CP188" s="1" t="str">
        <f t="shared" si="65"/>
        <v>0.0191834803010191+18.032471482958i</v>
      </c>
      <c r="CQ188" s="1" t="str">
        <f t="shared" si="66"/>
        <v>2.54292064020937+14.2995650152375i</v>
      </c>
      <c r="CR188" s="2">
        <f t="shared" si="67"/>
        <v>37.599999999999994</v>
      </c>
      <c r="CS188" s="2">
        <f t="shared" si="68"/>
        <v>0.24988120458093654</v>
      </c>
      <c r="CT188" s="1">
        <f t="shared" si="69"/>
        <v>37.599999999999994</v>
      </c>
      <c r="CU188" s="1">
        <f t="shared" si="70"/>
        <v>0.80543054158949912</v>
      </c>
      <c r="CX188" s="2">
        <f t="shared" si="72"/>
        <v>37.599999999999994</v>
      </c>
      <c r="CY188" s="2">
        <f t="shared" si="73"/>
        <v>58.123265075768032</v>
      </c>
      <c r="CZ188" s="2">
        <f t="shared" si="74"/>
        <v>18.032481686933995</v>
      </c>
      <c r="DA188" s="2">
        <f t="shared" si="75"/>
        <v>14.523911491310013</v>
      </c>
    </row>
    <row r="189" spans="2:105" ht="18" customHeight="1" x14ac:dyDescent="0.25">
      <c r="B189" s="6"/>
      <c r="AP189" s="8"/>
      <c r="AR189" s="6"/>
      <c r="CF189" s="8"/>
      <c r="CK189" s="1">
        <f t="shared" si="71"/>
        <v>37.799999999999997</v>
      </c>
      <c r="CL189" s="1" t="str">
        <f t="shared" si="61"/>
        <v>0.0215973472222222+81.6379725i</v>
      </c>
      <c r="CM189" s="1" t="str">
        <f t="shared" si="62"/>
        <v>86.3893888888889</v>
      </c>
      <c r="CN189" s="1" t="str">
        <f t="shared" si="63"/>
        <v>-1.4283959803057i</v>
      </c>
      <c r="CO189" s="1" t="str">
        <f t="shared" si="64"/>
        <v>40.7544047276423+41.6858854817069i</v>
      </c>
      <c r="CP189" s="1" t="str">
        <f t="shared" si="65"/>
        <v>0.0191834803010191+18.1283888844631i</v>
      </c>
      <c r="CQ189" s="1" t="str">
        <f t="shared" si="66"/>
        <v>2.56833591694414+14.3717601166562i</v>
      </c>
      <c r="CR189" s="2">
        <f t="shared" si="67"/>
        <v>37.799999999999997</v>
      </c>
      <c r="CS189" s="2">
        <f t="shared" si="68"/>
        <v>0.25042873332935073</v>
      </c>
      <c r="CT189" s="1">
        <f t="shared" si="69"/>
        <v>37.799999999999997</v>
      </c>
      <c r="CU189" s="1">
        <f t="shared" si="70"/>
        <v>0.80533567672426964</v>
      </c>
      <c r="CX189" s="2">
        <f t="shared" si="72"/>
        <v>37.799999999999997</v>
      </c>
      <c r="CY189" s="2">
        <f t="shared" si="73"/>
        <v>58.297809162081343</v>
      </c>
      <c r="CZ189" s="2">
        <f t="shared" si="74"/>
        <v>18.128399034449838</v>
      </c>
      <c r="DA189" s="2">
        <f t="shared" si="75"/>
        <v>14.599446504336219</v>
      </c>
    </row>
    <row r="190" spans="2:105" ht="18" customHeight="1" x14ac:dyDescent="0.25">
      <c r="B190" s="6"/>
      <c r="AP190" s="8"/>
      <c r="AR190" s="6"/>
      <c r="CF190" s="8"/>
      <c r="CK190" s="1">
        <f t="shared" si="71"/>
        <v>38</v>
      </c>
      <c r="CL190" s="1" t="str">
        <f t="shared" si="61"/>
        <v>0.0215973472222222+82.0699194444445i</v>
      </c>
      <c r="CM190" s="1" t="str">
        <f t="shared" si="62"/>
        <v>86.3893888888889</v>
      </c>
      <c r="CN190" s="1" t="str">
        <f t="shared" si="63"/>
        <v>-1.42087810672515i</v>
      </c>
      <c r="CO190" s="1" t="str">
        <f t="shared" si="64"/>
        <v>40.9816204190384+41.7057202900337i</v>
      </c>
      <c r="CP190" s="1" t="str">
        <f t="shared" si="65"/>
        <v>0.0191834803010191+18.2243062859682i</v>
      </c>
      <c r="CQ190" s="1" t="str">
        <f t="shared" si="66"/>
        <v>2.59387083389303+14.4438854642819i</v>
      </c>
      <c r="CR190" s="2">
        <f t="shared" si="67"/>
        <v>38</v>
      </c>
      <c r="CS190" s="2">
        <f t="shared" si="68"/>
        <v>0.25097807610808359</v>
      </c>
      <c r="CT190" s="1">
        <f t="shared" si="69"/>
        <v>38</v>
      </c>
      <c r="CU190" s="1">
        <f t="shared" si="70"/>
        <v>0.80523977383773016</v>
      </c>
      <c r="CX190" s="2">
        <f t="shared" si="72"/>
        <v>38</v>
      </c>
      <c r="CY190" s="2">
        <f t="shared" si="73"/>
        <v>58.47102117357516</v>
      </c>
      <c r="CZ190" s="2">
        <f t="shared" si="74"/>
        <v>18.224316382533981</v>
      </c>
      <c r="DA190" s="2">
        <f t="shared" si="75"/>
        <v>14.674944402218868</v>
      </c>
    </row>
    <row r="191" spans="2:105" ht="18" customHeight="1" x14ac:dyDescent="0.25">
      <c r="B191" s="6"/>
      <c r="AP191" s="8"/>
      <c r="AR191" s="6"/>
      <c r="CF191" s="8"/>
      <c r="CK191" s="1">
        <f t="shared" si="71"/>
        <v>38.200000000000003</v>
      </c>
      <c r="CL191" s="1" t="str">
        <f t="shared" si="61"/>
        <v>0.0215973472222222+82.5018663888889i</v>
      </c>
      <c r="CM191" s="1" t="str">
        <f t="shared" si="62"/>
        <v>86.3893888888889</v>
      </c>
      <c r="CN191" s="1" t="str">
        <f t="shared" si="63"/>
        <v>-1.41343895433392i</v>
      </c>
      <c r="CO191" s="1" t="str">
        <f t="shared" si="64"/>
        <v>41.2077659494452+41.7242265364622i</v>
      </c>
      <c r="CP191" s="1" t="str">
        <f t="shared" si="65"/>
        <v>0.0191834803010191+18.3202236874733i</v>
      </c>
      <c r="CQ191" s="1" t="str">
        <f t="shared" si="66"/>
        <v>2.61952515286957+14.5159408192618i</v>
      </c>
      <c r="CR191" s="2">
        <f t="shared" si="67"/>
        <v>38.200000000000003</v>
      </c>
      <c r="CS191" s="2">
        <f t="shared" si="68"/>
        <v>0.25152920838353071</v>
      </c>
      <c r="CT191" s="1">
        <f t="shared" si="69"/>
        <v>38.200000000000003</v>
      </c>
      <c r="CU191" s="1">
        <f t="shared" si="70"/>
        <v>0.8051428432660217</v>
      </c>
      <c r="CX191" s="2">
        <f t="shared" si="72"/>
        <v>38.200000000000003</v>
      </c>
      <c r="CY191" s="2">
        <f t="shared" si="73"/>
        <v>58.642911375632366</v>
      </c>
      <c r="CZ191" s="2">
        <f t="shared" si="74"/>
        <v>18.320233731177513</v>
      </c>
      <c r="DA191" s="2">
        <f t="shared" si="75"/>
        <v>14.750405075618342</v>
      </c>
    </row>
    <row r="192" spans="2:105" ht="18" customHeight="1" x14ac:dyDescent="0.25">
      <c r="B192" s="6"/>
      <c r="AP192" s="8"/>
      <c r="AR192" s="6"/>
      <c r="CF192" s="8"/>
      <c r="CK192" s="1">
        <f t="shared" si="71"/>
        <v>38.400000000000006</v>
      </c>
      <c r="CL192" s="1" t="str">
        <f t="shared" si="61"/>
        <v>0.0215973472222222+82.9338133333334i</v>
      </c>
      <c r="CM192" s="1" t="str">
        <f t="shared" si="62"/>
        <v>86.3893888888889</v>
      </c>
      <c r="CN192" s="1" t="str">
        <f t="shared" si="63"/>
        <v>-1.40607729311343i</v>
      </c>
      <c r="CO192" s="1" t="str">
        <f t="shared" si="64"/>
        <v>41.4328395801502+41.7414231681605i</v>
      </c>
      <c r="CP192" s="1" t="str">
        <f t="shared" si="65"/>
        <v>0.0191834803010191+18.4161410889784i</v>
      </c>
      <c r="CQ192" s="1" t="str">
        <f t="shared" si="66"/>
        <v>2.6452986349782+14.5879259427039i</v>
      </c>
      <c r="CR192" s="2">
        <f t="shared" si="67"/>
        <v>38.400000000000006</v>
      </c>
      <c r="CS192" s="2">
        <f t="shared" si="68"/>
        <v>0.25208210598080938</v>
      </c>
      <c r="CT192" s="1">
        <f t="shared" si="69"/>
        <v>38.400000000000006</v>
      </c>
      <c r="CU192" s="1">
        <f t="shared" si="70"/>
        <v>0.8050448950955631</v>
      </c>
      <c r="CX192" s="2">
        <f t="shared" si="72"/>
        <v>38.400000000000006</v>
      </c>
      <c r="CY192" s="2">
        <f t="shared" si="73"/>
        <v>58.813489981278167</v>
      </c>
      <c r="CZ192" s="2">
        <f t="shared" si="74"/>
        <v>18.41615108037168</v>
      </c>
      <c r="DA192" s="2">
        <f t="shared" si="75"/>
        <v>14.825828414561901</v>
      </c>
    </row>
    <row r="193" spans="2:105" ht="18" customHeight="1" x14ac:dyDescent="0.25">
      <c r="B193" s="6"/>
      <c r="AP193" s="8"/>
      <c r="AR193" s="6"/>
      <c r="CF193" s="8"/>
      <c r="CK193" s="1">
        <f t="shared" si="71"/>
        <v>38.600000000000009</v>
      </c>
      <c r="CL193" s="1" t="str">
        <f t="shared" si="61"/>
        <v>0.0215973472222222+83.3657602777778i</v>
      </c>
      <c r="CM193" s="1" t="str">
        <f t="shared" si="62"/>
        <v>86.3893888888889</v>
      </c>
      <c r="CN193" s="1" t="str">
        <f t="shared" si="63"/>
        <v>-1.39879191853771i</v>
      </c>
      <c r="CO193" s="1" t="str">
        <f t="shared" si="64"/>
        <v>41.6568397732918+41.7573289477969i</v>
      </c>
      <c r="CP193" s="1" t="str">
        <f t="shared" si="65"/>
        <v>0.0191834803010191+18.5120584904835i</v>
      </c>
      <c r="CQ193" s="1" t="str">
        <f t="shared" si="66"/>
        <v>2.67119104061424+14.6598405957089i</v>
      </c>
      <c r="CR193" s="2">
        <f t="shared" si="67"/>
        <v>38.600000000000009</v>
      </c>
      <c r="CS193" s="2">
        <f t="shared" si="68"/>
        <v>0.25263674507511946</v>
      </c>
      <c r="CT193" s="1">
        <f t="shared" si="69"/>
        <v>38.600000000000009</v>
      </c>
      <c r="CU193" s="1">
        <f t="shared" si="70"/>
        <v>0.80494593917112645</v>
      </c>
      <c r="CX193" s="2">
        <f t="shared" si="72"/>
        <v>38.600000000000009</v>
      </c>
      <c r="CY193" s="2">
        <f t="shared" si="73"/>
        <v>58.982767150687515</v>
      </c>
      <c r="CZ193" s="2">
        <f t="shared" si="74"/>
        <v>18.512068430107931</v>
      </c>
      <c r="DA193" s="2">
        <f t="shared" si="75"/>
        <v>14.901214308473403</v>
      </c>
    </row>
    <row r="194" spans="2:105" ht="18" customHeight="1" thickBot="1" x14ac:dyDescent="0.3">
      <c r="B194" s="6"/>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1"/>
      <c r="AO194" s="10"/>
      <c r="AP194" s="8"/>
      <c r="AR194" s="6"/>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1"/>
      <c r="CE194" s="10"/>
      <c r="CF194" s="8"/>
      <c r="CK194" s="1">
        <f t="shared" si="71"/>
        <v>38.800000000000011</v>
      </c>
      <c r="CL194" s="1" t="str">
        <f t="shared" si="61"/>
        <v>0.0215973472222222+83.7977072222223i</v>
      </c>
      <c r="CM194" s="1" t="str">
        <f t="shared" si="62"/>
        <v>86.3893888888889</v>
      </c>
      <c r="CN194" s="1" t="str">
        <f t="shared" si="63"/>
        <v>-1.39158165091638i</v>
      </c>
      <c r="CO194" s="1" t="str">
        <f t="shared" si="64"/>
        <v>41.8797651873027+41.7719624535962i</v>
      </c>
      <c r="CP194" s="1" t="str">
        <f t="shared" si="65"/>
        <v>0.0191834803010191+18.6079758919886i</v>
      </c>
      <c r="CQ194" s="1" t="str">
        <f t="shared" si="66"/>
        <v>2.69720212946417+14.7316845394014i</v>
      </c>
      <c r="CR194" s="2">
        <f t="shared" si="67"/>
        <v>38.800000000000011</v>
      </c>
      <c r="CS194" s="2">
        <f t="shared" si="68"/>
        <v>0.25319310218339758</v>
      </c>
      <c r="CT194" s="1">
        <f t="shared" si="69"/>
        <v>38.800000000000011</v>
      </c>
      <c r="CU194" s="1">
        <f t="shared" si="70"/>
        <v>0.80484598510361771</v>
      </c>
      <c r="CX194" s="2">
        <f t="shared" si="72"/>
        <v>38.800000000000011</v>
      </c>
      <c r="CY194" s="2">
        <f t="shared" si="73"/>
        <v>59.15075299071232</v>
      </c>
      <c r="CZ194" s="2">
        <f t="shared" si="74"/>
        <v>18.607985780377881</v>
      </c>
      <c r="DA194" s="2">
        <f t="shared" si="75"/>
        <v>14.976562646202376</v>
      </c>
    </row>
    <row r="195" spans="2:105" ht="18" customHeight="1" x14ac:dyDescent="0.25">
      <c r="B195" s="6"/>
      <c r="D195" s="43" t="s">
        <v>84</v>
      </c>
      <c r="AO195" s="29" t="s">
        <v>189</v>
      </c>
      <c r="AP195" s="8"/>
      <c r="AR195" s="6"/>
      <c r="AT195" s="43" t="s">
        <v>84</v>
      </c>
      <c r="CE195" s="29" t="s">
        <v>190</v>
      </c>
      <c r="CF195" s="8"/>
      <c r="CK195" s="1">
        <f t="shared" si="71"/>
        <v>39.000000000000014</v>
      </c>
      <c r="CL195" s="1" t="str">
        <f t="shared" si="61"/>
        <v>0.0215973472222222+84.2296541666667i</v>
      </c>
      <c r="CM195" s="1" t="str">
        <f t="shared" si="62"/>
        <v>86.3893888888889</v>
      </c>
      <c r="CN195" s="1" t="str">
        <f t="shared" si="63"/>
        <v>-1.38444533475783i</v>
      </c>
      <c r="CO195" s="1" t="str">
        <f t="shared" si="64"/>
        <v>42.1016146724111+41.7853420794545i</v>
      </c>
      <c r="CP195" s="1" t="str">
        <f t="shared" si="65"/>
        <v>0.0191834803010191+18.7038932934937i</v>
      </c>
      <c r="CQ195" s="1" t="str">
        <f t="shared" si="66"/>
        <v>2.72333166050598+14.8034575349594i</v>
      </c>
      <c r="CR195" s="2">
        <f t="shared" si="67"/>
        <v>39.000000000000014</v>
      </c>
      <c r="CS195" s="2">
        <f t="shared" si="68"/>
        <v>0.25375115415627153</v>
      </c>
      <c r="CT195" s="1">
        <f t="shared" si="69"/>
        <v>39.000000000000014</v>
      </c>
      <c r="CU195" s="1">
        <f t="shared" si="70"/>
        <v>0.80474504227755761</v>
      </c>
      <c r="CX195" s="2">
        <f t="shared" si="72"/>
        <v>39.000000000000014</v>
      </c>
      <c r="CY195" s="2">
        <f t="shared" si="73"/>
        <v>59.317457554426696</v>
      </c>
      <c r="CZ195" s="2">
        <f t="shared" si="74"/>
        <v>18.70390313117332</v>
      </c>
      <c r="DA195" s="2">
        <f t="shared" si="75"/>
        <v>15.05187331605141</v>
      </c>
    </row>
    <row r="196" spans="2:105" ht="18" customHeight="1" x14ac:dyDescent="0.25">
      <c r="B196" s="45"/>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7"/>
      <c r="AR196" s="45"/>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7"/>
      <c r="CK196" s="1">
        <f t="shared" si="71"/>
        <v>39.200000000000017</v>
      </c>
      <c r="CL196" s="1" t="str">
        <f t="shared" si="61"/>
        <v>0.0215973472222222+84.6616011111112i</v>
      </c>
      <c r="CM196" s="1" t="str">
        <f t="shared" si="62"/>
        <v>86.3893888888889</v>
      </c>
      <c r="CN196" s="1" t="str">
        <f t="shared" si="63"/>
        <v>-1.37738183815193i</v>
      </c>
      <c r="CO196" s="1" t="str">
        <f t="shared" si="64"/>
        <v>42.3223872662037+41.7974860351113i</v>
      </c>
      <c r="CP196" s="1" t="str">
        <f t="shared" si="65"/>
        <v>0.0191834803010191+18.7998106949988i</v>
      </c>
      <c r="CQ196" s="1" t="str">
        <f t="shared" si="66"/>
        <v>2.7495793920099+14.8751593436438i</v>
      </c>
      <c r="CR196" s="2">
        <f t="shared" si="67"/>
        <v>39.200000000000017</v>
      </c>
      <c r="CS196" s="2">
        <f t="shared" si="68"/>
        <v>0.25431087817027986</v>
      </c>
      <c r="CT196" s="1">
        <f t="shared" si="69"/>
        <v>39.200000000000017</v>
      </c>
      <c r="CU196" s="1">
        <f t="shared" si="70"/>
        <v>0.80464311985829773</v>
      </c>
      <c r="CX196" s="2">
        <f t="shared" si="72"/>
        <v>39.200000000000017</v>
      </c>
      <c r="CY196" s="2">
        <f t="shared" si="73"/>
        <v>59.482890840693386</v>
      </c>
      <c r="CZ196" s="2">
        <f t="shared" si="74"/>
        <v>18.799820482486201</v>
      </c>
      <c r="DA196" s="2">
        <f t="shared" si="75"/>
        <v>15.127146205803623</v>
      </c>
    </row>
    <row r="197" spans="2:105" ht="18" customHeight="1" x14ac:dyDescent="0.25">
      <c r="CK197" s="1">
        <f t="shared" si="71"/>
        <v>39.40000000000002</v>
      </c>
      <c r="CL197" s="1" t="str">
        <f t="shared" si="61"/>
        <v>0.0215973472222222+85.0935480555556i</v>
      </c>
      <c r="CM197" s="1" t="str">
        <f t="shared" si="62"/>
        <v>86.3893888888889</v>
      </c>
      <c r="CN197" s="1" t="str">
        <f t="shared" si="63"/>
        <v>-1.37039005217146i</v>
      </c>
      <c r="CO197" s="1" t="str">
        <f t="shared" si="64"/>
        <v>42.5420821892457+41.8084123463775i</v>
      </c>
      <c r="CP197" s="1" t="str">
        <f t="shared" si="65"/>
        <v>0.0191834803010191+18.8957280965039i</v>
      </c>
      <c r="CQ197" s="1" t="str">
        <f t="shared" si="66"/>
        <v>2.775945081539+14.9467897268262i</v>
      </c>
      <c r="CR197" s="2">
        <f t="shared" si="67"/>
        <v>39.40000000000002</v>
      </c>
      <c r="CS197" s="2">
        <f t="shared" si="68"/>
        <v>0.25487225172036482</v>
      </c>
      <c r="CT197" s="1">
        <f t="shared" si="69"/>
        <v>39.40000000000002</v>
      </c>
      <c r="CU197" s="1">
        <f t="shared" si="70"/>
        <v>0.80454022679896298</v>
      </c>
      <c r="CX197" s="2">
        <f t="shared" si="72"/>
        <v>39.40000000000002</v>
      </c>
      <c r="CY197" s="2">
        <f t="shared" si="73"/>
        <v>59.64706279374758</v>
      </c>
      <c r="CZ197" s="2">
        <f t="shared" si="74"/>
        <v>18.895737834308648</v>
      </c>
      <c r="DA197" s="2">
        <f t="shared" si="75"/>
        <v>15.202381202748397</v>
      </c>
    </row>
    <row r="198" spans="2:105" ht="18" customHeight="1" x14ac:dyDescent="0.25">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5"/>
      <c r="AR198" s="3"/>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5"/>
      <c r="CK198" s="1">
        <f t="shared" si="71"/>
        <v>39.600000000000023</v>
      </c>
      <c r="CL198" s="1" t="str">
        <f t="shared" ref="CL198:CL250" si="76">COMPLEX($AJ$34/$S$34,$AJ$34*CK198)</f>
        <v>0.0215973472222222+85.5254950000001i</v>
      </c>
      <c r="CM198" s="1" t="str">
        <f t="shared" ref="CM198:CM250" si="77">COMPLEX($AJ$40,"0")</f>
        <v>86.3893888888889</v>
      </c>
      <c r="CN198" s="1" t="str">
        <f t="shared" ref="CN198:CN250" si="78">COMPLEX("0",-$AJ$30/CK198)</f>
        <v>-1.36346889029181i</v>
      </c>
      <c r="CO198" s="1" t="str">
        <f t="shared" ref="CO198:CO250" si="79">IMSUM(IMDIV(IMPRODUCT(CL198,CM198),IMSUM(CL198,CM198)),CN198)</f>
        <v>42.7606988407631+41.8181388554163i</v>
      </c>
      <c r="CP198" s="1" t="str">
        <f t="shared" ref="CP198:CP250" si="80">COMPLEX($CZ$1,$CZ$2*CK198)</f>
        <v>0.0191834803010191+18.991645498009i</v>
      </c>
      <c r="CQ198" s="1" t="str">
        <f t="shared" ref="CQ198:CQ250" si="81">IMDIV(IMPRODUCT(CP198,CO198),IMSUM(CO198,CP198))</f>
        <v>2.80242848595028+15.0183484460165i</v>
      </c>
      <c r="CR198" s="2">
        <f t="shared" ref="CR198:CR250" si="82">CK198</f>
        <v>39.600000000000023</v>
      </c>
      <c r="CS198" s="2">
        <f t="shared" ref="CS198:CS250" si="83">IMABS(IMDIV(CP198,IMSUM(CO198,CP198)))</f>
        <v>0.25543525261261218</v>
      </c>
      <c r="CT198" s="1">
        <f t="shared" ref="CT198:CT250" si="84">CR198</f>
        <v>39.600000000000023</v>
      </c>
      <c r="CU198" s="1">
        <f t="shared" ref="CU198:CU250" si="85">IMABS(IMDIV(CO198,IMSUM(CO198,CP198)))</f>
        <v>0.80443637184714534</v>
      </c>
      <c r="CX198" s="2">
        <f t="shared" si="72"/>
        <v>39.600000000000023</v>
      </c>
      <c r="CY198" s="2">
        <f t="shared" si="73"/>
        <v>59.809983302800852</v>
      </c>
      <c r="CZ198" s="2">
        <f t="shared" si="74"/>
        <v>18.991655186632943</v>
      </c>
      <c r="DA198" s="2">
        <f t="shared" si="75"/>
        <v>15.277578193707006</v>
      </c>
    </row>
    <row r="199" spans="2:105" ht="18" customHeight="1" x14ac:dyDescent="0.25">
      <c r="B199" s="6"/>
      <c r="AN199" s="7"/>
      <c r="AP199" s="8"/>
      <c r="AR199" s="6"/>
      <c r="CD199" s="7"/>
      <c r="CF199" s="8"/>
      <c r="CK199" s="1">
        <f t="shared" ref="CK199:CK250" si="86">CK198+0.2</f>
        <v>39.800000000000026</v>
      </c>
      <c r="CL199" s="1" t="str">
        <f t="shared" si="76"/>
        <v>0.0215973472222222+85.9574419444445i</v>
      </c>
      <c r="CM199" s="1" t="str">
        <f t="shared" si="77"/>
        <v>86.3893888888889</v>
      </c>
      <c r="CN199" s="1" t="str">
        <f t="shared" si="78"/>
        <v>-1.35661728782803i</v>
      </c>
      <c r="CO199" s="1" t="str">
        <f t="shared" si="79"/>
        <v>42.9782367943842+41.826683221077i</v>
      </c>
      <c r="CP199" s="1" t="str">
        <f t="shared" si="80"/>
        <v>0.0191834803010191+19.0875628995141i</v>
      </c>
      <c r="CQ199" s="1" t="str">
        <f t="shared" si="81"/>
        <v>2.82902936139578+15.0898352628891i</v>
      </c>
      <c r="CR199" s="2">
        <f t="shared" si="82"/>
        <v>39.800000000000026</v>
      </c>
      <c r="CS199" s="2">
        <f t="shared" si="83"/>
        <v>0.25599985895723387</v>
      </c>
      <c r="CT199" s="1">
        <f t="shared" si="84"/>
        <v>39.800000000000026</v>
      </c>
      <c r="CU199" s="1">
        <f t="shared" si="85"/>
        <v>0.80433156355134916</v>
      </c>
      <c r="CX199" s="2">
        <f t="shared" si="72"/>
        <v>39.800000000000026</v>
      </c>
      <c r="CY199" s="2">
        <f t="shared" si="73"/>
        <v>59.971662201663918</v>
      </c>
      <c r="CZ199" s="2">
        <f t="shared" si="74"/>
        <v>19.087572539451518</v>
      </c>
      <c r="DA199" s="2">
        <f t="shared" si="75"/>
        <v>15.352737065056861</v>
      </c>
    </row>
    <row r="200" spans="2:105" ht="18" customHeight="1" x14ac:dyDescent="0.25">
      <c r="B200" s="6"/>
      <c r="AN200" s="9"/>
      <c r="AP200" s="8"/>
      <c r="AR200" s="6"/>
      <c r="CD200" s="9"/>
      <c r="CF200" s="8"/>
      <c r="CK200" s="1">
        <f t="shared" si="86"/>
        <v>40.000000000000028</v>
      </c>
      <c r="CL200" s="1" t="str">
        <f t="shared" si="76"/>
        <v>0.0215973472222222+86.389388888889i</v>
      </c>
      <c r="CM200" s="1" t="str">
        <f t="shared" si="77"/>
        <v>86.3893888888889</v>
      </c>
      <c r="CN200" s="1" t="str">
        <f t="shared" si="78"/>
        <v>-1.34983420138889i</v>
      </c>
      <c r="CO200" s="1" t="str">
        <f t="shared" si="79"/>
        <v>43.1946957939413+41.8340629192786i</v>
      </c>
      <c r="CP200" s="1" t="str">
        <f t="shared" si="80"/>
        <v>0.0191834803010191+19.1834803010192i</v>
      </c>
      <c r="CQ200" s="1" t="str">
        <f t="shared" si="81"/>
        <v>2.85574746332378+15.1612499393087i</v>
      </c>
      <c r="CR200" s="2">
        <f t="shared" si="82"/>
        <v>40.000000000000028</v>
      </c>
      <c r="CS200" s="2">
        <f t="shared" si="83"/>
        <v>0.25656604916179182</v>
      </c>
      <c r="CT200" s="1">
        <f t="shared" si="84"/>
        <v>40.000000000000028</v>
      </c>
      <c r="CU200" s="1">
        <f t="shared" si="85"/>
        <v>0.80422581026721307</v>
      </c>
      <c r="CX200" s="2">
        <f t="shared" si="72"/>
        <v>40.000000000000028</v>
      </c>
      <c r="CY200" s="2">
        <f t="shared" si="73"/>
        <v>60.132109268387474</v>
      </c>
      <c r="CZ200" s="2">
        <f t="shared" si="74"/>
        <v>19.183489892756953</v>
      </c>
      <c r="DA200" s="2">
        <f t="shared" si="75"/>
        <v>15.42785770275537</v>
      </c>
    </row>
    <row r="201" spans="2:105" ht="18" customHeight="1" thickBot="1" x14ac:dyDescent="0.3">
      <c r="B201" s="6"/>
      <c r="C201" s="10" t="str">
        <f>"Harmonic Filter Design - High-Pass (HP) Type | "&amp; H12 &amp; " | " &amp; AE13</f>
        <v>Harmonic Filter Design - High-Pass (HP) Type | Enter Customer PO #  | Stage 1</v>
      </c>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1"/>
      <c r="AO201" s="10"/>
      <c r="AP201" s="8"/>
      <c r="AR201" s="6"/>
      <c r="AS201" s="10" t="str">
        <f>"Harmonic Filter Design - High-Pass (HP) Type | "&amp; H12 &amp; " | " &amp; AE13</f>
        <v>Harmonic Filter Design - High-Pass (HP) Type | Enter Customer PO #  | Stage 1</v>
      </c>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1"/>
      <c r="CE201" s="10"/>
      <c r="CF201" s="8"/>
      <c r="CK201" s="1">
        <f t="shared" si="86"/>
        <v>40.200000000000031</v>
      </c>
      <c r="CL201" s="1" t="str">
        <f t="shared" si="76"/>
        <v>0.0215973472222222+86.8213358333334i</v>
      </c>
      <c r="CM201" s="1" t="str">
        <f t="shared" si="77"/>
        <v>86.3893888888889</v>
      </c>
      <c r="CN201" s="1" t="str">
        <f t="shared" si="78"/>
        <v>-1.34311860834715i</v>
      </c>
      <c r="CO201" s="1" t="str">
        <f t="shared" si="79"/>
        <v>43.4100757493338+41.8402952434428i</v>
      </c>
      <c r="CP201" s="1" t="str">
        <f t="shared" si="80"/>
        <v>0.0191834803010191+19.2793977025243i</v>
      </c>
      <c r="CQ201" s="1" t="str">
        <f t="shared" si="81"/>
        <v>2.88258254648025+15.2325922373553i</v>
      </c>
      <c r="CR201" s="2">
        <f t="shared" si="82"/>
        <v>40.200000000000031</v>
      </c>
      <c r="CS201" s="2">
        <f t="shared" si="83"/>
        <v>0.25713380192463092</v>
      </c>
      <c r="CT201" s="1">
        <f t="shared" si="84"/>
        <v>40.200000000000031</v>
      </c>
      <c r="CU201" s="1">
        <f t="shared" si="85"/>
        <v>0.80411912016349496</v>
      </c>
      <c r="CX201" s="2">
        <f t="shared" si="72"/>
        <v>40.200000000000031</v>
      </c>
      <c r="CY201" s="2">
        <f t="shared" si="73"/>
        <v>60.291334224922913</v>
      </c>
      <c r="CZ201" s="2">
        <f t="shared" si="74"/>
        <v>19.279407246541989</v>
      </c>
      <c r="DA201" s="2">
        <f t="shared" si="75"/>
        <v>15.502939992363045</v>
      </c>
    </row>
    <row r="202" spans="2:105" ht="18" customHeight="1" x14ac:dyDescent="0.25">
      <c r="B202" s="6"/>
      <c r="AN202" s="9"/>
      <c r="AP202" s="8"/>
      <c r="AR202" s="6"/>
      <c r="CD202" s="9"/>
      <c r="CF202" s="8"/>
      <c r="CK202" s="1">
        <f t="shared" si="86"/>
        <v>40.400000000000034</v>
      </c>
      <c r="CL202" s="1" t="str">
        <f t="shared" si="76"/>
        <v>0.0215973472222222+87.2532827777779i</v>
      </c>
      <c r="CM202" s="1" t="str">
        <f t="shared" si="77"/>
        <v>86.3893888888889</v>
      </c>
      <c r="CN202" s="1" t="str">
        <f t="shared" si="78"/>
        <v>-1.33646950632563i</v>
      </c>
      <c r="CO202" s="1" t="str">
        <f t="shared" si="79"/>
        <v>43.6243767324514+41.8453973049736i</v>
      </c>
      <c r="CP202" s="1" t="str">
        <f t="shared" si="80"/>
        <v>0.0191834803010191+19.3753151040294i</v>
      </c>
      <c r="CQ202" s="1" t="str">
        <f t="shared" si="81"/>
        <v>2.90953436491047+15.3038619193483i</v>
      </c>
      <c r="CR202" s="2">
        <f t="shared" si="82"/>
        <v>40.400000000000034</v>
      </c>
      <c r="CS202" s="2">
        <f t="shared" si="83"/>
        <v>0.25770309622853443</v>
      </c>
      <c r="CT202" s="1">
        <f t="shared" si="84"/>
        <v>40.400000000000034</v>
      </c>
      <c r="CU202" s="1">
        <f t="shared" si="85"/>
        <v>0.80401150122785414</v>
      </c>
      <c r="CX202" s="2">
        <f t="shared" si="72"/>
        <v>40.400000000000034</v>
      </c>
      <c r="CY202" s="2">
        <f t="shared" si="73"/>
        <v>60.44934673680055</v>
      </c>
      <c r="CZ202" s="2">
        <f t="shared" si="74"/>
        <v>19.375324600799502</v>
      </c>
      <c r="DA202" s="2">
        <f t="shared" si="75"/>
        <v>15.577983819065739</v>
      </c>
    </row>
    <row r="203" spans="2:105" ht="18" customHeight="1" x14ac:dyDescent="0.3">
      <c r="B203" s="6"/>
      <c r="C203" s="154" t="s">
        <v>470</v>
      </c>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c r="AA203" s="154"/>
      <c r="AB203" s="154"/>
      <c r="AC203" s="154"/>
      <c r="AD203" s="154"/>
      <c r="AE203" s="154"/>
      <c r="AF203" s="154"/>
      <c r="AG203" s="154"/>
      <c r="AH203" s="154"/>
      <c r="AI203" s="154"/>
      <c r="AJ203" s="154"/>
      <c r="AK203" s="154"/>
      <c r="AL203" s="154"/>
      <c r="AM203" s="154"/>
      <c r="AN203" s="154"/>
      <c r="AO203" s="154"/>
      <c r="AP203" s="8"/>
      <c r="AR203" s="6"/>
      <c r="CF203" s="8"/>
      <c r="CK203" s="1">
        <f t="shared" si="86"/>
        <v>40.600000000000037</v>
      </c>
      <c r="CL203" s="1" t="str">
        <f t="shared" si="76"/>
        <v>0.0215973472222222+87.6852297222223i</v>
      </c>
      <c r="CM203" s="1" t="str">
        <f t="shared" si="77"/>
        <v>86.3893888888889</v>
      </c>
      <c r="CN203" s="1" t="str">
        <f t="shared" si="78"/>
        <v>-1.32988591269841i</v>
      </c>
      <c r="CO203" s="1" t="str">
        <f t="shared" si="79"/>
        <v>43.8375989731572+41.8493860337826i</v>
      </c>
      <c r="CP203" s="1" t="str">
        <f t="shared" si="80"/>
        <v>0.0191834803010191+19.4712325055345i</v>
      </c>
      <c r="CQ203" s="1" t="str">
        <f t="shared" si="81"/>
        <v>2.93660267196066+15.37505874787i</v>
      </c>
      <c r="CR203" s="2">
        <f t="shared" si="82"/>
        <v>40.600000000000037</v>
      </c>
      <c r="CS203" s="2">
        <f t="shared" si="83"/>
        <v>0.25827391133458732</v>
      </c>
      <c r="CT203" s="1">
        <f t="shared" si="84"/>
        <v>40.600000000000037</v>
      </c>
      <c r="CU203" s="1">
        <f t="shared" si="85"/>
        <v>0.803902961272419</v>
      </c>
      <c r="CX203" s="2">
        <f t="shared" ref="CX203:CX214" si="87">CK203</f>
        <v>40.600000000000037</v>
      </c>
      <c r="CY203" s="2">
        <f t="shared" ref="CY203:CY214" si="88">IMABS(CO203)</f>
        <v>60.606156412825847</v>
      </c>
      <c r="CZ203" s="2">
        <f t="shared" ref="CZ203:CZ214" si="89">IMABS(CP203)</f>
        <v>19.471241955522505</v>
      </c>
      <c r="DA203" s="2">
        <f t="shared" ref="DA203:DA214" si="90">IMABS(CQ203)</f>
        <v>15.652989067696312</v>
      </c>
    </row>
    <row r="204" spans="2:105" ht="18" customHeight="1" x14ac:dyDescent="0.25">
      <c r="B204" s="6"/>
      <c r="AP204" s="8"/>
      <c r="AR204" s="6"/>
      <c r="CF204" s="8"/>
      <c r="CK204" s="1">
        <f t="shared" si="86"/>
        <v>40.80000000000004</v>
      </c>
      <c r="CL204" s="1" t="str">
        <f t="shared" si="76"/>
        <v>0.0215973472222222+88.1171766666668i</v>
      </c>
      <c r="CM204" s="1" t="str">
        <f t="shared" si="77"/>
        <v>86.3893888888889</v>
      </c>
      <c r="CN204" s="1" t="str">
        <f t="shared" si="78"/>
        <v>-1.32336686410675i</v>
      </c>
      <c r="CO204" s="1" t="str">
        <f t="shared" si="79"/>
        <v>44.0497428553335+41.8522781788589i</v>
      </c>
      <c r="CP204" s="1" t="str">
        <f t="shared" si="80"/>
        <v>0.0191834803010191+19.5671499070396i</v>
      </c>
      <c r="CQ204" s="1" t="str">
        <f t="shared" si="81"/>
        <v>2.96378722027989+15.4461824857882i</v>
      </c>
      <c r="CR204" s="2">
        <f t="shared" si="82"/>
        <v>40.80000000000004</v>
      </c>
      <c r="CS204" s="2">
        <f t="shared" si="83"/>
        <v>0.25884622677622304</v>
      </c>
      <c r="CT204" s="1">
        <f t="shared" si="84"/>
        <v>40.80000000000004</v>
      </c>
      <c r="CU204" s="1">
        <f t="shared" si="85"/>
        <v>0.80379350793916837</v>
      </c>
      <c r="CX204" s="2">
        <f t="shared" si="87"/>
        <v>40.80000000000004</v>
      </c>
      <c r="CY204" s="2">
        <f t="shared" si="88"/>
        <v>60.761772804795562</v>
      </c>
      <c r="CZ204" s="2">
        <f t="shared" si="89"/>
        <v>19.567159310704152</v>
      </c>
      <c r="DA204" s="2">
        <f t="shared" si="90"/>
        <v>15.727955622755442</v>
      </c>
    </row>
    <row r="205" spans="2:105" ht="18" customHeight="1" x14ac:dyDescent="0.3">
      <c r="B205" s="6"/>
      <c r="C205" s="30" t="s">
        <v>479</v>
      </c>
      <c r="AP205" s="8"/>
      <c r="AR205" s="6"/>
      <c r="AS205" s="95"/>
      <c r="AT205" s="95"/>
      <c r="AU205" s="95"/>
      <c r="AV205" s="95"/>
      <c r="AW205" s="95"/>
      <c r="AX205" s="95"/>
      <c r="AY205" s="95"/>
      <c r="AZ205" s="95"/>
      <c r="BA205" s="95"/>
      <c r="BB205" s="95"/>
      <c r="BC205" s="95"/>
      <c r="BD205" s="95"/>
      <c r="BE205" s="95"/>
      <c r="BF205" s="95"/>
      <c r="BG205" s="95"/>
      <c r="BH205" s="95"/>
      <c r="BI205" s="95"/>
      <c r="BJ205" s="95"/>
      <c r="BK205" s="95"/>
      <c r="BL205" s="95"/>
      <c r="BM205" s="95"/>
      <c r="BN205" s="95"/>
      <c r="BO205" s="95"/>
      <c r="BP205" s="95"/>
      <c r="BQ205" s="95"/>
      <c r="BR205" s="95"/>
      <c r="BS205" s="95"/>
      <c r="BT205" s="95"/>
      <c r="BU205" s="95"/>
      <c r="BV205" s="95"/>
      <c r="BW205" s="95"/>
      <c r="BX205" s="95"/>
      <c r="BY205" s="95"/>
      <c r="BZ205" s="95"/>
      <c r="CA205" s="95"/>
      <c r="CB205" s="95"/>
      <c r="CC205" s="95"/>
      <c r="CD205" s="95"/>
      <c r="CE205" s="95"/>
      <c r="CF205" s="8"/>
      <c r="CK205" s="1">
        <f t="shared" si="86"/>
        <v>41.000000000000043</v>
      </c>
      <c r="CL205" s="1" t="str">
        <f t="shared" si="76"/>
        <v>0.0215973472222222+88.5491236111112i</v>
      </c>
      <c r="CM205" s="1" t="str">
        <f t="shared" si="77"/>
        <v>86.3893888888889</v>
      </c>
      <c r="CN205" s="1" t="str">
        <f t="shared" si="78"/>
        <v>-1.31691141598916i</v>
      </c>
      <c r="CO205" s="1" t="str">
        <f t="shared" si="79"/>
        <v>44.2608089129855+41.8540903088806i</v>
      </c>
      <c r="CP205" s="1" t="str">
        <f t="shared" si="80"/>
        <v>0.0191834803010191+19.6630673085447i</v>
      </c>
      <c r="CQ205" s="1" t="str">
        <f t="shared" si="81"/>
        <v>2.99108776182199+15.5172328962786i</v>
      </c>
      <c r="CR205" s="2">
        <f t="shared" si="82"/>
        <v>41.000000000000043</v>
      </c>
      <c r="CS205" s="2">
        <f t="shared" si="83"/>
        <v>0.25942002235347411</v>
      </c>
      <c r="CT205" s="1">
        <f t="shared" si="84"/>
        <v>41.000000000000043</v>
      </c>
      <c r="CU205" s="1">
        <f t="shared" si="85"/>
        <v>0.80368314870510693</v>
      </c>
      <c r="CX205" s="2">
        <f t="shared" si="87"/>
        <v>41.000000000000043</v>
      </c>
      <c r="CY205" s="2">
        <f t="shared" si="88"/>
        <v>60.916205407229278</v>
      </c>
      <c r="CZ205" s="2">
        <f t="shared" si="89"/>
        <v>19.663076666337744</v>
      </c>
      <c r="DA205" s="2">
        <f t="shared" si="90"/>
        <v>15.80288336843223</v>
      </c>
    </row>
    <row r="206" spans="2:105" ht="18" customHeight="1" x14ac:dyDescent="0.25">
      <c r="B206" s="6"/>
      <c r="AP206" s="8"/>
      <c r="AR206" s="6"/>
      <c r="AS206" s="95"/>
      <c r="AT206" s="95"/>
      <c r="AU206" s="95"/>
      <c r="AV206" s="95"/>
      <c r="AW206" s="95"/>
      <c r="AX206" s="95"/>
      <c r="AY206" s="95"/>
      <c r="AZ206" s="95"/>
      <c r="BA206" s="95"/>
      <c r="BB206" s="95"/>
      <c r="BC206" s="95"/>
      <c r="BD206" s="95"/>
      <c r="BE206" s="95"/>
      <c r="BF206" s="95"/>
      <c r="BG206" s="95"/>
      <c r="BH206" s="95"/>
      <c r="BI206" s="95"/>
      <c r="BJ206" s="95"/>
      <c r="BK206" s="95"/>
      <c r="BL206" s="95"/>
      <c r="BM206" s="95"/>
      <c r="BN206" s="95"/>
      <c r="BO206" s="95"/>
      <c r="BP206" s="95"/>
      <c r="BQ206" s="95"/>
      <c r="BR206" s="95"/>
      <c r="BS206" s="95"/>
      <c r="BT206" s="95"/>
      <c r="BU206" s="95"/>
      <c r="BV206" s="95"/>
      <c r="BW206" s="95"/>
      <c r="BX206" s="95"/>
      <c r="BY206" s="95"/>
      <c r="BZ206" s="95"/>
      <c r="CA206" s="95"/>
      <c r="CB206" s="95"/>
      <c r="CC206" s="95"/>
      <c r="CD206" s="95"/>
      <c r="CE206" s="95"/>
      <c r="CF206" s="8"/>
      <c r="CK206" s="1">
        <f t="shared" si="86"/>
        <v>41.200000000000045</v>
      </c>
      <c r="CL206" s="1" t="str">
        <f t="shared" si="76"/>
        <v>0.0215973472222222+88.9810705555557i</v>
      </c>
      <c r="CM206" s="1" t="str">
        <f t="shared" si="77"/>
        <v>86.3893888888889</v>
      </c>
      <c r="CN206" s="1" t="str">
        <f t="shared" si="78"/>
        <v>-1.31051864212513i</v>
      </c>
      <c r="CO206" s="1" t="str">
        <f t="shared" si="79"/>
        <v>44.4707978264076+41.854838812867i</v>
      </c>
      <c r="CP206" s="1" t="str">
        <f t="shared" si="80"/>
        <v>0.0191834803010191+19.7589847100498i</v>
      </c>
      <c r="CQ206" s="1" t="str">
        <f t="shared" si="81"/>
        <v>3.01850404784768+15.5882097428461i</v>
      </c>
      <c r="CR206" s="2">
        <f t="shared" si="82"/>
        <v>41.200000000000045</v>
      </c>
      <c r="CS206" s="2">
        <f t="shared" si="83"/>
        <v>0.25999527812739559</v>
      </c>
      <c r="CT206" s="1">
        <f t="shared" si="84"/>
        <v>41.200000000000045</v>
      </c>
      <c r="CU206" s="1">
        <f t="shared" si="85"/>
        <v>0.8035718908872771</v>
      </c>
      <c r="CX206" s="2">
        <f t="shared" si="87"/>
        <v>41.200000000000045</v>
      </c>
      <c r="CY206" s="2">
        <f t="shared" si="88"/>
        <v>61.069463657119975</v>
      </c>
      <c r="CZ206" s="2">
        <f t="shared" si="89"/>
        <v>19.75899402241668</v>
      </c>
      <c r="DA206" s="2">
        <f t="shared" si="90"/>
        <v>15.877772188623783</v>
      </c>
    </row>
    <row r="207" spans="2:105" ht="18" customHeight="1" x14ac:dyDescent="0.25">
      <c r="B207" s="6"/>
      <c r="C207" s="153" t="s">
        <v>476</v>
      </c>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c r="AK207" s="153"/>
      <c r="AL207" s="153"/>
      <c r="AM207" s="153"/>
      <c r="AN207" s="153"/>
      <c r="AO207" s="153"/>
      <c r="AP207" s="8"/>
      <c r="AR207" s="6"/>
      <c r="AS207" s="95"/>
      <c r="AT207" s="95"/>
      <c r="AU207" s="95"/>
      <c r="AV207" s="95"/>
      <c r="AW207" s="95"/>
      <c r="AX207" s="95"/>
      <c r="AY207" s="95"/>
      <c r="AZ207" s="95"/>
      <c r="BA207" s="95"/>
      <c r="BB207" s="95"/>
      <c r="BC207" s="95"/>
      <c r="BD207" s="95"/>
      <c r="BE207" s="95"/>
      <c r="BF207" s="95"/>
      <c r="BG207" s="95"/>
      <c r="BH207" s="95"/>
      <c r="BI207" s="95"/>
      <c r="BJ207" s="95"/>
      <c r="BK207" s="95"/>
      <c r="BL207" s="95"/>
      <c r="BM207" s="95"/>
      <c r="BN207" s="95"/>
      <c r="BO207" s="95"/>
      <c r="BP207" s="95"/>
      <c r="BQ207" s="95"/>
      <c r="BR207" s="95"/>
      <c r="BS207" s="95"/>
      <c r="BT207" s="95"/>
      <c r="BU207" s="95"/>
      <c r="BV207" s="95"/>
      <c r="BW207" s="95"/>
      <c r="BX207" s="95"/>
      <c r="BY207" s="95"/>
      <c r="BZ207" s="95"/>
      <c r="CA207" s="95"/>
      <c r="CB207" s="95"/>
      <c r="CC207" s="95"/>
      <c r="CD207" s="95"/>
      <c r="CE207" s="95"/>
      <c r="CF207" s="8"/>
      <c r="CK207" s="1">
        <f t="shared" si="86"/>
        <v>41.400000000000048</v>
      </c>
      <c r="CL207" s="1" t="str">
        <f t="shared" si="76"/>
        <v>0.0215973472222222+89.4130175000001i</v>
      </c>
      <c r="CM207" s="1" t="str">
        <f t="shared" si="77"/>
        <v>86.3893888888889</v>
      </c>
      <c r="CN207" s="1" t="str">
        <f t="shared" si="78"/>
        <v>-1.30418763419216i</v>
      </c>
      <c r="CO207" s="1" t="str">
        <f t="shared" si="79"/>
        <v>44.6797104184085+41.8545399008714i</v>
      </c>
      <c r="CP207" s="1" t="str">
        <f t="shared" si="80"/>
        <v>0.0191834803010191+19.8549021115549i</v>
      </c>
      <c r="CQ207" s="1" t="str">
        <f t="shared" si="81"/>
        <v>3.04603582892678+15.6591127893457i</v>
      </c>
      <c r="CR207" s="2">
        <f t="shared" si="82"/>
        <v>41.400000000000048</v>
      </c>
      <c r="CS207" s="2">
        <f t="shared" si="83"/>
        <v>0.26057197441466284</v>
      </c>
      <c r="CT207" s="1">
        <f t="shared" si="84"/>
        <v>41.400000000000048</v>
      </c>
      <c r="CU207" s="1">
        <f t="shared" si="85"/>
        <v>0.80345974164758149</v>
      </c>
      <c r="CX207" s="2">
        <f t="shared" si="87"/>
        <v>41.400000000000048</v>
      </c>
      <c r="CY207" s="2">
        <f t="shared" si="88"/>
        <v>61.221556933701684</v>
      </c>
      <c r="CZ207" s="2">
        <f t="shared" si="89"/>
        <v>19.854911378934521</v>
      </c>
      <c r="DA207" s="2">
        <f t="shared" si="90"/>
        <v>15.952621966954391</v>
      </c>
    </row>
    <row r="208" spans="2:105" ht="18" customHeight="1" x14ac:dyDescent="0.25">
      <c r="B208" s="6"/>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8"/>
      <c r="AR208" s="6"/>
      <c r="AS208" s="95"/>
      <c r="AT208" s="95"/>
      <c r="AU208" s="95"/>
      <c r="AV208" s="95"/>
      <c r="AW208" s="95"/>
      <c r="AX208" s="95"/>
      <c r="AY208" s="95"/>
      <c r="AZ208" s="95"/>
      <c r="BA208" s="95"/>
      <c r="BB208" s="95"/>
      <c r="BC208" s="95"/>
      <c r="BD208" s="95"/>
      <c r="BE208" s="95"/>
      <c r="BF208" s="95"/>
      <c r="BG208" s="95"/>
      <c r="BH208" s="95"/>
      <c r="BI208" s="95"/>
      <c r="BJ208" s="95"/>
      <c r="BK208" s="95"/>
      <c r="BL208" s="95"/>
      <c r="BM208" s="95"/>
      <c r="BN208" s="95"/>
      <c r="BO208" s="95"/>
      <c r="BP208" s="95"/>
      <c r="BQ208" s="95"/>
      <c r="BR208" s="95"/>
      <c r="BS208" s="95"/>
      <c r="BT208" s="95"/>
      <c r="BU208" s="95"/>
      <c r="BV208" s="95"/>
      <c r="BW208" s="95"/>
      <c r="BX208" s="95"/>
      <c r="BY208" s="95"/>
      <c r="BZ208" s="95"/>
      <c r="CA208" s="95"/>
      <c r="CB208" s="95"/>
      <c r="CC208" s="95"/>
      <c r="CD208" s="95"/>
      <c r="CE208" s="95"/>
      <c r="CF208" s="8"/>
      <c r="CK208" s="1">
        <f t="shared" si="86"/>
        <v>41.600000000000051</v>
      </c>
      <c r="CL208" s="1" t="str">
        <f t="shared" si="76"/>
        <v>0.0215973472222222+89.8449644444446i</v>
      </c>
      <c r="CM208" s="1" t="str">
        <f t="shared" si="77"/>
        <v>86.3893888888889</v>
      </c>
      <c r="CN208" s="1" t="str">
        <f t="shared" si="78"/>
        <v>-1.29791750133547i</v>
      </c>
      <c r="CO208" s="1" t="str">
        <f t="shared" si="79"/>
        <v>44.8875476505978+41.8532096047108i</v>
      </c>
      <c r="CP208" s="1" t="str">
        <f t="shared" si="80"/>
        <v>0.0191834803010191+19.95081951306i</v>
      </c>
      <c r="CQ208" s="1" t="str">
        <f t="shared" si="81"/>
        <v>3.07368285494053+15.7299418000027i</v>
      </c>
      <c r="CR208" s="2">
        <f t="shared" si="82"/>
        <v>41.600000000000051</v>
      </c>
      <c r="CS208" s="2">
        <f t="shared" si="83"/>
        <v>0.26115009178233795</v>
      </c>
      <c r="CT208" s="1">
        <f t="shared" si="84"/>
        <v>41.600000000000051</v>
      </c>
      <c r="CU208" s="1">
        <f t="shared" si="85"/>
        <v>0.80334670799744612</v>
      </c>
      <c r="CX208" s="2">
        <f t="shared" si="87"/>
        <v>41.600000000000051</v>
      </c>
      <c r="CY208" s="2">
        <f t="shared" si="88"/>
        <v>61.372494558234678</v>
      </c>
      <c r="CZ208" s="2">
        <f t="shared" si="89"/>
        <v>19.950828735884937</v>
      </c>
      <c r="DA208" s="2">
        <f t="shared" si="90"/>
        <v>16.027432586794045</v>
      </c>
    </row>
    <row r="209" spans="2:105" ht="18" customHeight="1" x14ac:dyDescent="0.25">
      <c r="B209" s="6"/>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8"/>
      <c r="AR209" s="6"/>
      <c r="AS209" s="95"/>
      <c r="AT209" s="95"/>
      <c r="AU209" s="95"/>
      <c r="AV209" s="95"/>
      <c r="AW209" s="95"/>
      <c r="AX209" s="95"/>
      <c r="AY209" s="95"/>
      <c r="AZ209" s="95"/>
      <c r="BA209" s="95"/>
      <c r="BB209" s="95"/>
      <c r="BC209" s="95"/>
      <c r="BD209" s="95"/>
      <c r="BE209" s="95"/>
      <c r="BF209" s="95"/>
      <c r="BG209" s="95"/>
      <c r="BH209" s="95"/>
      <c r="BI209" s="95"/>
      <c r="BJ209" s="95"/>
      <c r="BK209" s="95"/>
      <c r="BL209" s="95"/>
      <c r="BM209" s="95"/>
      <c r="BN209" s="95"/>
      <c r="BO209" s="95"/>
      <c r="BP209" s="95"/>
      <c r="BQ209" s="95"/>
      <c r="BR209" s="95"/>
      <c r="BS209" s="95"/>
      <c r="BT209" s="95"/>
      <c r="BU209" s="95"/>
      <c r="BV209" s="95"/>
      <c r="BW209" s="95"/>
      <c r="BX209" s="95"/>
      <c r="BY209" s="95"/>
      <c r="BZ209" s="95"/>
      <c r="CA209" s="95"/>
      <c r="CB209" s="95"/>
      <c r="CC209" s="95"/>
      <c r="CD209" s="95"/>
      <c r="CE209" s="95"/>
      <c r="CF209" s="8"/>
      <c r="CK209" s="1">
        <f t="shared" si="86"/>
        <v>41.800000000000054</v>
      </c>
      <c r="CL209" s="1" t="str">
        <f t="shared" si="76"/>
        <v>0.0215973472222222+90.276911388889i</v>
      </c>
      <c r="CM209" s="1" t="str">
        <f t="shared" si="77"/>
        <v>86.3893888888889</v>
      </c>
      <c r="CN209" s="1" t="str">
        <f t="shared" si="78"/>
        <v>-1.29170736975013i</v>
      </c>
      <c r="CO209" s="1" t="str">
        <f t="shared" si="79"/>
        <v>45.0943106197315+41.8508637787324i</v>
      </c>
      <c r="CP209" s="1" t="str">
        <f t="shared" si="80"/>
        <v>0.0191834803010191+20.0467369145651i</v>
      </c>
      <c r="CQ209" s="1" t="str">
        <f t="shared" si="81"/>
        <v>3.10144487508396+15.8006965394326i</v>
      </c>
      <c r="CR209" s="2">
        <f t="shared" si="82"/>
        <v>41.800000000000054</v>
      </c>
      <c r="CS209" s="2">
        <f t="shared" si="83"/>
        <v>0.26172961104279369</v>
      </c>
      <c r="CT209" s="1">
        <f t="shared" si="84"/>
        <v>41.800000000000054</v>
      </c>
      <c r="CU209" s="1">
        <f t="shared" si="85"/>
        <v>0.80323279680232307</v>
      </c>
      <c r="CX209" s="2">
        <f t="shared" si="87"/>
        <v>41.800000000000054</v>
      </c>
      <c r="CY209" s="2">
        <f t="shared" si="88"/>
        <v>61.522285793806823</v>
      </c>
      <c r="CZ209" s="2">
        <f t="shared" si="89"/>
        <v>20.046746093261703</v>
      </c>
      <c r="DA209" s="2">
        <f t="shared" si="90"/>
        <v>16.102203931276669</v>
      </c>
    </row>
    <row r="210" spans="2:105" ht="18" customHeight="1" x14ac:dyDescent="0.25">
      <c r="B210" s="6"/>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c r="AK210" s="153"/>
      <c r="AL210" s="153"/>
      <c r="AM210" s="153"/>
      <c r="AN210" s="153"/>
      <c r="AO210" s="153"/>
      <c r="AP210" s="8"/>
      <c r="AR210" s="6"/>
      <c r="AS210" s="95"/>
      <c r="AT210" s="95"/>
      <c r="AU210" s="95"/>
      <c r="AV210" s="95"/>
      <c r="AW210" s="95"/>
      <c r="AX210" s="95"/>
      <c r="AY210" s="95"/>
      <c r="AZ210" s="95"/>
      <c r="BA210" s="95"/>
      <c r="BB210" s="95"/>
      <c r="BC210" s="95"/>
      <c r="BD210" s="95"/>
      <c r="BE210" s="95"/>
      <c r="BF210" s="95"/>
      <c r="BG210" s="95"/>
      <c r="BH210" s="95"/>
      <c r="BI210" s="95"/>
      <c r="BJ210" s="95"/>
      <c r="BK210" s="95"/>
      <c r="BL210" s="95"/>
      <c r="BM210" s="95"/>
      <c r="BN210" s="95"/>
      <c r="BO210" s="95"/>
      <c r="BP210" s="95"/>
      <c r="BQ210" s="95"/>
      <c r="BR210" s="95"/>
      <c r="BS210" s="95"/>
      <c r="BT210" s="95"/>
      <c r="BU210" s="95"/>
      <c r="BV210" s="95"/>
      <c r="BW210" s="95"/>
      <c r="BX210" s="95"/>
      <c r="BY210" s="95"/>
      <c r="BZ210" s="95"/>
      <c r="CA210" s="95"/>
      <c r="CB210" s="95"/>
      <c r="CC210" s="95"/>
      <c r="CD210" s="95"/>
      <c r="CE210" s="95"/>
      <c r="CF210" s="8"/>
      <c r="CK210" s="1">
        <f t="shared" si="86"/>
        <v>42.000000000000057</v>
      </c>
      <c r="CL210" s="1" t="str">
        <f t="shared" si="76"/>
        <v>0.0215973472222222+90.7088583333335i</v>
      </c>
      <c r="CM210" s="1" t="str">
        <f t="shared" si="77"/>
        <v>86.3893888888889</v>
      </c>
      <c r="CN210" s="1" t="str">
        <f t="shared" si="78"/>
        <v>-1.28555638227513i</v>
      </c>
      <c r="CO210" s="1" t="str">
        <f t="shared" si="79"/>
        <v>45.3000005541176+41.8475181006142i</v>
      </c>
      <c r="CP210" s="1" t="str">
        <f t="shared" si="80"/>
        <v>0.0191834803010191+20.1426543160702i</v>
      </c>
      <c r="CQ210" s="1" t="str">
        <f t="shared" si="81"/>
        <v>3.1293216378686+15.87137677266i</v>
      </c>
      <c r="CR210" s="2">
        <f t="shared" si="82"/>
        <v>42.000000000000057</v>
      </c>
      <c r="CS210" s="2">
        <f t="shared" si="83"/>
        <v>0.26231051324879767</v>
      </c>
      <c r="CT210" s="1">
        <f t="shared" si="84"/>
        <v>42.000000000000057</v>
      </c>
      <c r="CU210" s="1">
        <f t="shared" si="85"/>
        <v>0.80311801478603007</v>
      </c>
      <c r="CX210" s="2">
        <f t="shared" si="87"/>
        <v>42.000000000000057</v>
      </c>
      <c r="CY210" s="2">
        <f t="shared" si="88"/>
        <v>61.670939845151452</v>
      </c>
      <c r="CZ210" s="2">
        <f t="shared" si="89"/>
        <v>20.142663451058745</v>
      </c>
      <c r="DA210" s="2">
        <f t="shared" si="90"/>
        <v>16.176935883317455</v>
      </c>
    </row>
    <row r="211" spans="2:105" ht="18" customHeight="1" x14ac:dyDescent="0.25">
      <c r="B211" s="6"/>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8"/>
      <c r="AR211" s="6"/>
      <c r="AS211" s="95"/>
      <c r="AT211" s="95"/>
      <c r="AU211" s="95"/>
      <c r="AV211" s="95"/>
      <c r="AW211" s="95"/>
      <c r="AX211" s="95"/>
      <c r="AY211" s="95"/>
      <c r="AZ211" s="95"/>
      <c r="BA211" s="95"/>
      <c r="BB211" s="95"/>
      <c r="BC211" s="95"/>
      <c r="BD211" s="95"/>
      <c r="BE211" s="95"/>
      <c r="BF211" s="95"/>
      <c r="BG211" s="95"/>
      <c r="BH211" s="95"/>
      <c r="BI211" s="95"/>
      <c r="BJ211" s="95"/>
      <c r="BK211" s="95"/>
      <c r="BL211" s="95"/>
      <c r="BM211" s="95"/>
      <c r="BN211" s="95"/>
      <c r="BO211" s="95"/>
      <c r="BP211" s="95"/>
      <c r="BQ211" s="95"/>
      <c r="BR211" s="95"/>
      <c r="BS211" s="95"/>
      <c r="BT211" s="95"/>
      <c r="BU211" s="95"/>
      <c r="BV211" s="95"/>
      <c r="BW211" s="95"/>
      <c r="BX211" s="95"/>
      <c r="BY211" s="95"/>
      <c r="BZ211" s="95"/>
      <c r="CA211" s="95"/>
      <c r="CB211" s="95"/>
      <c r="CC211" s="95"/>
      <c r="CD211" s="95"/>
      <c r="CE211" s="95"/>
      <c r="CF211" s="8"/>
      <c r="CK211" s="1">
        <f t="shared" si="86"/>
        <v>42.20000000000006</v>
      </c>
      <c r="CL211" s="1" t="str">
        <f t="shared" si="76"/>
        <v>0.0215973472222222+91.1408052777779i</v>
      </c>
      <c r="CM211" s="1" t="str">
        <f t="shared" si="77"/>
        <v>86.3893888888889</v>
      </c>
      <c r="CN211" s="1" t="str">
        <f t="shared" si="78"/>
        <v>-1.27946369799895i</v>
      </c>
      <c r="CO211" s="1" t="str">
        <f t="shared" si="79"/>
        <v>45.5046188100808+41.8431880722011i</v>
      </c>
      <c r="CP211" s="1" t="str">
        <f t="shared" si="80"/>
        <v>0.0191834803010191+20.2385717175753i</v>
      </c>
      <c r="CQ211" s="1" t="str">
        <f t="shared" si="81"/>
        <v>3.15731289112487+15.9419822651373i</v>
      </c>
      <c r="CR211" s="2">
        <f t="shared" si="82"/>
        <v>42.20000000000006</v>
      </c>
      <c r="CS211" s="2">
        <f t="shared" si="83"/>
        <v>0.2628927796887392</v>
      </c>
      <c r="CT211" s="1">
        <f t="shared" si="84"/>
        <v>42.20000000000006</v>
      </c>
      <c r="CU211" s="1">
        <f t="shared" si="85"/>
        <v>0.80300236853495022</v>
      </c>
      <c r="CX211" s="2">
        <f t="shared" si="87"/>
        <v>42.20000000000006</v>
      </c>
      <c r="CY211" s="2">
        <f t="shared" si="88"/>
        <v>61.818465858482384</v>
      </c>
      <c r="CZ211" s="2">
        <f t="shared" si="89"/>
        <v>20.238580809270083</v>
      </c>
      <c r="DA211" s="2">
        <f t="shared" si="90"/>
        <v>16.251628325629881</v>
      </c>
    </row>
    <row r="212" spans="2:105" ht="18" customHeight="1" x14ac:dyDescent="0.25">
      <c r="B212" s="6"/>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c r="AK212" s="153"/>
      <c r="AL212" s="153"/>
      <c r="AM212" s="153"/>
      <c r="AN212" s="153"/>
      <c r="AO212" s="153"/>
      <c r="AP212" s="8"/>
      <c r="AR212" s="6"/>
      <c r="AS212" s="95"/>
      <c r="AT212" s="95"/>
      <c r="AU212" s="95"/>
      <c r="AV212" s="95"/>
      <c r="AW212" s="95"/>
      <c r="AX212" s="95"/>
      <c r="AY212" s="95"/>
      <c r="AZ212" s="95"/>
      <c r="BA212" s="95"/>
      <c r="BB212" s="95"/>
      <c r="BC212" s="95"/>
      <c r="BD212" s="95"/>
      <c r="BE212" s="95"/>
      <c r="BF212" s="95"/>
      <c r="BG212" s="95"/>
      <c r="BH212" s="95"/>
      <c r="BI212" s="95"/>
      <c r="BJ212" s="95"/>
      <c r="BK212" s="95"/>
      <c r="BL212" s="95"/>
      <c r="BM212" s="95"/>
      <c r="BN212" s="95"/>
      <c r="BO212" s="95"/>
      <c r="BP212" s="95"/>
      <c r="BQ212" s="95"/>
      <c r="BR212" s="95"/>
      <c r="BS212" s="95"/>
      <c r="BT212" s="95"/>
      <c r="BU212" s="95"/>
      <c r="BV212" s="95"/>
      <c r="BW212" s="95"/>
      <c r="BX212" s="95"/>
      <c r="BY212" s="95"/>
      <c r="BZ212" s="95"/>
      <c r="CA212" s="95"/>
      <c r="CB212" s="95"/>
      <c r="CC212" s="95"/>
      <c r="CD212" s="95"/>
      <c r="CE212" s="95"/>
      <c r="CF212" s="8"/>
      <c r="CK212" s="1">
        <f t="shared" si="86"/>
        <v>42.400000000000063</v>
      </c>
      <c r="CL212" s="1" t="str">
        <f t="shared" si="76"/>
        <v>0.0215973472222222+91.5727522222224i</v>
      </c>
      <c r="CM212" s="1" t="str">
        <f t="shared" si="77"/>
        <v>86.3893888888889</v>
      </c>
      <c r="CN212" s="1" t="str">
        <f t="shared" si="78"/>
        <v>-1.27342849187631i</v>
      </c>
      <c r="CO212" s="1" t="str">
        <f t="shared" si="79"/>
        <v>45.7081668684875+41.8378890203712i</v>
      </c>
      <c r="CP212" s="1" t="str">
        <f t="shared" si="80"/>
        <v>0.0191834803010191+20.3344891190804i</v>
      </c>
      <c r="CQ212" s="1" t="str">
        <f t="shared" si="81"/>
        <v>3.18541838200508+16.0125127827628i</v>
      </c>
      <c r="CR212" s="2">
        <f t="shared" si="82"/>
        <v>42.400000000000063</v>
      </c>
      <c r="CS212" s="2">
        <f t="shared" si="83"/>
        <v>0.26347639188199623</v>
      </c>
      <c r="CT212" s="1">
        <f t="shared" si="84"/>
        <v>42.400000000000063</v>
      </c>
      <c r="CU212" s="1">
        <f t="shared" si="85"/>
        <v>0.80288586450208554</v>
      </c>
      <c r="CX212" s="2">
        <f t="shared" si="87"/>
        <v>42.400000000000063</v>
      </c>
      <c r="CY212" s="2">
        <f t="shared" si="88"/>
        <v>61.964872921344686</v>
      </c>
      <c r="CZ212" s="2">
        <f t="shared" si="89"/>
        <v>20.334498167889848</v>
      </c>
      <c r="DA212" s="2">
        <f t="shared" si="90"/>
        <v>16.326281140742307</v>
      </c>
    </row>
    <row r="213" spans="2:105" ht="18" customHeight="1" x14ac:dyDescent="0.25">
      <c r="B213" s="6"/>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8"/>
      <c r="AR213" s="6"/>
      <c r="AS213" s="95"/>
      <c r="AT213" s="95"/>
      <c r="AU213" s="95"/>
      <c r="AV213" s="95"/>
      <c r="AW213" s="95"/>
      <c r="AX213" s="95"/>
      <c r="AY213" s="95"/>
      <c r="AZ213" s="95"/>
      <c r="BA213" s="95"/>
      <c r="BB213" s="95"/>
      <c r="BC213" s="95"/>
      <c r="BD213" s="95"/>
      <c r="BE213" s="95"/>
      <c r="BF213" s="95"/>
      <c r="BG213" s="95"/>
      <c r="BH213" s="95"/>
      <c r="BI213" s="95"/>
      <c r="BJ213" s="95"/>
      <c r="BK213" s="95"/>
      <c r="BL213" s="95"/>
      <c r="BM213" s="95"/>
      <c r="BN213" s="95"/>
      <c r="BO213" s="95"/>
      <c r="BP213" s="95"/>
      <c r="BQ213" s="95"/>
      <c r="BR213" s="95"/>
      <c r="BS213" s="95"/>
      <c r="BT213" s="95"/>
      <c r="BU213" s="95"/>
      <c r="BV213" s="95"/>
      <c r="BW213" s="95"/>
      <c r="BX213" s="95"/>
      <c r="BY213" s="95"/>
      <c r="BZ213" s="95"/>
      <c r="CA213" s="95"/>
      <c r="CB213" s="95"/>
      <c r="CC213" s="95"/>
      <c r="CD213" s="95"/>
      <c r="CE213" s="95"/>
      <c r="CF213" s="8"/>
      <c r="CK213" s="1">
        <f t="shared" si="86"/>
        <v>42.600000000000065</v>
      </c>
      <c r="CL213" s="1" t="str">
        <f t="shared" si="76"/>
        <v>0.0215973472222222+92.0046991666668i</v>
      </c>
      <c r="CM213" s="1" t="str">
        <f t="shared" si="77"/>
        <v>86.3893888888889</v>
      </c>
      <c r="CN213" s="1" t="str">
        <f t="shared" si="78"/>
        <v>-1.26744995435576i</v>
      </c>
      <c r="CO213" s="1" t="str">
        <f t="shared" si="79"/>
        <v>45.9106463313278+41.8316360979337i</v>
      </c>
      <c r="CP213" s="1" t="str">
        <f t="shared" si="80"/>
        <v>0.0191834803010191+20.4304065205854i</v>
      </c>
      <c r="CQ213" s="1" t="str">
        <f t="shared" si="81"/>
        <v>3.21363785698603+16.0829680918983i</v>
      </c>
      <c r="CR213" s="2">
        <f t="shared" si="82"/>
        <v>42.600000000000065</v>
      </c>
      <c r="CS213" s="2">
        <f t="shared" si="83"/>
        <v>0.264061331574448</v>
      </c>
      <c r="CT213" s="1">
        <f t="shared" si="84"/>
        <v>42.600000000000065</v>
      </c>
      <c r="CU213" s="1">
        <f t="shared" si="85"/>
        <v>0.80276850901097407</v>
      </c>
      <c r="CX213" s="2">
        <f t="shared" si="87"/>
        <v>42.600000000000065</v>
      </c>
      <c r="CY213" s="2">
        <f t="shared" si="88"/>
        <v>62.110170062480208</v>
      </c>
      <c r="CZ213" s="2">
        <f t="shared" si="89"/>
        <v>20.430415526912196</v>
      </c>
      <c r="DA213" s="2">
        <f t="shared" si="90"/>
        <v>16.400894211014005</v>
      </c>
    </row>
    <row r="214" spans="2:105" ht="18" customHeight="1" x14ac:dyDescent="0.25">
      <c r="B214" s="6"/>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8"/>
      <c r="AR214" s="6"/>
      <c r="AS214" s="95"/>
      <c r="AT214" s="95"/>
      <c r="AU214" s="95"/>
      <c r="AV214" s="95"/>
      <c r="AW214" s="95"/>
      <c r="AX214" s="95"/>
      <c r="AY214" s="95"/>
      <c r="AZ214" s="95"/>
      <c r="BA214" s="95"/>
      <c r="BB214" s="95"/>
      <c r="BC214" s="95"/>
      <c r="BD214" s="95"/>
      <c r="BE214" s="95"/>
      <c r="BF214" s="95"/>
      <c r="BG214" s="95"/>
      <c r="BH214" s="95"/>
      <c r="BI214" s="95"/>
      <c r="BJ214" s="95"/>
      <c r="BK214" s="95"/>
      <c r="BL214" s="95"/>
      <c r="BM214" s="95"/>
      <c r="BN214" s="95"/>
      <c r="BO214" s="95"/>
      <c r="BP214" s="95"/>
      <c r="BQ214" s="95"/>
      <c r="BR214" s="95"/>
      <c r="BS214" s="95"/>
      <c r="BT214" s="95"/>
      <c r="BU214" s="95"/>
      <c r="BV214" s="95"/>
      <c r="BW214" s="95"/>
      <c r="BX214" s="95"/>
      <c r="BY214" s="95"/>
      <c r="BZ214" s="95"/>
      <c r="CA214" s="95"/>
      <c r="CB214" s="95"/>
      <c r="CC214" s="95"/>
      <c r="CD214" s="95"/>
      <c r="CE214" s="95"/>
      <c r="CF214" s="8"/>
      <c r="CK214" s="1">
        <f t="shared" si="86"/>
        <v>42.800000000000068</v>
      </c>
      <c r="CL214" s="1" t="str">
        <f t="shared" si="76"/>
        <v>0.0215973472222222+92.4366461111113i</v>
      </c>
      <c r="CM214" s="1" t="str">
        <f t="shared" si="77"/>
        <v>86.3893888888889</v>
      </c>
      <c r="CN214" s="1" t="str">
        <f t="shared" si="78"/>
        <v>-1.26152729101765i</v>
      </c>
      <c r="CO214" s="1" t="str">
        <f t="shared" si="79"/>
        <v>46.1120589183576+41.8244442845569i</v>
      </c>
      <c r="CP214" s="1" t="str">
        <f t="shared" si="80"/>
        <v>0.0191834803010191+20.5263239220905i</v>
      </c>
      <c r="CQ214" s="1" t="str">
        <f t="shared" si="81"/>
        <v>3.24197106187213+16.1533479593861i</v>
      </c>
      <c r="CR214" s="2">
        <f t="shared" si="82"/>
        <v>42.800000000000068</v>
      </c>
      <c r="CS214" s="2">
        <f t="shared" si="83"/>
        <v>0.26464758073411454</v>
      </c>
      <c r="CT214" s="1">
        <f t="shared" si="84"/>
        <v>42.800000000000068</v>
      </c>
      <c r="CU214" s="1">
        <f t="shared" si="85"/>
        <v>0.80265030825947092</v>
      </c>
      <c r="CX214" s="2">
        <f t="shared" si="87"/>
        <v>42.800000000000068</v>
      </c>
      <c r="CY214" s="2">
        <f t="shared" si="88"/>
        <v>62.254366251710309</v>
      </c>
      <c r="CZ214" s="2">
        <f t="shared" si="89"/>
        <v>20.526332886331673</v>
      </c>
      <c r="DA214" s="2">
        <f t="shared" si="90"/>
        <v>16.475467418650659</v>
      </c>
    </row>
    <row r="215" spans="2:105" ht="18" customHeight="1" x14ac:dyDescent="0.25">
      <c r="B215" s="6"/>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c r="AP215" s="8"/>
      <c r="AR215" s="6"/>
      <c r="AS215" s="95"/>
      <c r="AT215" s="95"/>
      <c r="AU215" s="95"/>
      <c r="AV215" s="95"/>
      <c r="AW215" s="95"/>
      <c r="AX215" s="95"/>
      <c r="AY215" s="95"/>
      <c r="AZ215" s="95"/>
      <c r="BA215" s="95"/>
      <c r="BB215" s="95"/>
      <c r="BC215" s="95"/>
      <c r="BD215" s="95"/>
      <c r="BE215" s="95"/>
      <c r="BF215" s="95"/>
      <c r="BG215" s="95"/>
      <c r="BH215" s="95"/>
      <c r="BI215" s="95"/>
      <c r="BJ215" s="95"/>
      <c r="BK215" s="95"/>
      <c r="BL215" s="95"/>
      <c r="BM215" s="95"/>
      <c r="BN215" s="95"/>
      <c r="BO215" s="95"/>
      <c r="BP215" s="95"/>
      <c r="BQ215" s="95"/>
      <c r="BR215" s="95"/>
      <c r="BS215" s="95"/>
      <c r="BT215" s="95"/>
      <c r="BU215" s="95"/>
      <c r="BV215" s="95"/>
      <c r="BW215" s="95"/>
      <c r="BX215" s="95"/>
      <c r="BY215" s="95"/>
      <c r="BZ215" s="95"/>
      <c r="CA215" s="95"/>
      <c r="CB215" s="95"/>
      <c r="CC215" s="95"/>
      <c r="CD215" s="95"/>
      <c r="CE215" s="95"/>
      <c r="CF215" s="8"/>
      <c r="CK215" s="1">
        <f t="shared" si="86"/>
        <v>43.000000000000071</v>
      </c>
      <c r="CL215" s="1" t="str">
        <f t="shared" si="76"/>
        <v>0.0215973472222222+92.8685930555557i</v>
      </c>
      <c r="CM215" s="1" t="str">
        <f t="shared" si="77"/>
        <v>86.3893888888889</v>
      </c>
      <c r="CN215" s="1" t="str">
        <f t="shared" si="78"/>
        <v>-1.25565972222222i</v>
      </c>
      <c r="CO215" s="1" t="str">
        <f t="shared" si="79"/>
        <v>46.3124064637978+41.8163283877233i</v>
      </c>
      <c r="CP215" s="1" t="str">
        <f t="shared" si="80"/>
        <v>0.0191834803010191+20.6222413235956i</v>
      </c>
      <c r="CQ215" s="1" t="str">
        <f t="shared" si="81"/>
        <v>3.27041774179825+16.2236521525657i</v>
      </c>
      <c r="CR215" s="2">
        <f t="shared" si="82"/>
        <v>43.000000000000071</v>
      </c>
      <c r="CS215" s="2">
        <f t="shared" si="83"/>
        <v>0.26523512154691636</v>
      </c>
      <c r="CT215" s="1">
        <f t="shared" si="84"/>
        <v>43.000000000000071</v>
      </c>
      <c r="CU215" s="1">
        <f t="shared" si="85"/>
        <v>0.80253126832340871</v>
      </c>
      <c r="CX215" s="2">
        <f t="shared" ref="CX215:CX249" si="91">CK215</f>
        <v>43.000000000000071</v>
      </c>
      <c r="CY215" s="2">
        <f t="shared" ref="CY215:CY249" si="92">IMABS(CO215)</f>
        <v>62.397470399832187</v>
      </c>
      <c r="CZ215" s="2">
        <f t="shared" ref="CZ215:CZ249" si="93">IMABS(CP215)</f>
        <v>20.622250246142645</v>
      </c>
      <c r="DA215" s="2">
        <f t="shared" ref="DA215:DA249" si="94">IMABS(CQ215)</f>
        <v>16.550000645719578</v>
      </c>
    </row>
    <row r="216" spans="2:105" ht="18" customHeight="1" x14ac:dyDescent="0.25">
      <c r="B216" s="6"/>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153"/>
      <c r="AM216" s="153"/>
      <c r="AN216" s="153"/>
      <c r="AO216" s="153"/>
      <c r="AP216" s="8"/>
      <c r="AR216" s="6"/>
      <c r="AS216" s="95"/>
      <c r="AT216" s="95"/>
      <c r="AU216" s="95"/>
      <c r="AV216" s="95"/>
      <c r="AW216" s="95"/>
      <c r="AX216" s="95"/>
      <c r="AY216" s="95"/>
      <c r="AZ216" s="95"/>
      <c r="BA216" s="95"/>
      <c r="BB216" s="95"/>
      <c r="BC216" s="95"/>
      <c r="BD216" s="95"/>
      <c r="BE216" s="95"/>
      <c r="BF216" s="95"/>
      <c r="BG216" s="95"/>
      <c r="BH216" s="95"/>
      <c r="BI216" s="95"/>
      <c r="BJ216" s="95"/>
      <c r="BK216" s="95"/>
      <c r="BL216" s="95"/>
      <c r="BM216" s="95"/>
      <c r="BN216" s="95"/>
      <c r="BO216" s="95"/>
      <c r="BP216" s="95"/>
      <c r="BQ216" s="95"/>
      <c r="BR216" s="95"/>
      <c r="BS216" s="95"/>
      <c r="BT216" s="95"/>
      <c r="BU216" s="95"/>
      <c r="BV216" s="95"/>
      <c r="BW216" s="95"/>
      <c r="BX216" s="95"/>
      <c r="BY216" s="95"/>
      <c r="BZ216" s="95"/>
      <c r="CA216" s="95"/>
      <c r="CB216" s="95"/>
      <c r="CC216" s="95"/>
      <c r="CD216" s="95"/>
      <c r="CE216" s="95"/>
      <c r="CF216" s="8"/>
      <c r="CK216" s="1">
        <f t="shared" si="86"/>
        <v>43.200000000000074</v>
      </c>
      <c r="CL216" s="1" t="str">
        <f t="shared" si="76"/>
        <v>0.0215973472222222+93.3005400000002i</v>
      </c>
      <c r="CM216" s="1" t="str">
        <f t="shared" si="77"/>
        <v>86.3893888888889</v>
      </c>
      <c r="CN216" s="1" t="str">
        <f t="shared" si="78"/>
        <v>-1.24984648276749i</v>
      </c>
      <c r="CO216" s="1" t="str">
        <f t="shared" si="79"/>
        <v>46.5116909130918+41.8073030437119i</v>
      </c>
      <c r="CP216" s="1" t="str">
        <f t="shared" si="80"/>
        <v>0.0191834803010191+20.7181587251007i</v>
      </c>
      <c r="CQ216" s="1" t="str">
        <f t="shared" si="81"/>
        <v>3.2989776412329+16.29388043929i</v>
      </c>
      <c r="CR216" s="2">
        <f t="shared" si="82"/>
        <v>43.200000000000074</v>
      </c>
      <c r="CS216" s="2">
        <f t="shared" si="83"/>
        <v>0.26582393641256802</v>
      </c>
      <c r="CT216" s="1">
        <f t="shared" si="84"/>
        <v>43.200000000000074</v>
      </c>
      <c r="CU216" s="1">
        <f t="shared" si="85"/>
        <v>0.80241139516012927</v>
      </c>
      <c r="CX216" s="2">
        <f t="shared" si="91"/>
        <v>43.200000000000074</v>
      </c>
      <c r="CY216" s="2">
        <f t="shared" si="92"/>
        <v>62.539491358530796</v>
      </c>
      <c r="CZ216" s="2">
        <f t="shared" si="93"/>
        <v>20.718167606339676</v>
      </c>
      <c r="DA216" s="2">
        <f t="shared" si="94"/>
        <v>16.624493774164428</v>
      </c>
    </row>
    <row r="217" spans="2:105" ht="18" customHeight="1" x14ac:dyDescent="0.25">
      <c r="B217" s="6"/>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153"/>
      <c r="AM217" s="153"/>
      <c r="AN217" s="153"/>
      <c r="AO217" s="153"/>
      <c r="AP217" s="8"/>
      <c r="AR217" s="6"/>
      <c r="AS217" s="95"/>
      <c r="AT217" s="95"/>
      <c r="AU217" s="95"/>
      <c r="AV217" s="95"/>
      <c r="AW217" s="95"/>
      <c r="AX217" s="95"/>
      <c r="AY217" s="95"/>
      <c r="AZ217" s="95"/>
      <c r="BA217" s="95"/>
      <c r="BB217" s="95"/>
      <c r="BC217" s="95"/>
      <c r="BD217" s="95"/>
      <c r="BE217" s="95"/>
      <c r="BF217" s="95"/>
      <c r="BG217" s="95"/>
      <c r="BH217" s="95"/>
      <c r="BI217" s="95"/>
      <c r="BJ217" s="95"/>
      <c r="BK217" s="95"/>
      <c r="BL217" s="95"/>
      <c r="BM217" s="95"/>
      <c r="BN217" s="95"/>
      <c r="BO217" s="95"/>
      <c r="BP217" s="95"/>
      <c r="BQ217" s="95"/>
      <c r="BR217" s="95"/>
      <c r="BS217" s="95"/>
      <c r="BT217" s="95"/>
      <c r="BU217" s="95"/>
      <c r="BV217" s="95"/>
      <c r="BW217" s="95"/>
      <c r="BX217" s="95"/>
      <c r="BY217" s="95"/>
      <c r="BZ217" s="95"/>
      <c r="CA217" s="95"/>
      <c r="CB217" s="95"/>
      <c r="CC217" s="95"/>
      <c r="CD217" s="95"/>
      <c r="CE217" s="95"/>
      <c r="CF217" s="8"/>
      <c r="CK217" s="1">
        <f t="shared" si="86"/>
        <v>43.400000000000077</v>
      </c>
      <c r="CL217" s="1" t="str">
        <f t="shared" si="76"/>
        <v>0.0215973472222222+93.7324869444446i</v>
      </c>
      <c r="CM217" s="1" t="str">
        <f t="shared" si="77"/>
        <v>86.3893888888889</v>
      </c>
      <c r="CN217" s="1" t="str">
        <f t="shared" si="78"/>
        <v>-1.24408682155658i</v>
      </c>
      <c r="CO217" s="1" t="str">
        <f t="shared" si="79"/>
        <v>46.7099143197198+41.7973827186069i</v>
      </c>
      <c r="CP217" s="1" t="str">
        <f t="shared" si="80"/>
        <v>0.0191834803010191+20.8140761266058i</v>
      </c>
      <c r="CQ217" s="1" t="str">
        <f t="shared" si="81"/>
        <v>3.32765050398137+16.3640325879409i</v>
      </c>
      <c r="CR217" s="2">
        <f t="shared" si="82"/>
        <v>43.400000000000077</v>
      </c>
      <c r="CS217" s="2">
        <f t="shared" si="83"/>
        <v>0.26641400794058218</v>
      </c>
      <c r="CT217" s="1">
        <f t="shared" si="84"/>
        <v>43.400000000000077</v>
      </c>
      <c r="CU217" s="1">
        <f t="shared" si="85"/>
        <v>0.80229069461190583</v>
      </c>
      <c r="CX217" s="2">
        <f t="shared" si="91"/>
        <v>43.400000000000077</v>
      </c>
      <c r="CY217" s="2">
        <f t="shared" si="92"/>
        <v>62.680437920305437</v>
      </c>
      <c r="CZ217" s="2">
        <f t="shared" si="93"/>
        <v>20.814084966917424</v>
      </c>
      <c r="DA217" s="2">
        <f t="shared" si="94"/>
        <v>16.698946685819415</v>
      </c>
    </row>
    <row r="218" spans="2:105" ht="18" customHeight="1" x14ac:dyDescent="0.25">
      <c r="B218" s="6"/>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8"/>
      <c r="AR218" s="6"/>
      <c r="AS218" s="95"/>
      <c r="AT218" s="95"/>
      <c r="AU218" s="95"/>
      <c r="AV218" s="95"/>
      <c r="AW218" s="95"/>
      <c r="AX218" s="95"/>
      <c r="AY218" s="95"/>
      <c r="AZ218" s="95"/>
      <c r="BA218" s="95"/>
      <c r="BB218" s="95"/>
      <c r="BC218" s="95"/>
      <c r="BD218" s="95"/>
      <c r="BE218" s="95"/>
      <c r="BF218" s="95"/>
      <c r="BG218" s="95"/>
      <c r="BH218" s="95"/>
      <c r="BI218" s="95"/>
      <c r="BJ218" s="95"/>
      <c r="BK218" s="95"/>
      <c r="BL218" s="95"/>
      <c r="BM218" s="95"/>
      <c r="BN218" s="95"/>
      <c r="BO218" s="95"/>
      <c r="BP218" s="95"/>
      <c r="BQ218" s="95"/>
      <c r="BR218" s="95"/>
      <c r="BS218" s="95"/>
      <c r="BT218" s="95"/>
      <c r="BU218" s="95"/>
      <c r="BV218" s="95"/>
      <c r="BW218" s="95"/>
      <c r="BX218" s="95"/>
      <c r="BY218" s="95"/>
      <c r="BZ218" s="95"/>
      <c r="CA218" s="95"/>
      <c r="CB218" s="95"/>
      <c r="CC218" s="95"/>
      <c r="CD218" s="95"/>
      <c r="CE218" s="95"/>
      <c r="CF218" s="8"/>
      <c r="CK218" s="1">
        <f t="shared" si="86"/>
        <v>43.60000000000008</v>
      </c>
      <c r="CL218" s="1" t="str">
        <f t="shared" si="76"/>
        <v>0.0215973472222222+94.1644338888891i</v>
      </c>
      <c r="CM218" s="1" t="str">
        <f t="shared" si="77"/>
        <v>86.3893888888889</v>
      </c>
      <c r="CN218" s="1" t="str">
        <f t="shared" si="78"/>
        <v>-1.23838000127421i</v>
      </c>
      <c r="CO218" s="1" t="str">
        <f t="shared" si="79"/>
        <v>46.9070788420706+41.7865817093302i</v>
      </c>
      <c r="CP218" s="1" t="str">
        <f t="shared" si="80"/>
        <v>0.0191834803010191+20.9099935281109i</v>
      </c>
      <c r="CQ218" s="1" t="str">
        <f t="shared" si="81"/>
        <v>3.35643607318898+16.4341083674448i</v>
      </c>
      <c r="CR218" s="2">
        <f t="shared" si="82"/>
        <v>43.60000000000008</v>
      </c>
      <c r="CS218" s="2">
        <f t="shared" si="83"/>
        <v>0.26700531894638602</v>
      </c>
      <c r="CT218" s="1">
        <f t="shared" si="84"/>
        <v>43.60000000000008</v>
      </c>
      <c r="CU218" s="1">
        <f t="shared" si="85"/>
        <v>0.8021691724092439</v>
      </c>
      <c r="CX218" s="2">
        <f t="shared" si="91"/>
        <v>43.60000000000008</v>
      </c>
      <c r="CY218" s="2">
        <f t="shared" si="92"/>
        <v>62.820318818410627</v>
      </c>
      <c r="CZ218" s="2">
        <f t="shared" si="93"/>
        <v>20.910002327870654</v>
      </c>
      <c r="DA218" s="2">
        <f t="shared" si="94"/>
        <v>16.773359262423359</v>
      </c>
    </row>
    <row r="219" spans="2:105" ht="18" customHeight="1" x14ac:dyDescent="0.25">
      <c r="B219" s="6"/>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153"/>
      <c r="AM219" s="153"/>
      <c r="AN219" s="153"/>
      <c r="AO219" s="153"/>
      <c r="AP219" s="8"/>
      <c r="AR219" s="6"/>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c r="CA219" s="95"/>
      <c r="CB219" s="95"/>
      <c r="CC219" s="95"/>
      <c r="CD219" s="95"/>
      <c r="CE219" s="95"/>
      <c r="CF219" s="8"/>
      <c r="CK219" s="1">
        <f t="shared" si="86"/>
        <v>43.800000000000082</v>
      </c>
      <c r="CL219" s="1" t="str">
        <f t="shared" si="76"/>
        <v>0.0215973472222222+94.5963808333335i</v>
      </c>
      <c r="CM219" s="1" t="str">
        <f t="shared" si="77"/>
        <v>86.3893888888889</v>
      </c>
      <c r="CN219" s="1" t="str">
        <f t="shared" si="78"/>
        <v>-1.23272529807204i</v>
      </c>
      <c r="CO219" s="1" t="str">
        <f t="shared" si="79"/>
        <v>47.1031867403689+41.7749141446967i</v>
      </c>
      <c r="CP219" s="1" t="str">
        <f t="shared" si="80"/>
        <v>0.0191834803010191+21.005910929616i</v>
      </c>
      <c r="CQ219" s="1" t="str">
        <f t="shared" si="81"/>
        <v>3.38533409134443+16.5041075472874i</v>
      </c>
      <c r="CR219" s="2">
        <f t="shared" si="82"/>
        <v>43.800000000000082</v>
      </c>
      <c r="CS219" s="2">
        <f t="shared" si="83"/>
        <v>0.2675978524475493</v>
      </c>
      <c r="CT219" s="1">
        <f t="shared" si="84"/>
        <v>43.800000000000082</v>
      </c>
      <c r="CU219" s="1">
        <f t="shared" si="85"/>
        <v>0.80204683417407618</v>
      </c>
      <c r="CX219" s="2">
        <f t="shared" si="91"/>
        <v>43.800000000000082</v>
      </c>
      <c r="CY219" s="2">
        <f t="shared" si="92"/>
        <v>62.9591427268101</v>
      </c>
      <c r="CZ219" s="2">
        <f t="shared" si="93"/>
        <v>21.005919689194219</v>
      </c>
      <c r="DA219" s="2">
        <f t="shared" si="94"/>
        <v>16.847731385633136</v>
      </c>
    </row>
    <row r="220" spans="2:105" ht="18" customHeight="1" x14ac:dyDescent="0.25">
      <c r="B220" s="6"/>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8"/>
      <c r="AR220" s="6"/>
      <c r="AS220" s="95"/>
      <c r="AT220" s="95"/>
      <c r="AU220" s="95"/>
      <c r="AV220" s="95"/>
      <c r="AW220" s="95"/>
      <c r="AX220" s="95"/>
      <c r="AY220" s="95"/>
      <c r="AZ220" s="95"/>
      <c r="BA220" s="95"/>
      <c r="BB220" s="95"/>
      <c r="BC220" s="95"/>
      <c r="BD220" s="95"/>
      <c r="BE220" s="95"/>
      <c r="BF220" s="95"/>
      <c r="BG220" s="95"/>
      <c r="BH220" s="95"/>
      <c r="BI220" s="95"/>
      <c r="BJ220" s="95"/>
      <c r="BK220" s="95"/>
      <c r="BL220" s="95"/>
      <c r="BM220" s="95"/>
      <c r="BN220" s="95"/>
      <c r="BO220" s="95"/>
      <c r="BP220" s="95"/>
      <c r="BQ220" s="95"/>
      <c r="BR220" s="95"/>
      <c r="BS220" s="95"/>
      <c r="BT220" s="95"/>
      <c r="BU220" s="95"/>
      <c r="BV220" s="95"/>
      <c r="BW220" s="95"/>
      <c r="BX220" s="95"/>
      <c r="BY220" s="95"/>
      <c r="BZ220" s="95"/>
      <c r="CA220" s="95"/>
      <c r="CB220" s="95"/>
      <c r="CC220" s="95"/>
      <c r="CD220" s="95"/>
      <c r="CE220" s="95"/>
      <c r="CF220" s="8"/>
      <c r="CK220" s="1">
        <f t="shared" si="86"/>
        <v>44.000000000000085</v>
      </c>
      <c r="CL220" s="1" t="str">
        <f t="shared" si="76"/>
        <v>0.0215973472222222+95.028327777778i</v>
      </c>
      <c r="CM220" s="1" t="str">
        <f t="shared" si="77"/>
        <v>86.3893888888889</v>
      </c>
      <c r="CN220" s="1" t="str">
        <f t="shared" si="78"/>
        <v>-1.22712200126262i</v>
      </c>
      <c r="CO220" s="1" t="str">
        <f t="shared" si="79"/>
        <v>47.2982403736597+41.7623939864927i</v>
      </c>
      <c r="CP220" s="1" t="str">
        <f t="shared" si="80"/>
        <v>0.0191834803010191+21.1018283311211i</v>
      </c>
      <c r="CQ220" s="1" t="str">
        <f t="shared" si="81"/>
        <v>3.41434430028315+16.5740298975281i</v>
      </c>
      <c r="CR220" s="2">
        <f t="shared" si="82"/>
        <v>44.000000000000085</v>
      </c>
      <c r="CS220" s="2">
        <f t="shared" si="83"/>
        <v>0.26819159166011536</v>
      </c>
      <c r="CT220" s="1">
        <f t="shared" si="84"/>
        <v>44.000000000000085</v>
      </c>
      <c r="CU220" s="1">
        <f t="shared" si="85"/>
        <v>0.80192368542285486</v>
      </c>
      <c r="CX220" s="2">
        <f t="shared" si="91"/>
        <v>44.000000000000085</v>
      </c>
      <c r="CY220" s="2">
        <f t="shared" si="92"/>
        <v>63.096918260145905</v>
      </c>
      <c r="CZ220" s="2">
        <f t="shared" si="93"/>
        <v>21.101837050883073</v>
      </c>
      <c r="DA220" s="2">
        <f t="shared" si="94"/>
        <v>16.922062937036703</v>
      </c>
    </row>
    <row r="221" spans="2:105" ht="18" customHeight="1" x14ac:dyDescent="0.25">
      <c r="B221" s="6"/>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8"/>
      <c r="AR221" s="6"/>
      <c r="AS221" s="95"/>
      <c r="AT221" s="95"/>
      <c r="AU221" s="95"/>
      <c r="AV221" s="95"/>
      <c r="AW221" s="95"/>
      <c r="AX221" s="95"/>
      <c r="AY221" s="95"/>
      <c r="AZ221" s="95"/>
      <c r="BA221" s="95"/>
      <c r="BB221" s="95"/>
      <c r="BC221" s="95"/>
      <c r="BD221" s="95"/>
      <c r="BE221" s="95"/>
      <c r="BF221" s="95"/>
      <c r="BG221" s="95"/>
      <c r="BH221" s="95"/>
      <c r="BI221" s="95"/>
      <c r="BJ221" s="95"/>
      <c r="BK221" s="95"/>
      <c r="BL221" s="95"/>
      <c r="BM221" s="95"/>
      <c r="BN221" s="95"/>
      <c r="BO221" s="95"/>
      <c r="BP221" s="95"/>
      <c r="BQ221" s="95"/>
      <c r="BR221" s="95"/>
      <c r="BS221" s="95"/>
      <c r="BT221" s="95"/>
      <c r="BU221" s="95"/>
      <c r="BV221" s="95"/>
      <c r="BW221" s="95"/>
      <c r="BX221" s="95"/>
      <c r="BY221" s="95"/>
      <c r="BZ221" s="95"/>
      <c r="CA221" s="95"/>
      <c r="CB221" s="95"/>
      <c r="CC221" s="95"/>
      <c r="CD221" s="95"/>
      <c r="CE221" s="95"/>
      <c r="CF221" s="8"/>
      <c r="CK221" s="1">
        <f t="shared" si="86"/>
        <v>44.200000000000088</v>
      </c>
      <c r="CL221" s="1" t="str">
        <f t="shared" si="76"/>
        <v>0.0215973472222222+95.4602747222224i</v>
      </c>
      <c r="CM221" s="1" t="str">
        <f t="shared" si="77"/>
        <v>86.3893888888889</v>
      </c>
      <c r="CN221" s="1" t="str">
        <f t="shared" si="78"/>
        <v>-1.22156941302162i</v>
      </c>
      <c r="CO221" s="1" t="str">
        <f t="shared" si="79"/>
        <v>47.4922421968466+41.7490350305743i</v>
      </c>
      <c r="CP221" s="1" t="str">
        <f t="shared" si="80"/>
        <v>0.0191834803010191+21.1977457326262i</v>
      </c>
      <c r="CQ221" s="1" t="str">
        <f t="shared" si="81"/>
        <v>3.44346644119078+16.6438751888144i</v>
      </c>
      <c r="CR221" s="2">
        <f t="shared" si="82"/>
        <v>44.200000000000088</v>
      </c>
      <c r="CS221" s="2">
        <f t="shared" si="83"/>
        <v>0.26878651999503406</v>
      </c>
      <c r="CT221" s="1">
        <f t="shared" si="84"/>
        <v>44.200000000000088</v>
      </c>
      <c r="CU221" s="1">
        <f t="shared" si="85"/>
        <v>0.80179973156954421</v>
      </c>
      <c r="CX221" s="2">
        <f t="shared" si="91"/>
        <v>44.200000000000088</v>
      </c>
      <c r="CY221" s="2">
        <f t="shared" si="92"/>
        <v>63.233653973719214</v>
      </c>
      <c r="CZ221" s="2">
        <f t="shared" si="93"/>
        <v>21.197754412932248</v>
      </c>
      <c r="DA221" s="2">
        <f t="shared" si="94"/>
        <v>16.996353798166201</v>
      </c>
    </row>
    <row r="222" spans="2:105" ht="18" customHeight="1" x14ac:dyDescent="0.25">
      <c r="B222" s="6"/>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8"/>
      <c r="AR222" s="6"/>
      <c r="AS222" s="95"/>
      <c r="AT222" s="95"/>
      <c r="AU222" s="95"/>
      <c r="AV222" s="95"/>
      <c r="AW222" s="95"/>
      <c r="AX222" s="95"/>
      <c r="AY222" s="95"/>
      <c r="AZ222" s="95"/>
      <c r="BA222" s="95"/>
      <c r="BB222" s="95"/>
      <c r="BC222" s="95"/>
      <c r="BD222" s="95"/>
      <c r="BE222" s="95"/>
      <c r="BF222" s="95"/>
      <c r="BG222" s="95"/>
      <c r="BH222" s="95"/>
      <c r="BI222" s="95"/>
      <c r="BJ222" s="95"/>
      <c r="BK222" s="95"/>
      <c r="BL222" s="95"/>
      <c r="BM222" s="95"/>
      <c r="BN222" s="95"/>
      <c r="BO222" s="95"/>
      <c r="BP222" s="95"/>
      <c r="BQ222" s="95"/>
      <c r="BR222" s="95"/>
      <c r="BS222" s="95"/>
      <c r="BT222" s="95"/>
      <c r="BU222" s="95"/>
      <c r="BV222" s="95"/>
      <c r="BW222" s="95"/>
      <c r="BX222" s="95"/>
      <c r="BY222" s="95"/>
      <c r="BZ222" s="95"/>
      <c r="CA222" s="95"/>
      <c r="CB222" s="95"/>
      <c r="CC222" s="95"/>
      <c r="CD222" s="95"/>
      <c r="CE222" s="95"/>
      <c r="CF222" s="8"/>
      <c r="CK222" s="1">
        <f t="shared" si="86"/>
        <v>44.400000000000091</v>
      </c>
      <c r="CL222" s="1" t="str">
        <f t="shared" si="76"/>
        <v>0.0215973472222222+95.8922216666669i</v>
      </c>
      <c r="CM222" s="1" t="str">
        <f t="shared" si="77"/>
        <v>86.3893888888889</v>
      </c>
      <c r="CN222" s="1" t="str">
        <f t="shared" si="78"/>
        <v>-1.2160668480981i</v>
      </c>
      <c r="CO222" s="1" t="str">
        <f t="shared" si="79"/>
        <v>47.6851947577867+41.7348509079864i</v>
      </c>
      <c r="CP222" s="1" t="str">
        <f t="shared" si="80"/>
        <v>0.0191834803010191+21.2936631341313i</v>
      </c>
      <c r="CQ222" s="1" t="str">
        <f t="shared" si="81"/>
        <v>3.47270025460671+16.7136431923953i</v>
      </c>
      <c r="CR222" s="2">
        <f t="shared" si="82"/>
        <v>44.400000000000091</v>
      </c>
      <c r="CS222" s="2">
        <f t="shared" si="83"/>
        <v>0.26938262105469435</v>
      </c>
      <c r="CT222" s="1">
        <f t="shared" si="84"/>
        <v>44.400000000000091</v>
      </c>
      <c r="CU222" s="1">
        <f t="shared" si="85"/>
        <v>0.80167497792850595</v>
      </c>
      <c r="CX222" s="2">
        <f t="shared" si="91"/>
        <v>44.400000000000091</v>
      </c>
      <c r="CY222" s="2">
        <f t="shared" si="92"/>
        <v>63.369358363485901</v>
      </c>
      <c r="CZ222" s="2">
        <f t="shared" si="93"/>
        <v>21.29367177533689</v>
      </c>
      <c r="DA222" s="2">
        <f t="shared" si="94"/>
        <v>17.070603850510011</v>
      </c>
    </row>
    <row r="223" spans="2:105" ht="18" customHeight="1" x14ac:dyDescent="0.25">
      <c r="B223" s="6"/>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8"/>
      <c r="AR223" s="6"/>
      <c r="AS223" s="95"/>
      <c r="AT223" s="95"/>
      <c r="AU223" s="95"/>
      <c r="AV223" s="95"/>
      <c r="AW223" s="95"/>
      <c r="AX223" s="95"/>
      <c r="AY223" s="95"/>
      <c r="AZ223" s="95"/>
      <c r="BA223" s="95"/>
      <c r="BB223" s="95"/>
      <c r="BC223" s="95"/>
      <c r="BD223" s="95"/>
      <c r="BE223" s="95"/>
      <c r="BF223" s="95"/>
      <c r="BG223" s="95"/>
      <c r="BH223" s="95"/>
      <c r="BI223" s="95"/>
      <c r="BJ223" s="95"/>
      <c r="BK223" s="95"/>
      <c r="BL223" s="95"/>
      <c r="BM223" s="95"/>
      <c r="BN223" s="95"/>
      <c r="BO223" s="95"/>
      <c r="BP223" s="95"/>
      <c r="BQ223" s="95"/>
      <c r="BR223" s="95"/>
      <c r="BS223" s="95"/>
      <c r="BT223" s="95"/>
      <c r="BU223" s="95"/>
      <c r="BV223" s="95"/>
      <c r="BW223" s="95"/>
      <c r="BX223" s="95"/>
      <c r="BY223" s="95"/>
      <c r="BZ223" s="95"/>
      <c r="CA223" s="95"/>
      <c r="CB223" s="95"/>
      <c r="CC223" s="95"/>
      <c r="CD223" s="95"/>
      <c r="CE223" s="95"/>
      <c r="CF223" s="8"/>
      <c r="CK223" s="1">
        <f t="shared" si="86"/>
        <v>44.600000000000094</v>
      </c>
      <c r="CL223" s="1" t="str">
        <f t="shared" si="76"/>
        <v>0.0215973472222222+96.3241686111113i</v>
      </c>
      <c r="CM223" s="1" t="str">
        <f t="shared" si="77"/>
        <v>86.3893888888889</v>
      </c>
      <c r="CN223" s="1" t="str">
        <f t="shared" si="78"/>
        <v>-1.21061363353263i</v>
      </c>
      <c r="CO223" s="1" t="str">
        <f t="shared" si="79"/>
        <v>47.8771006944387+41.7198550860996i</v>
      </c>
      <c r="CP223" s="1" t="str">
        <f t="shared" si="80"/>
        <v>0.0191834803010191+21.3895805356364i</v>
      </c>
      <c r="CQ223" s="1" t="str">
        <f t="shared" si="81"/>
        <v>3.5020454804278+16.7833336801351i</v>
      </c>
      <c r="CR223" s="2">
        <f t="shared" si="82"/>
        <v>44.600000000000094</v>
      </c>
      <c r="CS223" s="2">
        <f t="shared" si="83"/>
        <v>0.26997987862954015</v>
      </c>
      <c r="CT223" s="1">
        <f t="shared" si="84"/>
        <v>44.600000000000094</v>
      </c>
      <c r="CU223" s="1">
        <f t="shared" si="85"/>
        <v>0.80154942971730525</v>
      </c>
      <c r="CX223" s="2">
        <f t="shared" si="91"/>
        <v>44.600000000000094</v>
      </c>
      <c r="CY223" s="2">
        <f t="shared" si="92"/>
        <v>63.50403986606343</v>
      </c>
      <c r="CZ223" s="2">
        <f t="shared" si="93"/>
        <v>21.389589138092205</v>
      </c>
      <c r="DA223" s="2">
        <f t="shared" si="94"/>
        <v>17.14481297552534</v>
      </c>
    </row>
    <row r="224" spans="2:105" ht="18" customHeight="1" x14ac:dyDescent="0.25">
      <c r="B224" s="6"/>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8"/>
      <c r="AR224" s="6"/>
      <c r="AS224" s="95"/>
      <c r="AT224" s="95"/>
      <c r="AU224" s="95"/>
      <c r="AV224" s="95"/>
      <c r="AW224" s="95"/>
      <c r="AX224" s="95"/>
      <c r="AY224" s="95"/>
      <c r="AZ224" s="95"/>
      <c r="BA224" s="95"/>
      <c r="BB224" s="95"/>
      <c r="BC224" s="95"/>
      <c r="BD224" s="95"/>
      <c r="BE224" s="95"/>
      <c r="BF224" s="95"/>
      <c r="BG224" s="95"/>
      <c r="BH224" s="95"/>
      <c r="BI224" s="95"/>
      <c r="BJ224" s="95"/>
      <c r="BK224" s="95"/>
      <c r="BL224" s="95"/>
      <c r="BM224" s="95"/>
      <c r="BN224" s="95"/>
      <c r="BO224" s="95"/>
      <c r="BP224" s="95"/>
      <c r="BQ224" s="95"/>
      <c r="BR224" s="95"/>
      <c r="BS224" s="95"/>
      <c r="BT224" s="95"/>
      <c r="BU224" s="95"/>
      <c r="BV224" s="95"/>
      <c r="BW224" s="95"/>
      <c r="BX224" s="95"/>
      <c r="BY224" s="95"/>
      <c r="BZ224" s="95"/>
      <c r="CA224" s="95"/>
      <c r="CB224" s="95"/>
      <c r="CC224" s="95"/>
      <c r="CD224" s="95"/>
      <c r="CE224" s="95"/>
      <c r="CF224" s="8"/>
      <c r="CK224" s="1">
        <f t="shared" si="86"/>
        <v>44.800000000000097</v>
      </c>
      <c r="CL224" s="1" t="str">
        <f t="shared" si="76"/>
        <v>0.0215973472222222+96.7561155555558i</v>
      </c>
      <c r="CM224" s="1" t="str">
        <f t="shared" si="77"/>
        <v>86.3893888888889</v>
      </c>
      <c r="CN224" s="1" t="str">
        <f t="shared" si="78"/>
        <v>-1.20520910838293i</v>
      </c>
      <c r="CO224" s="1" t="str">
        <f t="shared" si="79"/>
        <v>48.0679627320652+41.7040608697652i</v>
      </c>
      <c r="CP224" s="1" t="str">
        <f t="shared" si="80"/>
        <v>0.0191834803010191+21.4854979371415i</v>
      </c>
      <c r="CQ224" s="1" t="str">
        <f t="shared" si="81"/>
        <v>3.53150185791158+16.8529464245258i</v>
      </c>
      <c r="CR224" s="2">
        <f t="shared" si="82"/>
        <v>44.800000000000097</v>
      </c>
      <c r="CS224" s="2">
        <f t="shared" si="83"/>
        <v>0.27057827669479417</v>
      </c>
      <c r="CT224" s="1">
        <f t="shared" si="84"/>
        <v>44.800000000000097</v>
      </c>
      <c r="CU224" s="1">
        <f t="shared" si="85"/>
        <v>0.80142309205941897</v>
      </c>
      <c r="CX224" s="2">
        <f t="shared" si="91"/>
        <v>44.800000000000097</v>
      </c>
      <c r="CY224" s="2">
        <f t="shared" si="92"/>
        <v>63.637706858750725</v>
      </c>
      <c r="CZ224" s="2">
        <f t="shared" si="93"/>
        <v>21.485506501193498</v>
      </c>
      <c r="DA224" s="2">
        <f t="shared" si="94"/>
        <v>17.218981054649255</v>
      </c>
    </row>
    <row r="225" spans="2:105" ht="18" customHeight="1" x14ac:dyDescent="0.25">
      <c r="B225" s="6"/>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8"/>
      <c r="AR225" s="6"/>
      <c r="AS225" s="153" t="s">
        <v>477</v>
      </c>
      <c r="AT225" s="179"/>
      <c r="AU225" s="179"/>
      <c r="AV225" s="179"/>
      <c r="AW225" s="179"/>
      <c r="AX225" s="179"/>
      <c r="AY225" s="179"/>
      <c r="AZ225" s="179"/>
      <c r="BA225" s="179"/>
      <c r="BB225" s="179"/>
      <c r="BC225" s="179"/>
      <c r="BD225" s="179"/>
      <c r="BE225" s="179"/>
      <c r="BF225" s="179"/>
      <c r="BG225" s="179"/>
      <c r="BH225" s="179"/>
      <c r="BI225" s="179"/>
      <c r="BJ225" s="179"/>
      <c r="BK225" s="179"/>
      <c r="BL225" s="179"/>
      <c r="BM225" s="179"/>
      <c r="BN225" s="179"/>
      <c r="BO225" s="179"/>
      <c r="BP225" s="179"/>
      <c r="BQ225" s="179"/>
      <c r="BR225" s="179"/>
      <c r="BS225" s="179"/>
      <c r="BT225" s="179"/>
      <c r="BU225" s="179"/>
      <c r="BV225" s="179"/>
      <c r="BW225" s="179"/>
      <c r="BX225" s="179"/>
      <c r="BY225" s="179"/>
      <c r="BZ225" s="179"/>
      <c r="CA225" s="179"/>
      <c r="CB225" s="179"/>
      <c r="CC225" s="179"/>
      <c r="CD225" s="179"/>
      <c r="CE225" s="179"/>
      <c r="CF225" s="8"/>
      <c r="CK225" s="1">
        <f t="shared" si="86"/>
        <v>45.000000000000099</v>
      </c>
      <c r="CL225" s="1" t="str">
        <f t="shared" si="76"/>
        <v>0.0215973472222222+97.1880625000002i</v>
      </c>
      <c r="CM225" s="1" t="str">
        <f t="shared" si="77"/>
        <v>86.3893888888889</v>
      </c>
      <c r="CN225" s="1" t="str">
        <f t="shared" si="78"/>
        <v>-1.19985262345679i</v>
      </c>
      <c r="CO225" s="1" t="str">
        <f t="shared" si="79"/>
        <v>48.2577836804889+41.6874814024869i</v>
      </c>
      <c r="CP225" s="1" t="str">
        <f t="shared" si="80"/>
        <v>0.0191834803010191+21.5814153386466i</v>
      </c>
      <c r="CQ225" s="1" t="str">
        <f t="shared" si="81"/>
        <v>3.56106912568067+16.9224811987006i</v>
      </c>
      <c r="CR225" s="2">
        <f t="shared" si="82"/>
        <v>45.000000000000099</v>
      </c>
      <c r="CS225" s="2">
        <f t="shared" si="83"/>
        <v>0.27117779940725134</v>
      </c>
      <c r="CT225" s="1">
        <f t="shared" si="84"/>
        <v>45.000000000000099</v>
      </c>
      <c r="CU225" s="1">
        <f t="shared" si="85"/>
        <v>0.80129596998685171</v>
      </c>
      <c r="CX225" s="2">
        <f t="shared" si="91"/>
        <v>45.000000000000099</v>
      </c>
      <c r="CY225" s="2">
        <f t="shared" si="92"/>
        <v>63.770367659560755</v>
      </c>
      <c r="CZ225" s="2">
        <f t="shared" si="93"/>
        <v>21.581423864636164</v>
      </c>
      <c r="DA225" s="2">
        <f t="shared" si="94"/>
        <v>17.293107969311109</v>
      </c>
    </row>
    <row r="226" spans="2:105" ht="18" customHeight="1" x14ac:dyDescent="0.25">
      <c r="B226" s="6"/>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8"/>
      <c r="AR226" s="6"/>
      <c r="AS226" s="179"/>
      <c r="AT226" s="179"/>
      <c r="AU226" s="179"/>
      <c r="AV226" s="179"/>
      <c r="AW226" s="179"/>
      <c r="AX226" s="179"/>
      <c r="AY226" s="179"/>
      <c r="AZ226" s="179"/>
      <c r="BA226" s="179"/>
      <c r="BB226" s="179"/>
      <c r="BC226" s="179"/>
      <c r="BD226" s="179"/>
      <c r="BE226" s="179"/>
      <c r="BF226" s="179"/>
      <c r="BG226" s="179"/>
      <c r="BH226" s="179"/>
      <c r="BI226" s="179"/>
      <c r="BJ226" s="179"/>
      <c r="BK226" s="179"/>
      <c r="BL226" s="179"/>
      <c r="BM226" s="179"/>
      <c r="BN226" s="179"/>
      <c r="BO226" s="179"/>
      <c r="BP226" s="179"/>
      <c r="BQ226" s="179"/>
      <c r="BR226" s="179"/>
      <c r="BS226" s="179"/>
      <c r="BT226" s="179"/>
      <c r="BU226" s="179"/>
      <c r="BV226" s="179"/>
      <c r="BW226" s="179"/>
      <c r="BX226" s="179"/>
      <c r="BY226" s="179"/>
      <c r="BZ226" s="179"/>
      <c r="CA226" s="179"/>
      <c r="CB226" s="179"/>
      <c r="CC226" s="179"/>
      <c r="CD226" s="179"/>
      <c r="CE226" s="179"/>
      <c r="CF226" s="8"/>
      <c r="CK226" s="1">
        <f t="shared" si="86"/>
        <v>45.200000000000102</v>
      </c>
      <c r="CL226" s="1" t="str">
        <f t="shared" si="76"/>
        <v>0.0215973472222222+97.6200094444447i</v>
      </c>
      <c r="CM226" s="1" t="str">
        <f t="shared" si="77"/>
        <v>86.3893888888889</v>
      </c>
      <c r="CN226" s="1" t="str">
        <f t="shared" si="78"/>
        <v>-1.19454354105211i</v>
      </c>
      <c r="CO226" s="1" t="str">
        <f t="shared" si="79"/>
        <v>48.4465664314003+41.6701296676079i</v>
      </c>
      <c r="CP226" s="1" t="str">
        <f t="shared" si="80"/>
        <v>0.0191834803010191+21.6773327401517i</v>
      </c>
      <c r="CQ226" s="1" t="str">
        <f t="shared" si="81"/>
        <v>3.59074702172589+16.9919377764454i</v>
      </c>
      <c r="CR226" s="2">
        <f t="shared" si="82"/>
        <v>45.200000000000102</v>
      </c>
      <c r="CS226" s="2">
        <f t="shared" si="83"/>
        <v>0.27177843110217031</v>
      </c>
      <c r="CT226" s="1">
        <f t="shared" si="84"/>
        <v>45.200000000000102</v>
      </c>
      <c r="CU226" s="1">
        <f t="shared" si="85"/>
        <v>0.80116806844268407</v>
      </c>
      <c r="CX226" s="2">
        <f t="shared" si="91"/>
        <v>45.200000000000102</v>
      </c>
      <c r="CY226" s="2">
        <f t="shared" si="92"/>
        <v>63.902030527263683</v>
      </c>
      <c r="CZ226" s="2">
        <f t="shared" si="93"/>
        <v>21.677341228415656</v>
      </c>
      <c r="DA226" s="2">
        <f t="shared" si="94"/>
        <v>17.367193600942713</v>
      </c>
    </row>
    <row r="227" spans="2:105" ht="18" customHeight="1" x14ac:dyDescent="0.25">
      <c r="B227" s="6"/>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8"/>
      <c r="AR227" s="6"/>
      <c r="AS227" s="179"/>
      <c r="AT227" s="179"/>
      <c r="AU227" s="179"/>
      <c r="AV227" s="179"/>
      <c r="AW227" s="179"/>
      <c r="AX227" s="179"/>
      <c r="AY227" s="179"/>
      <c r="AZ227" s="179"/>
      <c r="BA227" s="179"/>
      <c r="BB227" s="179"/>
      <c r="BC227" s="179"/>
      <c r="BD227" s="179"/>
      <c r="BE227" s="179"/>
      <c r="BF227" s="179"/>
      <c r="BG227" s="179"/>
      <c r="BH227" s="179"/>
      <c r="BI227" s="179"/>
      <c r="BJ227" s="179"/>
      <c r="BK227" s="179"/>
      <c r="BL227" s="179"/>
      <c r="BM227" s="179"/>
      <c r="BN227" s="179"/>
      <c r="BO227" s="179"/>
      <c r="BP227" s="179"/>
      <c r="BQ227" s="179"/>
      <c r="BR227" s="179"/>
      <c r="BS227" s="179"/>
      <c r="BT227" s="179"/>
      <c r="BU227" s="179"/>
      <c r="BV227" s="179"/>
      <c r="BW227" s="179"/>
      <c r="BX227" s="179"/>
      <c r="BY227" s="179"/>
      <c r="BZ227" s="179"/>
      <c r="CA227" s="179"/>
      <c r="CB227" s="179"/>
      <c r="CC227" s="179"/>
      <c r="CD227" s="179"/>
      <c r="CE227" s="179"/>
      <c r="CF227" s="8"/>
      <c r="CK227" s="1">
        <f t="shared" si="86"/>
        <v>45.400000000000105</v>
      </c>
      <c r="CL227" s="1" t="str">
        <f t="shared" si="76"/>
        <v>0.0215973472222222+98.0519563888891i</v>
      </c>
      <c r="CM227" s="1" t="str">
        <f t="shared" si="77"/>
        <v>86.3893888888889</v>
      </c>
      <c r="CN227" s="1" t="str">
        <f t="shared" si="78"/>
        <v>-1.18928123470386i</v>
      </c>
      <c r="CO227" s="1" t="str">
        <f t="shared" si="79"/>
        <v>48.6343139557192+41.6520184895127i</v>
      </c>
      <c r="CP227" s="1" t="str">
        <f t="shared" si="80"/>
        <v>0.0191834803010191+21.7732501416568i</v>
      </c>
      <c r="CQ227" s="1" t="str">
        <f t="shared" si="81"/>
        <v>3.62053528341055+17.0613159322118i</v>
      </c>
      <c r="CR227" s="2">
        <f t="shared" si="82"/>
        <v>45.400000000000105</v>
      </c>
      <c r="CS227" s="2">
        <f t="shared" si="83"/>
        <v>0.27238015629023643</v>
      </c>
      <c r="CT227" s="1">
        <f t="shared" si="84"/>
        <v>45.400000000000105</v>
      </c>
      <c r="CU227" s="1">
        <f t="shared" si="85"/>
        <v>0.8010393922835205</v>
      </c>
      <c r="CX227" s="2">
        <f t="shared" si="91"/>
        <v>45.400000000000105</v>
      </c>
      <c r="CY227" s="2">
        <f t="shared" si="92"/>
        <v>64.032703661442966</v>
      </c>
      <c r="CZ227" s="2">
        <f t="shared" si="93"/>
        <v>21.77325859252754</v>
      </c>
      <c r="DA227" s="2">
        <f t="shared" si="94"/>
        <v>17.441237830990236</v>
      </c>
    </row>
    <row r="228" spans="2:105" ht="18" customHeight="1" x14ac:dyDescent="0.25">
      <c r="B228" s="6"/>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8"/>
      <c r="AR228" s="6"/>
      <c r="AS228" s="179"/>
      <c r="AT228" s="179"/>
      <c r="AU228" s="179"/>
      <c r="AV228" s="179"/>
      <c r="AW228" s="179"/>
      <c r="AX228" s="179"/>
      <c r="AY228" s="179"/>
      <c r="AZ228" s="179"/>
      <c r="BA228" s="179"/>
      <c r="BB228" s="179"/>
      <c r="BC228" s="179"/>
      <c r="BD228" s="179"/>
      <c r="BE228" s="179"/>
      <c r="BF228" s="179"/>
      <c r="BG228" s="179"/>
      <c r="BH228" s="179"/>
      <c r="BI228" s="179"/>
      <c r="BJ228" s="179"/>
      <c r="BK228" s="179"/>
      <c r="BL228" s="179"/>
      <c r="BM228" s="179"/>
      <c r="BN228" s="179"/>
      <c r="BO228" s="179"/>
      <c r="BP228" s="179"/>
      <c r="BQ228" s="179"/>
      <c r="BR228" s="179"/>
      <c r="BS228" s="179"/>
      <c r="BT228" s="179"/>
      <c r="BU228" s="179"/>
      <c r="BV228" s="179"/>
      <c r="BW228" s="179"/>
      <c r="BX228" s="179"/>
      <c r="BY228" s="179"/>
      <c r="BZ228" s="179"/>
      <c r="CA228" s="179"/>
      <c r="CB228" s="179"/>
      <c r="CC228" s="179"/>
      <c r="CD228" s="179"/>
      <c r="CE228" s="179"/>
      <c r="CF228" s="8"/>
      <c r="CK228" s="1">
        <f t="shared" si="86"/>
        <v>45.600000000000108</v>
      </c>
      <c r="CL228" s="1" t="str">
        <f t="shared" si="76"/>
        <v>0.0215973472222222+98.4839033333336i</v>
      </c>
      <c r="CM228" s="1" t="str">
        <f t="shared" si="77"/>
        <v>86.3893888888889</v>
      </c>
      <c r="CN228" s="1" t="str">
        <f t="shared" si="78"/>
        <v>-1.18406508893762i</v>
      </c>
      <c r="CO228" s="1" t="str">
        <f t="shared" si="79"/>
        <v>48.8210293010065+41.6331605348426i</v>
      </c>
      <c r="CP228" s="1" t="str">
        <f t="shared" si="80"/>
        <v>0.0191834803010191+21.8691675431619i</v>
      </c>
      <c r="CQ228" s="1" t="str">
        <f t="shared" si="81"/>
        <v>3.65043364747403+17.1306154411279i</v>
      </c>
      <c r="CR228" s="2">
        <f t="shared" si="82"/>
        <v>45.600000000000108</v>
      </c>
      <c r="CS228" s="2">
        <f t="shared" si="83"/>
        <v>0.27298295965460534</v>
      </c>
      <c r="CT228" s="1">
        <f t="shared" si="84"/>
        <v>45.600000000000108</v>
      </c>
      <c r="CU228" s="1">
        <f t="shared" si="85"/>
        <v>0.80090994628187873</v>
      </c>
      <c r="CX228" s="2">
        <f t="shared" si="91"/>
        <v>45.600000000000108</v>
      </c>
      <c r="CY228" s="2">
        <f t="shared" si="92"/>
        <v>64.162395202561683</v>
      </c>
      <c r="CZ228" s="2">
        <f t="shared" si="93"/>
        <v>21.869175956967432</v>
      </c>
      <c r="DA228" s="2">
        <f t="shared" si="94"/>
        <v>17.515240540923788</v>
      </c>
    </row>
    <row r="229" spans="2:105" ht="18" customHeight="1" x14ac:dyDescent="0.25">
      <c r="B229" s="6"/>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8"/>
      <c r="AR229" s="6"/>
      <c r="AS229" s="179"/>
      <c r="AT229" s="179"/>
      <c r="AU229" s="179"/>
      <c r="AV229" s="179"/>
      <c r="AW229" s="179"/>
      <c r="AX229" s="179"/>
      <c r="AY229" s="179"/>
      <c r="AZ229" s="179"/>
      <c r="BA229" s="179"/>
      <c r="BB229" s="179"/>
      <c r="BC229" s="179"/>
      <c r="BD229" s="179"/>
      <c r="BE229" s="179"/>
      <c r="BF229" s="179"/>
      <c r="BG229" s="179"/>
      <c r="BH229" s="179"/>
      <c r="BI229" s="179"/>
      <c r="BJ229" s="179"/>
      <c r="BK229" s="179"/>
      <c r="BL229" s="179"/>
      <c r="BM229" s="179"/>
      <c r="BN229" s="179"/>
      <c r="BO229" s="179"/>
      <c r="BP229" s="179"/>
      <c r="BQ229" s="179"/>
      <c r="BR229" s="179"/>
      <c r="BS229" s="179"/>
      <c r="BT229" s="179"/>
      <c r="BU229" s="179"/>
      <c r="BV229" s="179"/>
      <c r="BW229" s="179"/>
      <c r="BX229" s="179"/>
      <c r="BY229" s="179"/>
      <c r="BZ229" s="179"/>
      <c r="CA229" s="179"/>
      <c r="CB229" s="179"/>
      <c r="CC229" s="179"/>
      <c r="CD229" s="179"/>
      <c r="CE229" s="179"/>
      <c r="CF229" s="8"/>
      <c r="CK229" s="1">
        <f t="shared" si="86"/>
        <v>45.800000000000111</v>
      </c>
      <c r="CL229" s="1" t="str">
        <f t="shared" si="76"/>
        <v>0.0215973472222222+98.915850277778i</v>
      </c>
      <c r="CM229" s="1" t="str">
        <f t="shared" si="77"/>
        <v>86.3893888888889</v>
      </c>
      <c r="CN229" s="1" t="str">
        <f t="shared" si="78"/>
        <v>-1.17889449902959i</v>
      </c>
      <c r="CO229" s="1" t="str">
        <f t="shared" si="79"/>
        <v>49.0067155889273+41.6135683137234i</v>
      </c>
      <c r="CP229" s="1" t="str">
        <f t="shared" si="80"/>
        <v>0.0191834803010191+21.965084944667i</v>
      </c>
      <c r="CQ229" s="1" t="str">
        <f t="shared" si="81"/>
        <v>3.68044185003592+17.1998360790102i</v>
      </c>
      <c r="CR229" s="2">
        <f t="shared" si="82"/>
        <v>45.800000000000111</v>
      </c>
      <c r="CS229" s="2">
        <f t="shared" si="83"/>
        <v>0.2735868260480312</v>
      </c>
      <c r="CT229" s="1">
        <f t="shared" si="84"/>
        <v>45.800000000000111</v>
      </c>
      <c r="CU229" s="1">
        <f t="shared" si="85"/>
        <v>0.80077973512848566</v>
      </c>
      <c r="CX229" s="2">
        <f t="shared" si="91"/>
        <v>45.800000000000111</v>
      </c>
      <c r="CY229" s="2">
        <f t="shared" si="92"/>
        <v>64.291113232039578</v>
      </c>
      <c r="CZ229" s="2">
        <f t="shared" si="93"/>
        <v>21.965093321731036</v>
      </c>
      <c r="DA229" s="2">
        <f t="shared" si="94"/>
        <v>17.58920161224826</v>
      </c>
    </row>
    <row r="230" spans="2:105" ht="18" customHeight="1" x14ac:dyDescent="0.25">
      <c r="B230" s="6"/>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8"/>
      <c r="AR230" s="6"/>
      <c r="AS230" s="179"/>
      <c r="AT230" s="179"/>
      <c r="AU230" s="179"/>
      <c r="AV230" s="179"/>
      <c r="AW230" s="179"/>
      <c r="AX230" s="179"/>
      <c r="AY230" s="179"/>
      <c r="AZ230" s="179"/>
      <c r="BA230" s="179"/>
      <c r="BB230" s="179"/>
      <c r="BC230" s="179"/>
      <c r="BD230" s="179"/>
      <c r="BE230" s="179"/>
      <c r="BF230" s="179"/>
      <c r="BG230" s="179"/>
      <c r="BH230" s="179"/>
      <c r="BI230" s="179"/>
      <c r="BJ230" s="179"/>
      <c r="BK230" s="179"/>
      <c r="BL230" s="179"/>
      <c r="BM230" s="179"/>
      <c r="BN230" s="179"/>
      <c r="BO230" s="179"/>
      <c r="BP230" s="179"/>
      <c r="BQ230" s="179"/>
      <c r="BR230" s="179"/>
      <c r="BS230" s="179"/>
      <c r="BT230" s="179"/>
      <c r="BU230" s="179"/>
      <c r="BV230" s="179"/>
      <c r="BW230" s="179"/>
      <c r="BX230" s="179"/>
      <c r="BY230" s="179"/>
      <c r="BZ230" s="179"/>
      <c r="CA230" s="179"/>
      <c r="CB230" s="179"/>
      <c r="CC230" s="179"/>
      <c r="CD230" s="179"/>
      <c r="CE230" s="179"/>
      <c r="CF230" s="8"/>
      <c r="CK230" s="1">
        <f t="shared" si="86"/>
        <v>46.000000000000114</v>
      </c>
      <c r="CL230" s="1" t="str">
        <f t="shared" si="76"/>
        <v>0.0215973472222222+99.3477972222225i</v>
      </c>
      <c r="CM230" s="1" t="str">
        <f t="shared" si="77"/>
        <v>86.3893888888889</v>
      </c>
      <c r="CN230" s="1" t="str">
        <f t="shared" si="78"/>
        <v>-1.17376887077294i</v>
      </c>
      <c r="CO230" s="1" t="str">
        <f t="shared" si="79"/>
        <v>49.1913760127654+41.5932541810064i</v>
      </c>
      <c r="CP230" s="1" t="str">
        <f t="shared" si="80"/>
        <v>0.0191834803010191+22.0610023461721i</v>
      </c>
      <c r="CQ230" s="1" t="str">
        <f t="shared" si="81"/>
        <v>3.71055962659985+17.2689776223749i</v>
      </c>
      <c r="CR230" s="2">
        <f t="shared" si="82"/>
        <v>46.000000000000114</v>
      </c>
      <c r="CS230" s="2">
        <f t="shared" si="83"/>
        <v>0.27419174049004946</v>
      </c>
      <c r="CT230" s="1">
        <f t="shared" si="84"/>
        <v>46.000000000000114</v>
      </c>
      <c r="CU230" s="1">
        <f t="shared" si="85"/>
        <v>0.80064876343451885</v>
      </c>
      <c r="CX230" s="2">
        <f t="shared" si="91"/>
        <v>46.000000000000114</v>
      </c>
      <c r="CY230" s="2">
        <f t="shared" si="92"/>
        <v>64.418865772342485</v>
      </c>
      <c r="CZ230" s="2">
        <f t="shared" si="93"/>
        <v>22.061010686814129</v>
      </c>
      <c r="DA230" s="2">
        <f t="shared" si="94"/>
        <v>17.663120926513464</v>
      </c>
    </row>
    <row r="231" spans="2:105" ht="18" customHeight="1" x14ac:dyDescent="0.25">
      <c r="B231" s="6"/>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8"/>
      <c r="AR231" s="6"/>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79"/>
      <c r="CB231" s="179"/>
      <c r="CC231" s="179"/>
      <c r="CD231" s="179"/>
      <c r="CE231" s="179"/>
      <c r="CF231" s="8"/>
      <c r="CK231" s="1">
        <f t="shared" si="86"/>
        <v>46.200000000000117</v>
      </c>
      <c r="CL231" s="1" t="str">
        <f t="shared" si="76"/>
        <v>0.0215973472222222+99.7797441666669i</v>
      </c>
      <c r="CM231" s="1" t="str">
        <f t="shared" si="77"/>
        <v>86.3893888888889</v>
      </c>
      <c r="CN231" s="1" t="str">
        <f t="shared" si="78"/>
        <v>-1.16868762025012i</v>
      </c>
      <c r="CO231" s="1" t="str">
        <f t="shared" si="79"/>
        <v>49.3750138349861+41.5722303375183i</v>
      </c>
      <c r="CP231" s="1" t="str">
        <f t="shared" si="80"/>
        <v>0.0191834803010191+22.1569197476772i</v>
      </c>
      <c r="CQ231" s="1" t="str">
        <f t="shared" si="81"/>
        <v>3.74078671205766+17.3380398484482i</v>
      </c>
      <c r="CR231" s="2">
        <f t="shared" si="82"/>
        <v>46.200000000000117</v>
      </c>
      <c r="CS231" s="2">
        <f t="shared" si="83"/>
        <v>0.2747976881642506</v>
      </c>
      <c r="CT231" s="1">
        <f t="shared" si="84"/>
        <v>46.200000000000117</v>
      </c>
      <c r="CU231" s="1">
        <f t="shared" si="85"/>
        <v>0.80051703573376043</v>
      </c>
      <c r="CX231" s="2">
        <f t="shared" si="91"/>
        <v>46.200000000000117</v>
      </c>
      <c r="CY231" s="2">
        <f t="shared" si="92"/>
        <v>64.545660787079598</v>
      </c>
      <c r="CZ231" s="2">
        <f t="shared" si="93"/>
        <v>22.156928052212571</v>
      </c>
      <c r="DA231" s="2">
        <f t="shared" si="94"/>
        <v>17.736998365323398</v>
      </c>
    </row>
    <row r="232" spans="2:105" ht="18" customHeight="1" x14ac:dyDescent="0.25">
      <c r="B232" s="6"/>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8"/>
      <c r="AR232" s="6"/>
      <c r="AS232" s="179"/>
      <c r="AT232" s="179"/>
      <c r="AU232" s="179"/>
      <c r="AV232" s="179"/>
      <c r="AW232" s="179"/>
      <c r="AX232" s="179"/>
      <c r="AY232" s="179"/>
      <c r="AZ232" s="179"/>
      <c r="BA232" s="179"/>
      <c r="BB232" s="179"/>
      <c r="BC232" s="179"/>
      <c r="BD232" s="179"/>
      <c r="BE232" s="179"/>
      <c r="BF232" s="179"/>
      <c r="BG232" s="179"/>
      <c r="BH232" s="179"/>
      <c r="BI232" s="179"/>
      <c r="BJ232" s="179"/>
      <c r="BK232" s="179"/>
      <c r="BL232" s="179"/>
      <c r="BM232" s="179"/>
      <c r="BN232" s="179"/>
      <c r="BO232" s="179"/>
      <c r="BP232" s="179"/>
      <c r="BQ232" s="179"/>
      <c r="BR232" s="179"/>
      <c r="BS232" s="179"/>
      <c r="BT232" s="179"/>
      <c r="BU232" s="179"/>
      <c r="BV232" s="179"/>
      <c r="BW232" s="179"/>
      <c r="BX232" s="179"/>
      <c r="BY232" s="179"/>
      <c r="BZ232" s="179"/>
      <c r="CA232" s="179"/>
      <c r="CB232" s="179"/>
      <c r="CC232" s="179"/>
      <c r="CD232" s="179"/>
      <c r="CE232" s="179"/>
      <c r="CF232" s="8"/>
      <c r="CK232" s="1">
        <f t="shared" si="86"/>
        <v>46.400000000000119</v>
      </c>
      <c r="CL232" s="1" t="str">
        <f t="shared" si="76"/>
        <v>0.0215973472222222+100.211691111111i</v>
      </c>
      <c r="CM232" s="1" t="str">
        <f t="shared" si="77"/>
        <v>86.3893888888889</v>
      </c>
      <c r="CN232" s="1" t="str">
        <f t="shared" si="78"/>
        <v>-1.16365017361111i</v>
      </c>
      <c r="CO232" s="1" t="str">
        <f t="shared" si="79"/>
        <v>49.5576323848497+41.5505088313231i</v>
      </c>
      <c r="CP232" s="1" t="str">
        <f t="shared" si="80"/>
        <v>0.0191834803010191+22.2528371491823i</v>
      </c>
      <c r="CQ232" s="1" t="str">
        <f t="shared" si="81"/>
        <v>3.77112284069331+17.4070225351776i</v>
      </c>
      <c r="CR232" s="2">
        <f t="shared" si="82"/>
        <v>46.400000000000119</v>
      </c>
      <c r="CS232" s="2">
        <f t="shared" si="83"/>
        <v>0.27540465441560913</v>
      </c>
      <c r="CT232" s="1">
        <f t="shared" si="84"/>
        <v>46.400000000000119</v>
      </c>
      <c r="CU232" s="1">
        <f t="shared" si="85"/>
        <v>0.80038455648470419</v>
      </c>
      <c r="CX232" s="2">
        <f t="shared" si="91"/>
        <v>46.400000000000119</v>
      </c>
      <c r="CY232" s="2">
        <f t="shared" si="92"/>
        <v>64.671506181113202</v>
      </c>
      <c r="CZ232" s="2">
        <f t="shared" si="93"/>
        <v>22.252845417922277</v>
      </c>
      <c r="DA232" s="2">
        <f t="shared" si="94"/>
        <v>17.810833810346431</v>
      </c>
    </row>
    <row r="233" spans="2:105" ht="18" customHeight="1" x14ac:dyDescent="0.25">
      <c r="B233" s="6"/>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8"/>
      <c r="AR233" s="6"/>
      <c r="AS233" s="179"/>
      <c r="AT233" s="179"/>
      <c r="AU233" s="179"/>
      <c r="AV233" s="179"/>
      <c r="AW233" s="179"/>
      <c r="AX233" s="179"/>
      <c r="AY233" s="179"/>
      <c r="AZ233" s="179"/>
      <c r="BA233" s="179"/>
      <c r="BB233" s="179"/>
      <c r="BC233" s="179"/>
      <c r="BD233" s="179"/>
      <c r="BE233" s="179"/>
      <c r="BF233" s="179"/>
      <c r="BG233" s="179"/>
      <c r="BH233" s="179"/>
      <c r="BI233" s="179"/>
      <c r="BJ233" s="179"/>
      <c r="BK233" s="179"/>
      <c r="BL233" s="179"/>
      <c r="BM233" s="179"/>
      <c r="BN233" s="179"/>
      <c r="BO233" s="179"/>
      <c r="BP233" s="179"/>
      <c r="BQ233" s="179"/>
      <c r="BR233" s="179"/>
      <c r="BS233" s="179"/>
      <c r="BT233" s="179"/>
      <c r="BU233" s="179"/>
      <c r="BV233" s="179"/>
      <c r="BW233" s="179"/>
      <c r="BX233" s="179"/>
      <c r="BY233" s="179"/>
      <c r="BZ233" s="179"/>
      <c r="CA233" s="179"/>
      <c r="CB233" s="179"/>
      <c r="CC233" s="179"/>
      <c r="CD233" s="179"/>
      <c r="CE233" s="179"/>
      <c r="CF233" s="8"/>
      <c r="CK233" s="1">
        <f t="shared" si="86"/>
        <v>46.600000000000122</v>
      </c>
      <c r="CL233" s="1" t="str">
        <f t="shared" si="76"/>
        <v>0.0215973472222222+100.643638055556i</v>
      </c>
      <c r="CM233" s="1" t="str">
        <f t="shared" si="77"/>
        <v>86.3893888888889</v>
      </c>
      <c r="CN233" s="1" t="str">
        <f t="shared" si="78"/>
        <v>-1.15865596685741i</v>
      </c>
      <c r="CO233" s="1" t="str">
        <f t="shared" si="79"/>
        <v>49.7392350560729+41.528101558992i</v>
      </c>
      <c r="CP233" s="1" t="str">
        <f t="shared" si="80"/>
        <v>0.0191834803010191+22.3487545506874i</v>
      </c>
      <c r="CQ233" s="1" t="str">
        <f t="shared" si="81"/>
        <v>3.80156774618713+17.4759254612415i</v>
      </c>
      <c r="CR233" s="2">
        <f t="shared" si="82"/>
        <v>46.600000000000122</v>
      </c>
      <c r="CS233" s="2">
        <f t="shared" si="83"/>
        <v>0.27601262474787747</v>
      </c>
      <c r="CT233" s="1">
        <f t="shared" si="84"/>
        <v>46.600000000000122</v>
      </c>
      <c r="CU233" s="1">
        <f t="shared" si="85"/>
        <v>0.80025133007257598</v>
      </c>
      <c r="CX233" s="2">
        <f t="shared" si="91"/>
        <v>46.600000000000122</v>
      </c>
      <c r="CY233" s="2">
        <f t="shared" si="92"/>
        <v>64.796409800676656</v>
      </c>
      <c r="CZ233" s="2">
        <f t="shared" si="93"/>
        <v>22.348762783939229</v>
      </c>
      <c r="DA233" s="2">
        <f t="shared" si="94"/>
        <v>17.884627143323932</v>
      </c>
    </row>
    <row r="234" spans="2:105" ht="18" customHeight="1" x14ac:dyDescent="0.25">
      <c r="B234" s="6"/>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8"/>
      <c r="AR234" s="6"/>
      <c r="AS234" s="179"/>
      <c r="AT234" s="179"/>
      <c r="AU234" s="179"/>
      <c r="AV234" s="179"/>
      <c r="AW234" s="179"/>
      <c r="AX234" s="179"/>
      <c r="AY234" s="179"/>
      <c r="AZ234" s="179"/>
      <c r="BA234" s="179"/>
      <c r="BB234" s="179"/>
      <c r="BC234" s="179"/>
      <c r="BD234" s="179"/>
      <c r="BE234" s="179"/>
      <c r="BF234" s="179"/>
      <c r="BG234" s="179"/>
      <c r="BH234" s="179"/>
      <c r="BI234" s="179"/>
      <c r="BJ234" s="179"/>
      <c r="BK234" s="179"/>
      <c r="BL234" s="179"/>
      <c r="BM234" s="179"/>
      <c r="BN234" s="179"/>
      <c r="BO234" s="179"/>
      <c r="BP234" s="179"/>
      <c r="BQ234" s="179"/>
      <c r="BR234" s="179"/>
      <c r="BS234" s="179"/>
      <c r="BT234" s="179"/>
      <c r="BU234" s="179"/>
      <c r="BV234" s="179"/>
      <c r="BW234" s="179"/>
      <c r="BX234" s="179"/>
      <c r="BY234" s="179"/>
      <c r="BZ234" s="179"/>
      <c r="CA234" s="179"/>
      <c r="CB234" s="179"/>
      <c r="CC234" s="179"/>
      <c r="CD234" s="179"/>
      <c r="CE234" s="179"/>
      <c r="CF234" s="8"/>
      <c r="CK234" s="1">
        <f t="shared" si="86"/>
        <v>46.800000000000125</v>
      </c>
      <c r="CL234" s="1" t="str">
        <f t="shared" si="76"/>
        <v>0.0215973472222222+101.075585i</v>
      </c>
      <c r="CM234" s="1" t="str">
        <f t="shared" si="77"/>
        <v>86.3893888888889</v>
      </c>
      <c r="CN234" s="1" t="str">
        <f t="shared" si="78"/>
        <v>-1.15370444563153i</v>
      </c>
      <c r="CO234" s="1" t="str">
        <f t="shared" si="79"/>
        <v>49.919825304537+41.5050202668821i</v>
      </c>
      <c r="CP234" s="1" t="str">
        <f t="shared" si="80"/>
        <v>0.0191834803010191+22.4446719521925i</v>
      </c>
      <c r="CQ234" s="1" t="str">
        <f t="shared" si="81"/>
        <v>3.83212116161983+17.5447484060595i</v>
      </c>
      <c r="CR234" s="2">
        <f t="shared" si="82"/>
        <v>46.800000000000125</v>
      </c>
      <c r="CS234" s="2">
        <f t="shared" si="83"/>
        <v>0.27662158482105781</v>
      </c>
      <c r="CT234" s="1">
        <f t="shared" si="84"/>
        <v>46.800000000000125</v>
      </c>
      <c r="CU234" s="1">
        <f t="shared" si="85"/>
        <v>0.80011736081130758</v>
      </c>
      <c r="CX234" s="2">
        <f t="shared" si="91"/>
        <v>46.800000000000125</v>
      </c>
      <c r="CY234" s="2">
        <f t="shared" si="92"/>
        <v>64.920379433501367</v>
      </c>
      <c r="CZ234" s="2">
        <f t="shared" si="93"/>
        <v>22.444680150259508</v>
      </c>
      <c r="DA234" s="2">
        <f t="shared" si="94"/>
        <v>17.958378246079512</v>
      </c>
    </row>
    <row r="235" spans="2:105" ht="18" customHeight="1" x14ac:dyDescent="0.25">
      <c r="B235" s="6"/>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8"/>
      <c r="AR235" s="6"/>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79"/>
      <c r="CB235" s="179"/>
      <c r="CC235" s="179"/>
      <c r="CD235" s="179"/>
      <c r="CE235" s="179"/>
      <c r="CF235" s="8"/>
      <c r="CK235" s="1">
        <f t="shared" si="86"/>
        <v>47.000000000000128</v>
      </c>
      <c r="CL235" s="1" t="str">
        <f t="shared" si="76"/>
        <v>0.0215973472222222+101.507531944445i</v>
      </c>
      <c r="CM235" s="1" t="str">
        <f t="shared" si="77"/>
        <v>86.3893888888889</v>
      </c>
      <c r="CN235" s="1" t="str">
        <f t="shared" si="78"/>
        <v>-1.14879506501182i</v>
      </c>
      <c r="CO235" s="1" t="str">
        <f t="shared" si="79"/>
        <v>50.0994066460471+41.4812765524232i</v>
      </c>
      <c r="CP235" s="1" t="str">
        <f t="shared" si="80"/>
        <v>0.0191834803010191+22.5405893536976i</v>
      </c>
      <c r="CQ235" s="1" t="str">
        <f t="shared" si="81"/>
        <v>3.86278281947713+17.6134911498028i</v>
      </c>
      <c r="CR235" s="2">
        <f t="shared" si="82"/>
        <v>47.000000000000128</v>
      </c>
      <c r="CS235" s="2">
        <f t="shared" si="83"/>
        <v>0.27723152044891608</v>
      </c>
      <c r="CT235" s="1">
        <f t="shared" si="84"/>
        <v>47.000000000000128</v>
      </c>
      <c r="CU235" s="1">
        <f t="shared" si="85"/>
        <v>0.79998265294544468</v>
      </c>
      <c r="CX235" s="2">
        <f t="shared" si="91"/>
        <v>47.000000000000128</v>
      </c>
      <c r="CY235" s="2">
        <f t="shared" si="92"/>
        <v>65.043422808955881</v>
      </c>
      <c r="CZ235" s="2">
        <f t="shared" si="93"/>
        <v>22.540597516879227</v>
      </c>
      <c r="DA235" s="2">
        <f t="shared" si="94"/>
        <v>18.032087000528509</v>
      </c>
    </row>
    <row r="236" spans="2:105" ht="18" customHeight="1" x14ac:dyDescent="0.25">
      <c r="B236" s="6"/>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8"/>
      <c r="AR236" s="6"/>
      <c r="AS236" s="179"/>
      <c r="AT236" s="179"/>
      <c r="AU236" s="179"/>
      <c r="AV236" s="179"/>
      <c r="AW236" s="179"/>
      <c r="AX236" s="179"/>
      <c r="AY236" s="179"/>
      <c r="AZ236" s="179"/>
      <c r="BA236" s="179"/>
      <c r="BB236" s="179"/>
      <c r="BC236" s="179"/>
      <c r="BD236" s="179"/>
      <c r="BE236" s="179"/>
      <c r="BF236" s="179"/>
      <c r="BG236" s="179"/>
      <c r="BH236" s="179"/>
      <c r="BI236" s="179"/>
      <c r="BJ236" s="179"/>
      <c r="BK236" s="179"/>
      <c r="BL236" s="179"/>
      <c r="BM236" s="179"/>
      <c r="BN236" s="179"/>
      <c r="BO236" s="179"/>
      <c r="BP236" s="179"/>
      <c r="BQ236" s="179"/>
      <c r="BR236" s="179"/>
      <c r="BS236" s="179"/>
      <c r="BT236" s="179"/>
      <c r="BU236" s="179"/>
      <c r="BV236" s="179"/>
      <c r="BW236" s="179"/>
      <c r="BX236" s="179"/>
      <c r="BY236" s="179"/>
      <c r="BZ236" s="179"/>
      <c r="CA236" s="179"/>
      <c r="CB236" s="179"/>
      <c r="CC236" s="179"/>
      <c r="CD236" s="179"/>
      <c r="CE236" s="179"/>
      <c r="CF236" s="8"/>
      <c r="CK236" s="1">
        <f t="shared" si="86"/>
        <v>47.200000000000131</v>
      </c>
      <c r="CL236" s="1" t="str">
        <f t="shared" si="76"/>
        <v>0.0215973472222222+101.939478888889i</v>
      </c>
      <c r="CM236" s="1" t="str">
        <f t="shared" si="77"/>
        <v>86.3893888888889</v>
      </c>
      <c r="CN236" s="1" t="str">
        <f t="shared" si="78"/>
        <v>-1.14392728931261i</v>
      </c>
      <c r="CO236" s="1" t="str">
        <f t="shared" si="79"/>
        <v>50.2779826541327+41.4568818654111i</v>
      </c>
      <c r="CP236" s="1" t="str">
        <f t="shared" si="80"/>
        <v>0.0191834803010191+22.6365067552027i</v>
      </c>
      <c r="CQ236" s="1" t="str">
        <f t="shared" si="81"/>
        <v>3.89355245165332+17.6821534734027i</v>
      </c>
      <c r="CR236" s="2">
        <f t="shared" si="82"/>
        <v>47.200000000000131</v>
      </c>
      <c r="CS236" s="2">
        <f t="shared" si="83"/>
        <v>0.27784241759657036</v>
      </c>
      <c r="CT236" s="1">
        <f t="shared" si="84"/>
        <v>47.200000000000131</v>
      </c>
      <c r="CU236" s="1">
        <f t="shared" si="85"/>
        <v>0.79984721065199127</v>
      </c>
      <c r="CX236" s="2">
        <f t="shared" si="91"/>
        <v>47.200000000000131</v>
      </c>
      <c r="CY236" s="2">
        <f t="shared" si="92"/>
        <v>65.165547598189647</v>
      </c>
      <c r="CZ236" s="2">
        <f t="shared" si="93"/>
        <v>22.63651488379459</v>
      </c>
      <c r="DA236" s="2">
        <f t="shared" si="94"/>
        <v>18.105753288685417</v>
      </c>
    </row>
    <row r="237" spans="2:105" ht="18" customHeight="1" x14ac:dyDescent="0.25">
      <c r="B237" s="6"/>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8"/>
      <c r="AR237" s="6"/>
      <c r="AS237" s="179"/>
      <c r="AT237" s="179"/>
      <c r="AU237" s="179"/>
      <c r="AV237" s="179"/>
      <c r="AW237" s="179"/>
      <c r="AX237" s="179"/>
      <c r="AY237" s="179"/>
      <c r="AZ237" s="179"/>
      <c r="BA237" s="179"/>
      <c r="BB237" s="179"/>
      <c r="BC237" s="179"/>
      <c r="BD237" s="179"/>
      <c r="BE237" s="179"/>
      <c r="BF237" s="179"/>
      <c r="BG237" s="179"/>
      <c r="BH237" s="179"/>
      <c r="BI237" s="179"/>
      <c r="BJ237" s="179"/>
      <c r="BK237" s="179"/>
      <c r="BL237" s="179"/>
      <c r="BM237" s="179"/>
      <c r="BN237" s="179"/>
      <c r="BO237" s="179"/>
      <c r="BP237" s="179"/>
      <c r="BQ237" s="179"/>
      <c r="BR237" s="179"/>
      <c r="BS237" s="179"/>
      <c r="BT237" s="179"/>
      <c r="BU237" s="179"/>
      <c r="BV237" s="179"/>
      <c r="BW237" s="179"/>
      <c r="BX237" s="179"/>
      <c r="BY237" s="179"/>
      <c r="BZ237" s="179"/>
      <c r="CA237" s="179"/>
      <c r="CB237" s="179"/>
      <c r="CC237" s="179"/>
      <c r="CD237" s="179"/>
      <c r="CE237" s="179"/>
      <c r="CF237" s="8"/>
      <c r="CK237" s="1">
        <f t="shared" si="86"/>
        <v>47.400000000000134</v>
      </c>
      <c r="CL237" s="1" t="str">
        <f t="shared" si="76"/>
        <v>0.0215973472222222+102.371425833334i</v>
      </c>
      <c r="CM237" s="1" t="str">
        <f t="shared" si="77"/>
        <v>86.3893888888889</v>
      </c>
      <c r="CN237" s="1" t="str">
        <f t="shared" si="78"/>
        <v>-1.13910059188935i</v>
      </c>
      <c r="CO237" s="1" t="str">
        <f t="shared" si="79"/>
        <v>50.4555569579006+41.4318475093068i</v>
      </c>
      <c r="CP237" s="1" t="str">
        <f t="shared" si="80"/>
        <v>0.0191834803010191+22.7324241567078i</v>
      </c>
      <c r="CQ237" s="1" t="str">
        <f t="shared" si="81"/>
        <v>3.92442978945599+17.7507351585606i</v>
      </c>
      <c r="CR237" s="2">
        <f t="shared" si="82"/>
        <v>47.400000000000134</v>
      </c>
      <c r="CS237" s="2">
        <f t="shared" si="83"/>
        <v>0.27845426237812893</v>
      </c>
      <c r="CT237" s="1">
        <f t="shared" si="84"/>
        <v>47.400000000000134</v>
      </c>
      <c r="CU237" s="1">
        <f t="shared" si="85"/>
        <v>0.799711038042213</v>
      </c>
      <c r="CX237" s="2">
        <f t="shared" si="91"/>
        <v>47.400000000000134</v>
      </c>
      <c r="CY237" s="2">
        <f t="shared" si="92"/>
        <v>65.286761414289828</v>
      </c>
      <c r="CZ237" s="2">
        <f t="shared" si="93"/>
        <v>22.732432251001843</v>
      </c>
      <c r="DA237" s="2">
        <f t="shared" si="94"/>
        <v>18.179376992673017</v>
      </c>
    </row>
    <row r="238" spans="2:105" ht="18" customHeight="1" x14ac:dyDescent="0.25">
      <c r="B238" s="6"/>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8"/>
      <c r="AR238" s="6"/>
      <c r="AS238" s="179"/>
      <c r="AT238" s="179"/>
      <c r="AU238" s="179"/>
      <c r="AV238" s="179"/>
      <c r="AW238" s="179"/>
      <c r="AX238" s="179"/>
      <c r="AY238" s="179"/>
      <c r="AZ238" s="179"/>
      <c r="BA238" s="179"/>
      <c r="BB238" s="179"/>
      <c r="BC238" s="179"/>
      <c r="BD238" s="179"/>
      <c r="BE238" s="179"/>
      <c r="BF238" s="179"/>
      <c r="BG238" s="179"/>
      <c r="BH238" s="179"/>
      <c r="BI238" s="179"/>
      <c r="BJ238" s="179"/>
      <c r="BK238" s="179"/>
      <c r="BL238" s="179"/>
      <c r="BM238" s="179"/>
      <c r="BN238" s="179"/>
      <c r="BO238" s="179"/>
      <c r="BP238" s="179"/>
      <c r="BQ238" s="179"/>
      <c r="BR238" s="179"/>
      <c r="BS238" s="179"/>
      <c r="BT238" s="179"/>
      <c r="BU238" s="179"/>
      <c r="BV238" s="179"/>
      <c r="BW238" s="179"/>
      <c r="BX238" s="179"/>
      <c r="BY238" s="179"/>
      <c r="BZ238" s="179"/>
      <c r="CA238" s="179"/>
      <c r="CB238" s="179"/>
      <c r="CC238" s="179"/>
      <c r="CD238" s="179"/>
      <c r="CE238" s="179"/>
      <c r="CF238" s="8"/>
      <c r="CK238" s="1">
        <f t="shared" si="86"/>
        <v>47.600000000000136</v>
      </c>
      <c r="CL238" s="1" t="str">
        <f t="shared" si="76"/>
        <v>0.0215973472222222+102.803372777778i</v>
      </c>
      <c r="CM238" s="1" t="str">
        <f t="shared" si="77"/>
        <v>86.3893888888889</v>
      </c>
      <c r="CN238" s="1" t="str">
        <f t="shared" si="78"/>
        <v>-1.13431445494864i</v>
      </c>
      <c r="CO238" s="1" t="str">
        <f t="shared" si="79"/>
        <v>50.6321332399266+41.4061846425423i</v>
      </c>
      <c r="CP238" s="1" t="str">
        <f t="shared" si="80"/>
        <v>0.0191834803010191+22.8283415582129i</v>
      </c>
      <c r="CQ238" s="1" t="str">
        <f t="shared" si="81"/>
        <v>3.95541456361028+17.8192359877568i</v>
      </c>
      <c r="CR238" s="2">
        <f t="shared" si="82"/>
        <v>47.600000000000136</v>
      </c>
      <c r="CS238" s="2">
        <f t="shared" si="83"/>
        <v>0.27906704105438968</v>
      </c>
      <c r="CT238" s="1">
        <f t="shared" si="84"/>
        <v>47.600000000000136</v>
      </c>
      <c r="CU238" s="1">
        <f t="shared" si="85"/>
        <v>0.7995741391633614</v>
      </c>
      <c r="CX238" s="2">
        <f t="shared" si="91"/>
        <v>47.600000000000136</v>
      </c>
      <c r="CY238" s="2">
        <f t="shared" si="92"/>
        <v>65.407071812442325</v>
      </c>
      <c r="CZ238" s="2">
        <f t="shared" si="93"/>
        <v>22.82834961849732</v>
      </c>
      <c r="DA238" s="2">
        <f t="shared" si="94"/>
        <v>18.252957994730263</v>
      </c>
    </row>
    <row r="239" spans="2:105" ht="18" customHeight="1" x14ac:dyDescent="0.25">
      <c r="B239" s="6"/>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8"/>
      <c r="AR239" s="6"/>
      <c r="AS239" s="179"/>
      <c r="AT239" s="179"/>
      <c r="AU239" s="179"/>
      <c r="AV239" s="179"/>
      <c r="AW239" s="179"/>
      <c r="AX239" s="179"/>
      <c r="AY239" s="179"/>
      <c r="AZ239" s="179"/>
      <c r="BA239" s="179"/>
      <c r="BB239" s="179"/>
      <c r="BC239" s="179"/>
      <c r="BD239" s="179"/>
      <c r="BE239" s="179"/>
      <c r="BF239" s="179"/>
      <c r="BG239" s="179"/>
      <c r="BH239" s="179"/>
      <c r="BI239" s="179"/>
      <c r="BJ239" s="179"/>
      <c r="BK239" s="179"/>
      <c r="BL239" s="179"/>
      <c r="BM239" s="179"/>
      <c r="BN239" s="179"/>
      <c r="BO239" s="179"/>
      <c r="BP239" s="179"/>
      <c r="BQ239" s="179"/>
      <c r="BR239" s="179"/>
      <c r="BS239" s="179"/>
      <c r="BT239" s="179"/>
      <c r="BU239" s="179"/>
      <c r="BV239" s="179"/>
      <c r="BW239" s="179"/>
      <c r="BX239" s="179"/>
      <c r="BY239" s="179"/>
      <c r="BZ239" s="179"/>
      <c r="CA239" s="179"/>
      <c r="CB239" s="179"/>
      <c r="CC239" s="179"/>
      <c r="CD239" s="179"/>
      <c r="CE239" s="179"/>
      <c r="CF239" s="8"/>
      <c r="CK239" s="1">
        <f t="shared" si="86"/>
        <v>47.800000000000139</v>
      </c>
      <c r="CL239" s="1" t="str">
        <f t="shared" si="76"/>
        <v>0.0215973472222222+103.235319722223i</v>
      </c>
      <c r="CM239" s="1" t="str">
        <f t="shared" si="77"/>
        <v>86.3893888888889</v>
      </c>
      <c r="CN239" s="1" t="str">
        <f t="shared" si="78"/>
        <v>-1.12956836936308i</v>
      </c>
      <c r="CO239" s="1" t="str">
        <f t="shared" si="79"/>
        <v>50.807715234199+41.3799042798293i</v>
      </c>
      <c r="CP239" s="1" t="str">
        <f t="shared" si="80"/>
        <v>0.0191834803010191+22.924258959718i</v>
      </c>
      <c r="CQ239" s="1" t="str">
        <f t="shared" si="81"/>
        <v>3.98650650426334+17.8876557442597i</v>
      </c>
      <c r="CR239" s="2">
        <f t="shared" si="82"/>
        <v>47.800000000000139</v>
      </c>
      <c r="CS239" s="2">
        <f t="shared" si="83"/>
        <v>0.27968074003058646</v>
      </c>
      <c r="CT239" s="1">
        <f t="shared" si="84"/>
        <v>47.800000000000139</v>
      </c>
      <c r="CU239" s="1">
        <f t="shared" si="85"/>
        <v>0.79943651800037652</v>
      </c>
      <c r="CX239" s="2">
        <f t="shared" si="91"/>
        <v>47.800000000000139</v>
      </c>
      <c r="CY239" s="2">
        <f t="shared" si="92"/>
        <v>65.526486290104799</v>
      </c>
      <c r="CZ239" s="2">
        <f t="shared" si="93"/>
        <v>22.924266986277388</v>
      </c>
      <c r="DA239" s="2">
        <f t="shared" si="94"/>
        <v>18.326496177220594</v>
      </c>
    </row>
    <row r="240" spans="2:105" ht="18" customHeight="1" x14ac:dyDescent="0.25">
      <c r="B240" s="6"/>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8"/>
      <c r="AR240" s="6"/>
      <c r="AS240" s="179"/>
      <c r="AT240" s="179"/>
      <c r="AU240" s="179"/>
      <c r="AV240" s="179"/>
      <c r="AW240" s="179"/>
      <c r="AX240" s="179"/>
      <c r="AY240" s="179"/>
      <c r="AZ240" s="179"/>
      <c r="BA240" s="179"/>
      <c r="BB240" s="179"/>
      <c r="BC240" s="179"/>
      <c r="BD240" s="179"/>
      <c r="BE240" s="179"/>
      <c r="BF240" s="179"/>
      <c r="BG240" s="179"/>
      <c r="BH240" s="179"/>
      <c r="BI240" s="179"/>
      <c r="BJ240" s="179"/>
      <c r="BK240" s="179"/>
      <c r="BL240" s="179"/>
      <c r="BM240" s="179"/>
      <c r="BN240" s="179"/>
      <c r="BO240" s="179"/>
      <c r="BP240" s="179"/>
      <c r="BQ240" s="179"/>
      <c r="BR240" s="179"/>
      <c r="BS240" s="179"/>
      <c r="BT240" s="179"/>
      <c r="BU240" s="179"/>
      <c r="BV240" s="179"/>
      <c r="BW240" s="179"/>
      <c r="BX240" s="179"/>
      <c r="BY240" s="179"/>
      <c r="BZ240" s="179"/>
      <c r="CA240" s="179"/>
      <c r="CB240" s="179"/>
      <c r="CC240" s="179"/>
      <c r="CD240" s="179"/>
      <c r="CE240" s="179"/>
      <c r="CF240" s="8"/>
      <c r="CK240" s="1">
        <f t="shared" si="86"/>
        <v>48.000000000000142</v>
      </c>
      <c r="CL240" s="1" t="str">
        <f t="shared" si="76"/>
        <v>0.0215973472222222+103.667266666667i</v>
      </c>
      <c r="CM240" s="1" t="str">
        <f t="shared" si="77"/>
        <v>86.3893888888889</v>
      </c>
      <c r="CN240" s="1" t="str">
        <f t="shared" si="78"/>
        <v>-1.12486183449074i</v>
      </c>
      <c r="CO240" s="1" t="str">
        <f t="shared" si="79"/>
        <v>50.9823067240997+41.3530172934746i</v>
      </c>
      <c r="CP240" s="1" t="str">
        <f t="shared" si="80"/>
        <v>0.0191834803010191+23.0201763612231i</v>
      </c>
      <c r="CQ240" s="1" t="str">
        <f t="shared" si="81"/>
        <v>4.01770534098827+17.955994212134i</v>
      </c>
      <c r="CR240" s="2">
        <f t="shared" si="82"/>
        <v>48.000000000000142</v>
      </c>
      <c r="CS240" s="2">
        <f t="shared" si="83"/>
        <v>0.28029534585419508</v>
      </c>
      <c r="CT240" s="1">
        <f t="shared" si="84"/>
        <v>48.000000000000142</v>
      </c>
      <c r="CU240" s="1">
        <f t="shared" si="85"/>
        <v>0.79929817847750939</v>
      </c>
      <c r="CX240" s="2">
        <f t="shared" si="91"/>
        <v>48.000000000000142</v>
      </c>
      <c r="CY240" s="2">
        <f t="shared" si="92"/>
        <v>65.6450122871844</v>
      </c>
      <c r="CZ240" s="2">
        <f t="shared" si="93"/>
        <v>23.020184354338504</v>
      </c>
      <c r="DA240" s="2">
        <f t="shared" si="94"/>
        <v>18.399991422639179</v>
      </c>
    </row>
    <row r="241" spans="2:105" ht="18" customHeight="1" x14ac:dyDescent="0.25">
      <c r="B241" s="6"/>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8"/>
      <c r="AR241" s="6"/>
      <c r="AS241" s="179"/>
      <c r="AT241" s="179"/>
      <c r="AU241" s="179"/>
      <c r="AV241" s="179"/>
      <c r="AW241" s="179"/>
      <c r="AX241" s="179"/>
      <c r="AY241" s="179"/>
      <c r="AZ241" s="179"/>
      <c r="BA241" s="179"/>
      <c r="BB241" s="179"/>
      <c r="BC241" s="179"/>
      <c r="BD241" s="179"/>
      <c r="BE241" s="179"/>
      <c r="BF241" s="179"/>
      <c r="BG241" s="179"/>
      <c r="BH241" s="179"/>
      <c r="BI241" s="179"/>
      <c r="BJ241" s="179"/>
      <c r="BK241" s="179"/>
      <c r="BL241" s="179"/>
      <c r="BM241" s="179"/>
      <c r="BN241" s="179"/>
      <c r="BO241" s="179"/>
      <c r="BP241" s="179"/>
      <c r="BQ241" s="179"/>
      <c r="BR241" s="179"/>
      <c r="BS241" s="179"/>
      <c r="BT241" s="179"/>
      <c r="BU241" s="179"/>
      <c r="BV241" s="179"/>
      <c r="BW241" s="179"/>
      <c r="BX241" s="179"/>
      <c r="BY241" s="179"/>
      <c r="BZ241" s="179"/>
      <c r="CA241" s="179"/>
      <c r="CB241" s="179"/>
      <c r="CC241" s="179"/>
      <c r="CD241" s="179"/>
      <c r="CE241" s="179"/>
      <c r="CF241" s="8"/>
      <c r="CK241" s="1">
        <f t="shared" si="86"/>
        <v>48.200000000000145</v>
      </c>
      <c r="CL241" s="1" t="str">
        <f t="shared" si="76"/>
        <v>0.0215973472222222+104.099213611111i</v>
      </c>
      <c r="CM241" s="1" t="str">
        <f t="shared" si="77"/>
        <v>86.3893888888889</v>
      </c>
      <c r="CN241" s="1" t="str">
        <f t="shared" si="78"/>
        <v>-1.12019435799907i</v>
      </c>
      <c r="CO241" s="1" t="str">
        <f t="shared" si="79"/>
        <v>51.1559115404342+41.3255344146956i</v>
      </c>
      <c r="CP241" s="1" t="str">
        <f t="shared" si="80"/>
        <v>0.0191834803010191+23.1160937627282i</v>
      </c>
      <c r="CQ241" s="1" t="str">
        <f t="shared" si="81"/>
        <v>4.04901080278924+18.0242511762495i</v>
      </c>
      <c r="CR241" s="2">
        <f t="shared" si="82"/>
        <v>48.200000000000145</v>
      </c>
      <c r="CS241" s="2">
        <f t="shared" si="83"/>
        <v>0.28091084521278437</v>
      </c>
      <c r="CT241" s="1">
        <f t="shared" si="84"/>
        <v>48.200000000000145</v>
      </c>
      <c r="CU241" s="1">
        <f t="shared" si="85"/>
        <v>0.79915912445991311</v>
      </c>
      <c r="CX241" s="2">
        <f t="shared" si="91"/>
        <v>48.200000000000145</v>
      </c>
      <c r="CY241" s="2">
        <f t="shared" si="92"/>
        <v>65.762657186224757</v>
      </c>
      <c r="CZ241" s="2">
        <f t="shared" si="93"/>
        <v>23.116101722677165</v>
      </c>
      <c r="DA241" s="2">
        <f t="shared" si="94"/>
        <v>18.473443613621026</v>
      </c>
    </row>
    <row r="242" spans="2:105" ht="18" customHeight="1" x14ac:dyDescent="0.25">
      <c r="B242" s="6"/>
      <c r="C242" s="153"/>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153"/>
      <c r="AM242" s="153"/>
      <c r="AN242" s="153"/>
      <c r="AO242" s="153"/>
      <c r="AP242" s="8"/>
      <c r="AR242" s="6"/>
      <c r="AS242" s="95"/>
      <c r="AT242" s="95"/>
      <c r="AU242" s="95"/>
      <c r="AV242" s="95"/>
      <c r="AW242" s="95"/>
      <c r="AX242" s="95"/>
      <c r="AY242" s="95"/>
      <c r="AZ242" s="95"/>
      <c r="BA242" s="95"/>
      <c r="BB242" s="95"/>
      <c r="BC242" s="95"/>
      <c r="BD242" s="95"/>
      <c r="BE242" s="95"/>
      <c r="BF242" s="95"/>
      <c r="BG242" s="95"/>
      <c r="BH242" s="95"/>
      <c r="BI242" s="95"/>
      <c r="BJ242" s="95"/>
      <c r="BK242" s="95"/>
      <c r="BL242" s="95"/>
      <c r="BM242" s="95"/>
      <c r="BN242" s="95"/>
      <c r="BO242" s="95"/>
      <c r="BP242" s="95"/>
      <c r="BQ242" s="95"/>
      <c r="BR242" s="95"/>
      <c r="BS242" s="95"/>
      <c r="BT242" s="95"/>
      <c r="BU242" s="95"/>
      <c r="BV242" s="95"/>
      <c r="BW242" s="95"/>
      <c r="BX242" s="95"/>
      <c r="BY242" s="95"/>
      <c r="BZ242" s="95"/>
      <c r="CA242" s="95"/>
      <c r="CB242" s="95"/>
      <c r="CC242" s="95"/>
      <c r="CD242" s="95"/>
      <c r="CE242" s="95"/>
      <c r="CF242" s="8"/>
      <c r="CK242" s="1">
        <f t="shared" si="86"/>
        <v>48.400000000000148</v>
      </c>
      <c r="CL242" s="1" t="str">
        <f t="shared" si="76"/>
        <v>0.0215973472222222+104.531160555556i</v>
      </c>
      <c r="CM242" s="1" t="str">
        <f t="shared" si="77"/>
        <v>86.3893888888889</v>
      </c>
      <c r="CN242" s="1" t="str">
        <f t="shared" si="78"/>
        <v>-1.11556545569329i</v>
      </c>
      <c r="CO242" s="1" t="str">
        <f t="shared" si="79"/>
        <v>51.3285335595019+41.2974662349425i</v>
      </c>
      <c r="CP242" s="1" t="str">
        <f t="shared" si="80"/>
        <v>0.0191834803010191+23.2120111642333i</v>
      </c>
      <c r="CQ242" s="1" t="str">
        <f t="shared" si="81"/>
        <v>4.08042261810517+18.0924264222888i</v>
      </c>
      <c r="CR242" s="2">
        <f t="shared" si="82"/>
        <v>48.400000000000148</v>
      </c>
      <c r="CS242" s="2">
        <f t="shared" si="83"/>
        <v>0.2815272249319164</v>
      </c>
      <c r="CT242" s="1">
        <f t="shared" si="84"/>
        <v>48.400000000000148</v>
      </c>
      <c r="CU242" s="1">
        <f t="shared" si="85"/>
        <v>0.79901935975518878</v>
      </c>
      <c r="CX242" s="2">
        <f t="shared" si="91"/>
        <v>48.400000000000148</v>
      </c>
      <c r="CY242" s="2">
        <f t="shared" si="92"/>
        <v>65.879428312600965</v>
      </c>
      <c r="CZ242" s="2">
        <f t="shared" si="93"/>
        <v>23.212019091289921</v>
      </c>
      <c r="DA242" s="2">
        <f t="shared" si="94"/>
        <v>18.546852632947676</v>
      </c>
    </row>
    <row r="243" spans="2:105" ht="18" customHeight="1" thickBot="1" x14ac:dyDescent="0.3">
      <c r="B243" s="6"/>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1"/>
      <c r="AO243" s="10"/>
      <c r="AP243" s="8"/>
      <c r="AR243" s="6"/>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1"/>
      <c r="CE243" s="10"/>
      <c r="CF243" s="8"/>
      <c r="CK243" s="1">
        <f t="shared" si="86"/>
        <v>48.600000000000151</v>
      </c>
      <c r="CL243" s="1" t="str">
        <f t="shared" si="76"/>
        <v>0.0215973472222222+104.9631075i</v>
      </c>
      <c r="CM243" s="1" t="str">
        <f t="shared" si="77"/>
        <v>86.3893888888889</v>
      </c>
      <c r="CN243" s="1" t="str">
        <f t="shared" si="78"/>
        <v>-1.11097465134888i</v>
      </c>
      <c r="CO243" s="1" t="str">
        <f t="shared" si="79"/>
        <v>51.5001767012074+41.2688232072194i</v>
      </c>
      <c r="CP243" s="1" t="str">
        <f t="shared" si="80"/>
        <v>0.0191834803010191+23.3079285657384i</v>
      </c>
      <c r="CQ243" s="1" t="str">
        <f t="shared" si="81"/>
        <v>4.11194051481484+18.160519736756i</v>
      </c>
      <c r="CR243" s="2">
        <f t="shared" si="82"/>
        <v>48.600000000000151</v>
      </c>
      <c r="CS243" s="2">
        <f t="shared" si="83"/>
        <v>0.28214447197310327</v>
      </c>
      <c r="CT243" s="1">
        <f t="shared" si="84"/>
        <v>48.600000000000151</v>
      </c>
      <c r="CU243" s="1">
        <f t="shared" si="85"/>
        <v>0.79887888811486396</v>
      </c>
      <c r="CX243" s="2">
        <f t="shared" si="91"/>
        <v>48.600000000000151</v>
      </c>
      <c r="CY243" s="2">
        <f t="shared" si="92"/>
        <v>65.99533293471832</v>
      </c>
      <c r="CZ243" s="2">
        <f t="shared" si="93"/>
        <v>23.307936460173405</v>
      </c>
      <c r="DA243" s="2">
        <f t="shared" si="94"/>
        <v>18.620218363555246</v>
      </c>
    </row>
    <row r="244" spans="2:105" ht="18" customHeight="1" x14ac:dyDescent="0.25">
      <c r="B244" s="6"/>
      <c r="D244" s="43" t="s">
        <v>84</v>
      </c>
      <c r="AO244" s="29" t="s">
        <v>445</v>
      </c>
      <c r="AP244" s="8"/>
      <c r="AR244" s="6"/>
      <c r="AT244" s="43" t="s">
        <v>84</v>
      </c>
      <c r="CE244" s="29" t="s">
        <v>446</v>
      </c>
      <c r="CF244" s="8"/>
      <c r="CK244" s="1">
        <f t="shared" si="86"/>
        <v>48.800000000000153</v>
      </c>
      <c r="CL244" s="1" t="str">
        <f t="shared" si="76"/>
        <v>0.0215973472222222+105.395054444445i</v>
      </c>
      <c r="CM244" s="1" t="str">
        <f t="shared" si="77"/>
        <v>86.3893888888889</v>
      </c>
      <c r="CN244" s="1" t="str">
        <f t="shared" si="78"/>
        <v>-1.10642147654827i</v>
      </c>
      <c r="CO244" s="1" t="str">
        <f t="shared" si="79"/>
        <v>51.6708449272185+41.2396156474089i</v>
      </c>
      <c r="CP244" s="1" t="str">
        <f t="shared" si="80"/>
        <v>0.0191834803010191+23.4038459672435i</v>
      </c>
      <c r="CQ244" s="1" t="str">
        <f t="shared" si="81"/>
        <v>4.14356422024096+18.2285309069839i</v>
      </c>
      <c r="CR244" s="2">
        <f t="shared" si="82"/>
        <v>48.800000000000153</v>
      </c>
      <c r="CS244" s="2">
        <f t="shared" si="83"/>
        <v>0.28276257343178934</v>
      </c>
      <c r="CT244" s="1">
        <f t="shared" si="84"/>
        <v>48.800000000000153</v>
      </c>
      <c r="CU244" s="1">
        <f t="shared" si="85"/>
        <v>0.7987377132358594</v>
      </c>
      <c r="CX244" s="2">
        <f t="shared" si="91"/>
        <v>48.800000000000153</v>
      </c>
      <c r="CY244" s="2">
        <f t="shared" si="92"/>
        <v>66.110378264223201</v>
      </c>
      <c r="CZ244" s="2">
        <f t="shared" si="93"/>
        <v>23.403853829324273</v>
      </c>
      <c r="DA244" s="2">
        <f t="shared" si="94"/>
        <v>18.693540688540743</v>
      </c>
    </row>
    <row r="245" spans="2:105" ht="18" customHeight="1" x14ac:dyDescent="0.25">
      <c r="B245" s="45"/>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7"/>
      <c r="AR245" s="45"/>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7"/>
      <c r="CK245" s="1">
        <f t="shared" si="86"/>
        <v>49.000000000000156</v>
      </c>
      <c r="CL245" s="1" t="str">
        <f t="shared" si="76"/>
        <v>0.0215973472222222+105.827001388889i</v>
      </c>
      <c r="CM245" s="1" t="str">
        <f t="shared" si="77"/>
        <v>86.3893888888889</v>
      </c>
      <c r="CN245" s="1" t="str">
        <f t="shared" si="78"/>
        <v>-1.10190547052154i</v>
      </c>
      <c r="CO245" s="1" t="str">
        <f t="shared" si="79"/>
        <v>51.8405422391581+41.2098537355973i</v>
      </c>
      <c r="CP245" s="1" t="str">
        <f t="shared" si="80"/>
        <v>0.0191834803010191+23.4997633687486i</v>
      </c>
      <c r="CQ245" s="1" t="str">
        <f t="shared" si="81"/>
        <v>4.17529346115504+18.2964597211421i</v>
      </c>
      <c r="CR245" s="2">
        <f t="shared" si="82"/>
        <v>49.000000000000156</v>
      </c>
      <c r="CS245" s="2">
        <f t="shared" si="83"/>
        <v>0.28338151653540594</v>
      </c>
      <c r="CT245" s="1">
        <f t="shared" si="84"/>
        <v>49.000000000000156</v>
      </c>
      <c r="CU245" s="1">
        <f t="shared" si="85"/>
        <v>0.79859583876187867</v>
      </c>
      <c r="CX245" s="2">
        <f t="shared" si="91"/>
        <v>49.000000000000156</v>
      </c>
      <c r="CY245" s="2">
        <f t="shared" si="92"/>
        <v>66.224571456214477</v>
      </c>
      <c r="CZ245" s="2">
        <f t="shared" si="93"/>
        <v>23.499771198739257</v>
      </c>
      <c r="DA245" s="2">
        <f t="shared" si="94"/>
        <v>18.766819491169496</v>
      </c>
    </row>
    <row r="246" spans="2:105" ht="18" customHeight="1" x14ac:dyDescent="0.25">
      <c r="CK246" s="1">
        <f t="shared" si="86"/>
        <v>49.200000000000159</v>
      </c>
      <c r="CL246" s="1" t="str">
        <f t="shared" si="76"/>
        <v>0.0215973472222222+106.258948333334i</v>
      </c>
      <c r="CM246" s="1" t="str">
        <f t="shared" si="77"/>
        <v>86.3893888888889</v>
      </c>
      <c r="CN246" s="1" t="str">
        <f t="shared" si="78"/>
        <v>-1.09742617999096i</v>
      </c>
      <c r="CO246" s="1" t="str">
        <f t="shared" si="79"/>
        <v>52.0092726768442+41.1795475173999i</v>
      </c>
      <c r="CP246" s="1" t="str">
        <f t="shared" si="80"/>
        <v>0.0191834803010191+23.5956807702537i</v>
      </c>
      <c r="CQ246" s="1" t="str">
        <f t="shared" si="81"/>
        <v>4.20712796378168+18.3643059682438i</v>
      </c>
      <c r="CR246" s="2">
        <f t="shared" si="82"/>
        <v>49.200000000000159</v>
      </c>
      <c r="CS246" s="2">
        <f t="shared" si="83"/>
        <v>0.28400128864144308</v>
      </c>
      <c r="CT246" s="1">
        <f t="shared" si="84"/>
        <v>49.200000000000159</v>
      </c>
      <c r="CU246" s="1">
        <f t="shared" si="85"/>
        <v>0.79845326828478924</v>
      </c>
      <c r="CX246" s="2">
        <f t="shared" si="91"/>
        <v>49.200000000000159</v>
      </c>
      <c r="CY246" s="2">
        <f t="shared" si="92"/>
        <v>66.337919609467164</v>
      </c>
      <c r="CZ246" s="2">
        <f t="shared" si="93"/>
        <v>23.595688568415135</v>
      </c>
      <c r="DA246" s="2">
        <f t="shared" si="94"/>
        <v>18.840054654881143</v>
      </c>
    </row>
    <row r="247" spans="2:105" ht="18" customHeight="1" x14ac:dyDescent="0.25">
      <c r="B247" s="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5"/>
      <c r="AR247" s="3"/>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5"/>
      <c r="CK247" s="1">
        <f t="shared" si="86"/>
        <v>49.400000000000162</v>
      </c>
      <c r="CL247" s="1" t="str">
        <f t="shared" si="76"/>
        <v>0.0215973472222222+106.690895277778i</v>
      </c>
      <c r="CM247" s="1" t="str">
        <f t="shared" si="77"/>
        <v>86.3893888888889</v>
      </c>
      <c r="CN247" s="1" t="str">
        <f t="shared" si="78"/>
        <v>-1.09298315901934i</v>
      </c>
      <c r="CO247" s="1" t="str">
        <f t="shared" si="79"/>
        <v>52.1770403165625+41.1487069052878i</v>
      </c>
      <c r="CP247" s="1" t="str">
        <f t="shared" si="80"/>
        <v>0.0191834803010191+23.6915981717588i</v>
      </c>
      <c r="CQ247" s="1" t="str">
        <f t="shared" si="81"/>
        <v>4.23906745380335+18.4320694381538i</v>
      </c>
      <c r="CR247" s="2">
        <f t="shared" si="82"/>
        <v>49.400000000000162</v>
      </c>
      <c r="CS247" s="2">
        <f t="shared" si="83"/>
        <v>0.28462187723557714</v>
      </c>
      <c r="CT247" s="1">
        <f t="shared" si="84"/>
        <v>49.400000000000162</v>
      </c>
      <c r="CU247" s="1">
        <f t="shared" si="85"/>
        <v>0.79831000534593211</v>
      </c>
      <c r="CX247" s="2">
        <f t="shared" si="91"/>
        <v>49.400000000000162</v>
      </c>
      <c r="CY247" s="2">
        <f t="shared" si="92"/>
        <v>66.450429766657408</v>
      </c>
      <c r="CZ247" s="2">
        <f t="shared" si="93"/>
        <v>23.691605938348744</v>
      </c>
      <c r="DA247" s="2">
        <f t="shared" si="94"/>
        <v>18.913246063296963</v>
      </c>
    </row>
    <row r="248" spans="2:105" ht="18" customHeight="1" x14ac:dyDescent="0.25">
      <c r="B248" s="6"/>
      <c r="AN248" s="7"/>
      <c r="AP248" s="8"/>
      <c r="AR248" s="6"/>
      <c r="CD248" s="7"/>
      <c r="CF248" s="8"/>
      <c r="CK248" s="1">
        <f t="shared" si="86"/>
        <v>49.600000000000165</v>
      </c>
      <c r="CL248" s="1" t="str">
        <f t="shared" si="76"/>
        <v>0.0215973472222222+107.122842222223i</v>
      </c>
      <c r="CM248" s="1" t="str">
        <f t="shared" si="77"/>
        <v>86.3893888888889</v>
      </c>
      <c r="CN248" s="1" t="str">
        <f t="shared" si="78"/>
        <v>-1.088575968862i</v>
      </c>
      <c r="CO248" s="1" t="str">
        <f t="shared" si="79"/>
        <v>52.3438492693845+41.1173416799116i</v>
      </c>
      <c r="CP248" s="1" t="str">
        <f t="shared" si="80"/>
        <v>0.0191834803010191+23.7875155732639i</v>
      </c>
      <c r="CQ248" s="1" t="str">
        <f t="shared" si="81"/>
        <v>4.2711116563649+18.499749921595i</v>
      </c>
      <c r="CR248" s="2">
        <f t="shared" si="82"/>
        <v>49.600000000000165</v>
      </c>
      <c r="CS248" s="2">
        <f t="shared" si="83"/>
        <v>0.28524326992983923</v>
      </c>
      <c r="CT248" s="1">
        <f t="shared" si="84"/>
        <v>49.600000000000165</v>
      </c>
      <c r="CU248" s="1">
        <f t="shared" si="85"/>
        <v>0.79816605343742419</v>
      </c>
      <c r="CX248" s="2">
        <f t="shared" si="91"/>
        <v>49.600000000000165</v>
      </c>
      <c r="CY248" s="2">
        <f t="shared" si="92"/>
        <v>66.562108914596749</v>
      </c>
      <c r="CZ248" s="2">
        <f t="shared" si="93"/>
        <v>23.787523308536954</v>
      </c>
      <c r="DA248" s="2">
        <f t="shared" si="94"/>
        <v>18.986393600225671</v>
      </c>
    </row>
    <row r="249" spans="2:105" ht="18" customHeight="1" x14ac:dyDescent="0.25">
      <c r="B249" s="6"/>
      <c r="AN249" s="9"/>
      <c r="AP249" s="8"/>
      <c r="AR249" s="6"/>
      <c r="CD249" s="9"/>
      <c r="CF249" s="8"/>
      <c r="CK249" s="1">
        <f t="shared" si="86"/>
        <v>49.800000000000168</v>
      </c>
      <c r="CL249" s="1" t="str">
        <f t="shared" si="76"/>
        <v>0.0215973472222222+107.554789166667i</v>
      </c>
      <c r="CM249" s="1" t="str">
        <f t="shared" si="77"/>
        <v>86.3893888888889</v>
      </c>
      <c r="CN249" s="1" t="str">
        <f t="shared" si="78"/>
        <v>-1.0842041778224i</v>
      </c>
      <c r="CO249" s="1" t="str">
        <f t="shared" si="79"/>
        <v>52.5097036795181+41.0854614914271i</v>
      </c>
      <c r="CP249" s="1" t="str">
        <f t="shared" si="80"/>
        <v>0.0191834803010191+23.883432974769i</v>
      </c>
      <c r="CQ249" s="1" t="str">
        <f t="shared" si="81"/>
        <v>4.30326029607823+18.5673472101557i</v>
      </c>
      <c r="CR249" s="2">
        <f t="shared" si="82"/>
        <v>49.800000000000168</v>
      </c>
      <c r="CS249" s="2">
        <f t="shared" si="83"/>
        <v>0.28586545446081757</v>
      </c>
      <c r="CT249" s="1">
        <f t="shared" si="84"/>
        <v>49.800000000000168</v>
      </c>
      <c r="CU249" s="1">
        <f t="shared" si="85"/>
        <v>0.79802141600339382</v>
      </c>
      <c r="CX249" s="2">
        <f t="shared" si="91"/>
        <v>49.800000000000168</v>
      </c>
      <c r="CY249" s="2">
        <f t="shared" si="92"/>
        <v>66.672963984469263</v>
      </c>
      <c r="CZ249" s="2">
        <f t="shared" si="93"/>
        <v>23.883440678976715</v>
      </c>
      <c r="DA249" s="2">
        <f t="shared" si="94"/>
        <v>19.05949714967003</v>
      </c>
    </row>
    <row r="250" spans="2:105" ht="18" customHeight="1" thickBot="1" x14ac:dyDescent="0.3">
      <c r="B250" s="6"/>
      <c r="C250" s="10" t="str">
        <f>"Harmonic Filter Design - High-Pass (HP) Type | "&amp; H12 &amp; " | " &amp; AE13</f>
        <v>Harmonic Filter Design - High-Pass (HP) Type | Enter Customer PO #  | Stage 1</v>
      </c>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1"/>
      <c r="AO250" s="10"/>
      <c r="AP250" s="8"/>
      <c r="AR250" s="6"/>
      <c r="AS250" s="10" t="str">
        <f>"Harmonic Filter Design - High-Pass (HP) Type | "&amp; H12 &amp; " | " &amp; AE13</f>
        <v>Harmonic Filter Design - High-Pass (HP) Type | Enter Customer PO #  | Stage 1</v>
      </c>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1"/>
      <c r="CE250" s="10"/>
      <c r="CF250" s="8"/>
      <c r="CK250" s="1">
        <f t="shared" si="86"/>
        <v>50.000000000000171</v>
      </c>
      <c r="CL250" s="1" t="str">
        <f t="shared" si="76"/>
        <v>0.0215973472222222+107.986736111112i</v>
      </c>
      <c r="CM250" s="1" t="str">
        <f t="shared" si="77"/>
        <v>86.3893888888889</v>
      </c>
      <c r="CN250" s="1" t="str">
        <f t="shared" si="78"/>
        <v>-1.07986736111111i</v>
      </c>
      <c r="CO250" s="1" t="str">
        <f t="shared" si="79"/>
        <v>52.6746077227023+41.0530758608171i</v>
      </c>
      <c r="CP250" s="1" t="str">
        <f t="shared" si="80"/>
        <v>0.0191834803010191+23.979350376274i</v>
      </c>
      <c r="CQ250" s="1" t="str">
        <f t="shared" si="81"/>
        <v>4.33551309702702+18.6348610962959i</v>
      </c>
      <c r="CR250" s="2">
        <f t="shared" si="82"/>
        <v>50.000000000000171</v>
      </c>
      <c r="CS250" s="2">
        <f t="shared" si="83"/>
        <v>0.28648841868789759</v>
      </c>
      <c r="CT250" s="1">
        <f t="shared" si="84"/>
        <v>50.000000000000171</v>
      </c>
      <c r="CU250" s="1">
        <f t="shared" si="85"/>
        <v>0.79787609644120416</v>
      </c>
      <c r="CX250" s="2">
        <f>CK250</f>
        <v>50.000000000000171</v>
      </c>
      <c r="CY250" s="2">
        <f>IMABS(CO250)</f>
        <v>66.78300185207739</v>
      </c>
      <c r="CZ250" s="2">
        <f>IMABS(CP250)</f>
        <v>23.979358049664892</v>
      </c>
      <c r="DA250" s="2">
        <f>IMABS(CQ250)</f>
        <v>19.132556595832543</v>
      </c>
    </row>
    <row r="251" spans="2:105" ht="18" customHeight="1" x14ac:dyDescent="0.25">
      <c r="B251" s="6"/>
      <c r="AN251" s="9"/>
      <c r="AP251" s="8"/>
      <c r="AR251" s="6"/>
      <c r="CD251" s="9"/>
      <c r="CF251" s="8"/>
    </row>
    <row r="252" spans="2:105" ht="18" customHeight="1" x14ac:dyDescent="0.25">
      <c r="B252" s="6"/>
      <c r="AO252" s="17"/>
      <c r="AP252" s="8"/>
      <c r="AR252" s="6"/>
      <c r="CF252" s="8"/>
    </row>
    <row r="253" spans="2:105" ht="18" customHeight="1" x14ac:dyDescent="0.25">
      <c r="B253" s="6"/>
      <c r="AP253" s="8"/>
      <c r="AR253" s="6"/>
      <c r="CF253" s="8"/>
    </row>
    <row r="254" spans="2:105" ht="18" customHeight="1" x14ac:dyDescent="0.25">
      <c r="B254" s="6"/>
      <c r="AP254" s="8"/>
      <c r="AR254" s="6"/>
      <c r="CF254" s="8"/>
    </row>
    <row r="255" spans="2:105" ht="18" customHeight="1" x14ac:dyDescent="0.25">
      <c r="B255" s="6"/>
      <c r="AP255" s="8"/>
      <c r="AR255" s="6"/>
      <c r="CF255" s="8"/>
    </row>
    <row r="256" spans="2:105" ht="18" customHeight="1" x14ac:dyDescent="0.25">
      <c r="B256" s="6"/>
      <c r="AP256" s="8"/>
      <c r="AR256" s="6"/>
      <c r="CF256" s="8"/>
    </row>
    <row r="257" spans="2:84" ht="18" customHeight="1" x14ac:dyDescent="0.25">
      <c r="B257" s="6"/>
      <c r="AP257" s="8"/>
      <c r="AR257" s="6"/>
      <c r="CF257" s="8"/>
    </row>
    <row r="258" spans="2:84" ht="18" customHeight="1" x14ac:dyDescent="0.25">
      <c r="B258" s="6"/>
      <c r="AP258" s="8"/>
      <c r="AR258" s="6"/>
      <c r="CF258" s="8"/>
    </row>
    <row r="259" spans="2:84" ht="18" customHeight="1" x14ac:dyDescent="0.25">
      <c r="B259" s="6"/>
      <c r="AP259" s="8"/>
      <c r="AR259" s="6"/>
      <c r="CF259" s="8"/>
    </row>
    <row r="260" spans="2:84" ht="18" customHeight="1" x14ac:dyDescent="0.25">
      <c r="B260" s="6"/>
      <c r="AP260" s="8"/>
      <c r="AR260" s="6"/>
      <c r="CF260" s="8"/>
    </row>
    <row r="261" spans="2:84" ht="18" customHeight="1" x14ac:dyDescent="0.25">
      <c r="B261" s="6"/>
      <c r="AP261" s="8"/>
      <c r="AR261" s="6"/>
      <c r="CF261" s="8"/>
    </row>
    <row r="262" spans="2:84" ht="18" customHeight="1" x14ac:dyDescent="0.25">
      <c r="B262" s="6"/>
      <c r="AP262" s="8"/>
      <c r="AR262" s="6"/>
      <c r="CF262" s="8"/>
    </row>
    <row r="263" spans="2:84" ht="18" customHeight="1" x14ac:dyDescent="0.25">
      <c r="B263" s="6"/>
      <c r="AP263" s="8"/>
      <c r="AR263" s="6"/>
      <c r="CF263" s="8"/>
    </row>
    <row r="264" spans="2:84" ht="18" customHeight="1" x14ac:dyDescent="0.25">
      <c r="B264" s="6"/>
      <c r="AP264" s="8"/>
      <c r="AR264" s="6"/>
      <c r="CF264" s="8"/>
    </row>
    <row r="265" spans="2:84" ht="18" customHeight="1" x14ac:dyDescent="0.25">
      <c r="B265" s="6"/>
      <c r="AP265" s="8"/>
      <c r="AR265" s="6"/>
      <c r="CF265" s="8"/>
    </row>
    <row r="266" spans="2:84" ht="18" customHeight="1" x14ac:dyDescent="0.25">
      <c r="B266" s="6"/>
      <c r="AP266" s="8"/>
      <c r="AR266" s="6"/>
      <c r="CF266" s="8"/>
    </row>
    <row r="267" spans="2:84" ht="18" customHeight="1" x14ac:dyDescent="0.25">
      <c r="B267" s="6"/>
      <c r="AP267" s="8"/>
      <c r="AR267" s="6"/>
      <c r="CF267" s="8"/>
    </row>
    <row r="268" spans="2:84" ht="18" customHeight="1" x14ac:dyDescent="0.25">
      <c r="B268" s="6"/>
      <c r="AP268" s="8"/>
      <c r="AR268" s="6"/>
      <c r="CF268" s="8"/>
    </row>
    <row r="269" spans="2:84" ht="18" customHeight="1" x14ac:dyDescent="0.25">
      <c r="B269" s="6"/>
      <c r="AP269" s="8"/>
      <c r="AR269" s="6"/>
      <c r="CF269" s="8"/>
    </row>
    <row r="270" spans="2:84" ht="18" customHeight="1" x14ac:dyDescent="0.25">
      <c r="B270" s="6"/>
      <c r="AP270" s="8"/>
      <c r="AR270" s="6"/>
      <c r="CF270" s="8"/>
    </row>
    <row r="271" spans="2:84" ht="18" customHeight="1" x14ac:dyDescent="0.25">
      <c r="B271" s="6"/>
      <c r="AP271" s="8"/>
      <c r="AR271" s="6"/>
      <c r="CF271" s="8"/>
    </row>
    <row r="272" spans="2:84" ht="18" customHeight="1" x14ac:dyDescent="0.25">
      <c r="B272" s="6"/>
      <c r="AP272" s="8"/>
      <c r="AR272" s="6"/>
      <c r="CF272" s="8"/>
    </row>
    <row r="273" spans="2:84" ht="18" customHeight="1" x14ac:dyDescent="0.25">
      <c r="B273" s="6"/>
      <c r="AP273" s="8"/>
      <c r="AR273" s="6"/>
      <c r="CF273" s="8"/>
    </row>
    <row r="274" spans="2:84" ht="18" customHeight="1" x14ac:dyDescent="0.25">
      <c r="B274" s="6"/>
      <c r="AP274" s="8"/>
      <c r="AR274" s="6"/>
      <c r="AS274" s="309" t="s">
        <v>482</v>
      </c>
      <c r="AT274" s="309"/>
      <c r="AU274" s="309"/>
      <c r="AV274" s="309"/>
      <c r="AW274" s="309"/>
      <c r="AX274" s="309"/>
      <c r="AY274" s="309"/>
      <c r="AZ274" s="309"/>
      <c r="BA274" s="309"/>
      <c r="BB274" s="309"/>
      <c r="BC274" s="309"/>
      <c r="BD274" s="309"/>
      <c r="BE274" s="309"/>
      <c r="BF274" s="309"/>
      <c r="BG274" s="309"/>
      <c r="BH274" s="309"/>
      <c r="BI274" s="309"/>
      <c r="BJ274" s="309"/>
      <c r="BK274" s="309"/>
      <c r="BL274" s="309"/>
      <c r="BM274" s="309"/>
      <c r="BN274" s="309"/>
      <c r="BO274" s="309"/>
      <c r="BP274" s="309"/>
      <c r="BQ274" s="309"/>
      <c r="BR274" s="309"/>
      <c r="BS274" s="309"/>
      <c r="BT274" s="309"/>
      <c r="BU274" s="309"/>
      <c r="BV274" s="309"/>
      <c r="BW274" s="309"/>
      <c r="BX274" s="309"/>
      <c r="BY274" s="309"/>
      <c r="BZ274" s="309"/>
      <c r="CA274" s="309"/>
      <c r="CB274" s="309"/>
      <c r="CC274" s="309"/>
      <c r="CD274" s="309"/>
      <c r="CE274" s="309"/>
      <c r="CF274" s="8"/>
    </row>
    <row r="275" spans="2:84" ht="18" customHeight="1" x14ac:dyDescent="0.3">
      <c r="B275" s="6"/>
      <c r="C275" s="30" t="s">
        <v>480</v>
      </c>
      <c r="AP275" s="8"/>
      <c r="AR275" s="6"/>
      <c r="AS275" s="309"/>
      <c r="AT275" s="309"/>
      <c r="AU275" s="309"/>
      <c r="AV275" s="309"/>
      <c r="AW275" s="309"/>
      <c r="AX275" s="309"/>
      <c r="AY275" s="309"/>
      <c r="AZ275" s="309"/>
      <c r="BA275" s="309"/>
      <c r="BB275" s="309"/>
      <c r="BC275" s="309"/>
      <c r="BD275" s="309"/>
      <c r="BE275" s="309"/>
      <c r="BF275" s="309"/>
      <c r="BG275" s="309"/>
      <c r="BH275" s="309"/>
      <c r="BI275" s="309"/>
      <c r="BJ275" s="309"/>
      <c r="BK275" s="309"/>
      <c r="BL275" s="309"/>
      <c r="BM275" s="309"/>
      <c r="BN275" s="309"/>
      <c r="BO275" s="309"/>
      <c r="BP275" s="309"/>
      <c r="BQ275" s="309"/>
      <c r="BR275" s="309"/>
      <c r="BS275" s="309"/>
      <c r="BT275" s="309"/>
      <c r="BU275" s="309"/>
      <c r="BV275" s="309"/>
      <c r="BW275" s="309"/>
      <c r="BX275" s="309"/>
      <c r="BY275" s="309"/>
      <c r="BZ275" s="309"/>
      <c r="CA275" s="309"/>
      <c r="CB275" s="309"/>
      <c r="CC275" s="309"/>
      <c r="CD275" s="309"/>
      <c r="CE275" s="309"/>
      <c r="CF275" s="8"/>
    </row>
    <row r="276" spans="2:84" ht="18" customHeight="1" x14ac:dyDescent="0.25">
      <c r="B276" s="6"/>
      <c r="C276" s="153" t="s">
        <v>481</v>
      </c>
      <c r="D276" s="153"/>
      <c r="E276" s="153"/>
      <c r="F276" s="153"/>
      <c r="G276" s="153"/>
      <c r="H276" s="153"/>
      <c r="I276" s="153"/>
      <c r="J276" s="153"/>
      <c r="K276" s="153"/>
      <c r="L276" s="153"/>
      <c r="M276" s="153"/>
      <c r="N276" s="153"/>
      <c r="O276" s="153"/>
      <c r="P276" s="153"/>
      <c r="Q276" s="153"/>
      <c r="R276" s="153"/>
      <c r="S276" s="153"/>
      <c r="T276" s="153"/>
      <c r="U276" s="153"/>
      <c r="V276" s="153"/>
      <c r="W276" s="153"/>
      <c r="X276" s="153"/>
      <c r="Y276" s="153"/>
      <c r="Z276" s="153"/>
      <c r="AA276" s="153"/>
      <c r="AB276" s="153"/>
      <c r="AC276" s="153"/>
      <c r="AD276" s="153"/>
      <c r="AE276" s="153"/>
      <c r="AF276" s="153"/>
      <c r="AG276" s="153"/>
      <c r="AH276" s="153"/>
      <c r="AI276" s="153"/>
      <c r="AJ276" s="153"/>
      <c r="AK276" s="153"/>
      <c r="AL276" s="153"/>
      <c r="AM276" s="153"/>
      <c r="AN276" s="153"/>
      <c r="AO276" s="153"/>
      <c r="AP276" s="8"/>
      <c r="AR276" s="6"/>
      <c r="AS276" s="309"/>
      <c r="AT276" s="309"/>
      <c r="AU276" s="309"/>
      <c r="AV276" s="309"/>
      <c r="AW276" s="309"/>
      <c r="AX276" s="309"/>
      <c r="AY276" s="309"/>
      <c r="AZ276" s="309"/>
      <c r="BA276" s="309"/>
      <c r="BB276" s="309"/>
      <c r="BC276" s="309"/>
      <c r="BD276" s="309"/>
      <c r="BE276" s="309"/>
      <c r="BF276" s="309"/>
      <c r="BG276" s="309"/>
      <c r="BH276" s="309"/>
      <c r="BI276" s="309"/>
      <c r="BJ276" s="309"/>
      <c r="BK276" s="309"/>
      <c r="BL276" s="309"/>
      <c r="BM276" s="309"/>
      <c r="BN276" s="309"/>
      <c r="BO276" s="309"/>
      <c r="BP276" s="309"/>
      <c r="BQ276" s="309"/>
      <c r="BR276" s="309"/>
      <c r="BS276" s="309"/>
      <c r="BT276" s="309"/>
      <c r="BU276" s="309"/>
      <c r="BV276" s="309"/>
      <c r="BW276" s="309"/>
      <c r="BX276" s="309"/>
      <c r="BY276" s="309"/>
      <c r="BZ276" s="309"/>
      <c r="CA276" s="309"/>
      <c r="CB276" s="309"/>
      <c r="CC276" s="309"/>
      <c r="CD276" s="309"/>
      <c r="CE276" s="309"/>
      <c r="CF276" s="8"/>
    </row>
    <row r="277" spans="2:84" ht="18" customHeight="1" x14ac:dyDescent="0.25">
      <c r="B277" s="6"/>
      <c r="C277" s="153"/>
      <c r="D277" s="153"/>
      <c r="E277" s="153"/>
      <c r="F277" s="153"/>
      <c r="G277" s="153"/>
      <c r="H277" s="153"/>
      <c r="I277" s="153"/>
      <c r="J277" s="153"/>
      <c r="K277" s="153"/>
      <c r="L277" s="153"/>
      <c r="M277" s="153"/>
      <c r="N277" s="153"/>
      <c r="O277" s="153"/>
      <c r="P277" s="153"/>
      <c r="Q277" s="153"/>
      <c r="R277" s="153"/>
      <c r="S277" s="153"/>
      <c r="T277" s="153"/>
      <c r="U277" s="153"/>
      <c r="V277" s="153"/>
      <c r="W277" s="153"/>
      <c r="X277" s="153"/>
      <c r="Y277" s="153"/>
      <c r="Z277" s="153"/>
      <c r="AA277" s="153"/>
      <c r="AB277" s="153"/>
      <c r="AC277" s="153"/>
      <c r="AD277" s="153"/>
      <c r="AE277" s="153"/>
      <c r="AF277" s="153"/>
      <c r="AG277" s="153"/>
      <c r="AH277" s="153"/>
      <c r="AI277" s="153"/>
      <c r="AJ277" s="153"/>
      <c r="AK277" s="153"/>
      <c r="AL277" s="153"/>
      <c r="AM277" s="153"/>
      <c r="AN277" s="153"/>
      <c r="AO277" s="153"/>
      <c r="AP277" s="8"/>
      <c r="AR277" s="6"/>
      <c r="AS277" s="309"/>
      <c r="AT277" s="309"/>
      <c r="AU277" s="309"/>
      <c r="AV277" s="309"/>
      <c r="AW277" s="309"/>
      <c r="AX277" s="309"/>
      <c r="AY277" s="309"/>
      <c r="AZ277" s="309"/>
      <c r="BA277" s="309"/>
      <c r="BB277" s="309"/>
      <c r="BC277" s="309"/>
      <c r="BD277" s="309"/>
      <c r="BE277" s="309"/>
      <c r="BF277" s="309"/>
      <c r="BG277" s="309"/>
      <c r="BH277" s="309"/>
      <c r="BI277" s="309"/>
      <c r="BJ277" s="309"/>
      <c r="BK277" s="309"/>
      <c r="BL277" s="309"/>
      <c r="BM277" s="309"/>
      <c r="BN277" s="309"/>
      <c r="BO277" s="309"/>
      <c r="BP277" s="309"/>
      <c r="BQ277" s="309"/>
      <c r="BR277" s="309"/>
      <c r="BS277" s="309"/>
      <c r="BT277" s="309"/>
      <c r="BU277" s="309"/>
      <c r="BV277" s="309"/>
      <c r="BW277" s="309"/>
      <c r="BX277" s="309"/>
      <c r="BY277" s="309"/>
      <c r="BZ277" s="309"/>
      <c r="CA277" s="309"/>
      <c r="CB277" s="309"/>
      <c r="CC277" s="309"/>
      <c r="CD277" s="309"/>
      <c r="CE277" s="309"/>
      <c r="CF277" s="8"/>
    </row>
    <row r="278" spans="2:84" ht="18" customHeight="1" x14ac:dyDescent="0.25">
      <c r="B278" s="6"/>
      <c r="C278" s="153"/>
      <c r="D278" s="153"/>
      <c r="E278" s="153"/>
      <c r="F278" s="153"/>
      <c r="G278" s="153"/>
      <c r="H278" s="153"/>
      <c r="I278" s="153"/>
      <c r="J278" s="153"/>
      <c r="K278" s="153"/>
      <c r="L278" s="153"/>
      <c r="M278" s="153"/>
      <c r="N278" s="153"/>
      <c r="O278" s="153"/>
      <c r="P278" s="153"/>
      <c r="Q278" s="153"/>
      <c r="R278" s="153"/>
      <c r="S278" s="153"/>
      <c r="T278" s="153"/>
      <c r="U278" s="153"/>
      <c r="V278" s="153"/>
      <c r="W278" s="153"/>
      <c r="X278" s="153"/>
      <c r="Y278" s="153"/>
      <c r="Z278" s="153"/>
      <c r="AA278" s="153"/>
      <c r="AB278" s="153"/>
      <c r="AC278" s="153"/>
      <c r="AD278" s="153"/>
      <c r="AE278" s="153"/>
      <c r="AF278" s="153"/>
      <c r="AG278" s="153"/>
      <c r="AH278" s="153"/>
      <c r="AI278" s="153"/>
      <c r="AJ278" s="153"/>
      <c r="AK278" s="153"/>
      <c r="AL278" s="153"/>
      <c r="AM278" s="153"/>
      <c r="AN278" s="153"/>
      <c r="AO278" s="153"/>
      <c r="AP278" s="8"/>
      <c r="AR278" s="6"/>
      <c r="AS278" s="309"/>
      <c r="AT278" s="309"/>
      <c r="AU278" s="309"/>
      <c r="AV278" s="309"/>
      <c r="AW278" s="309"/>
      <c r="AX278" s="309"/>
      <c r="AY278" s="309"/>
      <c r="AZ278" s="309"/>
      <c r="BA278" s="309"/>
      <c r="BB278" s="309"/>
      <c r="BC278" s="309"/>
      <c r="BD278" s="309"/>
      <c r="BE278" s="309"/>
      <c r="BF278" s="309"/>
      <c r="BG278" s="309"/>
      <c r="BH278" s="309"/>
      <c r="BI278" s="309"/>
      <c r="BJ278" s="309"/>
      <c r="BK278" s="309"/>
      <c r="BL278" s="309"/>
      <c r="BM278" s="309"/>
      <c r="BN278" s="309"/>
      <c r="BO278" s="309"/>
      <c r="BP278" s="309"/>
      <c r="BQ278" s="309"/>
      <c r="BR278" s="309"/>
      <c r="BS278" s="309"/>
      <c r="BT278" s="309"/>
      <c r="BU278" s="309"/>
      <c r="BV278" s="309"/>
      <c r="BW278" s="309"/>
      <c r="BX278" s="309"/>
      <c r="BY278" s="309"/>
      <c r="BZ278" s="309"/>
      <c r="CA278" s="309"/>
      <c r="CB278" s="309"/>
      <c r="CC278" s="309"/>
      <c r="CD278" s="309"/>
      <c r="CE278" s="309"/>
      <c r="CF278" s="8"/>
    </row>
    <row r="279" spans="2:84" ht="18" customHeight="1" x14ac:dyDescent="0.25">
      <c r="B279" s="6"/>
      <c r="C279" s="153"/>
      <c r="D279" s="153"/>
      <c r="E279" s="153"/>
      <c r="F279" s="153"/>
      <c r="G279" s="153"/>
      <c r="H279" s="153"/>
      <c r="I279" s="153"/>
      <c r="J279" s="153"/>
      <c r="K279" s="153"/>
      <c r="L279" s="153"/>
      <c r="M279" s="153"/>
      <c r="N279" s="153"/>
      <c r="O279" s="153"/>
      <c r="P279" s="153"/>
      <c r="Q279" s="153"/>
      <c r="R279" s="153"/>
      <c r="S279" s="153"/>
      <c r="T279" s="153"/>
      <c r="U279" s="153"/>
      <c r="V279" s="153"/>
      <c r="W279" s="153"/>
      <c r="X279" s="153"/>
      <c r="Y279" s="153"/>
      <c r="Z279" s="153"/>
      <c r="AA279" s="153"/>
      <c r="AB279" s="153"/>
      <c r="AC279" s="153"/>
      <c r="AD279" s="153"/>
      <c r="AE279" s="153"/>
      <c r="AF279" s="153"/>
      <c r="AG279" s="153"/>
      <c r="AH279" s="153"/>
      <c r="AI279" s="153"/>
      <c r="AJ279" s="153"/>
      <c r="AK279" s="153"/>
      <c r="AL279" s="153"/>
      <c r="AM279" s="153"/>
      <c r="AN279" s="153"/>
      <c r="AO279" s="153"/>
      <c r="AP279" s="8"/>
      <c r="AR279" s="6"/>
      <c r="AS279" s="309"/>
      <c r="AT279" s="309"/>
      <c r="AU279" s="309"/>
      <c r="AV279" s="309"/>
      <c r="AW279" s="309"/>
      <c r="AX279" s="309"/>
      <c r="AY279" s="309"/>
      <c r="AZ279" s="309"/>
      <c r="BA279" s="309"/>
      <c r="BB279" s="309"/>
      <c r="BC279" s="309"/>
      <c r="BD279" s="309"/>
      <c r="BE279" s="309"/>
      <c r="BF279" s="309"/>
      <c r="BG279" s="309"/>
      <c r="BH279" s="309"/>
      <c r="BI279" s="309"/>
      <c r="BJ279" s="309"/>
      <c r="BK279" s="309"/>
      <c r="BL279" s="309"/>
      <c r="BM279" s="309"/>
      <c r="BN279" s="309"/>
      <c r="BO279" s="309"/>
      <c r="BP279" s="309"/>
      <c r="BQ279" s="309"/>
      <c r="BR279" s="309"/>
      <c r="BS279" s="309"/>
      <c r="BT279" s="309"/>
      <c r="BU279" s="309"/>
      <c r="BV279" s="309"/>
      <c r="BW279" s="309"/>
      <c r="BX279" s="309"/>
      <c r="BY279" s="309"/>
      <c r="BZ279" s="309"/>
      <c r="CA279" s="309"/>
      <c r="CB279" s="309"/>
      <c r="CC279" s="309"/>
      <c r="CD279" s="309"/>
      <c r="CE279" s="309"/>
      <c r="CF279" s="8"/>
    </row>
    <row r="280" spans="2:84" ht="18" customHeight="1" x14ac:dyDescent="0.25">
      <c r="B280" s="6"/>
      <c r="C280" s="153"/>
      <c r="D280" s="153"/>
      <c r="E280" s="153"/>
      <c r="F280" s="153"/>
      <c r="G280" s="153"/>
      <c r="H280" s="153"/>
      <c r="I280" s="153"/>
      <c r="J280" s="153"/>
      <c r="K280" s="153"/>
      <c r="L280" s="153"/>
      <c r="M280" s="153"/>
      <c r="N280" s="153"/>
      <c r="O280" s="153"/>
      <c r="P280" s="153"/>
      <c r="Q280" s="153"/>
      <c r="R280" s="153"/>
      <c r="S280" s="153"/>
      <c r="T280" s="153"/>
      <c r="U280" s="153"/>
      <c r="V280" s="153"/>
      <c r="W280" s="153"/>
      <c r="X280" s="153"/>
      <c r="Y280" s="153"/>
      <c r="Z280" s="153"/>
      <c r="AA280" s="153"/>
      <c r="AB280" s="153"/>
      <c r="AC280" s="153"/>
      <c r="AD280" s="153"/>
      <c r="AE280" s="153"/>
      <c r="AF280" s="153"/>
      <c r="AG280" s="153"/>
      <c r="AH280" s="153"/>
      <c r="AI280" s="153"/>
      <c r="AJ280" s="153"/>
      <c r="AK280" s="153"/>
      <c r="AL280" s="153"/>
      <c r="AM280" s="153"/>
      <c r="AN280" s="153"/>
      <c r="AO280" s="153"/>
      <c r="AP280" s="8"/>
      <c r="AR280" s="6"/>
      <c r="AS280" s="309"/>
      <c r="AT280" s="309"/>
      <c r="AU280" s="309"/>
      <c r="AV280" s="309"/>
      <c r="AW280" s="309"/>
      <c r="AX280" s="309"/>
      <c r="AY280" s="309"/>
      <c r="AZ280" s="309"/>
      <c r="BA280" s="309"/>
      <c r="BB280" s="309"/>
      <c r="BC280" s="309"/>
      <c r="BD280" s="309"/>
      <c r="BE280" s="309"/>
      <c r="BF280" s="309"/>
      <c r="BG280" s="309"/>
      <c r="BH280" s="309"/>
      <c r="BI280" s="309"/>
      <c r="BJ280" s="309"/>
      <c r="BK280" s="309"/>
      <c r="BL280" s="309"/>
      <c r="BM280" s="309"/>
      <c r="BN280" s="309"/>
      <c r="BO280" s="309"/>
      <c r="BP280" s="309"/>
      <c r="BQ280" s="309"/>
      <c r="BR280" s="309"/>
      <c r="BS280" s="309"/>
      <c r="BT280" s="309"/>
      <c r="BU280" s="309"/>
      <c r="BV280" s="309"/>
      <c r="BW280" s="309"/>
      <c r="BX280" s="309"/>
      <c r="BY280" s="309"/>
      <c r="BZ280" s="309"/>
      <c r="CA280" s="309"/>
      <c r="CB280" s="309"/>
      <c r="CC280" s="309"/>
      <c r="CD280" s="309"/>
      <c r="CE280" s="309"/>
      <c r="CF280" s="8"/>
    </row>
    <row r="281" spans="2:84" ht="18" customHeight="1" x14ac:dyDescent="0.25">
      <c r="B281" s="6"/>
      <c r="C281" s="153"/>
      <c r="D281" s="153"/>
      <c r="E281" s="153"/>
      <c r="F281" s="153"/>
      <c r="G281" s="153"/>
      <c r="H281" s="153"/>
      <c r="I281" s="153"/>
      <c r="J281" s="153"/>
      <c r="K281" s="153"/>
      <c r="L281" s="153"/>
      <c r="M281" s="153"/>
      <c r="N281" s="153"/>
      <c r="O281" s="153"/>
      <c r="P281" s="153"/>
      <c r="Q281" s="153"/>
      <c r="R281" s="153"/>
      <c r="S281" s="153"/>
      <c r="T281" s="153"/>
      <c r="U281" s="153"/>
      <c r="V281" s="153"/>
      <c r="W281" s="153"/>
      <c r="X281" s="153"/>
      <c r="Y281" s="153"/>
      <c r="Z281" s="153"/>
      <c r="AA281" s="153"/>
      <c r="AB281" s="153"/>
      <c r="AC281" s="153"/>
      <c r="AD281" s="153"/>
      <c r="AE281" s="153"/>
      <c r="AF281" s="153"/>
      <c r="AG281" s="153"/>
      <c r="AH281" s="153"/>
      <c r="AI281" s="153"/>
      <c r="AJ281" s="153"/>
      <c r="AK281" s="153"/>
      <c r="AL281" s="153"/>
      <c r="AM281" s="153"/>
      <c r="AN281" s="153"/>
      <c r="AO281" s="153"/>
      <c r="AP281" s="8"/>
      <c r="AR281" s="6"/>
      <c r="AS281" s="309"/>
      <c r="AT281" s="309"/>
      <c r="AU281" s="309"/>
      <c r="AV281" s="309"/>
      <c r="AW281" s="309"/>
      <c r="AX281" s="309"/>
      <c r="AY281" s="309"/>
      <c r="AZ281" s="309"/>
      <c r="BA281" s="309"/>
      <c r="BB281" s="309"/>
      <c r="BC281" s="309"/>
      <c r="BD281" s="309"/>
      <c r="BE281" s="309"/>
      <c r="BF281" s="309"/>
      <c r="BG281" s="309"/>
      <c r="BH281" s="309"/>
      <c r="BI281" s="309"/>
      <c r="BJ281" s="309"/>
      <c r="BK281" s="309"/>
      <c r="BL281" s="309"/>
      <c r="BM281" s="309"/>
      <c r="BN281" s="309"/>
      <c r="BO281" s="309"/>
      <c r="BP281" s="309"/>
      <c r="BQ281" s="309"/>
      <c r="BR281" s="309"/>
      <c r="BS281" s="309"/>
      <c r="BT281" s="309"/>
      <c r="BU281" s="309"/>
      <c r="BV281" s="309"/>
      <c r="BW281" s="309"/>
      <c r="BX281" s="309"/>
      <c r="BY281" s="309"/>
      <c r="BZ281" s="309"/>
      <c r="CA281" s="309"/>
      <c r="CB281" s="309"/>
      <c r="CC281" s="309"/>
      <c r="CD281" s="309"/>
      <c r="CE281" s="309"/>
      <c r="CF281" s="8"/>
    </row>
    <row r="282" spans="2:84" ht="18" customHeight="1" x14ac:dyDescent="0.25">
      <c r="B282" s="6"/>
      <c r="C282" s="153"/>
      <c r="D282" s="153"/>
      <c r="E282" s="153"/>
      <c r="F282" s="153"/>
      <c r="G282" s="153"/>
      <c r="H282" s="153"/>
      <c r="I282" s="153"/>
      <c r="J282" s="153"/>
      <c r="K282" s="153"/>
      <c r="L282" s="153"/>
      <c r="M282" s="153"/>
      <c r="N282" s="153"/>
      <c r="O282" s="153"/>
      <c r="P282" s="153"/>
      <c r="Q282" s="153"/>
      <c r="R282" s="153"/>
      <c r="S282" s="153"/>
      <c r="T282" s="153"/>
      <c r="U282" s="153"/>
      <c r="V282" s="153"/>
      <c r="W282" s="153"/>
      <c r="X282" s="153"/>
      <c r="Y282" s="153"/>
      <c r="Z282" s="153"/>
      <c r="AA282" s="153"/>
      <c r="AB282" s="153"/>
      <c r="AC282" s="153"/>
      <c r="AD282" s="153"/>
      <c r="AE282" s="153"/>
      <c r="AF282" s="153"/>
      <c r="AG282" s="153"/>
      <c r="AH282" s="153"/>
      <c r="AI282" s="153"/>
      <c r="AJ282" s="153"/>
      <c r="AK282" s="153"/>
      <c r="AL282" s="153"/>
      <c r="AM282" s="153"/>
      <c r="AN282" s="153"/>
      <c r="AO282" s="153"/>
      <c r="AP282" s="8"/>
      <c r="AR282" s="6"/>
      <c r="AS282" s="309"/>
      <c r="AT282" s="309"/>
      <c r="AU282" s="309"/>
      <c r="AV282" s="309"/>
      <c r="AW282" s="309"/>
      <c r="AX282" s="309"/>
      <c r="AY282" s="309"/>
      <c r="AZ282" s="309"/>
      <c r="BA282" s="309"/>
      <c r="BB282" s="309"/>
      <c r="BC282" s="309"/>
      <c r="BD282" s="309"/>
      <c r="BE282" s="309"/>
      <c r="BF282" s="309"/>
      <c r="BG282" s="309"/>
      <c r="BH282" s="309"/>
      <c r="BI282" s="309"/>
      <c r="BJ282" s="309"/>
      <c r="BK282" s="309"/>
      <c r="BL282" s="309"/>
      <c r="BM282" s="309"/>
      <c r="BN282" s="309"/>
      <c r="BO282" s="309"/>
      <c r="BP282" s="309"/>
      <c r="BQ282" s="309"/>
      <c r="BR282" s="309"/>
      <c r="BS282" s="309"/>
      <c r="BT282" s="309"/>
      <c r="BU282" s="309"/>
      <c r="BV282" s="309"/>
      <c r="BW282" s="309"/>
      <c r="BX282" s="309"/>
      <c r="BY282" s="309"/>
      <c r="BZ282" s="309"/>
      <c r="CA282" s="309"/>
      <c r="CB282" s="309"/>
      <c r="CC282" s="309"/>
      <c r="CD282" s="309"/>
      <c r="CE282" s="309"/>
      <c r="CF282" s="8"/>
    </row>
    <row r="283" spans="2:84" ht="18" customHeight="1" x14ac:dyDescent="0.25">
      <c r="B283" s="6"/>
      <c r="C283" s="153"/>
      <c r="D283" s="153"/>
      <c r="E283" s="153"/>
      <c r="F283" s="153"/>
      <c r="G283" s="153"/>
      <c r="H283" s="153"/>
      <c r="I283" s="153"/>
      <c r="J283" s="153"/>
      <c r="K283" s="153"/>
      <c r="L283" s="153"/>
      <c r="M283" s="153"/>
      <c r="N283" s="153"/>
      <c r="O283" s="153"/>
      <c r="P283" s="153"/>
      <c r="Q283" s="153"/>
      <c r="R283" s="153"/>
      <c r="S283" s="153"/>
      <c r="T283" s="153"/>
      <c r="U283" s="153"/>
      <c r="V283" s="153"/>
      <c r="W283" s="153"/>
      <c r="X283" s="153"/>
      <c r="Y283" s="153"/>
      <c r="Z283" s="153"/>
      <c r="AA283" s="153"/>
      <c r="AB283" s="153"/>
      <c r="AC283" s="153"/>
      <c r="AD283" s="153"/>
      <c r="AE283" s="153"/>
      <c r="AF283" s="153"/>
      <c r="AG283" s="153"/>
      <c r="AH283" s="153"/>
      <c r="AI283" s="153"/>
      <c r="AJ283" s="153"/>
      <c r="AK283" s="153"/>
      <c r="AL283" s="153"/>
      <c r="AM283" s="153"/>
      <c r="AN283" s="153"/>
      <c r="AO283" s="153"/>
      <c r="AP283" s="8"/>
      <c r="AR283" s="6"/>
      <c r="AS283" s="309"/>
      <c r="AT283" s="309"/>
      <c r="AU283" s="309"/>
      <c r="AV283" s="309"/>
      <c r="AW283" s="309"/>
      <c r="AX283" s="309"/>
      <c r="AY283" s="309"/>
      <c r="AZ283" s="309"/>
      <c r="BA283" s="309"/>
      <c r="BB283" s="309"/>
      <c r="BC283" s="309"/>
      <c r="BD283" s="309"/>
      <c r="BE283" s="309"/>
      <c r="BF283" s="309"/>
      <c r="BG283" s="309"/>
      <c r="BH283" s="309"/>
      <c r="BI283" s="309"/>
      <c r="BJ283" s="309"/>
      <c r="BK283" s="309"/>
      <c r="BL283" s="309"/>
      <c r="BM283" s="309"/>
      <c r="BN283" s="309"/>
      <c r="BO283" s="309"/>
      <c r="BP283" s="309"/>
      <c r="BQ283" s="309"/>
      <c r="BR283" s="309"/>
      <c r="BS283" s="309"/>
      <c r="BT283" s="309"/>
      <c r="BU283" s="309"/>
      <c r="BV283" s="309"/>
      <c r="BW283" s="309"/>
      <c r="BX283" s="309"/>
      <c r="BY283" s="309"/>
      <c r="BZ283" s="309"/>
      <c r="CA283" s="309"/>
      <c r="CB283" s="309"/>
      <c r="CC283" s="309"/>
      <c r="CD283" s="309"/>
      <c r="CE283" s="309"/>
      <c r="CF283" s="8"/>
    </row>
    <row r="284" spans="2:84" ht="18" customHeight="1" x14ac:dyDescent="0.25">
      <c r="B284" s="6"/>
      <c r="C284" s="153"/>
      <c r="D284" s="153"/>
      <c r="E284" s="153"/>
      <c r="F284" s="153"/>
      <c r="G284" s="153"/>
      <c r="H284" s="153"/>
      <c r="I284" s="153"/>
      <c r="J284" s="153"/>
      <c r="K284" s="153"/>
      <c r="L284" s="153"/>
      <c r="M284" s="153"/>
      <c r="N284" s="153"/>
      <c r="O284" s="153"/>
      <c r="P284" s="153"/>
      <c r="Q284" s="153"/>
      <c r="R284" s="153"/>
      <c r="S284" s="153"/>
      <c r="T284" s="153"/>
      <c r="U284" s="153"/>
      <c r="V284" s="153"/>
      <c r="W284" s="153"/>
      <c r="X284" s="153"/>
      <c r="Y284" s="153"/>
      <c r="Z284" s="153"/>
      <c r="AA284" s="153"/>
      <c r="AB284" s="153"/>
      <c r="AC284" s="153"/>
      <c r="AD284" s="153"/>
      <c r="AE284" s="153"/>
      <c r="AF284" s="153"/>
      <c r="AG284" s="153"/>
      <c r="AH284" s="153"/>
      <c r="AI284" s="153"/>
      <c r="AJ284" s="153"/>
      <c r="AK284" s="153"/>
      <c r="AL284" s="153"/>
      <c r="AM284" s="153"/>
      <c r="AN284" s="153"/>
      <c r="AO284" s="153"/>
      <c r="AP284" s="8"/>
      <c r="AR284" s="6"/>
      <c r="AS284" s="309"/>
      <c r="AT284" s="309"/>
      <c r="AU284" s="309"/>
      <c r="AV284" s="309"/>
      <c r="AW284" s="309"/>
      <c r="AX284" s="309"/>
      <c r="AY284" s="309"/>
      <c r="AZ284" s="309"/>
      <c r="BA284" s="309"/>
      <c r="BB284" s="309"/>
      <c r="BC284" s="309"/>
      <c r="BD284" s="309"/>
      <c r="BE284" s="309"/>
      <c r="BF284" s="309"/>
      <c r="BG284" s="309"/>
      <c r="BH284" s="309"/>
      <c r="BI284" s="309"/>
      <c r="BJ284" s="309"/>
      <c r="BK284" s="309"/>
      <c r="BL284" s="309"/>
      <c r="BM284" s="309"/>
      <c r="BN284" s="309"/>
      <c r="BO284" s="309"/>
      <c r="BP284" s="309"/>
      <c r="BQ284" s="309"/>
      <c r="BR284" s="309"/>
      <c r="BS284" s="309"/>
      <c r="BT284" s="309"/>
      <c r="BU284" s="309"/>
      <c r="BV284" s="309"/>
      <c r="BW284" s="309"/>
      <c r="BX284" s="309"/>
      <c r="BY284" s="309"/>
      <c r="BZ284" s="309"/>
      <c r="CA284" s="309"/>
      <c r="CB284" s="309"/>
      <c r="CC284" s="309"/>
      <c r="CD284" s="309"/>
      <c r="CE284" s="309"/>
      <c r="CF284" s="8"/>
    </row>
    <row r="285" spans="2:84" ht="18" customHeight="1" x14ac:dyDescent="0.25">
      <c r="B285" s="6"/>
      <c r="C285" s="153"/>
      <c r="D285" s="153"/>
      <c r="E285" s="153"/>
      <c r="F285" s="153"/>
      <c r="G285" s="153"/>
      <c r="H285" s="153"/>
      <c r="I285" s="153"/>
      <c r="J285" s="153"/>
      <c r="K285" s="153"/>
      <c r="L285" s="153"/>
      <c r="M285" s="153"/>
      <c r="N285" s="153"/>
      <c r="O285" s="153"/>
      <c r="P285" s="153"/>
      <c r="Q285" s="153"/>
      <c r="R285" s="153"/>
      <c r="S285" s="153"/>
      <c r="T285" s="153"/>
      <c r="U285" s="153"/>
      <c r="V285" s="153"/>
      <c r="W285" s="153"/>
      <c r="X285" s="153"/>
      <c r="Y285" s="153"/>
      <c r="Z285" s="153"/>
      <c r="AA285" s="153"/>
      <c r="AB285" s="153"/>
      <c r="AC285" s="153"/>
      <c r="AD285" s="153"/>
      <c r="AE285" s="153"/>
      <c r="AF285" s="153"/>
      <c r="AG285" s="153"/>
      <c r="AH285" s="153"/>
      <c r="AI285" s="153"/>
      <c r="AJ285" s="153"/>
      <c r="AK285" s="153"/>
      <c r="AL285" s="153"/>
      <c r="AM285" s="153"/>
      <c r="AN285" s="153"/>
      <c r="AO285" s="153"/>
      <c r="AP285" s="8"/>
      <c r="AR285" s="6"/>
      <c r="AS285" s="309"/>
      <c r="AT285" s="309"/>
      <c r="AU285" s="309"/>
      <c r="AV285" s="309"/>
      <c r="AW285" s="309"/>
      <c r="AX285" s="309"/>
      <c r="AY285" s="309"/>
      <c r="AZ285" s="309"/>
      <c r="BA285" s="309"/>
      <c r="BB285" s="309"/>
      <c r="BC285" s="309"/>
      <c r="BD285" s="309"/>
      <c r="BE285" s="309"/>
      <c r="BF285" s="309"/>
      <c r="BG285" s="309"/>
      <c r="BH285" s="309"/>
      <c r="BI285" s="309"/>
      <c r="BJ285" s="309"/>
      <c r="BK285" s="309"/>
      <c r="BL285" s="309"/>
      <c r="BM285" s="309"/>
      <c r="BN285" s="309"/>
      <c r="BO285" s="309"/>
      <c r="BP285" s="309"/>
      <c r="BQ285" s="309"/>
      <c r="BR285" s="309"/>
      <c r="BS285" s="309"/>
      <c r="BT285" s="309"/>
      <c r="BU285" s="309"/>
      <c r="BV285" s="309"/>
      <c r="BW285" s="309"/>
      <c r="BX285" s="309"/>
      <c r="BY285" s="309"/>
      <c r="BZ285" s="309"/>
      <c r="CA285" s="309"/>
      <c r="CB285" s="309"/>
      <c r="CC285" s="309"/>
      <c r="CD285" s="309"/>
      <c r="CE285" s="309"/>
      <c r="CF285" s="8"/>
    </row>
    <row r="286" spans="2:84" ht="18" customHeight="1" x14ac:dyDescent="0.25">
      <c r="B286" s="6"/>
      <c r="C286" s="153"/>
      <c r="D286" s="153"/>
      <c r="E286" s="153"/>
      <c r="F286" s="153"/>
      <c r="G286" s="153"/>
      <c r="H286" s="153"/>
      <c r="I286" s="153"/>
      <c r="J286" s="153"/>
      <c r="K286" s="153"/>
      <c r="L286" s="153"/>
      <c r="M286" s="153"/>
      <c r="N286" s="153"/>
      <c r="O286" s="153"/>
      <c r="P286" s="153"/>
      <c r="Q286" s="153"/>
      <c r="R286" s="153"/>
      <c r="S286" s="153"/>
      <c r="T286" s="153"/>
      <c r="U286" s="153"/>
      <c r="V286" s="153"/>
      <c r="W286" s="153"/>
      <c r="X286" s="153"/>
      <c r="Y286" s="153"/>
      <c r="Z286" s="153"/>
      <c r="AA286" s="153"/>
      <c r="AB286" s="153"/>
      <c r="AC286" s="153"/>
      <c r="AD286" s="153"/>
      <c r="AE286" s="153"/>
      <c r="AF286" s="153"/>
      <c r="AG286" s="153"/>
      <c r="AH286" s="153"/>
      <c r="AI286" s="153"/>
      <c r="AJ286" s="153"/>
      <c r="AK286" s="153"/>
      <c r="AL286" s="153"/>
      <c r="AM286" s="153"/>
      <c r="AN286" s="153"/>
      <c r="AO286" s="153"/>
      <c r="AP286" s="8"/>
      <c r="AR286" s="6"/>
      <c r="AS286" s="309"/>
      <c r="AT286" s="309"/>
      <c r="AU286" s="309"/>
      <c r="AV286" s="309"/>
      <c r="AW286" s="309"/>
      <c r="AX286" s="309"/>
      <c r="AY286" s="309"/>
      <c r="AZ286" s="309"/>
      <c r="BA286" s="309"/>
      <c r="BB286" s="309"/>
      <c r="BC286" s="309"/>
      <c r="BD286" s="309"/>
      <c r="BE286" s="309"/>
      <c r="BF286" s="309"/>
      <c r="BG286" s="309"/>
      <c r="BH286" s="309"/>
      <c r="BI286" s="309"/>
      <c r="BJ286" s="309"/>
      <c r="BK286" s="309"/>
      <c r="BL286" s="309"/>
      <c r="BM286" s="309"/>
      <c r="BN286" s="309"/>
      <c r="BO286" s="309"/>
      <c r="BP286" s="309"/>
      <c r="BQ286" s="309"/>
      <c r="BR286" s="309"/>
      <c r="BS286" s="309"/>
      <c r="BT286" s="309"/>
      <c r="BU286" s="309"/>
      <c r="BV286" s="309"/>
      <c r="BW286" s="309"/>
      <c r="BX286" s="309"/>
      <c r="BY286" s="309"/>
      <c r="BZ286" s="309"/>
      <c r="CA286" s="309"/>
      <c r="CB286" s="309"/>
      <c r="CC286" s="309"/>
      <c r="CD286" s="309"/>
      <c r="CE286" s="309"/>
      <c r="CF286" s="8"/>
    </row>
    <row r="287" spans="2:84" ht="18" customHeight="1" x14ac:dyDescent="0.25">
      <c r="B287" s="6"/>
      <c r="C287" s="153"/>
      <c r="D287" s="153"/>
      <c r="E287" s="153"/>
      <c r="F287" s="153"/>
      <c r="G287" s="153"/>
      <c r="H287" s="153"/>
      <c r="I287" s="153"/>
      <c r="J287" s="153"/>
      <c r="K287" s="153"/>
      <c r="L287" s="153"/>
      <c r="M287" s="153"/>
      <c r="N287" s="153"/>
      <c r="O287" s="153"/>
      <c r="P287" s="153"/>
      <c r="Q287" s="153"/>
      <c r="R287" s="153"/>
      <c r="S287" s="153"/>
      <c r="T287" s="153"/>
      <c r="U287" s="153"/>
      <c r="V287" s="153"/>
      <c r="W287" s="153"/>
      <c r="X287" s="153"/>
      <c r="Y287" s="153"/>
      <c r="Z287" s="153"/>
      <c r="AA287" s="153"/>
      <c r="AB287" s="153"/>
      <c r="AC287" s="153"/>
      <c r="AD287" s="153"/>
      <c r="AE287" s="153"/>
      <c r="AF287" s="153"/>
      <c r="AG287" s="153"/>
      <c r="AH287" s="153"/>
      <c r="AI287" s="153"/>
      <c r="AJ287" s="153"/>
      <c r="AK287" s="153"/>
      <c r="AL287" s="153"/>
      <c r="AM287" s="153"/>
      <c r="AN287" s="153"/>
      <c r="AO287" s="153"/>
      <c r="AP287" s="8"/>
      <c r="AR287" s="6"/>
      <c r="AS287" s="309"/>
      <c r="AT287" s="309"/>
      <c r="AU287" s="309"/>
      <c r="AV287" s="309"/>
      <c r="AW287" s="309"/>
      <c r="AX287" s="309"/>
      <c r="AY287" s="309"/>
      <c r="AZ287" s="309"/>
      <c r="BA287" s="309"/>
      <c r="BB287" s="309"/>
      <c r="BC287" s="309"/>
      <c r="BD287" s="309"/>
      <c r="BE287" s="309"/>
      <c r="BF287" s="309"/>
      <c r="BG287" s="309"/>
      <c r="BH287" s="309"/>
      <c r="BI287" s="309"/>
      <c r="BJ287" s="309"/>
      <c r="BK287" s="309"/>
      <c r="BL287" s="309"/>
      <c r="BM287" s="309"/>
      <c r="BN287" s="309"/>
      <c r="BO287" s="309"/>
      <c r="BP287" s="309"/>
      <c r="BQ287" s="309"/>
      <c r="BR287" s="309"/>
      <c r="BS287" s="309"/>
      <c r="BT287" s="309"/>
      <c r="BU287" s="309"/>
      <c r="BV287" s="309"/>
      <c r="BW287" s="309"/>
      <c r="BX287" s="309"/>
      <c r="BY287" s="309"/>
      <c r="BZ287" s="309"/>
      <c r="CA287" s="309"/>
      <c r="CB287" s="309"/>
      <c r="CC287" s="309"/>
      <c r="CD287" s="309"/>
      <c r="CE287" s="309"/>
      <c r="CF287" s="8"/>
    </row>
    <row r="288" spans="2:84" ht="18" customHeight="1" x14ac:dyDescent="0.25">
      <c r="B288" s="6"/>
      <c r="C288" s="153"/>
      <c r="D288" s="153"/>
      <c r="E288" s="153"/>
      <c r="F288" s="153"/>
      <c r="G288" s="153"/>
      <c r="H288" s="153"/>
      <c r="I288" s="153"/>
      <c r="J288" s="153"/>
      <c r="K288" s="153"/>
      <c r="L288" s="153"/>
      <c r="M288" s="153"/>
      <c r="N288" s="153"/>
      <c r="O288" s="153"/>
      <c r="P288" s="153"/>
      <c r="Q288" s="153"/>
      <c r="R288" s="153"/>
      <c r="S288" s="153"/>
      <c r="T288" s="153"/>
      <c r="U288" s="153"/>
      <c r="V288" s="153"/>
      <c r="W288" s="153"/>
      <c r="X288" s="153"/>
      <c r="Y288" s="153"/>
      <c r="Z288" s="153"/>
      <c r="AA288" s="153"/>
      <c r="AB288" s="153"/>
      <c r="AC288" s="153"/>
      <c r="AD288" s="153"/>
      <c r="AE288" s="153"/>
      <c r="AF288" s="153"/>
      <c r="AG288" s="153"/>
      <c r="AH288" s="153"/>
      <c r="AI288" s="153"/>
      <c r="AJ288" s="153"/>
      <c r="AK288" s="153"/>
      <c r="AL288" s="153"/>
      <c r="AM288" s="153"/>
      <c r="AN288" s="153"/>
      <c r="AO288" s="153"/>
      <c r="AP288" s="8"/>
      <c r="AR288" s="6"/>
      <c r="AS288" s="309"/>
      <c r="AT288" s="309"/>
      <c r="AU288" s="309"/>
      <c r="AV288" s="309"/>
      <c r="AW288" s="309"/>
      <c r="AX288" s="309"/>
      <c r="AY288" s="309"/>
      <c r="AZ288" s="309"/>
      <c r="BA288" s="309"/>
      <c r="BB288" s="309"/>
      <c r="BC288" s="309"/>
      <c r="BD288" s="309"/>
      <c r="BE288" s="309"/>
      <c r="BF288" s="309"/>
      <c r="BG288" s="309"/>
      <c r="BH288" s="309"/>
      <c r="BI288" s="309"/>
      <c r="BJ288" s="309"/>
      <c r="BK288" s="309"/>
      <c r="BL288" s="309"/>
      <c r="BM288" s="309"/>
      <c r="BN288" s="309"/>
      <c r="BO288" s="309"/>
      <c r="BP288" s="309"/>
      <c r="BQ288" s="309"/>
      <c r="BR288" s="309"/>
      <c r="BS288" s="309"/>
      <c r="BT288" s="309"/>
      <c r="BU288" s="309"/>
      <c r="BV288" s="309"/>
      <c r="BW288" s="309"/>
      <c r="BX288" s="309"/>
      <c r="BY288" s="309"/>
      <c r="BZ288" s="309"/>
      <c r="CA288" s="309"/>
      <c r="CB288" s="309"/>
      <c r="CC288" s="309"/>
      <c r="CD288" s="309"/>
      <c r="CE288" s="309"/>
      <c r="CF288" s="8"/>
    </row>
    <row r="289" spans="2:84" ht="18" customHeight="1" x14ac:dyDescent="0.25">
      <c r="B289" s="6"/>
      <c r="C289" s="153"/>
      <c r="D289" s="153"/>
      <c r="E289" s="153"/>
      <c r="F289" s="153"/>
      <c r="G289" s="153"/>
      <c r="H289" s="153"/>
      <c r="I289" s="153"/>
      <c r="J289" s="153"/>
      <c r="K289" s="153"/>
      <c r="L289" s="153"/>
      <c r="M289" s="153"/>
      <c r="N289" s="153"/>
      <c r="O289" s="153"/>
      <c r="P289" s="153"/>
      <c r="Q289" s="153"/>
      <c r="R289" s="153"/>
      <c r="S289" s="153"/>
      <c r="T289" s="153"/>
      <c r="U289" s="153"/>
      <c r="V289" s="153"/>
      <c r="W289" s="153"/>
      <c r="X289" s="153"/>
      <c r="Y289" s="153"/>
      <c r="Z289" s="153"/>
      <c r="AA289" s="153"/>
      <c r="AB289" s="153"/>
      <c r="AC289" s="153"/>
      <c r="AD289" s="153"/>
      <c r="AE289" s="153"/>
      <c r="AF289" s="153"/>
      <c r="AG289" s="153"/>
      <c r="AH289" s="153"/>
      <c r="AI289" s="153"/>
      <c r="AJ289" s="153"/>
      <c r="AK289" s="153"/>
      <c r="AL289" s="153"/>
      <c r="AM289" s="153"/>
      <c r="AN289" s="153"/>
      <c r="AO289" s="153"/>
      <c r="AP289" s="8"/>
      <c r="AR289" s="6"/>
      <c r="AS289" s="309"/>
      <c r="AT289" s="309"/>
      <c r="AU289" s="309"/>
      <c r="AV289" s="309"/>
      <c r="AW289" s="309"/>
      <c r="AX289" s="309"/>
      <c r="AY289" s="309"/>
      <c r="AZ289" s="309"/>
      <c r="BA289" s="309"/>
      <c r="BB289" s="309"/>
      <c r="BC289" s="309"/>
      <c r="BD289" s="309"/>
      <c r="BE289" s="309"/>
      <c r="BF289" s="309"/>
      <c r="BG289" s="309"/>
      <c r="BH289" s="309"/>
      <c r="BI289" s="309"/>
      <c r="BJ289" s="309"/>
      <c r="BK289" s="309"/>
      <c r="BL289" s="309"/>
      <c r="BM289" s="309"/>
      <c r="BN289" s="309"/>
      <c r="BO289" s="309"/>
      <c r="BP289" s="309"/>
      <c r="BQ289" s="309"/>
      <c r="BR289" s="309"/>
      <c r="BS289" s="309"/>
      <c r="BT289" s="309"/>
      <c r="BU289" s="309"/>
      <c r="BV289" s="309"/>
      <c r="BW289" s="309"/>
      <c r="BX289" s="309"/>
      <c r="BY289" s="309"/>
      <c r="BZ289" s="309"/>
      <c r="CA289" s="309"/>
      <c r="CB289" s="309"/>
      <c r="CC289" s="309"/>
      <c r="CD289" s="309"/>
      <c r="CE289" s="309"/>
      <c r="CF289" s="8"/>
    </row>
    <row r="290" spans="2:84" ht="18" customHeight="1" x14ac:dyDescent="0.25">
      <c r="B290" s="6"/>
      <c r="C290" s="153"/>
      <c r="D290" s="153"/>
      <c r="E290" s="153"/>
      <c r="F290" s="153"/>
      <c r="G290" s="153"/>
      <c r="H290" s="153"/>
      <c r="I290" s="153"/>
      <c r="J290" s="153"/>
      <c r="K290" s="153"/>
      <c r="L290" s="153"/>
      <c r="M290" s="153"/>
      <c r="N290" s="153"/>
      <c r="O290" s="153"/>
      <c r="P290" s="153"/>
      <c r="Q290" s="153"/>
      <c r="R290" s="153"/>
      <c r="S290" s="153"/>
      <c r="T290" s="153"/>
      <c r="U290" s="153"/>
      <c r="V290" s="153"/>
      <c r="W290" s="153"/>
      <c r="X290" s="153"/>
      <c r="Y290" s="153"/>
      <c r="Z290" s="153"/>
      <c r="AA290" s="153"/>
      <c r="AB290" s="153"/>
      <c r="AC290" s="153"/>
      <c r="AD290" s="153"/>
      <c r="AE290" s="153"/>
      <c r="AF290" s="153"/>
      <c r="AG290" s="153"/>
      <c r="AH290" s="153"/>
      <c r="AI290" s="153"/>
      <c r="AJ290" s="153"/>
      <c r="AK290" s="153"/>
      <c r="AL290" s="153"/>
      <c r="AM290" s="153"/>
      <c r="AN290" s="153"/>
      <c r="AO290" s="153"/>
      <c r="AP290" s="8"/>
      <c r="AR290" s="6"/>
      <c r="AS290" s="309"/>
      <c r="AT290" s="309"/>
      <c r="AU290" s="309"/>
      <c r="AV290" s="309"/>
      <c r="AW290" s="309"/>
      <c r="AX290" s="309"/>
      <c r="AY290" s="309"/>
      <c r="AZ290" s="309"/>
      <c r="BA290" s="309"/>
      <c r="BB290" s="309"/>
      <c r="BC290" s="309"/>
      <c r="BD290" s="309"/>
      <c r="BE290" s="309"/>
      <c r="BF290" s="309"/>
      <c r="BG290" s="309"/>
      <c r="BH290" s="309"/>
      <c r="BI290" s="309"/>
      <c r="BJ290" s="309"/>
      <c r="BK290" s="309"/>
      <c r="BL290" s="309"/>
      <c r="BM290" s="309"/>
      <c r="BN290" s="309"/>
      <c r="BO290" s="309"/>
      <c r="BP290" s="309"/>
      <c r="BQ290" s="309"/>
      <c r="BR290" s="309"/>
      <c r="BS290" s="309"/>
      <c r="BT290" s="309"/>
      <c r="BU290" s="309"/>
      <c r="BV290" s="309"/>
      <c r="BW290" s="309"/>
      <c r="BX290" s="309"/>
      <c r="BY290" s="309"/>
      <c r="BZ290" s="309"/>
      <c r="CA290" s="309"/>
      <c r="CB290" s="309"/>
      <c r="CC290" s="309"/>
      <c r="CD290" s="309"/>
      <c r="CE290" s="309"/>
      <c r="CF290" s="8"/>
    </row>
    <row r="291" spans="2:84" ht="18" customHeight="1" x14ac:dyDescent="0.25">
      <c r="B291" s="6"/>
      <c r="C291" s="153"/>
      <c r="D291" s="153"/>
      <c r="E291" s="153"/>
      <c r="F291" s="153"/>
      <c r="G291" s="153"/>
      <c r="H291" s="153"/>
      <c r="I291" s="153"/>
      <c r="J291" s="153"/>
      <c r="K291" s="153"/>
      <c r="L291" s="153"/>
      <c r="M291" s="153"/>
      <c r="N291" s="153"/>
      <c r="O291" s="153"/>
      <c r="P291" s="153"/>
      <c r="Q291" s="153"/>
      <c r="R291" s="153"/>
      <c r="S291" s="153"/>
      <c r="T291" s="153"/>
      <c r="U291" s="153"/>
      <c r="V291" s="153"/>
      <c r="W291" s="153"/>
      <c r="X291" s="153"/>
      <c r="Y291" s="153"/>
      <c r="Z291" s="153"/>
      <c r="AA291" s="153"/>
      <c r="AB291" s="153"/>
      <c r="AC291" s="153"/>
      <c r="AD291" s="153"/>
      <c r="AE291" s="153"/>
      <c r="AF291" s="153"/>
      <c r="AG291" s="153"/>
      <c r="AH291" s="153"/>
      <c r="AI291" s="153"/>
      <c r="AJ291" s="153"/>
      <c r="AK291" s="153"/>
      <c r="AL291" s="153"/>
      <c r="AM291" s="153"/>
      <c r="AN291" s="153"/>
      <c r="AO291" s="153"/>
      <c r="AP291" s="8"/>
      <c r="AR291" s="6"/>
      <c r="AS291" s="309"/>
      <c r="AT291" s="309"/>
      <c r="AU291" s="309"/>
      <c r="AV291" s="309"/>
      <c r="AW291" s="309"/>
      <c r="AX291" s="309"/>
      <c r="AY291" s="309"/>
      <c r="AZ291" s="309"/>
      <c r="BA291" s="309"/>
      <c r="BB291" s="309"/>
      <c r="BC291" s="309"/>
      <c r="BD291" s="309"/>
      <c r="BE291" s="309"/>
      <c r="BF291" s="309"/>
      <c r="BG291" s="309"/>
      <c r="BH291" s="309"/>
      <c r="BI291" s="309"/>
      <c r="BJ291" s="309"/>
      <c r="BK291" s="309"/>
      <c r="BL291" s="309"/>
      <c r="BM291" s="309"/>
      <c r="BN291" s="309"/>
      <c r="BO291" s="309"/>
      <c r="BP291" s="309"/>
      <c r="BQ291" s="309"/>
      <c r="BR291" s="309"/>
      <c r="BS291" s="309"/>
      <c r="BT291" s="309"/>
      <c r="BU291" s="309"/>
      <c r="BV291" s="309"/>
      <c r="BW291" s="309"/>
      <c r="BX291" s="309"/>
      <c r="BY291" s="309"/>
      <c r="BZ291" s="309"/>
      <c r="CA291" s="309"/>
      <c r="CB291" s="309"/>
      <c r="CC291" s="309"/>
      <c r="CD291" s="309"/>
      <c r="CE291" s="309"/>
      <c r="CF291" s="8"/>
    </row>
    <row r="292" spans="2:84" ht="18" customHeight="1" thickBot="1" x14ac:dyDescent="0.3">
      <c r="B292" s="6"/>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1"/>
      <c r="AO292" s="10"/>
      <c r="AP292" s="8"/>
      <c r="AR292" s="6"/>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1"/>
      <c r="CE292" s="10"/>
      <c r="CF292" s="8"/>
    </row>
    <row r="293" spans="2:84" ht="18" customHeight="1" x14ac:dyDescent="0.25">
      <c r="B293" s="6"/>
      <c r="D293" s="43" t="s">
        <v>84</v>
      </c>
      <c r="AO293" s="29" t="s">
        <v>473</v>
      </c>
      <c r="AP293" s="8"/>
      <c r="AR293" s="6"/>
      <c r="AT293" s="43" t="s">
        <v>84</v>
      </c>
      <c r="CE293" s="29" t="s">
        <v>474</v>
      </c>
      <c r="CF293" s="8"/>
    </row>
    <row r="294" spans="2:84" ht="18" customHeight="1" x14ac:dyDescent="0.25">
      <c r="B294" s="45"/>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7"/>
      <c r="AR294" s="45"/>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7"/>
    </row>
    <row r="295" spans="2:84" ht="18" customHeight="1" x14ac:dyDescent="0.25"/>
    <row r="296" spans="2:84" ht="18" customHeight="1" x14ac:dyDescent="0.25"/>
    <row r="304" spans="2:84" ht="44.25" customHeight="1" x14ac:dyDescent="0.25"/>
    <row r="305" ht="18.75" customHeight="1" x14ac:dyDescent="0.25"/>
  </sheetData>
  <sheetProtection algorithmName="SHA-512" hashValue="SDPQhFUGstzVavq0v5poaXZPgIsOvqTjwtI9uwFKOI9lQcInnqt7PdYE83DR79zYEgOxezIwXcoTCf0UbsXpgQ==" saltValue="LqMoWk2D7zlDGCB++QmD1Q==" spinCount="100000" sheet="1" objects="1" scenarios="1"/>
  <mergeCells count="373">
    <mergeCell ref="EE2:EE3"/>
    <mergeCell ref="EF2:EF3"/>
    <mergeCell ref="CL3:CL4"/>
    <mergeCell ref="CM3:CM4"/>
    <mergeCell ref="CN3:CN4"/>
    <mergeCell ref="CO3:CO4"/>
    <mergeCell ref="DA3:DA4"/>
    <mergeCell ref="CZ3:CZ4"/>
    <mergeCell ref="CY3:CY4"/>
    <mergeCell ref="CP3:CP4"/>
    <mergeCell ref="CQ3:CQ4"/>
    <mergeCell ref="CS3:CS4"/>
    <mergeCell ref="CU3:CU4"/>
    <mergeCell ref="DS2:DS3"/>
    <mergeCell ref="DT2:DT3"/>
    <mergeCell ref="DU2:DU3"/>
    <mergeCell ref="DV2:DV3"/>
    <mergeCell ref="DX2:DX3"/>
    <mergeCell ref="DW2:DW3"/>
    <mergeCell ref="DY2:DY3"/>
    <mergeCell ref="DI2:DI3"/>
    <mergeCell ref="DJ2:DJ3"/>
    <mergeCell ref="DK2:DK3"/>
    <mergeCell ref="DL2:DL3"/>
    <mergeCell ref="BV12:BZ12"/>
    <mergeCell ref="H13:W13"/>
    <mergeCell ref="AE13:AN13"/>
    <mergeCell ref="BF13:BL13"/>
    <mergeCell ref="BN13:BT13"/>
    <mergeCell ref="BV13:BZ13"/>
    <mergeCell ref="C7:AO8"/>
    <mergeCell ref="AS9:CE9"/>
    <mergeCell ref="BF10:BT10"/>
    <mergeCell ref="H11:W11"/>
    <mergeCell ref="AE11:AN11"/>
    <mergeCell ref="BF11:BL12"/>
    <mergeCell ref="BN11:BT12"/>
    <mergeCell ref="H12:W12"/>
    <mergeCell ref="AE12:AN12"/>
    <mergeCell ref="AT12:BD12"/>
    <mergeCell ref="BN14:BT14"/>
    <mergeCell ref="BV14:BZ14"/>
    <mergeCell ref="BF15:BL15"/>
    <mergeCell ref="BN15:BT15"/>
    <mergeCell ref="BV15:BZ15"/>
    <mergeCell ref="E18:R18"/>
    <mergeCell ref="S18:U18"/>
    <mergeCell ref="AS18:BI18"/>
    <mergeCell ref="BJ18:BL18"/>
    <mergeCell ref="D16:AO16"/>
    <mergeCell ref="BF16:BL16"/>
    <mergeCell ref="BN16:BT16"/>
    <mergeCell ref="BV16:BZ16"/>
    <mergeCell ref="S17:U17"/>
    <mergeCell ref="AK17:AM17"/>
    <mergeCell ref="BF14:BL14"/>
    <mergeCell ref="CA18:CC18"/>
    <mergeCell ref="E19:R19"/>
    <mergeCell ref="S19:U19"/>
    <mergeCell ref="AK19:AM19"/>
    <mergeCell ref="AS19:BI19"/>
    <mergeCell ref="BJ19:BL19"/>
    <mergeCell ref="C21:R21"/>
    <mergeCell ref="S21:U21"/>
    <mergeCell ref="AK21:AM21"/>
    <mergeCell ref="AS21:BI21"/>
    <mergeCell ref="BJ21:BL21"/>
    <mergeCell ref="BM21:BO21"/>
    <mergeCell ref="CA19:CC19"/>
    <mergeCell ref="E20:R20"/>
    <mergeCell ref="S20:U20"/>
    <mergeCell ref="AK20:AM20"/>
    <mergeCell ref="AS20:BI20"/>
    <mergeCell ref="BJ20:BL20"/>
    <mergeCell ref="BM20:BO20"/>
    <mergeCell ref="AS22:BI22"/>
    <mergeCell ref="BJ22:BL22"/>
    <mergeCell ref="BM22:BO22"/>
    <mergeCell ref="C23:AO23"/>
    <mergeCell ref="AS23:BI23"/>
    <mergeCell ref="BJ23:BL23"/>
    <mergeCell ref="BM23:BO23"/>
    <mergeCell ref="BJ24:BL24"/>
    <mergeCell ref="BM24:BO24"/>
    <mergeCell ref="AH24:AI24"/>
    <mergeCell ref="AJ24:AK24"/>
    <mergeCell ref="AL24:AM24"/>
    <mergeCell ref="AN24:AO24"/>
    <mergeCell ref="AS24:BI24"/>
    <mergeCell ref="AF24:AG24"/>
    <mergeCell ref="T24:U24"/>
    <mergeCell ref="V24:W24"/>
    <mergeCell ref="X24:Y24"/>
    <mergeCell ref="Z24:AA24"/>
    <mergeCell ref="AB24:AC24"/>
    <mergeCell ref="AD24:AE24"/>
    <mergeCell ref="C24:I24"/>
    <mergeCell ref="J24:K24"/>
    <mergeCell ref="L24:M24"/>
    <mergeCell ref="N24:O24"/>
    <mergeCell ref="P24:Q24"/>
    <mergeCell ref="R24:S24"/>
    <mergeCell ref="AJ25:AK25"/>
    <mergeCell ref="AL25:AM25"/>
    <mergeCell ref="AN25:AO25"/>
    <mergeCell ref="C27:AO27"/>
    <mergeCell ref="B28:R28"/>
    <mergeCell ref="S28:U28"/>
    <mergeCell ref="AJ28:AL28"/>
    <mergeCell ref="X25:Y25"/>
    <mergeCell ref="Z25:AA25"/>
    <mergeCell ref="AB25:AC25"/>
    <mergeCell ref="AD25:AE25"/>
    <mergeCell ref="AF25:AG25"/>
    <mergeCell ref="AH25:AI25"/>
    <mergeCell ref="C25:I25"/>
    <mergeCell ref="J25:K25"/>
    <mergeCell ref="L25:M25"/>
    <mergeCell ref="N25:O25"/>
    <mergeCell ref="P25:Q25"/>
    <mergeCell ref="R25:S25"/>
    <mergeCell ref="T25:U25"/>
    <mergeCell ref="V25:W25"/>
    <mergeCell ref="C33:AO33"/>
    <mergeCell ref="C34:R34"/>
    <mergeCell ref="S34:U34"/>
    <mergeCell ref="W34:AI34"/>
    <mergeCell ref="AJ34:AL34"/>
    <mergeCell ref="S35:U35"/>
    <mergeCell ref="V35:AI35"/>
    <mergeCell ref="AJ35:AL35"/>
    <mergeCell ref="B29:R29"/>
    <mergeCell ref="S29:U29"/>
    <mergeCell ref="AJ29:AL29"/>
    <mergeCell ref="AJ30:AL30"/>
    <mergeCell ref="AJ31:AL31"/>
    <mergeCell ref="I58:L60"/>
    <mergeCell ref="O58:R60"/>
    <mergeCell ref="AS58:CE58"/>
    <mergeCell ref="U57:Y60"/>
    <mergeCell ref="S36:U36"/>
    <mergeCell ref="C38:AO38"/>
    <mergeCell ref="S39:U39"/>
    <mergeCell ref="O40:Q40"/>
    <mergeCell ref="AJ40:AL40"/>
    <mergeCell ref="O41:Q41"/>
    <mergeCell ref="AJ41:AL41"/>
    <mergeCell ref="C59:G60"/>
    <mergeCell ref="AB59:AF60"/>
    <mergeCell ref="AI59:AM60"/>
    <mergeCell ref="AS59:CE59"/>
    <mergeCell ref="AS54:BG54"/>
    <mergeCell ref="C56:AO56"/>
    <mergeCell ref="AI64:AM64"/>
    <mergeCell ref="I62:L62"/>
    <mergeCell ref="O62:R62"/>
    <mergeCell ref="U62:Y62"/>
    <mergeCell ref="AB62:AF62"/>
    <mergeCell ref="AI62:AM62"/>
    <mergeCell ref="C61:G61"/>
    <mergeCell ref="I61:L61"/>
    <mergeCell ref="O61:R61"/>
    <mergeCell ref="U61:Y61"/>
    <mergeCell ref="AB61:AF61"/>
    <mergeCell ref="AI61:AM61"/>
    <mergeCell ref="C62:G62"/>
    <mergeCell ref="C63:G63"/>
    <mergeCell ref="I63:L63"/>
    <mergeCell ref="O63:R63"/>
    <mergeCell ref="U63:Y63"/>
    <mergeCell ref="AB63:AF63"/>
    <mergeCell ref="AI63:AM63"/>
    <mergeCell ref="C64:G64"/>
    <mergeCell ref="I64:L64"/>
    <mergeCell ref="O64:R64"/>
    <mergeCell ref="U64:Y64"/>
    <mergeCell ref="AB64:AF64"/>
    <mergeCell ref="C66:G66"/>
    <mergeCell ref="I66:L66"/>
    <mergeCell ref="O66:R66"/>
    <mergeCell ref="U66:Y66"/>
    <mergeCell ref="AB66:AF66"/>
    <mergeCell ref="AI66:AM66"/>
    <mergeCell ref="C65:G65"/>
    <mergeCell ref="I65:L65"/>
    <mergeCell ref="O65:R65"/>
    <mergeCell ref="U65:Y65"/>
    <mergeCell ref="AB65:AF65"/>
    <mergeCell ref="AI65:AM65"/>
    <mergeCell ref="C68:G68"/>
    <mergeCell ref="I68:L68"/>
    <mergeCell ref="O68:R68"/>
    <mergeCell ref="U68:Y68"/>
    <mergeCell ref="AB68:AF68"/>
    <mergeCell ref="AI68:AM68"/>
    <mergeCell ref="C67:G67"/>
    <mergeCell ref="I67:L67"/>
    <mergeCell ref="O67:R67"/>
    <mergeCell ref="U67:Y67"/>
    <mergeCell ref="AB67:AF67"/>
    <mergeCell ref="AI67:AM67"/>
    <mergeCell ref="C70:G70"/>
    <mergeCell ref="O70:R70"/>
    <mergeCell ref="U70:Y70"/>
    <mergeCell ref="AB70:AF70"/>
    <mergeCell ref="AI70:AM70"/>
    <mergeCell ref="C69:G69"/>
    <mergeCell ref="I69:L69"/>
    <mergeCell ref="O69:R69"/>
    <mergeCell ref="U69:Y69"/>
    <mergeCell ref="AB69:AF69"/>
    <mergeCell ref="AI69:AM69"/>
    <mergeCell ref="C72:G72"/>
    <mergeCell ref="I72:L72"/>
    <mergeCell ref="O72:R72"/>
    <mergeCell ref="U72:Y72"/>
    <mergeCell ref="AB72:AF72"/>
    <mergeCell ref="AI72:AM72"/>
    <mergeCell ref="C71:G71"/>
    <mergeCell ref="I71:L71"/>
    <mergeCell ref="O71:R71"/>
    <mergeCell ref="U71:Y71"/>
    <mergeCell ref="AB71:AF71"/>
    <mergeCell ref="AI71:AM71"/>
    <mergeCell ref="C74:G74"/>
    <mergeCell ref="I74:L74"/>
    <mergeCell ref="O74:R74"/>
    <mergeCell ref="U74:Y74"/>
    <mergeCell ref="AB74:AF74"/>
    <mergeCell ref="AI74:AM74"/>
    <mergeCell ref="C73:G73"/>
    <mergeCell ref="I73:L73"/>
    <mergeCell ref="O73:R73"/>
    <mergeCell ref="U73:Y73"/>
    <mergeCell ref="AB73:AF73"/>
    <mergeCell ref="AI73:AM73"/>
    <mergeCell ref="C76:G76"/>
    <mergeCell ref="I76:L76"/>
    <mergeCell ref="O76:R76"/>
    <mergeCell ref="U76:Y76"/>
    <mergeCell ref="AB76:AF76"/>
    <mergeCell ref="AI76:AM76"/>
    <mergeCell ref="C75:G75"/>
    <mergeCell ref="I75:L75"/>
    <mergeCell ref="O75:R75"/>
    <mergeCell ref="U75:Y75"/>
    <mergeCell ref="AB75:AF75"/>
    <mergeCell ref="AI75:AM75"/>
    <mergeCell ref="AS107:CE107"/>
    <mergeCell ref="X108:AO108"/>
    <mergeCell ref="AT108:BG108"/>
    <mergeCell ref="BH108:BK108"/>
    <mergeCell ref="AT109:BG109"/>
    <mergeCell ref="BH109:BK109"/>
    <mergeCell ref="I77:L77"/>
    <mergeCell ref="O77:R77"/>
    <mergeCell ref="U77:Y77"/>
    <mergeCell ref="AB77:AF77"/>
    <mergeCell ref="AI77:AM77"/>
    <mergeCell ref="D106:AN106"/>
    <mergeCell ref="BK94:BO94"/>
    <mergeCell ref="BP94:BR94"/>
    <mergeCell ref="BW94:BX94"/>
    <mergeCell ref="D113:G113"/>
    <mergeCell ref="H113:K113"/>
    <mergeCell ref="W113:Y113"/>
    <mergeCell ref="D114:G114"/>
    <mergeCell ref="H114:K114"/>
    <mergeCell ref="W114:Y114"/>
    <mergeCell ref="H110:O110"/>
    <mergeCell ref="AT110:BG110"/>
    <mergeCell ref="BH110:BK110"/>
    <mergeCell ref="AT111:BG111"/>
    <mergeCell ref="BH111:BK111"/>
    <mergeCell ref="D112:K112"/>
    <mergeCell ref="M112:AO112"/>
    <mergeCell ref="AT112:BG112"/>
    <mergeCell ref="BH112:BK112"/>
    <mergeCell ref="AT116:BG116"/>
    <mergeCell ref="BH116:BK116"/>
    <mergeCell ref="D117:G117"/>
    <mergeCell ref="H117:K117"/>
    <mergeCell ref="W117:Y117"/>
    <mergeCell ref="AT117:BG117"/>
    <mergeCell ref="BH117:BK117"/>
    <mergeCell ref="AT114:CF114"/>
    <mergeCell ref="D115:G115"/>
    <mergeCell ref="H115:K115"/>
    <mergeCell ref="W115:Y115"/>
    <mergeCell ref="AT115:BG115"/>
    <mergeCell ref="BH115:BK115"/>
    <mergeCell ref="D118:G118"/>
    <mergeCell ref="H118:K118"/>
    <mergeCell ref="W118:Y118"/>
    <mergeCell ref="D119:G119"/>
    <mergeCell ref="H119:K119"/>
    <mergeCell ref="W119:Y119"/>
    <mergeCell ref="D116:G116"/>
    <mergeCell ref="H116:K116"/>
    <mergeCell ref="W116:Y116"/>
    <mergeCell ref="D122:G122"/>
    <mergeCell ref="H122:K122"/>
    <mergeCell ref="W122:Y122"/>
    <mergeCell ref="D123:G123"/>
    <mergeCell ref="H123:K123"/>
    <mergeCell ref="W123:Y123"/>
    <mergeCell ref="AT119:BG119"/>
    <mergeCell ref="BH119:BK119"/>
    <mergeCell ref="D120:G120"/>
    <mergeCell ref="H120:K120"/>
    <mergeCell ref="W120:Y120"/>
    <mergeCell ref="D121:G121"/>
    <mergeCell ref="H121:K121"/>
    <mergeCell ref="W121:AN121"/>
    <mergeCell ref="D126:G126"/>
    <mergeCell ref="H126:K126"/>
    <mergeCell ref="W126:AE126"/>
    <mergeCell ref="D127:G127"/>
    <mergeCell ref="H127:K127"/>
    <mergeCell ref="W127:AE127"/>
    <mergeCell ref="D124:G124"/>
    <mergeCell ref="H124:K124"/>
    <mergeCell ref="W124:AE124"/>
    <mergeCell ref="D125:G125"/>
    <mergeCell ref="H125:K125"/>
    <mergeCell ref="W125:AE125"/>
    <mergeCell ref="C131:AO131"/>
    <mergeCell ref="C132:AO135"/>
    <mergeCell ref="C136:AO136"/>
    <mergeCell ref="C137:AO140"/>
    <mergeCell ref="C141:AO144"/>
    <mergeCell ref="AS154:CE154"/>
    <mergeCell ref="D128:G128"/>
    <mergeCell ref="H128:K128"/>
    <mergeCell ref="D129:G129"/>
    <mergeCell ref="H129:K129"/>
    <mergeCell ref="D130:G130"/>
    <mergeCell ref="H130:K130"/>
    <mergeCell ref="AU162:BA162"/>
    <mergeCell ref="AU163:BA163"/>
    <mergeCell ref="AU164:BA164"/>
    <mergeCell ref="AU165:BA165"/>
    <mergeCell ref="AT166:BA166"/>
    <mergeCell ref="AU155:BA155"/>
    <mergeCell ref="AU156:BA156"/>
    <mergeCell ref="AU157:BA157"/>
    <mergeCell ref="AU158:BA158"/>
    <mergeCell ref="AU159:BA159"/>
    <mergeCell ref="AU160:BA160"/>
    <mergeCell ref="DM2:DM3"/>
    <mergeCell ref="DO2:DO3"/>
    <mergeCell ref="DP2:DP3"/>
    <mergeCell ref="DQ2:DQ3"/>
    <mergeCell ref="DR2:DR3"/>
    <mergeCell ref="C203:AO203"/>
    <mergeCell ref="C207:AO242"/>
    <mergeCell ref="AS225:CE241"/>
    <mergeCell ref="AS274:CE291"/>
    <mergeCell ref="C276:AO291"/>
    <mergeCell ref="J30:U30"/>
    <mergeCell ref="AU174:BA174"/>
    <mergeCell ref="AU175:BA175"/>
    <mergeCell ref="AU176:BA176"/>
    <mergeCell ref="C186:L188"/>
    <mergeCell ref="AU167:BA167"/>
    <mergeCell ref="AU168:BA168"/>
    <mergeCell ref="AU169:BA169"/>
    <mergeCell ref="C170:AN171"/>
    <mergeCell ref="AU172:BA172"/>
    <mergeCell ref="AU173:BA173"/>
    <mergeCell ref="AS180:CE180"/>
    <mergeCell ref="AS181:CE185"/>
    <mergeCell ref="AU161:BA161"/>
  </mergeCells>
  <conditionalFormatting sqref="BF13 BN13">
    <cfRule type="cellIs" dxfId="41" priority="5" operator="greaterThan">
      <formula>$BV$13</formula>
    </cfRule>
    <cfRule type="cellIs" dxfId="40" priority="6" operator="lessThan">
      <formula>"89.0%$F$45"</formula>
    </cfRule>
    <cfRule type="cellIs" dxfId="39" priority="7" operator="greaterThan">
      <formula>$BV$13</formula>
    </cfRule>
  </conditionalFormatting>
  <conditionalFormatting sqref="BF13">
    <cfRule type="cellIs" dxfId="38" priority="4" operator="greaterThan">
      <formula>"e44"</formula>
    </cfRule>
  </conditionalFormatting>
  <conditionalFormatting sqref="BF14 BN14">
    <cfRule type="cellIs" dxfId="37" priority="9" operator="greaterThan">
      <formula>$BV$14</formula>
    </cfRule>
    <cfRule type="cellIs" dxfId="36" priority="10" operator="lessThan">
      <formula>"92.9%$F$46"</formula>
    </cfRule>
    <cfRule type="cellIs" dxfId="35" priority="11" operator="greaterThan">
      <formula>$BV$14</formula>
    </cfRule>
  </conditionalFormatting>
  <conditionalFormatting sqref="BF14">
    <cfRule type="cellIs" dxfId="34" priority="3" operator="greaterThan">
      <formula>"e45"</formula>
    </cfRule>
  </conditionalFormatting>
  <conditionalFormatting sqref="BF14:BF16 BN15:BN16">
    <cfRule type="cellIs" dxfId="33" priority="8" operator="greaterThan">
      <formula>#REF!</formula>
    </cfRule>
  </conditionalFormatting>
  <conditionalFormatting sqref="BF15 BN15">
    <cfRule type="cellIs" dxfId="32" priority="13" operator="greaterThan">
      <formula>$BV$15</formula>
    </cfRule>
    <cfRule type="cellIs" dxfId="31" priority="14" operator="lessThan">
      <formula>"90.3%$L$45"</formula>
    </cfRule>
    <cfRule type="cellIs" dxfId="30" priority="15" operator="greaterThan">
      <formula>$BV$15</formula>
    </cfRule>
  </conditionalFormatting>
  <conditionalFormatting sqref="BF15:BF16 BN15:BN16">
    <cfRule type="cellIs" dxfId="29" priority="12" operator="lessThan">
      <formula>#REF!</formula>
    </cfRule>
  </conditionalFormatting>
  <conditionalFormatting sqref="BF16 BN16">
    <cfRule type="cellIs" dxfId="28" priority="16" operator="lessThan">
      <formula>$BV$16</formula>
    </cfRule>
    <cfRule type="cellIs" dxfId="27" priority="17" operator="greaterThan">
      <formula>$BV$16</formula>
    </cfRule>
  </conditionalFormatting>
  <conditionalFormatting sqref="BN15">
    <cfRule type="cellIs" dxfId="26" priority="2" operator="greaterThan">
      <formula>"i44"</formula>
    </cfRule>
  </conditionalFormatting>
  <conditionalFormatting sqref="BN16">
    <cfRule type="cellIs" dxfId="25" priority="1" operator="greaterThan">
      <formula>"i45"</formula>
    </cfRule>
  </conditionalFormatting>
  <dataValidations disablePrompts="1" count="3">
    <dataValidation allowBlank="1" showErrorMessage="1" sqref="S17:U17" xr:uid="{1FA16D37-68F3-441E-8698-84CEC5607DC5}"/>
    <dataValidation type="list" allowBlank="1" showInputMessage="1" showErrorMessage="1" sqref="D30:J30 V30:Z30" xr:uid="{A836AB88-50F8-4C56-B9DF-63EB39BD9B63}">
      <formula1>$CH$2:$CH$4</formula1>
    </dataValidation>
    <dataValidation allowBlank="1" showInputMessage="1" showErrorMessage="1" prompt="VarStec recommends a 50% margin on the resistor kW rating" sqref="S39:U39" xr:uid="{AB77852E-8DF5-4C26-9034-43B2168A7040}"/>
  </dataValidations>
  <printOptions horizontalCentered="1" verticalCentered="1"/>
  <pageMargins left="0.2" right="0.2" top="0.205416666666667" bottom="0.3" header="0" footer="0"/>
  <pageSetup scale="90" orientation="portrait" r:id="rId1"/>
  <headerFooter>
    <oddHeader xml:space="preserve">&amp;L
&amp;R       </oddHeader>
  </headerFooter>
  <rowBreaks count="2" manualBreakCount="2">
    <brk id="63" max="16383" man="1"/>
    <brk id="138"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CF32F-E534-4421-A0DE-09BC20563251}">
  <sheetPr codeName="Sheet3">
    <pageSetUpPr fitToPage="1"/>
  </sheetPr>
  <dimension ref="B1:DR305"/>
  <sheetViews>
    <sheetView workbookViewId="0">
      <selection activeCell="Z48" sqref="Z48"/>
    </sheetView>
  </sheetViews>
  <sheetFormatPr defaultRowHeight="15" x14ac:dyDescent="0.25"/>
  <cols>
    <col min="1" max="84" width="2.7109375" style="1" customWidth="1"/>
    <col min="85" max="86" width="2.7109375" style="1" hidden="1" customWidth="1"/>
    <col min="87" max="87" width="29.85546875" style="1" hidden="1" customWidth="1"/>
    <col min="88" max="88" width="6.85546875" style="1" hidden="1" customWidth="1"/>
    <col min="89" max="91" width="0" style="2" hidden="1" customWidth="1"/>
    <col min="92" max="92" width="14.42578125" style="1" hidden="1" customWidth="1"/>
    <col min="93" max="93" width="16.140625" style="1" hidden="1" customWidth="1"/>
    <col min="94" max="94" width="14.85546875" style="1" hidden="1" customWidth="1"/>
    <col min="95" max="95" width="16.28515625" style="1" hidden="1" customWidth="1"/>
    <col min="96" max="96" width="16.140625" style="1" hidden="1" customWidth="1"/>
    <col min="97" max="97" width="17.28515625" style="1" hidden="1" customWidth="1"/>
    <col min="98" max="98" width="40.140625" style="1" hidden="1" customWidth="1"/>
    <col min="99" max="99" width="40" style="1" hidden="1" customWidth="1"/>
    <col min="100" max="100" width="15.42578125" style="1" hidden="1" customWidth="1"/>
    <col min="101" max="101" width="14.7109375" style="1" hidden="1" customWidth="1"/>
    <col min="102" max="103" width="14.85546875" style="1" hidden="1" customWidth="1"/>
    <col min="104" max="104" width="11.5703125" style="1" hidden="1" customWidth="1"/>
    <col min="105" max="105" width="0" style="1" hidden="1" customWidth="1"/>
    <col min="106" max="106" width="10.5703125" style="1" hidden="1" customWidth="1"/>
    <col min="107" max="107" width="13.140625" hidden="1" customWidth="1"/>
    <col min="108" max="108" width="0" style="14" hidden="1" customWidth="1"/>
    <col min="109" max="109" width="12.5703125" style="14" hidden="1" customWidth="1"/>
    <col min="110" max="110" width="11.85546875" style="144" hidden="1" customWidth="1"/>
    <col min="111" max="111" width="12.140625" hidden="1" customWidth="1"/>
    <col min="112" max="112" width="0" hidden="1" customWidth="1"/>
    <col min="113" max="113" width="16" style="1" hidden="1" customWidth="1"/>
    <col min="114" max="114" width="11.140625" style="2" hidden="1" customWidth="1"/>
    <col min="115" max="115" width="12.42578125" style="2" hidden="1" customWidth="1"/>
    <col min="116" max="116" width="0" style="1" hidden="1" customWidth="1"/>
    <col min="117" max="117" width="12.5703125" style="1" hidden="1" customWidth="1"/>
    <col min="118" max="231" width="0" style="1" hidden="1" customWidth="1"/>
    <col min="232" max="16384" width="9.140625" style="1"/>
  </cols>
  <sheetData>
    <row r="1" spans="2:122" ht="18" customHeight="1" x14ac:dyDescent="0.25"/>
    <row r="2" spans="2:122"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c r="AR2" s="3"/>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5"/>
      <c r="CI2" s="1" t="s">
        <v>269</v>
      </c>
      <c r="CY2" s="155" t="s">
        <v>737</v>
      </c>
      <c r="DO2" s="158" t="s">
        <v>741</v>
      </c>
      <c r="DP2" s="158"/>
      <c r="DQ2" s="158"/>
      <c r="DR2" s="158"/>
    </row>
    <row r="3" spans="2:122" ht="18" customHeight="1" x14ac:dyDescent="0.25">
      <c r="B3" s="6"/>
      <c r="AO3" s="7" t="s">
        <v>280</v>
      </c>
      <c r="AP3" s="8"/>
      <c r="AR3" s="6"/>
      <c r="CD3" s="7"/>
      <c r="CF3" s="8"/>
      <c r="CI3" s="1" t="s">
        <v>272</v>
      </c>
      <c r="CY3" s="155"/>
      <c r="DC3" s="370" t="s">
        <v>724</v>
      </c>
      <c r="DE3" s="388" t="s">
        <v>724</v>
      </c>
      <c r="DG3" s="370" t="s">
        <v>730</v>
      </c>
      <c r="DJ3" s="155" t="s">
        <v>734</v>
      </c>
      <c r="DK3" s="155" t="s">
        <v>733</v>
      </c>
      <c r="DL3" s="1" t="s">
        <v>738</v>
      </c>
      <c r="DM3" s="1" t="s">
        <v>738</v>
      </c>
      <c r="DO3" s="158"/>
      <c r="DP3" s="158"/>
      <c r="DQ3" s="158"/>
      <c r="DR3" s="158"/>
    </row>
    <row r="4" spans="2:122" ht="18" customHeight="1" x14ac:dyDescent="0.25">
      <c r="B4" s="6"/>
      <c r="AO4" s="9" t="s">
        <v>1</v>
      </c>
      <c r="AP4" s="8"/>
      <c r="AR4" s="6"/>
      <c r="CD4" s="9"/>
      <c r="CF4" s="8"/>
      <c r="CI4" s="1" t="s">
        <v>271</v>
      </c>
      <c r="CL4" s="155" t="s">
        <v>710</v>
      </c>
      <c r="CM4" s="136"/>
      <c r="CN4" s="155" t="s">
        <v>682</v>
      </c>
      <c r="CO4" s="155" t="s">
        <v>711</v>
      </c>
      <c r="CP4" s="155" t="s">
        <v>712</v>
      </c>
      <c r="CQ4" s="155" t="s">
        <v>713</v>
      </c>
      <c r="CR4" s="155" t="s">
        <v>714</v>
      </c>
      <c r="CS4" s="155" t="s">
        <v>715</v>
      </c>
      <c r="CT4" s="155" t="s">
        <v>716</v>
      </c>
      <c r="CU4" s="155" t="s">
        <v>717</v>
      </c>
      <c r="CV4" s="155" t="s">
        <v>718</v>
      </c>
      <c r="CW4" s="155" t="s">
        <v>686</v>
      </c>
      <c r="CX4" s="155" t="s">
        <v>687</v>
      </c>
      <c r="CY4" s="155"/>
      <c r="CZ4" s="155" t="s">
        <v>719</v>
      </c>
      <c r="DA4" s="155" t="s">
        <v>720</v>
      </c>
      <c r="DB4" s="2" t="s">
        <v>721</v>
      </c>
      <c r="DC4" s="370"/>
      <c r="DD4" s="14" t="s">
        <v>721</v>
      </c>
      <c r="DE4" s="388"/>
      <c r="DF4" s="144" t="s">
        <v>728</v>
      </c>
      <c r="DG4" s="370"/>
      <c r="DH4" t="s">
        <v>731</v>
      </c>
      <c r="DI4" s="2" t="s">
        <v>733</v>
      </c>
      <c r="DJ4" s="155"/>
      <c r="DK4" s="155"/>
      <c r="DM4" s="148" t="s">
        <v>739</v>
      </c>
      <c r="DP4" s="155" t="s">
        <v>742</v>
      </c>
      <c r="DQ4" s="155" t="s">
        <v>687</v>
      </c>
      <c r="DR4" s="155" t="s">
        <v>702</v>
      </c>
    </row>
    <row r="5" spans="2:122" ht="18" customHeight="1" thickBot="1" x14ac:dyDescent="0.3">
      <c r="B5" s="6"/>
      <c r="AO5" s="9" t="s">
        <v>4</v>
      </c>
      <c r="AP5" s="8"/>
      <c r="AR5" s="6"/>
      <c r="AS5" s="10" t="str">
        <f>"Harmonic Filter Design - C-HP | "&amp; H12 &amp; " | " &amp; AE13</f>
        <v>Harmonic Filter Design - C-HP | Enter Customer PO #  | Stage 1</v>
      </c>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1"/>
      <c r="CE5" s="10"/>
      <c r="CF5" s="8"/>
      <c r="CK5" s="2" t="s">
        <v>508</v>
      </c>
      <c r="CL5" s="155"/>
      <c r="CM5" s="146" t="s">
        <v>726</v>
      </c>
      <c r="CN5" s="155"/>
      <c r="CO5" s="155"/>
      <c r="CP5" s="155"/>
      <c r="CQ5" s="155"/>
      <c r="CR5" s="155"/>
      <c r="CS5" s="158"/>
      <c r="CT5" s="155"/>
      <c r="CU5" s="155"/>
      <c r="CV5" s="155"/>
      <c r="CW5" s="155"/>
      <c r="CX5" s="155"/>
      <c r="CY5" s="136" t="s">
        <v>39</v>
      </c>
      <c r="CZ5" s="155"/>
      <c r="DA5" s="155"/>
      <c r="DB5" s="2" t="s">
        <v>725</v>
      </c>
      <c r="DC5" s="144" t="s">
        <v>725</v>
      </c>
      <c r="DD5" s="14" t="s">
        <v>723</v>
      </c>
      <c r="DE5" s="14" t="s">
        <v>723</v>
      </c>
      <c r="DF5" s="144" t="s">
        <v>664</v>
      </c>
      <c r="DG5" s="144" t="s">
        <v>664</v>
      </c>
      <c r="DH5" s="144" t="s">
        <v>732</v>
      </c>
      <c r="DI5" s="2" t="s">
        <v>732</v>
      </c>
      <c r="DJ5" s="2" t="s">
        <v>735</v>
      </c>
      <c r="DK5" s="2" t="s">
        <v>732</v>
      </c>
      <c r="DO5" s="1" t="s">
        <v>508</v>
      </c>
      <c r="DP5" s="155"/>
      <c r="DQ5" s="155"/>
      <c r="DR5" s="155"/>
    </row>
    <row r="6" spans="2:122"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c r="AR6" s="6"/>
      <c r="CD6" s="9"/>
      <c r="CF6" s="8"/>
      <c r="CI6" s="18"/>
      <c r="CK6" s="69">
        <f>J24</f>
        <v>1</v>
      </c>
      <c r="CL6" s="69">
        <f>J25</f>
        <v>278.12414534767834</v>
      </c>
      <c r="CM6" s="69">
        <f>1.1*CL6</f>
        <v>305.9365598824462</v>
      </c>
      <c r="CN6" s="1" t="str">
        <f t="shared" ref="CN6:CN21" si="0">COMPLEX($AJ$39/$S$39,$AJ$39*CK6)</f>
        <v>0.0107986736111111+1.07986736111111i</v>
      </c>
      <c r="CO6" s="1" t="str">
        <f t="shared" ref="CO6:CO21" si="1">COMPLEX("0",-$AJ$36/CK6)</f>
        <v>-1.07986736111111i</v>
      </c>
      <c r="CP6" s="1" t="str">
        <f>COMPLEX($AJ$45,"0")</f>
        <v>10.7986736111111</v>
      </c>
      <c r="CQ6" s="1" t="str">
        <f t="shared" ref="CQ6:CQ21" si="2">COMPLEX("0",-$AJ$30/CK6)</f>
        <v>-25.9168166666667i</v>
      </c>
      <c r="CR6" s="1" t="str">
        <f>IMSUM(CN6,CO6)</f>
        <v>0.0107986736111111</v>
      </c>
      <c r="CS6" s="1" t="str">
        <f>IMDIV(IMPRODUCT(CR6,CP6),IMSUM(CP6,CR6))</f>
        <v>0.0107878857253857</v>
      </c>
      <c r="CT6" s="1" t="str">
        <f>IMSUM(CS6,CQ6)</f>
        <v>0.0107878857253857-25.9168166666667i</v>
      </c>
      <c r="CU6" s="1">
        <f>IMABS(CT6)</f>
        <v>25.916818911897565</v>
      </c>
      <c r="CV6" s="69">
        <f t="shared" ref="CV6:CV21" si="3">CL6*CU6</f>
        <v>7208.0931100020571</v>
      </c>
      <c r="CW6" s="34">
        <f t="shared" ref="CW6:CW21" si="4">CL6*IMABS(IMDIV(CR6,IMSUM(CR6,CP6)))</f>
        <v>0.27784629904863001</v>
      </c>
      <c r="CX6" s="34">
        <f t="shared" ref="CX6:CX21" si="5">CL6*IMABS(IMDIV(CP6,IMSUM(CR6,CP6)))</f>
        <v>277.84629904862999</v>
      </c>
      <c r="CY6" s="34">
        <f>1.1*CX6</f>
        <v>305.63092895349303</v>
      </c>
      <c r="CZ6" s="14">
        <f>CW6*CW6*$AJ$45</f>
        <v>0.83364211634618279</v>
      </c>
      <c r="DA6" s="14">
        <f>($AJ$39/$S$39)*CX6^2</f>
        <v>833.64211634618266</v>
      </c>
      <c r="DB6" s="14">
        <f t="shared" ref="DB6:DB21" si="6">CL6*$AJ$30/CK6</f>
        <v>7208.0924855491339</v>
      </c>
      <c r="DC6" s="145">
        <f>DB6*1.1</f>
        <v>7928.901734104048</v>
      </c>
      <c r="DD6" s="14">
        <f t="shared" ref="DD6:DD21" si="7">SQRT(2)*DB6</f>
        <v>10193.782151903179</v>
      </c>
      <c r="DE6" s="14">
        <f>1.1*DD6</f>
        <v>11213.160367093496</v>
      </c>
      <c r="DF6" s="147">
        <f>($AJ$30/CK6)*CL6^2</f>
        <v>2004744.5621303753</v>
      </c>
      <c r="DG6" s="147">
        <f>($AJ$30/CK6)*(CL6*1.1)^2</f>
        <v>2425740.9201777545</v>
      </c>
      <c r="DH6">
        <f>CX6*$AJ$36</f>
        <v>300.03714974813278</v>
      </c>
      <c r="DI6" s="2">
        <f>1.1*DH6</f>
        <v>330.04086472294608</v>
      </c>
      <c r="DJ6" s="2">
        <f>SQRT(2)*DH6</f>
        <v>424.31660638957663</v>
      </c>
      <c r="DK6" s="2">
        <f>SQRT(2)*DI6</f>
        <v>466.74826702853437</v>
      </c>
      <c r="DL6" s="1">
        <f>(CX6^2)*$AJ$36</f>
        <v>83364.211634618274</v>
      </c>
      <c r="DM6" s="1">
        <f>(CY6^2)*$AJ$36</f>
        <v>100870.69607788813</v>
      </c>
      <c r="DO6" s="15">
        <f>CK6</f>
        <v>1</v>
      </c>
      <c r="DP6" s="14">
        <f>CL6</f>
        <v>278.12414534767834</v>
      </c>
      <c r="DQ6" s="14">
        <f>CX6</f>
        <v>277.84629904862999</v>
      </c>
      <c r="DR6" s="14">
        <f>H114</f>
        <v>416.76944857294495</v>
      </c>
    </row>
    <row r="7" spans="2:122" ht="18" customHeight="1" x14ac:dyDescent="0.25">
      <c r="B7" s="6"/>
      <c r="C7" s="262" t="s">
        <v>279</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c r="AR7" s="6"/>
      <c r="AS7" s="16" t="s">
        <v>7</v>
      </c>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8"/>
      <c r="CK7" s="69">
        <f>L24</f>
        <v>2</v>
      </c>
      <c r="CL7" s="69">
        <f>L25</f>
        <v>0</v>
      </c>
      <c r="CM7" s="69">
        <f>CL7</f>
        <v>0</v>
      </c>
      <c r="CN7" s="1" t="str">
        <f t="shared" si="0"/>
        <v>0.0107986736111111+2.15973472222222i</v>
      </c>
      <c r="CO7" s="1" t="str">
        <f t="shared" si="1"/>
        <v>-0.539933680555556i</v>
      </c>
      <c r="CP7" s="1" t="str">
        <f t="shared" ref="CP7:CP21" si="8">COMPLEX($AJ$45,"0")</f>
        <v>10.7986736111111</v>
      </c>
      <c r="CQ7" s="1" t="str">
        <f t="shared" si="2"/>
        <v>-12.9584083333333i</v>
      </c>
      <c r="CR7" s="1" t="str">
        <f t="shared" ref="CR7:CR21" si="9">IMSUM(CN7,CO7)</f>
        <v>0.0107986736111111+1.61980104166666i</v>
      </c>
      <c r="CS7" s="1" t="str">
        <f t="shared" ref="CS7:CS21" si="10">IMDIV(IMPRODUCT(CR7,CP7),IMSUM(CP7,CR7))</f>
        <v>0.247710474206195+1.5810634071286i</v>
      </c>
      <c r="CT7" s="1" t="str">
        <f t="shared" ref="CT7:CT21" si="11">IMSUM(CS7,CQ7)</f>
        <v>0.247710474206195-11.3773449262047i</v>
      </c>
      <c r="CU7" s="1">
        <f t="shared" ref="CU7:CU21" si="12">IMABS(CT7)</f>
        <v>11.380041214726214</v>
      </c>
      <c r="CV7" s="69">
        <f t="shared" si="3"/>
        <v>0</v>
      </c>
      <c r="CW7" s="34">
        <f t="shared" si="4"/>
        <v>0</v>
      </c>
      <c r="CX7" s="34">
        <f t="shared" si="5"/>
        <v>0</v>
      </c>
      <c r="CY7" s="34">
        <f>CX7</f>
        <v>0</v>
      </c>
      <c r="CZ7" s="14">
        <f t="shared" ref="CZ7:CZ21" si="13">CW7*CW7*$AJ$45</f>
        <v>0</v>
      </c>
      <c r="DA7" s="14">
        <f t="shared" ref="DA7:DA21" si="14">($AJ$39/$S$39)*CX7^2</f>
        <v>0</v>
      </c>
      <c r="DB7" s="14">
        <f t="shared" si="6"/>
        <v>0</v>
      </c>
      <c r="DC7" s="145">
        <f>DB7</f>
        <v>0</v>
      </c>
      <c r="DD7" s="14">
        <f t="shared" si="7"/>
        <v>0</v>
      </c>
      <c r="DE7" s="14">
        <f>DD7</f>
        <v>0</v>
      </c>
      <c r="DF7" s="147">
        <f t="shared" ref="DF7:DF21" si="15">($AJ$30/CK7)*CL7^2</f>
        <v>0</v>
      </c>
      <c r="DG7" s="147">
        <f>DF7</f>
        <v>0</v>
      </c>
      <c r="DH7">
        <f t="shared" ref="DH7:DH21" si="16">CX7*$AJ$36</f>
        <v>0</v>
      </c>
      <c r="DI7" s="2">
        <f>DH7</f>
        <v>0</v>
      </c>
      <c r="DJ7" s="2">
        <f t="shared" ref="DJ7:DJ21" si="17">SQRT(2)*DH7</f>
        <v>0</v>
      </c>
      <c r="DK7" s="2">
        <f t="shared" ref="DK7:DK21" si="18">SQRT(2)*DI7</f>
        <v>0</v>
      </c>
      <c r="DL7" s="1">
        <f t="shared" ref="DL7:DL21" si="19">(CX7^2)*$AJ$36</f>
        <v>0</v>
      </c>
      <c r="DM7" s="1">
        <f t="shared" ref="DM7:DM21" si="20">(CY7^2)*$AJ$36</f>
        <v>0</v>
      </c>
      <c r="DO7" s="15">
        <f t="shared" ref="DO7:DO21" si="21">CK7</f>
        <v>2</v>
      </c>
      <c r="DP7" s="14">
        <f t="shared" ref="DP7:DP21" si="22">CL7</f>
        <v>0</v>
      </c>
      <c r="DQ7" s="14">
        <f t="shared" ref="DQ7:DQ21" si="23">CX7</f>
        <v>0</v>
      </c>
      <c r="DR7" s="14">
        <f t="shared" ref="DR7:DR21" si="24">H115</f>
        <v>0</v>
      </c>
    </row>
    <row r="8" spans="2:122"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c r="AR8" s="6"/>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8"/>
      <c r="CK8" s="69">
        <f>N24</f>
        <v>3</v>
      </c>
      <c r="CL8" s="69">
        <f>N25</f>
        <v>0</v>
      </c>
      <c r="CM8" s="69">
        <f t="shared" ref="CM8:CM21" si="25">CL8</f>
        <v>0</v>
      </c>
      <c r="CN8" s="1" t="str">
        <f t="shared" si="0"/>
        <v>0.0107986736111111+3.23960208333333i</v>
      </c>
      <c r="CO8" s="1" t="str">
        <f t="shared" si="1"/>
        <v>-0.359955787037037i</v>
      </c>
      <c r="CP8" s="1" t="str">
        <f t="shared" si="8"/>
        <v>10.7986736111111</v>
      </c>
      <c r="CQ8" s="1" t="str">
        <f t="shared" si="2"/>
        <v>-8.63893888888889i</v>
      </c>
      <c r="CR8" s="1" t="str">
        <f t="shared" si="9"/>
        <v>0.0107986736111111+2.87964629629629i</v>
      </c>
      <c r="CS8" s="1" t="str">
        <f t="shared" si="10"/>
        <v>0.72566057472856+2.68345335634567i</v>
      </c>
      <c r="CT8" s="1" t="str">
        <f t="shared" si="11"/>
        <v>0.72566057472856-5.95548553254322i</v>
      </c>
      <c r="CU8" s="1">
        <f t="shared" si="12"/>
        <v>5.9995325816305876</v>
      </c>
      <c r="CV8" s="69">
        <f t="shared" si="3"/>
        <v>0</v>
      </c>
      <c r="CW8" s="34">
        <f t="shared" si="4"/>
        <v>0</v>
      </c>
      <c r="CX8" s="34">
        <f t="shared" si="5"/>
        <v>0</v>
      </c>
      <c r="CY8" s="34">
        <f t="shared" ref="CY8:CY21" si="26">CX8</f>
        <v>0</v>
      </c>
      <c r="CZ8" s="14">
        <f t="shared" si="13"/>
        <v>0</v>
      </c>
      <c r="DA8" s="14">
        <f t="shared" si="14"/>
        <v>0</v>
      </c>
      <c r="DB8" s="14">
        <f t="shared" si="6"/>
        <v>0</v>
      </c>
      <c r="DC8" s="145">
        <f t="shared" ref="DC8:DC21" si="27">DB8</f>
        <v>0</v>
      </c>
      <c r="DD8" s="14">
        <f t="shared" si="7"/>
        <v>0</v>
      </c>
      <c r="DE8" s="14">
        <f t="shared" ref="DE8:DE21" si="28">DD8</f>
        <v>0</v>
      </c>
      <c r="DF8" s="147">
        <f t="shared" si="15"/>
        <v>0</v>
      </c>
      <c r="DG8" s="147">
        <f t="shared" ref="DG8:DG21" si="29">DF8</f>
        <v>0</v>
      </c>
      <c r="DH8">
        <f t="shared" si="16"/>
        <v>0</v>
      </c>
      <c r="DI8" s="2">
        <f t="shared" ref="DI8:DI21" si="30">DH8</f>
        <v>0</v>
      </c>
      <c r="DJ8" s="2">
        <f t="shared" si="17"/>
        <v>0</v>
      </c>
      <c r="DK8" s="2">
        <f t="shared" si="18"/>
        <v>0</v>
      </c>
      <c r="DL8" s="1">
        <f t="shared" si="19"/>
        <v>0</v>
      </c>
      <c r="DM8" s="1">
        <f t="shared" si="20"/>
        <v>0</v>
      </c>
      <c r="DO8" s="15">
        <f t="shared" si="21"/>
        <v>3</v>
      </c>
      <c r="DP8" s="14">
        <f t="shared" si="22"/>
        <v>0</v>
      </c>
      <c r="DQ8" s="14">
        <f t="shared" si="23"/>
        <v>0</v>
      </c>
      <c r="DR8" s="14">
        <f t="shared" si="24"/>
        <v>0</v>
      </c>
    </row>
    <row r="9" spans="2:122" ht="18" customHeight="1" x14ac:dyDescent="0.25">
      <c r="B9" s="20"/>
      <c r="C9" s="16" t="s">
        <v>8</v>
      </c>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c r="AR9" s="6"/>
      <c r="AS9" s="178" t="s">
        <v>199</v>
      </c>
      <c r="AT9" s="178"/>
      <c r="AU9" s="178"/>
      <c r="AV9" s="178"/>
      <c r="AW9" s="178"/>
      <c r="AX9" s="178"/>
      <c r="AY9" s="178"/>
      <c r="AZ9" s="178"/>
      <c r="BA9" s="178"/>
      <c r="BB9" s="178"/>
      <c r="BC9" s="178"/>
      <c r="BD9" s="178"/>
      <c r="BE9" s="178"/>
      <c r="BF9" s="178"/>
      <c r="BG9" s="178"/>
      <c r="BH9" s="178"/>
      <c r="BI9" s="178"/>
      <c r="BJ9" s="178"/>
      <c r="BK9" s="178"/>
      <c r="BL9" s="178"/>
      <c r="BM9" s="178"/>
      <c r="BN9" s="178"/>
      <c r="BO9" s="178"/>
      <c r="BP9" s="178"/>
      <c r="BQ9" s="178"/>
      <c r="BR9" s="178"/>
      <c r="BS9" s="178"/>
      <c r="BT9" s="178"/>
      <c r="BU9" s="178"/>
      <c r="BV9" s="178"/>
      <c r="BW9" s="178"/>
      <c r="BX9" s="178"/>
      <c r="BY9" s="178"/>
      <c r="BZ9" s="178"/>
      <c r="CA9" s="178"/>
      <c r="CB9" s="178"/>
      <c r="CC9" s="178"/>
      <c r="CD9" s="178"/>
      <c r="CE9" s="178"/>
      <c r="CF9" s="27"/>
      <c r="CK9" s="69">
        <f>P24</f>
        <v>4</v>
      </c>
      <c r="CL9" s="69">
        <f>P25</f>
        <v>0</v>
      </c>
      <c r="CM9" s="69">
        <f t="shared" si="25"/>
        <v>0</v>
      </c>
      <c r="CN9" s="1" t="str">
        <f t="shared" si="0"/>
        <v>0.0107986736111111+4.31946944444445i</v>
      </c>
      <c r="CO9" s="1" t="str">
        <f t="shared" si="1"/>
        <v>-0.269966840277778i</v>
      </c>
      <c r="CP9" s="1" t="str">
        <f t="shared" si="8"/>
        <v>10.7986736111111</v>
      </c>
      <c r="CQ9" s="1" t="str">
        <f t="shared" si="2"/>
        <v>-6.47920416666667i</v>
      </c>
      <c r="CR9" s="1" t="str">
        <f t="shared" si="9"/>
        <v>0.0107986736111111+4.04950260416667i</v>
      </c>
      <c r="CS9" s="1" t="str">
        <f t="shared" si="10"/>
        <v>1.33847203621065+3.54403155902865i</v>
      </c>
      <c r="CT9" s="1" t="str">
        <f t="shared" si="11"/>
        <v>1.33847203621065-2.93517260763802i</v>
      </c>
      <c r="CU9" s="1">
        <f t="shared" si="12"/>
        <v>3.2259487950595958</v>
      </c>
      <c r="CV9" s="69">
        <f t="shared" si="3"/>
        <v>0</v>
      </c>
      <c r="CW9" s="34">
        <f t="shared" si="4"/>
        <v>0</v>
      </c>
      <c r="CX9" s="34">
        <f t="shared" si="5"/>
        <v>0</v>
      </c>
      <c r="CY9" s="34">
        <f t="shared" si="26"/>
        <v>0</v>
      </c>
      <c r="CZ9" s="14">
        <f t="shared" si="13"/>
        <v>0</v>
      </c>
      <c r="DA9" s="14">
        <f t="shared" si="14"/>
        <v>0</v>
      </c>
      <c r="DB9" s="14">
        <f t="shared" si="6"/>
        <v>0</v>
      </c>
      <c r="DC9" s="145">
        <f t="shared" si="27"/>
        <v>0</v>
      </c>
      <c r="DD9" s="14">
        <f t="shared" si="7"/>
        <v>0</v>
      </c>
      <c r="DE9" s="14">
        <f t="shared" si="28"/>
        <v>0</v>
      </c>
      <c r="DF9" s="147">
        <f t="shared" si="15"/>
        <v>0</v>
      </c>
      <c r="DG9" s="147">
        <f t="shared" si="29"/>
        <v>0</v>
      </c>
      <c r="DH9">
        <f t="shared" si="16"/>
        <v>0</v>
      </c>
      <c r="DI9" s="2">
        <f t="shared" si="30"/>
        <v>0</v>
      </c>
      <c r="DJ9" s="2">
        <f t="shared" si="17"/>
        <v>0</v>
      </c>
      <c r="DK9" s="2">
        <f t="shared" si="18"/>
        <v>0</v>
      </c>
      <c r="DL9" s="1">
        <f t="shared" si="19"/>
        <v>0</v>
      </c>
      <c r="DM9" s="1">
        <f t="shared" si="20"/>
        <v>0</v>
      </c>
      <c r="DO9" s="15">
        <f t="shared" si="21"/>
        <v>4</v>
      </c>
      <c r="DP9" s="14">
        <f t="shared" si="22"/>
        <v>0</v>
      </c>
      <c r="DQ9" s="14">
        <f t="shared" si="23"/>
        <v>0</v>
      </c>
      <c r="DR9" s="14">
        <f t="shared" si="24"/>
        <v>0</v>
      </c>
    </row>
    <row r="10" spans="2:122" ht="18" customHeight="1" x14ac:dyDescent="0.25">
      <c r="B10" s="6"/>
      <c r="AP10" s="8"/>
      <c r="AR10" s="6"/>
      <c r="BF10" s="172" t="s">
        <v>10</v>
      </c>
      <c r="BG10" s="172"/>
      <c r="BH10" s="172"/>
      <c r="BI10" s="172"/>
      <c r="BJ10" s="172"/>
      <c r="BK10" s="172"/>
      <c r="BL10" s="172"/>
      <c r="BM10" s="172"/>
      <c r="BN10" s="172"/>
      <c r="BO10" s="172"/>
      <c r="BP10" s="172"/>
      <c r="BQ10" s="172"/>
      <c r="BR10" s="172"/>
      <c r="BS10" s="172"/>
      <c r="BT10" s="172"/>
      <c r="CE10" s="24"/>
      <c r="CF10" s="8"/>
      <c r="CK10" s="69">
        <f>R24</f>
        <v>5</v>
      </c>
      <c r="CL10" s="69">
        <f>R25</f>
        <v>100</v>
      </c>
      <c r="CM10" s="69">
        <f t="shared" si="25"/>
        <v>100</v>
      </c>
      <c r="CN10" s="1" t="str">
        <f t="shared" si="0"/>
        <v>0.0107986736111111+5.39933680555556i</v>
      </c>
      <c r="CO10" s="1" t="str">
        <f t="shared" si="1"/>
        <v>-0.215973472222222i</v>
      </c>
      <c r="CP10" s="1" t="str">
        <f t="shared" si="8"/>
        <v>10.7986736111111</v>
      </c>
      <c r="CQ10" s="1" t="str">
        <f t="shared" si="2"/>
        <v>-5.18336333333333i</v>
      </c>
      <c r="CR10" s="1" t="str">
        <f t="shared" si="9"/>
        <v>0.0107986736111111+5.18336333333334i</v>
      </c>
      <c r="CS10" s="1" t="str">
        <f t="shared" si="10"/>
        <v>2.02760617062525+4.20590646496825i</v>
      </c>
      <c r="CT10" s="1" t="str">
        <f t="shared" si="11"/>
        <v>2.02760617062525-0.97745686836508i</v>
      </c>
      <c r="CU10" s="1">
        <f t="shared" si="12"/>
        <v>2.2509128620787742</v>
      </c>
      <c r="CV10" s="69">
        <f t="shared" si="3"/>
        <v>225.09128620787743</v>
      </c>
      <c r="CW10" s="34">
        <f t="shared" si="4"/>
        <v>43.238055916600118</v>
      </c>
      <c r="CX10" s="34">
        <f t="shared" si="5"/>
        <v>90.079087675664354</v>
      </c>
      <c r="CY10" s="34">
        <f t="shared" si="26"/>
        <v>90.079087675664354</v>
      </c>
      <c r="CZ10" s="14">
        <f t="shared" si="13"/>
        <v>20188.43865489903</v>
      </c>
      <c r="DA10" s="14">
        <f t="shared" si="14"/>
        <v>87.623051353505346</v>
      </c>
      <c r="DB10" s="14">
        <f t="shared" si="6"/>
        <v>518.33633333333341</v>
      </c>
      <c r="DC10" s="145">
        <f t="shared" si="27"/>
        <v>518.33633333333341</v>
      </c>
      <c r="DD10" s="14">
        <f t="shared" si="7"/>
        <v>733.0382724707415</v>
      </c>
      <c r="DE10" s="14">
        <f t="shared" si="28"/>
        <v>733.0382724707415</v>
      </c>
      <c r="DF10" s="147">
        <f t="shared" si="15"/>
        <v>51833.633333333339</v>
      </c>
      <c r="DG10" s="147">
        <f t="shared" si="29"/>
        <v>51833.633333333339</v>
      </c>
      <c r="DH10">
        <f t="shared" si="16"/>
        <v>97.273466699616094</v>
      </c>
      <c r="DI10" s="2">
        <f t="shared" si="30"/>
        <v>97.273466699616094</v>
      </c>
      <c r="DJ10" s="2">
        <f t="shared" si="17"/>
        <v>137.56545586564471</v>
      </c>
      <c r="DK10" s="2">
        <f t="shared" si="18"/>
        <v>137.56545586564471</v>
      </c>
      <c r="DL10" s="1">
        <f t="shared" si="19"/>
        <v>8762.3051353505361</v>
      </c>
      <c r="DM10" s="1">
        <f t="shared" si="20"/>
        <v>8762.3051353505361</v>
      </c>
      <c r="DO10" s="15">
        <f t="shared" si="21"/>
        <v>5</v>
      </c>
      <c r="DP10" s="14">
        <f t="shared" si="22"/>
        <v>100</v>
      </c>
      <c r="DQ10" s="14">
        <f t="shared" si="23"/>
        <v>90.079087675664354</v>
      </c>
      <c r="DR10" s="14">
        <f t="shared" si="24"/>
        <v>135.11863151349652</v>
      </c>
    </row>
    <row r="11" spans="2:122" ht="18" customHeight="1" x14ac:dyDescent="0.25">
      <c r="B11" s="28"/>
      <c r="C11" s="24"/>
      <c r="D11" s="24"/>
      <c r="E11" s="24"/>
      <c r="F11" s="24"/>
      <c r="G11" s="9" t="s">
        <v>11</v>
      </c>
      <c r="H11" s="234" t="s">
        <v>745</v>
      </c>
      <c r="I11" s="234"/>
      <c r="J11" s="234"/>
      <c r="K11" s="234"/>
      <c r="L11" s="234"/>
      <c r="M11" s="234"/>
      <c r="N11" s="234"/>
      <c r="O11" s="234"/>
      <c r="P11" s="234"/>
      <c r="Q11" s="234"/>
      <c r="R11" s="234"/>
      <c r="S11" s="234"/>
      <c r="T11" s="234"/>
      <c r="U11" s="234"/>
      <c r="V11" s="234"/>
      <c r="W11" s="234"/>
      <c r="X11" s="24"/>
      <c r="Y11" s="24"/>
      <c r="Z11" s="24"/>
      <c r="AA11" s="24"/>
      <c r="AC11" s="9" t="s">
        <v>13</v>
      </c>
      <c r="AD11" s="24"/>
      <c r="AE11" s="263" t="s">
        <v>14</v>
      </c>
      <c r="AF11" s="263"/>
      <c r="AG11" s="263"/>
      <c r="AH11" s="263"/>
      <c r="AI11" s="263"/>
      <c r="AJ11" s="263"/>
      <c r="AK11" s="263"/>
      <c r="AL11" s="263"/>
      <c r="AM11" s="263"/>
      <c r="AN11" s="263"/>
      <c r="AO11" s="24"/>
      <c r="AP11" s="8"/>
      <c r="AR11" s="6"/>
      <c r="BF11" s="257" t="s">
        <v>15</v>
      </c>
      <c r="BG11" s="359"/>
      <c r="BH11" s="359"/>
      <c r="BI11" s="359"/>
      <c r="BJ11" s="359"/>
      <c r="BK11" s="359"/>
      <c r="BL11" s="359"/>
      <c r="BN11" s="257" t="s">
        <v>413</v>
      </c>
      <c r="BO11" s="257"/>
      <c r="BP11" s="257"/>
      <c r="BQ11" s="257"/>
      <c r="BR11" s="257"/>
      <c r="BS11" s="257"/>
      <c r="BT11" s="257"/>
      <c r="CE11" s="24"/>
      <c r="CF11" s="8"/>
      <c r="CK11" s="69">
        <f>T24</f>
        <v>7</v>
      </c>
      <c r="CL11" s="69">
        <f>T25</f>
        <v>80</v>
      </c>
      <c r="CM11" s="69">
        <f t="shared" si="25"/>
        <v>80</v>
      </c>
      <c r="CN11" s="1" t="str">
        <f t="shared" si="0"/>
        <v>0.0107986736111111+7.55907152777778i</v>
      </c>
      <c r="CO11" s="1" t="str">
        <f t="shared" si="1"/>
        <v>-0.154266765873016i</v>
      </c>
      <c r="CP11" s="1" t="str">
        <f t="shared" si="8"/>
        <v>10.7986736111111</v>
      </c>
      <c r="CQ11" s="1" t="str">
        <f t="shared" si="2"/>
        <v>-3.70240238095238i</v>
      </c>
      <c r="CR11" s="1" t="str">
        <f t="shared" si="9"/>
        <v>0.0107986736111111+7.40480476190476i</v>
      </c>
      <c r="CS11" s="1" t="str">
        <f t="shared" si="10"/>
        <v>3.45630506505592+5.02973726574354i</v>
      </c>
      <c r="CT11" s="1" t="str">
        <f t="shared" si="11"/>
        <v>3.45630506505592+1.32733488479116i</v>
      </c>
      <c r="CU11" s="1">
        <f t="shared" si="12"/>
        <v>3.702413077860812</v>
      </c>
      <c r="CV11" s="69">
        <f t="shared" si="3"/>
        <v>296.19304622886494</v>
      </c>
      <c r="CW11" s="34">
        <f t="shared" si="4"/>
        <v>45.211559745277</v>
      </c>
      <c r="CX11" s="34">
        <f t="shared" si="5"/>
        <v>65.933454517036822</v>
      </c>
      <c r="CY11" s="34">
        <f t="shared" si="26"/>
        <v>65.933454517036822</v>
      </c>
      <c r="CZ11" s="14">
        <f t="shared" si="13"/>
        <v>22073.408201877643</v>
      </c>
      <c r="DA11" s="14">
        <f t="shared" si="14"/>
        <v>46.944214480273097</v>
      </c>
      <c r="DB11" s="14">
        <f t="shared" si="6"/>
        <v>296.19219047619055</v>
      </c>
      <c r="DC11" s="145">
        <f t="shared" si="27"/>
        <v>296.19219047619055</v>
      </c>
      <c r="DD11" s="14">
        <f t="shared" si="7"/>
        <v>418.8790128404238</v>
      </c>
      <c r="DE11" s="14">
        <f t="shared" si="28"/>
        <v>418.8790128404238</v>
      </c>
      <c r="DF11" s="147">
        <f t="shared" si="15"/>
        <v>23695.375238095243</v>
      </c>
      <c r="DG11" s="147">
        <f t="shared" si="29"/>
        <v>23695.375238095243</v>
      </c>
      <c r="DH11">
        <f t="shared" si="16"/>
        <v>71.199385538252045</v>
      </c>
      <c r="DI11" s="2">
        <f t="shared" si="30"/>
        <v>71.199385538252045</v>
      </c>
      <c r="DJ11" s="2">
        <f t="shared" si="17"/>
        <v>100.69113666082686</v>
      </c>
      <c r="DK11" s="2">
        <f t="shared" si="18"/>
        <v>100.69113666082686</v>
      </c>
      <c r="DL11" s="1">
        <f t="shared" si="19"/>
        <v>4694.4214480273104</v>
      </c>
      <c r="DM11" s="1">
        <f t="shared" si="20"/>
        <v>4694.4214480273104</v>
      </c>
      <c r="DO11" s="15">
        <f t="shared" si="21"/>
        <v>7</v>
      </c>
      <c r="DP11" s="14">
        <f t="shared" si="22"/>
        <v>80</v>
      </c>
      <c r="DQ11" s="14">
        <f t="shared" si="23"/>
        <v>65.933454517036822</v>
      </c>
      <c r="DR11" s="14">
        <f t="shared" si="24"/>
        <v>98.900181775555239</v>
      </c>
    </row>
    <row r="12" spans="2:122" ht="18" customHeight="1" x14ac:dyDescent="0.25">
      <c r="B12" s="28"/>
      <c r="C12" s="24"/>
      <c r="D12" s="24"/>
      <c r="E12" s="24"/>
      <c r="F12" s="24"/>
      <c r="G12" s="9" t="s">
        <v>16</v>
      </c>
      <c r="H12" s="234" t="s">
        <v>17</v>
      </c>
      <c r="I12" s="234"/>
      <c r="J12" s="234"/>
      <c r="K12" s="234"/>
      <c r="L12" s="234"/>
      <c r="M12" s="234"/>
      <c r="N12" s="234"/>
      <c r="O12" s="234"/>
      <c r="P12" s="234"/>
      <c r="Q12" s="234"/>
      <c r="R12" s="234"/>
      <c r="S12" s="234"/>
      <c r="T12" s="234"/>
      <c r="U12" s="234"/>
      <c r="V12" s="234"/>
      <c r="W12" s="234"/>
      <c r="X12" s="24"/>
      <c r="Y12" s="24"/>
      <c r="Z12" s="24"/>
      <c r="AA12" s="24"/>
      <c r="AB12" s="24"/>
      <c r="AC12" s="9" t="s">
        <v>18</v>
      </c>
      <c r="AD12" s="24"/>
      <c r="AE12" s="269" t="s">
        <v>19</v>
      </c>
      <c r="AF12" s="270"/>
      <c r="AG12" s="270"/>
      <c r="AH12" s="270"/>
      <c r="AI12" s="270"/>
      <c r="AJ12" s="270"/>
      <c r="AK12" s="270"/>
      <c r="AL12" s="270"/>
      <c r="AM12" s="270"/>
      <c r="AN12" s="271"/>
      <c r="AO12" s="24"/>
      <c r="AP12" s="8"/>
      <c r="AR12" s="6"/>
      <c r="AT12" s="172" t="s">
        <v>20</v>
      </c>
      <c r="AU12" s="172"/>
      <c r="AV12" s="172"/>
      <c r="AW12" s="172"/>
      <c r="AX12" s="172"/>
      <c r="AY12" s="172"/>
      <c r="AZ12" s="172"/>
      <c r="BA12" s="172"/>
      <c r="BB12" s="172"/>
      <c r="BC12" s="172"/>
      <c r="BD12" s="172"/>
      <c r="BF12" s="172"/>
      <c r="BG12" s="172"/>
      <c r="BH12" s="172"/>
      <c r="BI12" s="172"/>
      <c r="BJ12" s="172"/>
      <c r="BK12" s="172"/>
      <c r="BL12" s="172"/>
      <c r="BN12" s="201"/>
      <c r="BO12" s="201"/>
      <c r="BP12" s="201"/>
      <c r="BQ12" s="201"/>
      <c r="BR12" s="201"/>
      <c r="BS12" s="201"/>
      <c r="BT12" s="201"/>
      <c r="BV12" s="172" t="s">
        <v>21</v>
      </c>
      <c r="BW12" s="172"/>
      <c r="BX12" s="172"/>
      <c r="BY12" s="172"/>
      <c r="BZ12" s="172"/>
      <c r="CE12" s="24"/>
      <c r="CF12" s="8"/>
      <c r="CK12" s="69">
        <f>V24</f>
        <v>11</v>
      </c>
      <c r="CL12" s="69">
        <f>V25</f>
        <v>60</v>
      </c>
      <c r="CM12" s="69">
        <f t="shared" si="25"/>
        <v>60</v>
      </c>
      <c r="CN12" s="1" t="str">
        <f t="shared" si="0"/>
        <v>0.0107986736111111+11.8785409722222i</v>
      </c>
      <c r="CO12" s="1" t="str">
        <f t="shared" si="1"/>
        <v>-0.0981697601010101i</v>
      </c>
      <c r="CP12" s="1" t="str">
        <f t="shared" si="8"/>
        <v>10.7986736111111</v>
      </c>
      <c r="CQ12" s="1" t="str">
        <f t="shared" si="2"/>
        <v>-2.35607424242424i</v>
      </c>
      <c r="CR12" s="1" t="str">
        <f t="shared" si="9"/>
        <v>0.0107986736111111+11.7803712121212i</v>
      </c>
      <c r="CS12" s="1" t="str">
        <f t="shared" si="10"/>
        <v>5.86753318167913+5.37405187114555i</v>
      </c>
      <c r="CT12" s="1" t="str">
        <f t="shared" si="11"/>
        <v>5.86753318167913+3.01797762872131i</v>
      </c>
      <c r="CU12" s="1">
        <f t="shared" si="12"/>
        <v>6.5981917678685207</v>
      </c>
      <c r="CV12" s="69">
        <f t="shared" si="3"/>
        <v>395.89150607211127</v>
      </c>
      <c r="CW12" s="34">
        <f t="shared" si="4"/>
        <v>44.209075481773212</v>
      </c>
      <c r="CX12" s="34">
        <f t="shared" si="5"/>
        <v>40.524968832180278</v>
      </c>
      <c r="CY12" s="34">
        <f t="shared" si="26"/>
        <v>40.524968832180278</v>
      </c>
      <c r="CZ12" s="14">
        <f t="shared" si="13"/>
        <v>21105.385082870129</v>
      </c>
      <c r="DA12" s="14">
        <f t="shared" si="14"/>
        <v>17.734371174780346</v>
      </c>
      <c r="DB12" s="14">
        <f t="shared" si="6"/>
        <v>141.36445454545458</v>
      </c>
      <c r="DC12" s="145">
        <f t="shared" si="27"/>
        <v>141.36445454545458</v>
      </c>
      <c r="DD12" s="14">
        <f t="shared" si="7"/>
        <v>199.91952885565681</v>
      </c>
      <c r="DE12" s="14">
        <f t="shared" si="28"/>
        <v>199.91952885565681</v>
      </c>
      <c r="DF12" s="147">
        <f t="shared" si="15"/>
        <v>8481.8672727272751</v>
      </c>
      <c r="DG12" s="147">
        <f t="shared" si="29"/>
        <v>8481.8672727272751</v>
      </c>
      <c r="DH12">
        <f t="shared" si="16"/>
        <v>43.761591151916555</v>
      </c>
      <c r="DI12" s="2">
        <f t="shared" si="30"/>
        <v>43.761591151916555</v>
      </c>
      <c r="DJ12" s="2">
        <f t="shared" si="17"/>
        <v>61.888235718066831</v>
      </c>
      <c r="DK12" s="2">
        <f t="shared" si="18"/>
        <v>61.888235718066831</v>
      </c>
      <c r="DL12" s="1">
        <f t="shared" si="19"/>
        <v>1773.4371174780347</v>
      </c>
      <c r="DM12" s="1">
        <f t="shared" si="20"/>
        <v>1773.4371174780347</v>
      </c>
      <c r="DO12" s="15">
        <f t="shared" si="21"/>
        <v>11</v>
      </c>
      <c r="DP12" s="14">
        <f t="shared" si="22"/>
        <v>60</v>
      </c>
      <c r="DQ12" s="14">
        <f t="shared" si="23"/>
        <v>40.524968832180278</v>
      </c>
      <c r="DR12" s="14">
        <f t="shared" si="24"/>
        <v>60.787453248270417</v>
      </c>
    </row>
    <row r="13" spans="2:122" ht="18" customHeight="1" x14ac:dyDescent="0.25">
      <c r="B13" s="28"/>
      <c r="C13" s="24"/>
      <c r="D13" s="24"/>
      <c r="E13" s="24"/>
      <c r="F13" s="24"/>
      <c r="G13" s="9" t="s">
        <v>22</v>
      </c>
      <c r="H13" s="234" t="s">
        <v>23</v>
      </c>
      <c r="I13" s="234"/>
      <c r="J13" s="234"/>
      <c r="K13" s="234"/>
      <c r="L13" s="234"/>
      <c r="M13" s="234"/>
      <c r="N13" s="234"/>
      <c r="O13" s="234"/>
      <c r="P13" s="234"/>
      <c r="Q13" s="234"/>
      <c r="R13" s="234"/>
      <c r="S13" s="234"/>
      <c r="T13" s="234"/>
      <c r="U13" s="234"/>
      <c r="V13" s="234"/>
      <c r="W13" s="234"/>
      <c r="X13" s="24"/>
      <c r="Y13" s="24"/>
      <c r="Z13" s="24"/>
      <c r="AA13" s="24"/>
      <c r="AB13" s="24"/>
      <c r="AC13" s="9" t="s">
        <v>24</v>
      </c>
      <c r="AD13" s="24"/>
      <c r="AE13" s="269" t="s">
        <v>25</v>
      </c>
      <c r="AF13" s="270"/>
      <c r="AG13" s="270"/>
      <c r="AH13" s="270"/>
      <c r="AI13" s="270"/>
      <c r="AJ13" s="270"/>
      <c r="AK13" s="270"/>
      <c r="AL13" s="270"/>
      <c r="AM13" s="270"/>
      <c r="AN13" s="271"/>
      <c r="AO13" s="24"/>
      <c r="AP13" s="8"/>
      <c r="AR13" s="6"/>
      <c r="BD13" s="29" t="s">
        <v>26</v>
      </c>
      <c r="BF13" s="356">
        <f>BJ21/S28</f>
        <v>0.72635559078327516</v>
      </c>
      <c r="BG13" s="356"/>
      <c r="BH13" s="356"/>
      <c r="BI13" s="356"/>
      <c r="BJ13" s="356"/>
      <c r="BK13" s="356"/>
      <c r="BL13" s="356"/>
      <c r="BN13" s="360">
        <f>(DC23/1000)/S28</f>
        <v>0.79848571351159259</v>
      </c>
      <c r="BO13" s="360"/>
      <c r="BP13" s="360"/>
      <c r="BQ13" s="360"/>
      <c r="BR13" s="360"/>
      <c r="BS13" s="360"/>
      <c r="BT13" s="360"/>
      <c r="BV13" s="213">
        <f>IF(LEFT(J30,2)="SD",1.1,1.25)</f>
        <v>1.25</v>
      </c>
      <c r="BW13" s="213"/>
      <c r="BX13" s="213"/>
      <c r="BY13" s="213"/>
      <c r="BZ13" s="213"/>
      <c r="CE13" s="24"/>
      <c r="CF13" s="8"/>
      <c r="CK13" s="69">
        <f>X24</f>
        <v>13</v>
      </c>
      <c r="CL13" s="69">
        <f>X25</f>
        <v>30</v>
      </c>
      <c r="CM13" s="69">
        <f t="shared" si="25"/>
        <v>30</v>
      </c>
      <c r="CN13" s="1" t="str">
        <f t="shared" si="0"/>
        <v>0.0107986736111111+14.0382756944444i</v>
      </c>
      <c r="CO13" s="1" t="str">
        <f t="shared" si="1"/>
        <v>-0.0830667200854701i</v>
      </c>
      <c r="CP13" s="1" t="str">
        <f t="shared" si="8"/>
        <v>10.7986736111111</v>
      </c>
      <c r="CQ13" s="1" t="str">
        <f t="shared" si="2"/>
        <v>-1.99360128205128i</v>
      </c>
      <c r="CR13" s="1" t="str">
        <f t="shared" si="9"/>
        <v>0.0107986736111111+13.9552089743589i</v>
      </c>
      <c r="CS13" s="1" t="str">
        <f t="shared" si="10"/>
        <v>6.75330352565405+5.2226402394281i</v>
      </c>
      <c r="CT13" s="1" t="str">
        <f t="shared" si="11"/>
        <v>6.75330352565405+3.22903895737682i</v>
      </c>
      <c r="CU13" s="1">
        <f t="shared" si="12"/>
        <v>7.4855728637071337</v>
      </c>
      <c r="CV13" s="69">
        <f t="shared" si="3"/>
        <v>224.56718591121401</v>
      </c>
      <c r="CW13" s="34">
        <f t="shared" si="4"/>
        <v>23.717242674816575</v>
      </c>
      <c r="CX13" s="34">
        <f t="shared" si="5"/>
        <v>18.352622765673079</v>
      </c>
      <c r="CY13" s="34">
        <f t="shared" si="26"/>
        <v>18.352622765673079</v>
      </c>
      <c r="CZ13" s="14">
        <f t="shared" si="13"/>
        <v>6074.3359772076346</v>
      </c>
      <c r="DA13" s="14">
        <f t="shared" si="14"/>
        <v>3.6371958810303107</v>
      </c>
      <c r="DB13" s="14">
        <f t="shared" si="6"/>
        <v>59.80803846153848</v>
      </c>
      <c r="DC13" s="145">
        <f t="shared" si="27"/>
        <v>59.80803846153848</v>
      </c>
      <c r="DD13" s="14">
        <f t="shared" si="7"/>
        <v>84.581339131239417</v>
      </c>
      <c r="DE13" s="14">
        <f t="shared" si="28"/>
        <v>84.581339131239417</v>
      </c>
      <c r="DF13" s="147">
        <f t="shared" si="15"/>
        <v>1794.2411538461542</v>
      </c>
      <c r="DG13" s="147">
        <f t="shared" si="29"/>
        <v>1794.2411538461542</v>
      </c>
      <c r="DH13">
        <f t="shared" si="16"/>
        <v>19.818398315435093</v>
      </c>
      <c r="DI13" s="2">
        <f t="shared" si="30"/>
        <v>19.818398315435093</v>
      </c>
      <c r="DJ13" s="2">
        <f t="shared" si="17"/>
        <v>28.02744768220041</v>
      </c>
      <c r="DK13" s="2">
        <f t="shared" si="18"/>
        <v>28.02744768220041</v>
      </c>
      <c r="DL13" s="1">
        <f t="shared" si="19"/>
        <v>363.71958810303113</v>
      </c>
      <c r="DM13" s="1">
        <f t="shared" si="20"/>
        <v>363.71958810303113</v>
      </c>
      <c r="DO13" s="15">
        <f t="shared" si="21"/>
        <v>13</v>
      </c>
      <c r="DP13" s="14">
        <f t="shared" si="22"/>
        <v>30</v>
      </c>
      <c r="DQ13" s="14">
        <f t="shared" si="23"/>
        <v>18.352622765673079</v>
      </c>
      <c r="DR13" s="14">
        <f t="shared" si="24"/>
        <v>27.52893414850962</v>
      </c>
    </row>
    <row r="14" spans="2:122" ht="18" customHeight="1" x14ac:dyDescent="0.25">
      <c r="B14" s="28"/>
      <c r="C14" s="24"/>
      <c r="D14" s="24"/>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8"/>
      <c r="AR14" s="6"/>
      <c r="BD14" s="29" t="s">
        <v>27</v>
      </c>
      <c r="BF14" s="204">
        <f>(DD23/1000)/(S28*SQRT(2))</f>
        <v>0.83373178337070952</v>
      </c>
      <c r="BG14" s="204"/>
      <c r="BH14" s="204"/>
      <c r="BI14" s="204"/>
      <c r="BJ14" s="204"/>
      <c r="BK14" s="204"/>
      <c r="BL14" s="204"/>
      <c r="BN14" s="360">
        <f>(DE23/1000)/(S28*SQRT(2))</f>
        <v>0.90610218985212654</v>
      </c>
      <c r="BO14" s="360"/>
      <c r="BP14" s="360"/>
      <c r="BQ14" s="360"/>
      <c r="BR14" s="360"/>
      <c r="BS14" s="360"/>
      <c r="BT14" s="360"/>
      <c r="BV14" s="203">
        <f>IF(LEFT(J30,2)="SD",1.2,1.35)</f>
        <v>1.35</v>
      </c>
      <c r="BW14" s="203"/>
      <c r="BX14" s="203"/>
      <c r="BY14" s="203"/>
      <c r="BZ14" s="203"/>
      <c r="CF14" s="8"/>
      <c r="CK14" s="69">
        <f>Z24</f>
        <v>17</v>
      </c>
      <c r="CL14" s="69">
        <f>Z25</f>
        <v>20</v>
      </c>
      <c r="CM14" s="69">
        <f t="shared" si="25"/>
        <v>20</v>
      </c>
      <c r="CN14" s="1" t="str">
        <f t="shared" si="0"/>
        <v>0.0107986736111111+18.3577451388889i</v>
      </c>
      <c r="CO14" s="1" t="str">
        <f t="shared" si="1"/>
        <v>-0.0635216094771242i</v>
      </c>
      <c r="CP14" s="1" t="str">
        <f t="shared" si="8"/>
        <v>10.7986736111111</v>
      </c>
      <c r="CQ14" s="1" t="str">
        <f t="shared" si="2"/>
        <v>-1.52451862745098i</v>
      </c>
      <c r="CR14" s="1" t="str">
        <f t="shared" si="9"/>
        <v>0.0107986736111111+18.2942235294118i</v>
      </c>
      <c r="CS14" s="1" t="str">
        <f t="shared" si="10"/>
        <v>8.00699672701265+4.72470436986753i</v>
      </c>
      <c r="CT14" s="1" t="str">
        <f t="shared" si="11"/>
        <v>8.00699672701265+3.20018574241655i</v>
      </c>
      <c r="CU14" s="1">
        <f t="shared" si="12"/>
        <v>8.6228293136509109</v>
      </c>
      <c r="CV14" s="69">
        <f t="shared" si="3"/>
        <v>172.45658627301822</v>
      </c>
      <c r="CW14" s="34">
        <f t="shared" si="4"/>
        <v>17.21884302349476</v>
      </c>
      <c r="CX14" s="34">
        <f t="shared" si="5"/>
        <v>10.163898625120304</v>
      </c>
      <c r="CY14" s="34">
        <f t="shared" si="26"/>
        <v>10.163898625120304</v>
      </c>
      <c r="CZ14" s="14">
        <f t="shared" si="13"/>
        <v>3201.6831356066205</v>
      </c>
      <c r="DA14" s="14">
        <f t="shared" si="14"/>
        <v>1.1155551984409424</v>
      </c>
      <c r="DB14" s="14">
        <f t="shared" si="6"/>
        <v>30.490372549019611</v>
      </c>
      <c r="DC14" s="145">
        <f t="shared" si="27"/>
        <v>30.490372549019611</v>
      </c>
      <c r="DD14" s="14">
        <f t="shared" si="7"/>
        <v>43.119898380631852</v>
      </c>
      <c r="DE14" s="14">
        <f t="shared" si="28"/>
        <v>43.119898380631852</v>
      </c>
      <c r="DF14" s="147">
        <f t="shared" si="15"/>
        <v>609.80745098039233</v>
      </c>
      <c r="DG14" s="147">
        <f t="shared" si="29"/>
        <v>609.80745098039233</v>
      </c>
      <c r="DH14">
        <f t="shared" si="16"/>
        <v>10.975662386909516</v>
      </c>
      <c r="DI14" s="2">
        <f t="shared" si="30"/>
        <v>10.975662386909516</v>
      </c>
      <c r="DJ14" s="2">
        <f t="shared" si="17"/>
        <v>15.521930603595695</v>
      </c>
      <c r="DK14" s="2">
        <f t="shared" si="18"/>
        <v>15.521930603595695</v>
      </c>
      <c r="DL14" s="1">
        <f t="shared" si="19"/>
        <v>111.55551984409426</v>
      </c>
      <c r="DM14" s="1">
        <f t="shared" si="20"/>
        <v>111.55551984409426</v>
      </c>
      <c r="DO14" s="15">
        <f t="shared" si="21"/>
        <v>17</v>
      </c>
      <c r="DP14" s="14">
        <f t="shared" si="22"/>
        <v>20</v>
      </c>
      <c r="DQ14" s="14">
        <f t="shared" si="23"/>
        <v>10.163898625120304</v>
      </c>
      <c r="DR14" s="14">
        <f t="shared" si="24"/>
        <v>15.245847937680455</v>
      </c>
    </row>
    <row r="15" spans="2:122" ht="18" customHeight="1" x14ac:dyDescent="0.3">
      <c r="B15" s="6"/>
      <c r="C15" s="30" t="s">
        <v>28</v>
      </c>
      <c r="D15" s="31"/>
      <c r="E15" s="31"/>
      <c r="F15" s="31"/>
      <c r="G15" s="31"/>
      <c r="H15" s="31"/>
      <c r="I15" s="31"/>
      <c r="J15" s="31"/>
      <c r="K15" s="31"/>
      <c r="AP15" s="8"/>
      <c r="AR15" s="6"/>
      <c r="BD15" s="29" t="str">
        <f>"% "&amp;$S$20&amp;"HZ AMPS:"</f>
        <v>% 60HZ AMPS:</v>
      </c>
      <c r="BF15" s="356">
        <f>CL23/(AJ29/S28)</f>
        <v>0.819361088953244</v>
      </c>
      <c r="BG15" s="356"/>
      <c r="BH15" s="356"/>
      <c r="BI15" s="356"/>
      <c r="BJ15" s="356"/>
      <c r="BK15" s="356"/>
      <c r="BL15" s="356"/>
      <c r="BN15" s="212">
        <f>CM23/(AJ29/S28)</f>
        <v>0.88393415168248912</v>
      </c>
      <c r="BO15" s="212"/>
      <c r="BP15" s="212"/>
      <c r="BQ15" s="212"/>
      <c r="BR15" s="212"/>
      <c r="BS15" s="212"/>
      <c r="BT15" s="212"/>
      <c r="BV15" s="213">
        <v>1.35</v>
      </c>
      <c r="BW15" s="213"/>
      <c r="BX15" s="213"/>
      <c r="BY15" s="213"/>
      <c r="BZ15" s="213"/>
      <c r="CF15" s="8"/>
      <c r="CK15" s="69">
        <f>AB24</f>
        <v>19</v>
      </c>
      <c r="CL15" s="69">
        <f>AB25</f>
        <v>10</v>
      </c>
      <c r="CM15" s="69">
        <f t="shared" si="25"/>
        <v>10</v>
      </c>
      <c r="CN15" s="1" t="str">
        <f t="shared" si="0"/>
        <v>0.0107986736111111+20.5174798611111i</v>
      </c>
      <c r="CO15" s="1" t="str">
        <f t="shared" si="1"/>
        <v>-0.0568351242690059i</v>
      </c>
      <c r="CP15" s="1" t="str">
        <f t="shared" si="8"/>
        <v>10.7986736111111</v>
      </c>
      <c r="CQ15" s="1" t="str">
        <f t="shared" si="2"/>
        <v>-1.36404298245614i</v>
      </c>
      <c r="CR15" s="1" t="str">
        <f t="shared" si="9"/>
        <v>0.0107986736111111+20.4606447368421i</v>
      </c>
      <c r="CS15" s="1" t="str">
        <f t="shared" si="10"/>
        <v>8.44470916773426+4.45568746840351i</v>
      </c>
      <c r="CT15" s="1" t="str">
        <f t="shared" si="11"/>
        <v>8.44470916773426+3.09164448594737i</v>
      </c>
      <c r="CU15" s="1">
        <f t="shared" si="12"/>
        <v>8.9928515252451398</v>
      </c>
      <c r="CV15" s="69">
        <f t="shared" si="3"/>
        <v>89.928515252451405</v>
      </c>
      <c r="CW15" s="34">
        <f t="shared" si="4"/>
        <v>8.8419216740645119</v>
      </c>
      <c r="CX15" s="34">
        <f t="shared" si="5"/>
        <v>4.6665691224880028</v>
      </c>
      <c r="CY15" s="34">
        <f t="shared" si="26"/>
        <v>4.6665691224880028</v>
      </c>
      <c r="CZ15" s="14">
        <f t="shared" si="13"/>
        <v>844.23575549037321</v>
      </c>
      <c r="DA15" s="14">
        <f t="shared" si="14"/>
        <v>0.23516128305463035</v>
      </c>
      <c r="DB15" s="14">
        <f t="shared" si="6"/>
        <v>13.640429824561405</v>
      </c>
      <c r="DC15" s="145">
        <f t="shared" si="27"/>
        <v>13.640429824561405</v>
      </c>
      <c r="DD15" s="14">
        <f t="shared" si="7"/>
        <v>19.290480854493197</v>
      </c>
      <c r="DE15" s="14">
        <f t="shared" si="28"/>
        <v>19.290480854493197</v>
      </c>
      <c r="DF15" s="147">
        <f t="shared" si="15"/>
        <v>136.40429824561406</v>
      </c>
      <c r="DG15" s="147">
        <f t="shared" si="29"/>
        <v>136.40429824561406</v>
      </c>
      <c r="DH15">
        <f t="shared" si="16"/>
        <v>5.039275683743714</v>
      </c>
      <c r="DI15" s="2">
        <f t="shared" si="30"/>
        <v>5.039275683743714</v>
      </c>
      <c r="DJ15" s="2">
        <f t="shared" si="17"/>
        <v>7.1266120164873126</v>
      </c>
      <c r="DK15" s="2">
        <f t="shared" si="18"/>
        <v>7.1266120164873126</v>
      </c>
      <c r="DL15" s="1">
        <f t="shared" si="19"/>
        <v>23.516128305463035</v>
      </c>
      <c r="DM15" s="1">
        <f t="shared" si="20"/>
        <v>23.516128305463035</v>
      </c>
      <c r="DO15" s="15">
        <f t="shared" si="21"/>
        <v>19</v>
      </c>
      <c r="DP15" s="14">
        <f t="shared" si="22"/>
        <v>10</v>
      </c>
      <c r="DQ15" s="14">
        <f t="shared" si="23"/>
        <v>4.6665691224880028</v>
      </c>
      <c r="DR15" s="14">
        <f t="shared" si="24"/>
        <v>6.9998536837320042</v>
      </c>
    </row>
    <row r="16" spans="2:122" ht="18" customHeight="1" x14ac:dyDescent="0.25">
      <c r="B16" s="6"/>
      <c r="D16" s="162" t="s">
        <v>29</v>
      </c>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c r="AM16" s="162"/>
      <c r="AN16" s="162"/>
      <c r="AO16" s="162"/>
      <c r="AP16" s="8"/>
      <c r="AR16" s="6"/>
      <c r="BD16" s="29" t="str">
        <f>"% "&amp;$S$20&amp;"HZ KVAR:"</f>
        <v>% 60HZ KVAR:</v>
      </c>
      <c r="BF16" s="204">
        <f>BJ24/AJ29</f>
        <v>0.54645362296372024</v>
      </c>
      <c r="BG16" s="204"/>
      <c r="BH16" s="204"/>
      <c r="BI16" s="204"/>
      <c r="BJ16" s="204"/>
      <c r="BK16" s="204"/>
      <c r="BL16" s="204"/>
      <c r="BN16" s="202">
        <f>(DG23/1000)/AJ29</f>
        <v>0.6564406133837164</v>
      </c>
      <c r="BO16" s="202"/>
      <c r="BP16" s="202"/>
      <c r="BQ16" s="202"/>
      <c r="BR16" s="202"/>
      <c r="BS16" s="202"/>
      <c r="BT16" s="202"/>
      <c r="BV16" s="203">
        <v>1.35</v>
      </c>
      <c r="BW16" s="203"/>
      <c r="BX16" s="203"/>
      <c r="BY16" s="203"/>
      <c r="BZ16" s="203"/>
      <c r="CF16" s="8"/>
      <c r="CK16" s="69">
        <f>AD24</f>
        <v>23</v>
      </c>
      <c r="CL16" s="69">
        <f>AD25</f>
        <v>10</v>
      </c>
      <c r="CM16" s="69">
        <f t="shared" si="25"/>
        <v>10</v>
      </c>
      <c r="CN16" s="1" t="str">
        <f t="shared" si="0"/>
        <v>0.0107986736111111+24.8369493055556i</v>
      </c>
      <c r="CO16" s="1" t="str">
        <f t="shared" si="1"/>
        <v>-0.0469507548309179i</v>
      </c>
      <c r="CP16" s="1" t="str">
        <f t="shared" si="8"/>
        <v>10.7986736111111</v>
      </c>
      <c r="CQ16" s="1" t="str">
        <f t="shared" si="2"/>
        <v>-1.12681811594203i</v>
      </c>
      <c r="CR16" s="1" t="str">
        <f t="shared" si="9"/>
        <v>0.0107986736111111+24.7899985507247i</v>
      </c>
      <c r="CS16" s="1" t="str">
        <f t="shared" si="10"/>
        <v>9.07523005530667+3.95247447102782i</v>
      </c>
      <c r="CT16" s="1" t="str">
        <f t="shared" si="11"/>
        <v>9.07523005530667+2.82565635508579i</v>
      </c>
      <c r="CU16" s="1">
        <f t="shared" si="12"/>
        <v>9.5049531505304241</v>
      </c>
      <c r="CV16" s="69">
        <f t="shared" si="3"/>
        <v>95.049531505304245</v>
      </c>
      <c r="CW16" s="34">
        <f t="shared" si="4"/>
        <v>9.1664761708782532</v>
      </c>
      <c r="CX16" s="34">
        <f t="shared" si="5"/>
        <v>3.9929721955971016</v>
      </c>
      <c r="CY16" s="34">
        <f t="shared" si="26"/>
        <v>3.9929721955971016</v>
      </c>
      <c r="CZ16" s="14">
        <f t="shared" si="13"/>
        <v>907.35083334727176</v>
      </c>
      <c r="DA16" s="14">
        <f t="shared" si="14"/>
        <v>0.1721721833970454</v>
      </c>
      <c r="DB16" s="14">
        <f t="shared" si="6"/>
        <v>11.268181159420292</v>
      </c>
      <c r="DC16" s="145">
        <f t="shared" si="27"/>
        <v>11.268181159420292</v>
      </c>
      <c r="DD16" s="14">
        <f t="shared" si="7"/>
        <v>15.935614618929165</v>
      </c>
      <c r="DE16" s="14">
        <f t="shared" si="28"/>
        <v>15.935614618929165</v>
      </c>
      <c r="DF16" s="147">
        <f t="shared" si="15"/>
        <v>112.68181159420291</v>
      </c>
      <c r="DG16" s="147">
        <f t="shared" si="29"/>
        <v>112.68181159420291</v>
      </c>
      <c r="DH16">
        <f t="shared" si="16"/>
        <v>4.3118803478494829</v>
      </c>
      <c r="DI16" s="2">
        <f t="shared" si="30"/>
        <v>4.3118803478494829</v>
      </c>
      <c r="DJ16" s="2">
        <f t="shared" si="17"/>
        <v>6.0979196672587577</v>
      </c>
      <c r="DK16" s="2">
        <f t="shared" si="18"/>
        <v>6.0979196672587577</v>
      </c>
      <c r="DL16" s="1">
        <f t="shared" si="19"/>
        <v>17.217218339704541</v>
      </c>
      <c r="DM16" s="1">
        <f t="shared" si="20"/>
        <v>17.217218339704541</v>
      </c>
      <c r="DO16" s="15">
        <f t="shared" si="21"/>
        <v>23</v>
      </c>
      <c r="DP16" s="14">
        <f t="shared" si="22"/>
        <v>10</v>
      </c>
      <c r="DQ16" s="14">
        <f t="shared" si="23"/>
        <v>3.9929721955971016</v>
      </c>
      <c r="DR16" s="14">
        <f t="shared" si="24"/>
        <v>5.9894582933956526</v>
      </c>
    </row>
    <row r="17" spans="2:122" ht="18" customHeight="1" x14ac:dyDescent="0.25">
      <c r="B17" s="28"/>
      <c r="C17" s="24"/>
      <c r="D17" s="24"/>
      <c r="E17" s="24"/>
      <c r="F17" s="24"/>
      <c r="G17" s="24"/>
      <c r="H17" s="24"/>
      <c r="I17" s="24"/>
      <c r="J17" s="24"/>
      <c r="K17" s="24"/>
      <c r="L17" s="24"/>
      <c r="M17" s="24"/>
      <c r="N17" s="24"/>
      <c r="O17" s="24"/>
      <c r="P17" s="24"/>
      <c r="Q17" s="24"/>
      <c r="R17" s="32" t="s">
        <v>31</v>
      </c>
      <c r="S17" s="247">
        <v>12.47</v>
      </c>
      <c r="T17" s="247"/>
      <c r="U17" s="247"/>
      <c r="V17" s="33" t="s">
        <v>32</v>
      </c>
      <c r="W17" s="24"/>
      <c r="X17" s="24"/>
      <c r="Y17" s="24"/>
      <c r="Z17" s="24"/>
      <c r="AA17" s="24"/>
      <c r="AB17" s="24"/>
      <c r="AC17" s="24"/>
      <c r="AD17" s="24"/>
      <c r="AE17" s="24"/>
      <c r="AF17" s="24"/>
      <c r="AG17" s="24"/>
      <c r="AH17" s="24"/>
      <c r="AI17" s="24"/>
      <c r="AJ17" s="32" t="s">
        <v>33</v>
      </c>
      <c r="AK17" s="211">
        <f>S17*S17/(S18*0.001)</f>
        <v>25.916816666666673</v>
      </c>
      <c r="AL17" s="211"/>
      <c r="AM17" s="211"/>
      <c r="AN17" s="24" t="s">
        <v>34</v>
      </c>
      <c r="AO17" s="24"/>
      <c r="AP17" s="8"/>
      <c r="AR17" s="6"/>
      <c r="CF17" s="8"/>
      <c r="CK17" s="69">
        <f>AF24</f>
        <v>25</v>
      </c>
      <c r="CL17" s="69">
        <f>AF25</f>
        <v>10</v>
      </c>
      <c r="CM17" s="69">
        <f t="shared" si="25"/>
        <v>10</v>
      </c>
      <c r="CN17" s="1" t="str">
        <f t="shared" si="0"/>
        <v>0.0107986736111111+26.9966840277778i</v>
      </c>
      <c r="CO17" s="1" t="str">
        <f t="shared" si="1"/>
        <v>-0.0431946944444445i</v>
      </c>
      <c r="CP17" s="1" t="str">
        <f t="shared" si="8"/>
        <v>10.7986736111111</v>
      </c>
      <c r="CQ17" s="1" t="str">
        <f t="shared" si="2"/>
        <v>-1.03667266666667i</v>
      </c>
      <c r="CR17" s="1" t="str">
        <f t="shared" si="9"/>
        <v>0.0107986736111111+26.9534893333334i</v>
      </c>
      <c r="CS17" s="1" t="str">
        <f t="shared" si="10"/>
        <v>9.30400451883406+3.72696708723628i</v>
      </c>
      <c r="CT17" s="1" t="str">
        <f t="shared" si="11"/>
        <v>9.30400451883406+2.69029442056961i</v>
      </c>
      <c r="CU17" s="1">
        <f t="shared" si="12"/>
        <v>9.6851527688432757</v>
      </c>
      <c r="CV17" s="69">
        <f t="shared" si="3"/>
        <v>96.851527688432753</v>
      </c>
      <c r="CW17" s="34">
        <f t="shared" si="4"/>
        <v>9.2814300661590998</v>
      </c>
      <c r="CX17" s="34">
        <f t="shared" si="5"/>
        <v>3.7185213626854945</v>
      </c>
      <c r="CY17" s="34">
        <f t="shared" si="26"/>
        <v>3.7185213626854945</v>
      </c>
      <c r="CZ17" s="14">
        <f t="shared" si="13"/>
        <v>930.25113429177054</v>
      </c>
      <c r="DA17" s="14">
        <f t="shared" si="14"/>
        <v>0.14931759163606853</v>
      </c>
      <c r="DB17" s="14">
        <f t="shared" si="6"/>
        <v>10.366726666666668</v>
      </c>
      <c r="DC17" s="145">
        <f t="shared" si="27"/>
        <v>10.366726666666668</v>
      </c>
      <c r="DD17" s="14">
        <f t="shared" si="7"/>
        <v>14.660765449414832</v>
      </c>
      <c r="DE17" s="14">
        <f t="shared" si="28"/>
        <v>14.660765449414832</v>
      </c>
      <c r="DF17" s="147">
        <f t="shared" si="15"/>
        <v>103.66726666666671</v>
      </c>
      <c r="DG17" s="147">
        <f t="shared" si="29"/>
        <v>103.66726666666671</v>
      </c>
      <c r="DH17">
        <f t="shared" si="16"/>
        <v>4.0155098511584786</v>
      </c>
      <c r="DI17" s="2">
        <f t="shared" si="30"/>
        <v>4.0155098511584786</v>
      </c>
      <c r="DJ17" s="2">
        <f t="shared" si="17"/>
        <v>5.6787884913510887</v>
      </c>
      <c r="DK17" s="2">
        <f t="shared" si="18"/>
        <v>5.6787884913510887</v>
      </c>
      <c r="DL17" s="1">
        <f t="shared" si="19"/>
        <v>14.931759163606854</v>
      </c>
      <c r="DM17" s="1">
        <f t="shared" si="20"/>
        <v>14.931759163606854</v>
      </c>
      <c r="DO17" s="15">
        <f t="shared" si="21"/>
        <v>25</v>
      </c>
      <c r="DP17" s="14">
        <f t="shared" si="22"/>
        <v>10</v>
      </c>
      <c r="DQ17" s="14">
        <f t="shared" si="23"/>
        <v>3.7185213626854945</v>
      </c>
      <c r="DR17" s="14">
        <f t="shared" si="24"/>
        <v>5.5777820440282415</v>
      </c>
    </row>
    <row r="18" spans="2:122" ht="18" customHeight="1" x14ac:dyDescent="0.25">
      <c r="B18" s="28"/>
      <c r="C18" s="24"/>
      <c r="D18" s="24"/>
      <c r="E18" s="177" t="s">
        <v>36</v>
      </c>
      <c r="F18" s="177"/>
      <c r="G18" s="177"/>
      <c r="H18" s="177"/>
      <c r="I18" s="177"/>
      <c r="J18" s="177"/>
      <c r="K18" s="177"/>
      <c r="L18" s="177"/>
      <c r="M18" s="177"/>
      <c r="N18" s="177"/>
      <c r="O18" s="177"/>
      <c r="P18" s="177"/>
      <c r="Q18" s="177"/>
      <c r="R18" s="272"/>
      <c r="S18" s="247">
        <v>6000</v>
      </c>
      <c r="T18" s="247"/>
      <c r="U18" s="247"/>
      <c r="V18" s="36" t="s">
        <v>37</v>
      </c>
      <c r="W18" s="24"/>
      <c r="X18" s="37"/>
      <c r="Y18" s="37"/>
      <c r="Z18" s="37"/>
      <c r="AA18" s="37"/>
      <c r="AB18" s="37"/>
      <c r="AC18" s="37"/>
      <c r="AD18" s="24"/>
      <c r="AE18" s="37"/>
      <c r="AF18" s="37"/>
      <c r="AG18" s="24"/>
      <c r="AH18" s="24"/>
      <c r="AI18" s="24"/>
      <c r="AJ18" s="24"/>
      <c r="AK18" s="24"/>
      <c r="AL18" s="24"/>
      <c r="AM18" s="24"/>
      <c r="AN18" s="24"/>
      <c r="AO18" s="24"/>
      <c r="AP18" s="8"/>
      <c r="AR18" s="6"/>
      <c r="AS18" s="208" t="s">
        <v>200</v>
      </c>
      <c r="AT18" s="208"/>
      <c r="AU18" s="208"/>
      <c r="AV18" s="208"/>
      <c r="AW18" s="208"/>
      <c r="AX18" s="208"/>
      <c r="AY18" s="208"/>
      <c r="AZ18" s="208"/>
      <c r="BA18" s="208"/>
      <c r="BB18" s="208"/>
      <c r="BC18" s="208"/>
      <c r="BD18" s="208"/>
      <c r="BE18" s="208"/>
      <c r="BF18" s="208"/>
      <c r="BG18" s="208"/>
      <c r="BH18" s="208"/>
      <c r="BI18" s="208"/>
      <c r="BJ18" s="211">
        <f>AK20/S29</f>
        <v>55.624829069535664</v>
      </c>
      <c r="BK18" s="211"/>
      <c r="BL18" s="211"/>
      <c r="BM18" s="33" t="s">
        <v>39</v>
      </c>
      <c r="BN18" s="38"/>
      <c r="BO18" s="38"/>
      <c r="BZ18" s="35" t="s">
        <v>40</v>
      </c>
      <c r="CA18" s="386">
        <f>(S28*S28)/AJ28*1000</f>
        <v>129.58408333333335</v>
      </c>
      <c r="CB18" s="386"/>
      <c r="CC18" s="386"/>
      <c r="CD18" s="1" t="s">
        <v>34</v>
      </c>
      <c r="CF18" s="8"/>
      <c r="CK18" s="69">
        <f>AH24</f>
        <v>29</v>
      </c>
      <c r="CL18" s="69">
        <f>AH25</f>
        <v>0</v>
      </c>
      <c r="CM18" s="69">
        <f t="shared" si="25"/>
        <v>0</v>
      </c>
      <c r="CN18" s="1" t="str">
        <f t="shared" si="0"/>
        <v>0.0107986736111111+31.3161534722222i</v>
      </c>
      <c r="CO18" s="1" t="str">
        <f t="shared" si="1"/>
        <v>-0.0372368055555556i</v>
      </c>
      <c r="CP18" s="1" t="str">
        <f t="shared" si="8"/>
        <v>10.7986736111111</v>
      </c>
      <c r="CQ18" s="1" t="str">
        <f t="shared" si="2"/>
        <v>-0.893683333333333i</v>
      </c>
      <c r="CR18" s="1" t="str">
        <f t="shared" si="9"/>
        <v>0.0107986736111111+31.2789166666666i</v>
      </c>
      <c r="CS18" s="1" t="str">
        <f t="shared" si="10"/>
        <v>9.64775182143453+3.33037412011549i</v>
      </c>
      <c r="CT18" s="1" t="str">
        <f t="shared" si="11"/>
        <v>9.64775182143453+2.43669078678216i</v>
      </c>
      <c r="CU18" s="1">
        <f t="shared" si="12"/>
        <v>9.9507073717591723</v>
      </c>
      <c r="CV18" s="69">
        <f t="shared" si="3"/>
        <v>0</v>
      </c>
      <c r="CW18" s="34">
        <f t="shared" si="4"/>
        <v>0</v>
      </c>
      <c r="CX18" s="34">
        <f t="shared" si="5"/>
        <v>0</v>
      </c>
      <c r="CY18" s="34">
        <f t="shared" si="26"/>
        <v>0</v>
      </c>
      <c r="CZ18" s="14">
        <f t="shared" si="13"/>
        <v>0</v>
      </c>
      <c r="DA18" s="14">
        <f t="shared" si="14"/>
        <v>0</v>
      </c>
      <c r="DB18" s="14">
        <f t="shared" si="6"/>
        <v>0</v>
      </c>
      <c r="DC18" s="145">
        <f t="shared" si="27"/>
        <v>0</v>
      </c>
      <c r="DD18" s="14">
        <f t="shared" si="7"/>
        <v>0</v>
      </c>
      <c r="DE18" s="14">
        <f t="shared" si="28"/>
        <v>0</v>
      </c>
      <c r="DF18" s="147">
        <f t="shared" si="15"/>
        <v>0</v>
      </c>
      <c r="DG18" s="147">
        <f t="shared" si="29"/>
        <v>0</v>
      </c>
      <c r="DH18">
        <f t="shared" si="16"/>
        <v>0</v>
      </c>
      <c r="DI18" s="2">
        <f t="shared" si="30"/>
        <v>0</v>
      </c>
      <c r="DJ18" s="2">
        <f t="shared" si="17"/>
        <v>0</v>
      </c>
      <c r="DK18" s="2">
        <f t="shared" si="18"/>
        <v>0</v>
      </c>
      <c r="DL18" s="1">
        <f t="shared" si="19"/>
        <v>0</v>
      </c>
      <c r="DM18" s="1">
        <f t="shared" si="20"/>
        <v>0</v>
      </c>
      <c r="DO18" s="15">
        <f t="shared" si="21"/>
        <v>29</v>
      </c>
      <c r="DP18" s="14">
        <f t="shared" si="22"/>
        <v>0</v>
      </c>
      <c r="DQ18" s="14">
        <f t="shared" si="23"/>
        <v>0</v>
      </c>
      <c r="DR18" s="14">
        <f t="shared" si="24"/>
        <v>0</v>
      </c>
    </row>
    <row r="19" spans="2:122" ht="18" customHeight="1" x14ac:dyDescent="0.25">
      <c r="B19" s="28"/>
      <c r="C19" s="24"/>
      <c r="D19" s="24"/>
      <c r="E19" s="177" t="s">
        <v>41</v>
      </c>
      <c r="F19" s="177"/>
      <c r="G19" s="177"/>
      <c r="H19" s="177"/>
      <c r="I19" s="177"/>
      <c r="J19" s="177"/>
      <c r="K19" s="177"/>
      <c r="L19" s="177"/>
      <c r="M19" s="177"/>
      <c r="N19" s="177"/>
      <c r="O19" s="177"/>
      <c r="P19" s="177"/>
      <c r="Q19" s="177"/>
      <c r="R19" s="272"/>
      <c r="S19" s="358">
        <v>5</v>
      </c>
      <c r="T19" s="358"/>
      <c r="U19" s="358"/>
      <c r="V19" s="33" t="s">
        <v>42</v>
      </c>
      <c r="W19" s="24"/>
      <c r="X19" s="24"/>
      <c r="Y19" s="24"/>
      <c r="Z19" s="24"/>
      <c r="AA19" s="24"/>
      <c r="AB19" s="24"/>
      <c r="AC19" s="24"/>
      <c r="AD19" s="24"/>
      <c r="AE19" s="24"/>
      <c r="AF19" s="24"/>
      <c r="AG19" s="24"/>
      <c r="AH19" s="24"/>
      <c r="AI19" s="24"/>
      <c r="AJ19" s="32" t="s">
        <v>43</v>
      </c>
      <c r="AK19" s="216">
        <f>S19*S20</f>
        <v>300</v>
      </c>
      <c r="AL19" s="216"/>
      <c r="AM19" s="216"/>
      <c r="AN19" s="24" t="s">
        <v>44</v>
      </c>
      <c r="AO19" s="24"/>
      <c r="AP19" s="8"/>
      <c r="AR19" s="6"/>
      <c r="AS19" s="208" t="s">
        <v>290</v>
      </c>
      <c r="AT19" s="208"/>
      <c r="AU19" s="208"/>
      <c r="AV19" s="208"/>
      <c r="AW19" s="208"/>
      <c r="AX19" s="208"/>
      <c r="AY19" s="208"/>
      <c r="AZ19" s="208"/>
      <c r="BA19" s="208"/>
      <c r="BB19" s="208"/>
      <c r="BC19" s="208"/>
      <c r="BD19" s="208"/>
      <c r="BE19" s="208"/>
      <c r="BF19" s="208"/>
      <c r="BG19" s="208"/>
      <c r="BH19" s="208"/>
      <c r="BI19" s="208"/>
      <c r="BJ19" s="185">
        <f>1.8*BJ18</f>
        <v>100.1246923251642</v>
      </c>
      <c r="BK19" s="185"/>
      <c r="BL19" s="185"/>
      <c r="BM19" s="33" t="s">
        <v>39</v>
      </c>
      <c r="BN19" s="38"/>
      <c r="BO19" s="38"/>
      <c r="BZ19" s="35" t="s">
        <v>46</v>
      </c>
      <c r="CA19" s="386">
        <f>1000*1000/(2*3.1415*$S$20*CA18)</f>
        <v>20.470574397450733</v>
      </c>
      <c r="CB19" s="386"/>
      <c r="CC19" s="386"/>
      <c r="CD19" s="1" t="s">
        <v>47</v>
      </c>
      <c r="CF19" s="8"/>
      <c r="CK19" s="69">
        <f>AJ24</f>
        <v>31</v>
      </c>
      <c r="CL19" s="69">
        <f>AJ25</f>
        <v>0</v>
      </c>
      <c r="CM19" s="69">
        <f t="shared" si="25"/>
        <v>0</v>
      </c>
      <c r="CN19" s="1" t="str">
        <f t="shared" si="0"/>
        <v>0.0107986736111111+33.4758881944445i</v>
      </c>
      <c r="CO19" s="1" t="str">
        <f t="shared" si="1"/>
        <v>-0.0348344310035842i</v>
      </c>
      <c r="CP19" s="1" t="str">
        <f t="shared" si="8"/>
        <v>10.7986736111111</v>
      </c>
      <c r="CQ19" s="1" t="str">
        <f t="shared" si="2"/>
        <v>-0.836026344086022i</v>
      </c>
      <c r="CR19" s="1" t="str">
        <f t="shared" si="9"/>
        <v>0.0107986736111111+33.4410537634409i</v>
      </c>
      <c r="CS19" s="1" t="str">
        <f t="shared" si="10"/>
        <v>9.77814296111811+3.15719578483865i</v>
      </c>
      <c r="CT19" s="1" t="str">
        <f t="shared" si="11"/>
        <v>9.77814296111811+2.32116944075263i</v>
      </c>
      <c r="CU19" s="1">
        <f t="shared" si="12"/>
        <v>10.049871011149722</v>
      </c>
      <c r="CV19" s="69">
        <f t="shared" si="3"/>
        <v>0</v>
      </c>
      <c r="CW19" s="34">
        <f t="shared" si="4"/>
        <v>0</v>
      </c>
      <c r="CX19" s="34">
        <f t="shared" si="5"/>
        <v>0</v>
      </c>
      <c r="CY19" s="34">
        <f t="shared" si="26"/>
        <v>0</v>
      </c>
      <c r="CZ19" s="14">
        <f t="shared" si="13"/>
        <v>0</v>
      </c>
      <c r="DA19" s="14">
        <f t="shared" si="14"/>
        <v>0</v>
      </c>
      <c r="DB19" s="14">
        <f t="shared" si="6"/>
        <v>0</v>
      </c>
      <c r="DC19" s="145">
        <f t="shared" si="27"/>
        <v>0</v>
      </c>
      <c r="DD19" s="14">
        <f t="shared" si="7"/>
        <v>0</v>
      </c>
      <c r="DE19" s="14">
        <f t="shared" si="28"/>
        <v>0</v>
      </c>
      <c r="DF19" s="147">
        <f t="shared" si="15"/>
        <v>0</v>
      </c>
      <c r="DG19" s="147">
        <f t="shared" si="29"/>
        <v>0</v>
      </c>
      <c r="DH19">
        <f t="shared" si="16"/>
        <v>0</v>
      </c>
      <c r="DI19" s="2">
        <f t="shared" si="30"/>
        <v>0</v>
      </c>
      <c r="DJ19" s="2">
        <f t="shared" si="17"/>
        <v>0</v>
      </c>
      <c r="DK19" s="2">
        <f t="shared" si="18"/>
        <v>0</v>
      </c>
      <c r="DL19" s="1">
        <f t="shared" si="19"/>
        <v>0</v>
      </c>
      <c r="DM19" s="1">
        <f t="shared" si="20"/>
        <v>0</v>
      </c>
      <c r="DO19" s="15">
        <f t="shared" si="21"/>
        <v>31</v>
      </c>
      <c r="DP19" s="14">
        <f t="shared" si="22"/>
        <v>0</v>
      </c>
      <c r="DQ19" s="14">
        <f t="shared" si="23"/>
        <v>0</v>
      </c>
      <c r="DR19" s="14">
        <f t="shared" si="24"/>
        <v>0</v>
      </c>
    </row>
    <row r="20" spans="2:122" ht="18" customHeight="1" x14ac:dyDescent="0.25">
      <c r="B20" s="28"/>
      <c r="C20" s="24"/>
      <c r="D20" s="24"/>
      <c r="E20" s="177" t="s">
        <v>48</v>
      </c>
      <c r="F20" s="177"/>
      <c r="G20" s="177"/>
      <c r="H20" s="177"/>
      <c r="I20" s="177"/>
      <c r="J20" s="177"/>
      <c r="K20" s="177"/>
      <c r="L20" s="177"/>
      <c r="M20" s="177"/>
      <c r="N20" s="177"/>
      <c r="O20" s="177"/>
      <c r="P20" s="177"/>
      <c r="Q20" s="177"/>
      <c r="R20" s="272"/>
      <c r="S20" s="247">
        <v>60</v>
      </c>
      <c r="T20" s="247"/>
      <c r="U20" s="247"/>
      <c r="V20" s="33" t="s">
        <v>49</v>
      </c>
      <c r="W20" s="24"/>
      <c r="X20" s="24"/>
      <c r="Y20" s="24"/>
      <c r="Z20" s="24"/>
      <c r="AA20" s="24"/>
      <c r="AB20" s="24"/>
      <c r="AC20" s="24"/>
      <c r="AD20" s="24"/>
      <c r="AE20" s="24"/>
      <c r="AF20" s="24"/>
      <c r="AG20" s="24"/>
      <c r="AH20" s="24"/>
      <c r="AI20" s="24"/>
      <c r="AJ20" s="32" t="s">
        <v>50</v>
      </c>
      <c r="AK20" s="185">
        <f>1000*0.001*S18/(S17*1.73)</f>
        <v>278.12414534767834</v>
      </c>
      <c r="AL20" s="185"/>
      <c r="AM20" s="185"/>
      <c r="AN20" s="24" t="s">
        <v>39</v>
      </c>
      <c r="AO20" s="24"/>
      <c r="AP20" s="8"/>
      <c r="AR20" s="6"/>
      <c r="AS20" s="177" t="s">
        <v>201</v>
      </c>
      <c r="AT20" s="177"/>
      <c r="AU20" s="177"/>
      <c r="AV20" s="177"/>
      <c r="AW20" s="177"/>
      <c r="AX20" s="177"/>
      <c r="AY20" s="177"/>
      <c r="AZ20" s="177"/>
      <c r="BA20" s="177"/>
      <c r="BB20" s="177"/>
      <c r="BC20" s="177"/>
      <c r="BD20" s="177"/>
      <c r="BE20" s="177"/>
      <c r="BF20" s="177"/>
      <c r="BG20" s="177"/>
      <c r="BH20" s="177"/>
      <c r="BI20" s="177"/>
      <c r="BJ20" s="211">
        <f>AK20*AJ30/1000</f>
        <v>7.208092485549134</v>
      </c>
      <c r="BK20" s="211"/>
      <c r="BL20" s="211"/>
      <c r="BM20" s="354" t="s">
        <v>32</v>
      </c>
      <c r="BN20" s="354"/>
      <c r="BO20" s="354"/>
      <c r="CF20" s="8"/>
      <c r="CK20" s="69">
        <f>AL24</f>
        <v>35</v>
      </c>
      <c r="CL20" s="69">
        <f>AL25</f>
        <v>10</v>
      </c>
      <c r="CM20" s="69">
        <f t="shared" si="25"/>
        <v>10</v>
      </c>
      <c r="CN20" s="1" t="str">
        <f t="shared" si="0"/>
        <v>0.0107986736111111+37.7953576388889i</v>
      </c>
      <c r="CO20" s="1" t="str">
        <f t="shared" si="1"/>
        <v>-0.0308533531746032i</v>
      </c>
      <c r="CP20" s="1" t="str">
        <f t="shared" si="8"/>
        <v>10.7986736111111</v>
      </c>
      <c r="CQ20" s="1" t="str">
        <f t="shared" si="2"/>
        <v>-0.740480476190476i</v>
      </c>
      <c r="CR20" s="1" t="str">
        <f t="shared" si="9"/>
        <v>0.0107986736111111+37.7645042857143i</v>
      </c>
      <c r="CS20" s="1" t="str">
        <f t="shared" si="10"/>
        <v>9.98175517103539+2.85402646111793i</v>
      </c>
      <c r="CT20" s="1" t="str">
        <f t="shared" si="11"/>
        <v>9.98175517103539+2.11354598492745i</v>
      </c>
      <c r="CU20" s="1">
        <f t="shared" si="12"/>
        <v>10.203063898893053</v>
      </c>
      <c r="CV20" s="69">
        <f t="shared" si="3"/>
        <v>102.03063898893052</v>
      </c>
      <c r="CW20" s="34">
        <f t="shared" si="4"/>
        <v>9.6139197964971679</v>
      </c>
      <c r="CX20" s="34">
        <f t="shared" si="5"/>
        <v>2.7490782607906845</v>
      </c>
      <c r="CY20" s="34">
        <f t="shared" si="26"/>
        <v>2.7490782607906845</v>
      </c>
      <c r="CZ20" s="14">
        <f t="shared" si="13"/>
        <v>998.09390686976622</v>
      </c>
      <c r="DA20" s="14">
        <f t="shared" si="14"/>
        <v>8.1610233773797336E-2</v>
      </c>
      <c r="DB20" s="14">
        <f t="shared" si="6"/>
        <v>7.4048047619047628</v>
      </c>
      <c r="DC20" s="145">
        <f t="shared" si="27"/>
        <v>7.4048047619047628</v>
      </c>
      <c r="DD20" s="14">
        <f t="shared" si="7"/>
        <v>10.471975321010593</v>
      </c>
      <c r="DE20" s="14">
        <f t="shared" si="28"/>
        <v>10.471975321010593</v>
      </c>
      <c r="DF20" s="147">
        <f t="shared" si="15"/>
        <v>74.048047619047637</v>
      </c>
      <c r="DG20" s="147">
        <f t="shared" si="29"/>
        <v>74.048047619047637</v>
      </c>
      <c r="DH20">
        <f t="shared" si="16"/>
        <v>2.96863988696796</v>
      </c>
      <c r="DI20" s="2">
        <f t="shared" si="30"/>
        <v>2.96863988696796</v>
      </c>
      <c r="DJ20" s="2">
        <f t="shared" si="17"/>
        <v>4.1982907899518214</v>
      </c>
      <c r="DK20" s="2">
        <f t="shared" si="18"/>
        <v>4.1982907899518214</v>
      </c>
      <c r="DL20" s="1">
        <f t="shared" si="19"/>
        <v>8.1610233773797347</v>
      </c>
      <c r="DM20" s="1">
        <f t="shared" si="20"/>
        <v>8.1610233773797347</v>
      </c>
      <c r="DO20" s="15">
        <f t="shared" si="21"/>
        <v>35</v>
      </c>
      <c r="DP20" s="14">
        <f t="shared" si="22"/>
        <v>10</v>
      </c>
      <c r="DQ20" s="14">
        <f t="shared" si="23"/>
        <v>2.7490782607906845</v>
      </c>
      <c r="DR20" s="14">
        <f t="shared" si="24"/>
        <v>4.123617391186027</v>
      </c>
    </row>
    <row r="21" spans="2:122" ht="18" customHeight="1" x14ac:dyDescent="0.25">
      <c r="B21" s="28"/>
      <c r="C21" s="177" t="s">
        <v>30</v>
      </c>
      <c r="D21" s="177"/>
      <c r="E21" s="177"/>
      <c r="F21" s="177"/>
      <c r="G21" s="177"/>
      <c r="H21" s="177"/>
      <c r="I21" s="177"/>
      <c r="J21" s="177"/>
      <c r="K21" s="177"/>
      <c r="L21" s="177"/>
      <c r="M21" s="177"/>
      <c r="N21" s="177"/>
      <c r="O21" s="177"/>
      <c r="P21" s="177"/>
      <c r="Q21" s="177"/>
      <c r="R21" s="272"/>
      <c r="S21" s="367">
        <v>2</v>
      </c>
      <c r="T21" s="368"/>
      <c r="U21" s="369"/>
      <c r="V21" s="24"/>
      <c r="W21" s="24"/>
      <c r="X21" s="24"/>
      <c r="Y21" s="24"/>
      <c r="Z21" s="24"/>
      <c r="AA21" s="24"/>
      <c r="AB21" s="24"/>
      <c r="AC21" s="24"/>
      <c r="AD21" s="24"/>
      <c r="AE21" s="24"/>
      <c r="AF21" s="24"/>
      <c r="AG21" s="24"/>
      <c r="AH21" s="24"/>
      <c r="AI21" s="24"/>
      <c r="AJ21" s="32" t="s">
        <v>52</v>
      </c>
      <c r="AK21" s="387">
        <f>CL23</f>
        <v>314.88575741906226</v>
      </c>
      <c r="AL21" s="387"/>
      <c r="AM21" s="387"/>
      <c r="AN21" s="39" t="s">
        <v>39</v>
      </c>
      <c r="AO21" s="24"/>
      <c r="AP21" s="8"/>
      <c r="AR21" s="6"/>
      <c r="AS21" s="177" t="s">
        <v>178</v>
      </c>
      <c r="AT21" s="177"/>
      <c r="AU21" s="177"/>
      <c r="AV21" s="177"/>
      <c r="AW21" s="177"/>
      <c r="AX21" s="177"/>
      <c r="AY21" s="177"/>
      <c r="AZ21" s="177"/>
      <c r="BA21" s="177"/>
      <c r="BB21" s="177"/>
      <c r="BC21" s="177"/>
      <c r="BD21" s="177"/>
      <c r="BE21" s="177"/>
      <c r="BF21" s="177"/>
      <c r="BG21" s="177"/>
      <c r="BH21" s="177"/>
      <c r="BI21" s="177"/>
      <c r="BJ21" s="211">
        <f>DB23/1000</f>
        <v>7.2345016842014216</v>
      </c>
      <c r="BK21" s="211"/>
      <c r="BL21" s="211"/>
      <c r="BM21" s="354" t="s">
        <v>32</v>
      </c>
      <c r="BN21" s="354"/>
      <c r="BO21" s="354"/>
      <c r="CF21" s="8"/>
      <c r="CK21" s="69">
        <f>AN24</f>
        <v>37</v>
      </c>
      <c r="CL21" s="69">
        <f>AN25</f>
        <v>10</v>
      </c>
      <c r="CM21" s="69">
        <f t="shared" si="25"/>
        <v>10</v>
      </c>
      <c r="CN21" s="1" t="str">
        <f t="shared" si="0"/>
        <v>0.0107986736111111+39.9550923611111i</v>
      </c>
      <c r="CO21" s="1" t="str">
        <f t="shared" si="1"/>
        <v>-0.0291856043543544i</v>
      </c>
      <c r="CP21" s="1" t="str">
        <f t="shared" si="8"/>
        <v>10.7986736111111</v>
      </c>
      <c r="CQ21" s="1" t="str">
        <f t="shared" si="2"/>
        <v>-0.700454504504505i</v>
      </c>
      <c r="CR21" s="1" t="str">
        <f t="shared" si="9"/>
        <v>0.0107986736111111+39.9259067567567i</v>
      </c>
      <c r="CS21" s="1" t="str">
        <f t="shared" si="10"/>
        <v>10.0619324601855+2.72122983628859i</v>
      </c>
      <c r="CT21" s="1" t="str">
        <f t="shared" si="11"/>
        <v>10.0619324601855+2.02077533178409i</v>
      </c>
      <c r="CU21" s="1">
        <f t="shared" si="12"/>
        <v>10.262846475266095</v>
      </c>
      <c r="CV21" s="69">
        <f t="shared" si="3"/>
        <v>102.62846475266095</v>
      </c>
      <c r="CW21" s="34">
        <f t="shared" si="4"/>
        <v>9.6524954844935138</v>
      </c>
      <c r="CX21" s="34">
        <f t="shared" si="5"/>
        <v>2.6106894726847236</v>
      </c>
      <c r="CY21" s="34">
        <f t="shared" si="26"/>
        <v>2.6106894726847236</v>
      </c>
      <c r="CZ21" s="14">
        <f t="shared" si="13"/>
        <v>1006.1196455039754</v>
      </c>
      <c r="DA21" s="14">
        <f t="shared" si="14"/>
        <v>7.360051457798085E-2</v>
      </c>
      <c r="DB21" s="14">
        <f t="shared" si="6"/>
        <v>7.0045450450450462</v>
      </c>
      <c r="DC21" s="145">
        <f t="shared" si="27"/>
        <v>7.0045450450450462</v>
      </c>
      <c r="DD21" s="14">
        <f t="shared" si="7"/>
        <v>9.9059226009559662</v>
      </c>
      <c r="DE21" s="14">
        <f t="shared" si="28"/>
        <v>9.9059226009559662</v>
      </c>
      <c r="DF21" s="147">
        <f t="shared" si="15"/>
        <v>70.04545045045046</v>
      </c>
      <c r="DG21" s="147">
        <f t="shared" si="29"/>
        <v>70.04545045045046</v>
      </c>
      <c r="DH21">
        <f t="shared" si="16"/>
        <v>2.8191983515486112</v>
      </c>
      <c r="DI21" s="2">
        <f t="shared" si="30"/>
        <v>2.8191983515486112</v>
      </c>
      <c r="DJ21" s="2">
        <f t="shared" si="17"/>
        <v>3.9869485437799188</v>
      </c>
      <c r="DK21" s="2">
        <f t="shared" si="18"/>
        <v>3.9869485437799188</v>
      </c>
      <c r="DL21" s="1">
        <f t="shared" si="19"/>
        <v>7.360051457798086</v>
      </c>
      <c r="DM21" s="1">
        <f t="shared" si="20"/>
        <v>7.360051457798086</v>
      </c>
      <c r="DO21" s="15">
        <f t="shared" si="21"/>
        <v>37</v>
      </c>
      <c r="DP21" s="14">
        <f t="shared" si="22"/>
        <v>10</v>
      </c>
      <c r="DQ21" s="14">
        <f t="shared" si="23"/>
        <v>2.6106894726847236</v>
      </c>
      <c r="DR21" s="14">
        <f t="shared" si="24"/>
        <v>3.9160342090270852</v>
      </c>
    </row>
    <row r="22" spans="2:122" ht="18" customHeight="1" x14ac:dyDescent="0.25">
      <c r="B22" s="6"/>
      <c r="AP22" s="8"/>
      <c r="AR22" s="6"/>
      <c r="AS22" s="177" t="s">
        <v>179</v>
      </c>
      <c r="AT22" s="177"/>
      <c r="AU22" s="177"/>
      <c r="AV22" s="177"/>
      <c r="AW22" s="177"/>
      <c r="AX22" s="177"/>
      <c r="AY22" s="177"/>
      <c r="AZ22" s="177"/>
      <c r="BA22" s="177"/>
      <c r="BB22" s="177"/>
      <c r="BC22" s="177"/>
      <c r="BD22" s="177"/>
      <c r="BE22" s="177"/>
      <c r="BF22" s="177"/>
      <c r="BG22" s="177"/>
      <c r="BH22" s="177"/>
      <c r="BI22" s="177"/>
      <c r="BJ22" s="248">
        <f>1.414*SUM(N61:Q76)/1000</f>
        <v>11.741811547194391</v>
      </c>
      <c r="BK22" s="248"/>
      <c r="BL22" s="248"/>
      <c r="BM22" s="354" t="s">
        <v>32</v>
      </c>
      <c r="BN22" s="354"/>
      <c r="BO22" s="354"/>
      <c r="CF22" s="8"/>
      <c r="DC22" s="145"/>
      <c r="DI22" s="2"/>
    </row>
    <row r="23" spans="2:122" ht="18" customHeight="1" x14ac:dyDescent="0.25">
      <c r="B23" s="6"/>
      <c r="C23" s="162" t="s">
        <v>55</v>
      </c>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c r="AM23" s="162"/>
      <c r="AN23" s="162"/>
      <c r="AO23" s="162"/>
      <c r="AP23" s="8"/>
      <c r="AR23" s="6"/>
      <c r="AS23" s="177" t="s">
        <v>202</v>
      </c>
      <c r="AT23" s="177"/>
      <c r="AU23" s="177"/>
      <c r="AV23" s="177"/>
      <c r="AW23" s="177"/>
      <c r="AX23" s="177"/>
      <c r="AY23" s="177"/>
      <c r="AZ23" s="177"/>
      <c r="BA23" s="177"/>
      <c r="BB23" s="177"/>
      <c r="BC23" s="177"/>
      <c r="BD23" s="177"/>
      <c r="BE23" s="177"/>
      <c r="BF23" s="177"/>
      <c r="BG23" s="177"/>
      <c r="BH23" s="177"/>
      <c r="BI23" s="177"/>
      <c r="BJ23" s="248">
        <f>CL23</f>
        <v>314.88575741906226</v>
      </c>
      <c r="BK23" s="248"/>
      <c r="BL23" s="248"/>
      <c r="BM23" s="354" t="s">
        <v>39</v>
      </c>
      <c r="BN23" s="354"/>
      <c r="BO23" s="354"/>
      <c r="BX23"/>
      <c r="CF23" s="8"/>
      <c r="CL23" s="98">
        <f>SQRT(SUM(CL6^2,CL7^2,CL8^2,CL9^2,CL10^2,CL11^2,CL12^2,CL13^2,CL14^2,CL15^2,CL16^2,CL17^2,CL18^2,CL19^2,CL20^2,CL21^2))</f>
        <v>314.88575741906226</v>
      </c>
      <c r="CM23" s="98">
        <f>SQRT(SUM(CM6^2,CM7^2,CM8^2,CM9^2,CM10^2,CM11^2,CM12^2,CM13^2,CM14^2,CM15^2,CM16^2,CM17^2,CM18^2,CM19^2,CM20^2,CM21^2))</f>
        <v>339.70160239937871</v>
      </c>
      <c r="CW23" s="98">
        <f>SQRT(SUM(CW6^2,CW7^2,CW8^2,CW9^2,CW10^2,CW11^2,CW12^2,CW13^2,CW14^2,CW15^2,CW16^2,CW17^2,CW18^2,CW19^2,CW20^2,CW21^2))</f>
        <v>84.623148452518137</v>
      </c>
      <c r="CX23" s="98">
        <f>SQRT(SUM(CX6^2,CX7^2,CX8^2,CX9^2,CX10^2,CX11^2,CX12^2,CX13^2,CX14^2,CX15^2,CX16^2,CX17^2,CX18^2,CX19^2,CX20^2,CX21^2))</f>
        <v>302.99892125022848</v>
      </c>
      <c r="CY23" s="98">
        <f>SQRT(SUM(CY6^2,CY7^2,CY8^2,CY9^2,CY10^2,CY11^2,CY12^2,CY13^2,CY14^2,CY15^2,CY16^2,CY17^2,CY18^2,CY19^2,CY20^2,CY21^2))</f>
        <v>328.66403076204813</v>
      </c>
      <c r="CZ23" s="14">
        <f>SUM(CZ6:CZ21)</f>
        <v>77330.135970080562</v>
      </c>
      <c r="DA23" s="14">
        <f>SUM(DA6:DA21)</f>
        <v>991.40836624065207</v>
      </c>
      <c r="DB23" s="98">
        <f>SQRT(SUM(DB6^2,DB7^2,DB8^2,DB9^2,DB10^2,DB11^2,DB12^2,DB13^2,DB14^2,DB15^2,DB16^2,DB17^2,DB18^2,DB19^2,DB20^2,DB21^2))</f>
        <v>7234.501684201422</v>
      </c>
      <c r="DC23" s="98">
        <f>SQRT(SUM(DC6^2,DC7^2,DC8^2,DC9^2,DC10^2,DC11^2,DC12^2,DC13^2,DC14^2,DC15^2,DC16^2,DC17^2,DC18^2,DC19^2,DC20^2,DC21^2))</f>
        <v>7952.917706575462</v>
      </c>
      <c r="DD23" s="14">
        <f>SUM(DD6:DD21)</f>
        <v>11743.584962426674</v>
      </c>
      <c r="DE23" s="14">
        <f>SUM(DE6:DE21)</f>
        <v>12762.963177616992</v>
      </c>
      <c r="DF23" s="147">
        <f>SUM(DF6:DF21)</f>
        <v>2091656.3334539335</v>
      </c>
      <c r="DG23" s="147">
        <f>SUM(DG6:DG21)</f>
        <v>2512652.6915013129</v>
      </c>
      <c r="DH23" s="98">
        <f>SQRT(SUM(DH6^2,DH7^2,DH8^2,DH9^2,DH10^2,DH11^2,DH12^2,DH13^2,DH14^2,DH15^2,DH16^2,DH17^2,DH18^2,DH19^2,DH20^2,DH21^2))</f>
        <v>327.19864550999773</v>
      </c>
      <c r="DI23" s="98">
        <f>SQRT(SUM(DI6^2,DI7^2,DI8^2,DI9^2,DI10^2,DI11^2,DI12^2,DI13^2,DI14^2,DI15^2,DI16^2,DI17^2,DI18^2,DI19^2,DI20^2,DI21^2))</f>
        <v>354.91355959115413</v>
      </c>
      <c r="DJ23" s="2">
        <f>SUM(DJ6:DJ21)</f>
        <v>795.09937242874014</v>
      </c>
      <c r="DK23" s="2">
        <f>SUM(DK6:DK21)</f>
        <v>837.53103306769788</v>
      </c>
      <c r="DL23" s="1">
        <f>SUM(DL6:DL21)</f>
        <v>99140.836624065254</v>
      </c>
      <c r="DM23" s="1">
        <f>SUM(DM6:DM21)</f>
        <v>116647.3210673351</v>
      </c>
    </row>
    <row r="24" spans="2:122" ht="18" customHeight="1" x14ac:dyDescent="0.25">
      <c r="B24" s="6"/>
      <c r="C24" s="159" t="s">
        <v>57</v>
      </c>
      <c r="D24" s="159"/>
      <c r="E24" s="159"/>
      <c r="F24" s="159"/>
      <c r="G24" s="159"/>
      <c r="H24" s="159"/>
      <c r="I24" s="160"/>
      <c r="J24" s="165">
        <v>1</v>
      </c>
      <c r="K24" s="166"/>
      <c r="L24" s="169">
        <v>2</v>
      </c>
      <c r="M24" s="170"/>
      <c r="N24" s="169">
        <v>3</v>
      </c>
      <c r="O24" s="170"/>
      <c r="P24" s="169">
        <v>4</v>
      </c>
      <c r="Q24" s="170"/>
      <c r="R24" s="169">
        <v>5</v>
      </c>
      <c r="S24" s="170"/>
      <c r="T24" s="169">
        <v>7</v>
      </c>
      <c r="U24" s="170"/>
      <c r="V24" s="169">
        <v>11</v>
      </c>
      <c r="W24" s="170"/>
      <c r="X24" s="169">
        <v>13</v>
      </c>
      <c r="Y24" s="170"/>
      <c r="Z24" s="169">
        <v>17</v>
      </c>
      <c r="AA24" s="170"/>
      <c r="AB24" s="169">
        <v>19</v>
      </c>
      <c r="AC24" s="170"/>
      <c r="AD24" s="169">
        <v>23</v>
      </c>
      <c r="AE24" s="170"/>
      <c r="AF24" s="169">
        <v>25</v>
      </c>
      <c r="AG24" s="170"/>
      <c r="AH24" s="169">
        <v>29</v>
      </c>
      <c r="AI24" s="170"/>
      <c r="AJ24" s="169">
        <v>31</v>
      </c>
      <c r="AK24" s="170"/>
      <c r="AL24" s="169">
        <v>35</v>
      </c>
      <c r="AM24" s="170"/>
      <c r="AN24" s="169">
        <v>37</v>
      </c>
      <c r="AO24" s="171"/>
      <c r="AP24" s="8"/>
      <c r="AR24" s="6"/>
      <c r="AS24" s="177" t="s">
        <v>203</v>
      </c>
      <c r="AT24" s="177"/>
      <c r="AU24" s="177"/>
      <c r="AV24" s="177"/>
      <c r="AW24" s="177"/>
      <c r="AX24" s="177"/>
      <c r="AY24" s="177"/>
      <c r="AZ24" s="177"/>
      <c r="BA24" s="177"/>
      <c r="BB24" s="177"/>
      <c r="BC24" s="177"/>
      <c r="BD24" s="177"/>
      <c r="BE24" s="177"/>
      <c r="BF24" s="177"/>
      <c r="BG24" s="177"/>
      <c r="BH24" s="177"/>
      <c r="BI24" s="177"/>
      <c r="BJ24" s="248">
        <f>DF23/1000</f>
        <v>2091.6563334539333</v>
      </c>
      <c r="BK24" s="248"/>
      <c r="BL24" s="248"/>
      <c r="BM24" s="354" t="s">
        <v>37</v>
      </c>
      <c r="BN24" s="354"/>
      <c r="BO24" s="354"/>
      <c r="CF24" s="8"/>
      <c r="CL24" s="2" t="s">
        <v>727</v>
      </c>
      <c r="CM24" s="2" t="s">
        <v>727</v>
      </c>
      <c r="CZ24" s="2"/>
      <c r="DA24" s="2"/>
      <c r="DB24" s="2" t="s">
        <v>97</v>
      </c>
      <c r="DC24" s="144" t="s">
        <v>97</v>
      </c>
      <c r="DD24" s="14" t="s">
        <v>692</v>
      </c>
      <c r="DE24" s="14" t="s">
        <v>722</v>
      </c>
      <c r="DF24" s="144" t="s">
        <v>729</v>
      </c>
      <c r="DG24" s="144" t="s">
        <v>729</v>
      </c>
      <c r="DH24" s="144" t="s">
        <v>97</v>
      </c>
      <c r="DI24" s="2" t="s">
        <v>97</v>
      </c>
      <c r="DJ24" s="2" t="s">
        <v>736</v>
      </c>
      <c r="DK24" s="2" t="s">
        <v>736</v>
      </c>
      <c r="DL24" s="1" t="s">
        <v>740</v>
      </c>
      <c r="DM24" s="1" t="s">
        <v>740</v>
      </c>
    </row>
    <row r="25" spans="2:122" ht="18" customHeight="1" x14ac:dyDescent="0.35">
      <c r="B25" s="6"/>
      <c r="C25" s="159" t="s">
        <v>59</v>
      </c>
      <c r="D25" s="159"/>
      <c r="E25" s="159"/>
      <c r="F25" s="159"/>
      <c r="G25" s="159"/>
      <c r="H25" s="159"/>
      <c r="I25" s="160"/>
      <c r="J25" s="165">
        <f>AK20</f>
        <v>278.12414534767834</v>
      </c>
      <c r="K25" s="166"/>
      <c r="L25" s="169">
        <v>0</v>
      </c>
      <c r="M25" s="170"/>
      <c r="N25" s="169">
        <v>0</v>
      </c>
      <c r="O25" s="170"/>
      <c r="P25" s="169">
        <v>0</v>
      </c>
      <c r="Q25" s="170"/>
      <c r="R25" s="169">
        <v>100</v>
      </c>
      <c r="S25" s="170"/>
      <c r="T25" s="169">
        <v>80</v>
      </c>
      <c r="U25" s="170"/>
      <c r="V25" s="169">
        <v>60</v>
      </c>
      <c r="W25" s="170"/>
      <c r="X25" s="169">
        <v>30</v>
      </c>
      <c r="Y25" s="170"/>
      <c r="Z25" s="169">
        <v>20</v>
      </c>
      <c r="AA25" s="170"/>
      <c r="AB25" s="169">
        <v>10</v>
      </c>
      <c r="AC25" s="170"/>
      <c r="AD25" s="169">
        <v>10</v>
      </c>
      <c r="AE25" s="170"/>
      <c r="AF25" s="169">
        <v>10</v>
      </c>
      <c r="AG25" s="170"/>
      <c r="AH25" s="169">
        <v>0</v>
      </c>
      <c r="AI25" s="170"/>
      <c r="AJ25" s="169">
        <v>0</v>
      </c>
      <c r="AK25" s="170"/>
      <c r="AL25" s="169">
        <v>10</v>
      </c>
      <c r="AM25" s="170"/>
      <c r="AN25" s="169">
        <v>10</v>
      </c>
      <c r="AO25" s="171"/>
      <c r="AP25" s="8"/>
      <c r="AR25" s="6"/>
      <c r="CF25" s="8"/>
      <c r="CN25" s="155" t="str">
        <f t="shared" ref="CN25:CT25" si="31">CN4</f>
        <v>Reactor Impedance</v>
      </c>
      <c r="CO25" s="155" t="str">
        <f t="shared" si="31"/>
        <v>Aux Capacitor Impedance</v>
      </c>
      <c r="CP25" s="155" t="str">
        <f t="shared" si="31"/>
        <v>HP Resistor Impedance</v>
      </c>
      <c r="CQ25" s="155" t="str">
        <f t="shared" si="31"/>
        <v>Main Cap Impedance</v>
      </c>
      <c r="CR25" s="155" t="str">
        <f t="shared" si="31"/>
        <v>Aux Cap+Reactor</v>
      </c>
      <c r="CS25" s="155" t="str">
        <f t="shared" si="31"/>
        <v>Aux Cap &amp; Reactor
// HP Resistor</v>
      </c>
      <c r="CT25" s="155" t="str">
        <f t="shared" si="31"/>
        <v>Whole Filter Impedance</v>
      </c>
      <c r="CW25" s="72"/>
      <c r="CX25" s="277" t="str">
        <f>CT25</f>
        <v>Whole Filter Impedance</v>
      </c>
      <c r="CY25" s="277" t="s">
        <v>499</v>
      </c>
      <c r="CZ25" s="277" t="s">
        <v>703</v>
      </c>
    </row>
    <row r="26" spans="2:122" ht="18" customHeight="1" x14ac:dyDescent="0.25">
      <c r="B26" s="6"/>
      <c r="AP26" s="8"/>
      <c r="AR26" s="6"/>
      <c r="AS26" s="178" t="s">
        <v>274</v>
      </c>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27"/>
      <c r="CM26" s="2" t="str">
        <f>CK5</f>
        <v>Harm #:</v>
      </c>
      <c r="CN26" s="155"/>
      <c r="CO26" s="155"/>
      <c r="CP26" s="155"/>
      <c r="CQ26" s="155"/>
      <c r="CR26" s="155"/>
      <c r="CS26" s="155"/>
      <c r="CT26" s="155"/>
      <c r="CU26" s="1" t="s">
        <v>499</v>
      </c>
      <c r="CV26" s="1" t="s">
        <v>703</v>
      </c>
      <c r="CW26" s="142" t="str">
        <f>CM26</f>
        <v>Harm #:</v>
      </c>
      <c r="CX26" s="277"/>
      <c r="CY26" s="277"/>
      <c r="CZ26" s="277"/>
      <c r="DE26" s="292" t="s">
        <v>743</v>
      </c>
      <c r="DF26" s="292"/>
      <c r="DH26" s="292" t="s">
        <v>744</v>
      </c>
      <c r="DI26" s="292"/>
    </row>
    <row r="27" spans="2:122" ht="18" customHeight="1" x14ac:dyDescent="0.25">
      <c r="B27" s="6"/>
      <c r="C27" s="178" t="s">
        <v>204</v>
      </c>
      <c r="D27" s="178"/>
      <c r="E27" s="178"/>
      <c r="F27" s="178"/>
      <c r="G27" s="178"/>
      <c r="H27" s="178"/>
      <c r="I27" s="178"/>
      <c r="J27" s="178"/>
      <c r="K27" s="178"/>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8"/>
      <c r="AR27" s="6"/>
      <c r="BF27" s="172" t="s">
        <v>10</v>
      </c>
      <c r="BG27" s="172"/>
      <c r="BH27" s="172"/>
      <c r="BI27" s="172"/>
      <c r="BJ27" s="172"/>
      <c r="BK27" s="172"/>
      <c r="BL27" s="172"/>
      <c r="BM27" s="172"/>
      <c r="BN27" s="172"/>
      <c r="BO27" s="172"/>
      <c r="BP27" s="172"/>
      <c r="BQ27" s="172"/>
      <c r="BR27" s="172"/>
      <c r="BS27" s="172"/>
      <c r="BT27" s="172"/>
      <c r="CE27" s="24"/>
      <c r="CF27" s="8"/>
      <c r="CM27" s="2">
        <v>1</v>
      </c>
      <c r="CN27" s="1" t="str">
        <f>COMPLEX($AJ$39/$S$39,$AJ$39*CM27)</f>
        <v>0.0107986736111111+1.07986736111111i</v>
      </c>
      <c r="CO27" s="1" t="str">
        <f>COMPLEX("0",-$AJ$36/CM27)</f>
        <v>-1.07986736111111i</v>
      </c>
      <c r="CP27" s="1" t="str">
        <f>COMPLEX($AJ$45,"0")</f>
        <v>10.7986736111111</v>
      </c>
      <c r="CQ27" s="1" t="str">
        <f>COMPLEX("0",-$AJ$30/CM27)</f>
        <v>-25.9168166666667i</v>
      </c>
      <c r="CR27" s="1" t="str">
        <f>IMSUM(CN27,CO27)</f>
        <v>0.0107986736111111</v>
      </c>
      <c r="CS27" s="1" t="str">
        <f>IMDIV(IMPRODUCT(CR27,CP27),IMSUM(CP27,CR27))</f>
        <v>0.0107878857253857</v>
      </c>
      <c r="CT27" s="1" t="str">
        <f>IMSUM(CS27,CQ27)</f>
        <v>0.0107878857253857-25.9168166666667i</v>
      </c>
      <c r="CU27" s="1" t="str">
        <f>COMPLEX($DC$30,$DC$33*CW27)</f>
        <v>0.0191834803010191+0.479587007525479i</v>
      </c>
      <c r="CV27" s="1" t="str">
        <f>IMDIV(IMPRODUCT(CT27,CU27),IMSUM(CT27,CU27))</f>
        <v>0.0199174768076055+0.488613685983378i</v>
      </c>
      <c r="CW27" s="2">
        <f>CM27</f>
        <v>1</v>
      </c>
      <c r="CX27" s="14">
        <f>IMABS(CT27)</f>
        <v>25.916818911897565</v>
      </c>
      <c r="CY27" s="14">
        <f t="shared" ref="CY27:CY90" si="32">SQRT(($DC$30^2)+(($DC$33*CW27)^2))</f>
        <v>0.47997052378630889</v>
      </c>
      <c r="CZ27" s="14">
        <f>IMABS(CV27)</f>
        <v>0.48901946792806178</v>
      </c>
      <c r="DC27" s="155" t="s">
        <v>499</v>
      </c>
      <c r="DE27" s="14">
        <f>CW27</f>
        <v>1</v>
      </c>
      <c r="DF27" s="151">
        <f>IMABS(IMDIV(CU27,IMSUM(CT27,CU27)))</f>
        <v>1.8868807533457353E-2</v>
      </c>
      <c r="DH27" s="152">
        <f>DE27</f>
        <v>1</v>
      </c>
      <c r="DI27" s="1">
        <f>IMABS(IMDIV(CT27,IMSUM(CT27,CU27)))</f>
        <v>1.0188531247093442</v>
      </c>
    </row>
    <row r="28" spans="2:122" ht="18" customHeight="1" thickBot="1" x14ac:dyDescent="0.4">
      <c r="B28" s="218" t="s">
        <v>205</v>
      </c>
      <c r="C28" s="180"/>
      <c r="D28" s="180"/>
      <c r="E28" s="180"/>
      <c r="F28" s="180"/>
      <c r="G28" s="180"/>
      <c r="H28" s="180"/>
      <c r="I28" s="180"/>
      <c r="J28" s="180"/>
      <c r="K28" s="180"/>
      <c r="L28" s="180"/>
      <c r="M28" s="180"/>
      <c r="N28" s="180"/>
      <c r="O28" s="180"/>
      <c r="P28" s="180"/>
      <c r="Q28" s="180"/>
      <c r="R28" s="350"/>
      <c r="S28" s="383">
        <v>9.9600000000000009</v>
      </c>
      <c r="T28" s="384"/>
      <c r="U28" s="385"/>
      <c r="V28" s="1" t="s">
        <v>32</v>
      </c>
      <c r="AI28" s="29" t="s">
        <v>62</v>
      </c>
      <c r="AJ28" s="199">
        <f>AJ29/S29</f>
        <v>765.53846312143537</v>
      </c>
      <c r="AK28" s="199"/>
      <c r="AL28" s="199"/>
      <c r="AM28" s="1" t="s">
        <v>37</v>
      </c>
      <c r="AP28" s="8"/>
      <c r="AR28" s="6"/>
      <c r="BF28" s="257" t="s">
        <v>15</v>
      </c>
      <c r="BG28" s="359"/>
      <c r="BH28" s="359"/>
      <c r="BI28" s="359"/>
      <c r="BJ28" s="359"/>
      <c r="BK28" s="359"/>
      <c r="BL28" s="359"/>
      <c r="BN28" s="257" t="s">
        <v>413</v>
      </c>
      <c r="BO28" s="257"/>
      <c r="BP28" s="257"/>
      <c r="BQ28" s="257"/>
      <c r="BR28" s="257"/>
      <c r="BS28" s="257"/>
      <c r="BT28" s="257"/>
      <c r="CE28" s="24"/>
      <c r="CF28" s="8"/>
      <c r="CM28" s="2">
        <f>CM27+0.2</f>
        <v>1.2</v>
      </c>
      <c r="CN28" s="1" t="str">
        <f t="shared" ref="CN28:CN91" si="33">COMPLEX($AJ$39/$S$39,$AJ$39*CM28)</f>
        <v>0.0107986736111111+1.29584083333333i</v>
      </c>
      <c r="CO28" s="1" t="str">
        <f t="shared" ref="CO28:CO91" si="34">COMPLEX("0",-$AJ$36/CM28)</f>
        <v>-0.899889467592593i</v>
      </c>
      <c r="CP28" s="1" t="str">
        <f t="shared" ref="CP28:CP91" si="35">COMPLEX($AJ$45,"0")</f>
        <v>10.7986736111111</v>
      </c>
      <c r="CQ28" s="1" t="str">
        <f t="shared" ref="CQ28:CQ91" si="36">COMPLEX("0",-$AJ$30/CM28)</f>
        <v>-21.5973472222222i</v>
      </c>
      <c r="CR28" s="1" t="str">
        <f t="shared" ref="CR28:CR91" si="37">IMSUM(CN28,CO28)</f>
        <v>0.0107986736111111+0.395951365740737i</v>
      </c>
      <c r="CS28" s="1" t="str">
        <f t="shared" ref="CS28:CS91" si="38">IMDIV(IMPRODUCT(CR28,CP28),IMSUM(CP28,CR28))</f>
        <v>0.0252432391742937+0.394631149155192i</v>
      </c>
      <c r="CT28" s="1" t="str">
        <f t="shared" ref="CT28:CT91" si="39">IMSUM(CS28,CQ28)</f>
        <v>0.0252432391742937-21.202716073067i</v>
      </c>
      <c r="CU28" s="1" t="str">
        <f t="shared" ref="CU28:CU91" si="40">COMPLEX($DC$30,$DC$33*CW28)</f>
        <v>0.0191834803010191+0.575504409030575i</v>
      </c>
      <c r="CV28" s="1" t="str">
        <f t="shared" ref="CV28:CV91" si="41">IMDIV(IMPRODUCT(CT28,CU28),IMSUM(CT28,CU28))</f>
        <v>0.0202884674574937+0.591540906514113i</v>
      </c>
      <c r="CW28" s="2">
        <f t="shared" ref="CW28:CW91" si="42">CM28</f>
        <v>1.2</v>
      </c>
      <c r="CX28" s="14">
        <f t="shared" ref="CX28:CX91" si="43">IMABS(CT28)</f>
        <v>21.202731099936571</v>
      </c>
      <c r="CY28" s="14">
        <f t="shared" si="32"/>
        <v>0.57582404493915595</v>
      </c>
      <c r="CZ28" s="14">
        <f t="shared" ref="CZ28:CZ91" si="44">IMABS(CV28)</f>
        <v>0.59188872771097123</v>
      </c>
      <c r="DC28" s="155"/>
      <c r="DE28" s="14">
        <f t="shared" ref="DE28:DE91" si="45">CW28</f>
        <v>1.2</v>
      </c>
      <c r="DF28" s="151">
        <f t="shared" ref="DF28:DF91" si="46">IMABS(IMDIV(CU28,IMSUM(CT28,CU28)))</f>
        <v>2.7915683358015333E-2</v>
      </c>
      <c r="DH28" s="152">
        <f t="shared" ref="DH28:DH91" si="47">DE28</f>
        <v>1.2</v>
      </c>
      <c r="DI28" s="1">
        <f t="shared" ref="DI28:DI91" si="48">IMABS(IMDIV(CT28,IMSUM(CT28,CU28)))</f>
        <v>1.0278985966511995</v>
      </c>
    </row>
    <row r="29" spans="2:122" ht="18" customHeight="1" x14ac:dyDescent="0.35">
      <c r="B29" s="344" t="s">
        <v>206</v>
      </c>
      <c r="C29" s="232"/>
      <c r="D29" s="232"/>
      <c r="E29" s="232"/>
      <c r="F29" s="232"/>
      <c r="G29" s="232"/>
      <c r="H29" s="232"/>
      <c r="I29" s="232"/>
      <c r="J29" s="232"/>
      <c r="K29" s="232"/>
      <c r="L29" s="232"/>
      <c r="M29" s="232"/>
      <c r="N29" s="232"/>
      <c r="O29" s="232"/>
      <c r="P29" s="232"/>
      <c r="Q29" s="232"/>
      <c r="R29" s="345"/>
      <c r="S29" s="169">
        <v>5</v>
      </c>
      <c r="T29" s="170"/>
      <c r="U29" s="171"/>
      <c r="AI29" s="35" t="s">
        <v>207</v>
      </c>
      <c r="AJ29" s="199">
        <f>1000*(S28*S28)/AJ30</f>
        <v>3827.6923156071766</v>
      </c>
      <c r="AK29" s="199"/>
      <c r="AL29" s="199"/>
      <c r="AM29" s="1" t="s">
        <v>37</v>
      </c>
      <c r="AP29" s="8"/>
      <c r="AR29" s="6"/>
      <c r="AT29" s="172" t="s">
        <v>20</v>
      </c>
      <c r="AU29" s="172"/>
      <c r="AV29" s="172"/>
      <c r="AW29" s="172"/>
      <c r="AX29" s="172"/>
      <c r="AY29" s="172"/>
      <c r="AZ29" s="172"/>
      <c r="BA29" s="172"/>
      <c r="BB29" s="172"/>
      <c r="BC29" s="172"/>
      <c r="BD29" s="172"/>
      <c r="BF29" s="172"/>
      <c r="BG29" s="172"/>
      <c r="BH29" s="172"/>
      <c r="BI29" s="172"/>
      <c r="BJ29" s="172"/>
      <c r="BK29" s="172"/>
      <c r="BL29" s="172"/>
      <c r="BN29" s="201"/>
      <c r="BO29" s="201"/>
      <c r="BP29" s="201"/>
      <c r="BQ29" s="201"/>
      <c r="BR29" s="201"/>
      <c r="BS29" s="201"/>
      <c r="BT29" s="201"/>
      <c r="BV29" s="172" t="s">
        <v>21</v>
      </c>
      <c r="BW29" s="172"/>
      <c r="BX29" s="172"/>
      <c r="BY29" s="172"/>
      <c r="BZ29" s="172"/>
      <c r="CE29" s="24"/>
      <c r="CF29" s="8"/>
      <c r="CM29" s="2">
        <f t="shared" ref="CM29:CM92" si="49">CM28+0.2</f>
        <v>1.4</v>
      </c>
      <c r="CN29" s="1" t="str">
        <f t="shared" si="33"/>
        <v>0.0107986736111111+1.51181430555556i</v>
      </c>
      <c r="CO29" s="1" t="str">
        <f t="shared" si="34"/>
        <v>-0.77133382936508i</v>
      </c>
      <c r="CP29" s="1" t="str">
        <f t="shared" si="35"/>
        <v>10.7986736111111</v>
      </c>
      <c r="CQ29" s="1" t="str">
        <f t="shared" si="36"/>
        <v>-18.5120119047619i</v>
      </c>
      <c r="CR29" s="1" t="str">
        <f t="shared" si="37"/>
        <v>0.0107986736111111+0.74048047619048i</v>
      </c>
      <c r="CS29" s="1" t="str">
        <f t="shared" si="38"/>
        <v>0.0611752163939195+0.735550054155029i</v>
      </c>
      <c r="CT29" s="1" t="str">
        <f t="shared" si="39"/>
        <v>0.0611752163939195-17.7764618506069i</v>
      </c>
      <c r="CU29" s="1" t="str">
        <f t="shared" si="40"/>
        <v>0.0191834803010191+0.671421810535671i</v>
      </c>
      <c r="CV29" s="1" t="str">
        <f t="shared" si="41"/>
        <v>0.0208131720072907+0.69774786886644i</v>
      </c>
      <c r="CW29" s="2">
        <f t="shared" si="42"/>
        <v>1.4</v>
      </c>
      <c r="CX29" s="14">
        <f t="shared" si="43"/>
        <v>17.776567113286617</v>
      </c>
      <c r="CY29" s="14">
        <f t="shared" si="32"/>
        <v>0.67169580434855924</v>
      </c>
      <c r="CZ29" s="14">
        <f t="shared" si="44"/>
        <v>0.69805821865848983</v>
      </c>
      <c r="DC29" s="149" t="s">
        <v>196</v>
      </c>
      <c r="DE29" s="14">
        <f t="shared" si="45"/>
        <v>1.4</v>
      </c>
      <c r="DF29" s="151">
        <f t="shared" si="46"/>
        <v>3.9268448976109864E-2</v>
      </c>
      <c r="DH29" s="152">
        <f t="shared" si="47"/>
        <v>1.4</v>
      </c>
      <c r="DI29" s="1">
        <f t="shared" si="48"/>
        <v>1.0392475494699467</v>
      </c>
    </row>
    <row r="30" spans="2:122" ht="18" customHeight="1" thickBot="1" x14ac:dyDescent="0.4">
      <c r="B30" s="6"/>
      <c r="J30" s="293" t="s">
        <v>272</v>
      </c>
      <c r="K30" s="293"/>
      <c r="L30" s="293"/>
      <c r="M30" s="293"/>
      <c r="N30" s="293"/>
      <c r="O30" s="293"/>
      <c r="P30" s="293"/>
      <c r="Q30" s="293"/>
      <c r="R30" s="293"/>
      <c r="S30" s="293"/>
      <c r="T30" s="293"/>
      <c r="U30" s="293"/>
      <c r="AI30" s="35" t="s">
        <v>208</v>
      </c>
      <c r="AJ30" s="249">
        <f>AK17</f>
        <v>25.916816666666673</v>
      </c>
      <c r="AK30" s="249"/>
      <c r="AL30" s="249"/>
      <c r="AM30" s="1" t="s">
        <v>34</v>
      </c>
      <c r="AP30" s="8"/>
      <c r="AR30" s="6"/>
      <c r="BD30" s="29" t="s">
        <v>26</v>
      </c>
      <c r="BF30" s="356">
        <f>(DH23/1000)/S34</f>
        <v>0.32719864550999772</v>
      </c>
      <c r="BG30" s="356"/>
      <c r="BH30" s="356"/>
      <c r="BI30" s="356"/>
      <c r="BJ30" s="356"/>
      <c r="BK30" s="356"/>
      <c r="BL30" s="356"/>
      <c r="BN30" s="360">
        <f>(DI23/1000)/S34</f>
        <v>0.35491355959115412</v>
      </c>
      <c r="BO30" s="360"/>
      <c r="BP30" s="360"/>
      <c r="BQ30" s="360"/>
      <c r="BR30" s="360"/>
      <c r="BS30" s="360"/>
      <c r="BT30" s="360"/>
      <c r="BV30" s="213">
        <f>IF(LEFT(J36,2)="SD",1.1,1.25)</f>
        <v>1.25</v>
      </c>
      <c r="BW30" s="213"/>
      <c r="BX30" s="213"/>
      <c r="BY30" s="213"/>
      <c r="BZ30" s="213"/>
      <c r="CF30" s="8"/>
      <c r="CM30" s="2">
        <f t="shared" si="49"/>
        <v>1.5999999999999999</v>
      </c>
      <c r="CN30" s="1" t="str">
        <f t="shared" si="33"/>
        <v>0.0107986736111111+1.72778777777778i</v>
      </c>
      <c r="CO30" s="1" t="str">
        <f t="shared" si="34"/>
        <v>-0.674917100694445i</v>
      </c>
      <c r="CP30" s="1" t="str">
        <f t="shared" si="35"/>
        <v>10.7986736111111</v>
      </c>
      <c r="CQ30" s="1" t="str">
        <f t="shared" si="36"/>
        <v>-16.1980104166667i</v>
      </c>
      <c r="CR30" s="1" t="str">
        <f t="shared" si="37"/>
        <v>0.0107986736111111+1.05287067708333i</v>
      </c>
      <c r="CS30" s="1" t="str">
        <f t="shared" si="38"/>
        <v>0.112173554169134+1.04089286268915i</v>
      </c>
      <c r="CT30" s="1" t="str">
        <f t="shared" si="39"/>
        <v>0.112173554169134-15.1571175539776i</v>
      </c>
      <c r="CU30" s="1" t="str">
        <f t="shared" si="40"/>
        <v>0.0191834803010191+0.767339212040767i</v>
      </c>
      <c r="CV30" s="1" t="str">
        <f t="shared" si="41"/>
        <v>0.02160250006612+0.80821014772726i</v>
      </c>
      <c r="CW30" s="2">
        <f t="shared" si="42"/>
        <v>1.5999999999999999</v>
      </c>
      <c r="CX30" s="14">
        <f t="shared" si="43"/>
        <v>15.157532630720304</v>
      </c>
      <c r="CY30" s="14">
        <f t="shared" si="32"/>
        <v>0.76757896808849868</v>
      </c>
      <c r="CZ30" s="14">
        <f t="shared" si="44"/>
        <v>0.80849880080209524</v>
      </c>
      <c r="DC30" s="150">
        <f>COS(ATAN(BW95))*(S17/SQRT(3))/BK95</f>
        <v>1.9183480301019129E-2</v>
      </c>
      <c r="DE30" s="14">
        <f t="shared" si="45"/>
        <v>1.5999999999999999</v>
      </c>
      <c r="DF30" s="151">
        <f t="shared" si="46"/>
        <v>5.3339736782983163E-2</v>
      </c>
      <c r="DH30" s="152">
        <f t="shared" si="47"/>
        <v>1.5999999999999999</v>
      </c>
      <c r="DI30" s="1">
        <f t="shared" si="48"/>
        <v>1.0533102578559455</v>
      </c>
    </row>
    <row r="31" spans="2:122" ht="18" customHeight="1" thickBot="1" x14ac:dyDescent="0.3">
      <c r="B31" s="6"/>
      <c r="AI31" s="29" t="s">
        <v>209</v>
      </c>
      <c r="AJ31" s="349">
        <f>ROUND(1000*1000/(2*3.1415*S20*AJ30),2)</f>
        <v>102.35</v>
      </c>
      <c r="AK31" s="349"/>
      <c r="AL31" s="349"/>
      <c r="AM31" s="1" t="s">
        <v>67</v>
      </c>
      <c r="AO31" s="40"/>
      <c r="AP31" s="8"/>
      <c r="AR31" s="6"/>
      <c r="BD31" s="29" t="s">
        <v>27</v>
      </c>
      <c r="BF31" s="204">
        <f>(DJ23/1000)/(S34*SQRT(2))</f>
        <v>0.56222015796153035</v>
      </c>
      <c r="BG31" s="204"/>
      <c r="BH31" s="204"/>
      <c r="BI31" s="204"/>
      <c r="BJ31" s="204"/>
      <c r="BK31" s="204"/>
      <c r="BL31" s="204"/>
      <c r="BN31" s="360">
        <f>(DK23/1000)/(S34*SQRT(2))</f>
        <v>0.59222387293634371</v>
      </c>
      <c r="BO31" s="360"/>
      <c r="BP31" s="360"/>
      <c r="BQ31" s="360"/>
      <c r="BR31" s="360"/>
      <c r="BS31" s="360"/>
      <c r="BT31" s="360"/>
      <c r="BV31" s="203">
        <f>IF(LEFT(J36,2)="SD",1.2,1.35)</f>
        <v>1.35</v>
      </c>
      <c r="BW31" s="203"/>
      <c r="BX31" s="203"/>
      <c r="BY31" s="203"/>
      <c r="BZ31" s="203"/>
      <c r="CF31" s="8"/>
      <c r="CM31" s="2">
        <f t="shared" si="49"/>
        <v>1.7999999999999998</v>
      </c>
      <c r="CN31" s="1" t="str">
        <f t="shared" si="33"/>
        <v>0.0107986736111111+1.94376125i</v>
      </c>
      <c r="CO31" s="1" t="str">
        <f t="shared" si="34"/>
        <v>-0.599926311728395i</v>
      </c>
      <c r="CP31" s="1" t="str">
        <f t="shared" si="35"/>
        <v>10.7986736111111</v>
      </c>
      <c r="CQ31" s="1" t="str">
        <f t="shared" si="36"/>
        <v>-14.3982314814815i</v>
      </c>
      <c r="CR31" s="1" t="str">
        <f t="shared" si="37"/>
        <v>0.0107986736111111+1.34383493827161i</v>
      </c>
      <c r="CS31" s="1" t="str">
        <f t="shared" si="38"/>
        <v>0.174982276091603+1.32073862750825i</v>
      </c>
      <c r="CT31" s="1" t="str">
        <f t="shared" si="39"/>
        <v>0.174982276091603-13.0774928539732i</v>
      </c>
      <c r="CU31" s="1" t="str">
        <f t="shared" si="40"/>
        <v>0.0191834803010191+0.863256613545863i</v>
      </c>
      <c r="CV31" s="1" t="str">
        <f t="shared" si="41"/>
        <v>0.0228635889846045+0.924179737119089i</v>
      </c>
      <c r="CW31" s="2">
        <f t="shared" si="42"/>
        <v>1.7999999999999998</v>
      </c>
      <c r="CX31" s="14">
        <f t="shared" si="43"/>
        <v>13.078663469279507</v>
      </c>
      <c r="CY31" s="14">
        <f t="shared" si="32"/>
        <v>0.86346973701869267</v>
      </c>
      <c r="CZ31" s="14">
        <f t="shared" si="44"/>
        <v>0.92446250881404879</v>
      </c>
      <c r="DE31" s="14">
        <f t="shared" si="45"/>
        <v>1.7999999999999998</v>
      </c>
      <c r="DF31" s="151">
        <f t="shared" si="46"/>
        <v>7.0684784495412448E-2</v>
      </c>
      <c r="DH31" s="152">
        <f t="shared" si="47"/>
        <v>1.7999999999999998</v>
      </c>
      <c r="DI31" s="1">
        <f t="shared" si="48"/>
        <v>1.0706368378421058</v>
      </c>
    </row>
    <row r="32" spans="2:122" ht="18" customHeight="1" x14ac:dyDescent="0.25">
      <c r="B32" s="6"/>
      <c r="C32" s="178" t="s">
        <v>275</v>
      </c>
      <c r="D32" s="178"/>
      <c r="E32" s="178"/>
      <c r="F32" s="178"/>
      <c r="G32" s="178"/>
      <c r="H32" s="178"/>
      <c r="I32" s="178"/>
      <c r="J32" s="178"/>
      <c r="K32" s="178"/>
      <c r="L32" s="178"/>
      <c r="M32" s="178"/>
      <c r="N32" s="178"/>
      <c r="O32" s="178"/>
      <c r="P32" s="178"/>
      <c r="Q32" s="178"/>
      <c r="R32" s="178"/>
      <c r="S32" s="178"/>
      <c r="T32" s="178"/>
      <c r="U32" s="178"/>
      <c r="V32" s="178"/>
      <c r="W32" s="178"/>
      <c r="X32" s="178"/>
      <c r="Y32" s="178"/>
      <c r="Z32" s="178"/>
      <c r="AA32" s="178"/>
      <c r="AB32" s="178"/>
      <c r="AC32" s="178"/>
      <c r="AD32" s="178"/>
      <c r="AE32" s="178"/>
      <c r="AF32" s="178"/>
      <c r="AG32" s="178"/>
      <c r="AH32" s="178"/>
      <c r="AI32" s="178"/>
      <c r="AJ32" s="178"/>
      <c r="AK32" s="178"/>
      <c r="AL32" s="178"/>
      <c r="AM32" s="178"/>
      <c r="AN32" s="178"/>
      <c r="AO32" s="178"/>
      <c r="AP32" s="8"/>
      <c r="AR32" s="6"/>
      <c r="BD32" s="29" t="str">
        <f>"% "&amp;$S$20&amp;"HZ AMPS:"</f>
        <v>% 60HZ AMPS:</v>
      </c>
      <c r="BF32" s="356">
        <f>CX23/(AJ35/S34)</f>
        <v>0.32719864550999767</v>
      </c>
      <c r="BG32" s="356"/>
      <c r="BH32" s="356"/>
      <c r="BI32" s="356"/>
      <c r="BJ32" s="356"/>
      <c r="BK32" s="356"/>
      <c r="BL32" s="356"/>
      <c r="BN32" s="202">
        <f>CY23/(AJ35/S34)</f>
        <v>0.35491355959115406</v>
      </c>
      <c r="BO32" s="202"/>
      <c r="BP32" s="202"/>
      <c r="BQ32" s="202"/>
      <c r="BR32" s="202"/>
      <c r="BS32" s="202"/>
      <c r="BT32" s="202"/>
      <c r="BV32" s="213">
        <v>1.35</v>
      </c>
      <c r="BW32" s="213"/>
      <c r="BX32" s="213"/>
      <c r="BY32" s="213"/>
      <c r="BZ32" s="213"/>
      <c r="CF32" s="8"/>
      <c r="CM32" s="2">
        <f t="shared" si="49"/>
        <v>1.9999999999999998</v>
      </c>
      <c r="CN32" s="1" t="str">
        <f t="shared" si="33"/>
        <v>0.0107986736111111+2.15973472222222i</v>
      </c>
      <c r="CO32" s="1" t="str">
        <f t="shared" si="34"/>
        <v>-0.539933680555556i</v>
      </c>
      <c r="CP32" s="1" t="str">
        <f t="shared" si="35"/>
        <v>10.7986736111111</v>
      </c>
      <c r="CQ32" s="1" t="str">
        <f t="shared" si="36"/>
        <v>-12.9584083333333i</v>
      </c>
      <c r="CR32" s="1" t="str">
        <f t="shared" si="37"/>
        <v>0.0107986736111111+1.61980104166666i</v>
      </c>
      <c r="CS32" s="1" t="str">
        <f t="shared" si="38"/>
        <v>0.247710474206195+1.5810634071286i</v>
      </c>
      <c r="CT32" s="1" t="str">
        <f t="shared" si="39"/>
        <v>0.247710474206195-11.3773449262047i</v>
      </c>
      <c r="CU32" s="1" t="str">
        <f t="shared" si="40"/>
        <v>0.0191834803010191+0.959174015050958i</v>
      </c>
      <c r="CV32" s="1" t="str">
        <f t="shared" si="41"/>
        <v>0.0249734242675922+1.04729903162254i</v>
      </c>
      <c r="CW32" s="2">
        <f t="shared" si="42"/>
        <v>1.9999999999999998</v>
      </c>
      <c r="CX32" s="14">
        <f t="shared" si="43"/>
        <v>11.380041214726214</v>
      </c>
      <c r="CY32" s="14">
        <f t="shared" si="32"/>
        <v>0.95936583067432402</v>
      </c>
      <c r="CZ32" s="14">
        <f t="shared" si="44"/>
        <v>1.0475967418607024</v>
      </c>
      <c r="DC32" s="149" t="s">
        <v>0</v>
      </c>
      <c r="DE32" s="14">
        <f t="shared" si="45"/>
        <v>1.9999999999999998</v>
      </c>
      <c r="DF32" s="151">
        <f t="shared" si="46"/>
        <v>9.2055619315777784E-2</v>
      </c>
      <c r="DH32" s="152">
        <f t="shared" si="47"/>
        <v>1.9999999999999998</v>
      </c>
      <c r="DI32" s="1">
        <f t="shared" si="48"/>
        <v>1.0919679525425243</v>
      </c>
    </row>
    <row r="33" spans="2:113" ht="18" customHeight="1" thickBot="1" x14ac:dyDescent="0.3">
      <c r="B33" s="6"/>
      <c r="AP33" s="8"/>
      <c r="AR33" s="6"/>
      <c r="BD33" s="29" t="str">
        <f>"% "&amp;$S$20&amp;"HZ KVAR:"</f>
        <v>% 60HZ KVAR:</v>
      </c>
      <c r="BF33" s="204">
        <f>(DL23/1000)/AJ35</f>
        <v>0.10705895362357717</v>
      </c>
      <c r="BG33" s="204"/>
      <c r="BH33" s="204"/>
      <c r="BI33" s="204"/>
      <c r="BJ33" s="204"/>
      <c r="BK33" s="204"/>
      <c r="BL33" s="204"/>
      <c r="BN33" s="202">
        <f>(DM23/1000)/AJ35</f>
        <v>0.1259636347816637</v>
      </c>
      <c r="BO33" s="202"/>
      <c r="BP33" s="202"/>
      <c r="BQ33" s="202"/>
      <c r="BR33" s="202"/>
      <c r="BS33" s="202"/>
      <c r="BT33" s="202"/>
      <c r="BV33" s="203">
        <v>1.35</v>
      </c>
      <c r="BW33" s="203"/>
      <c r="BX33" s="203"/>
      <c r="BY33" s="203"/>
      <c r="BZ33" s="203"/>
      <c r="CF33" s="8"/>
      <c r="CM33" s="2">
        <f t="shared" si="49"/>
        <v>2.1999999999999997</v>
      </c>
      <c r="CN33" s="1" t="str">
        <f t="shared" si="33"/>
        <v>0.0107986736111111+2.37570819444444i</v>
      </c>
      <c r="CO33" s="1" t="str">
        <f t="shared" si="34"/>
        <v>-0.490848800505051i</v>
      </c>
      <c r="CP33" s="1" t="str">
        <f t="shared" si="35"/>
        <v>10.7986736111111</v>
      </c>
      <c r="CQ33" s="1" t="str">
        <f t="shared" si="36"/>
        <v>-11.7803712121212i</v>
      </c>
      <c r="CR33" s="1" t="str">
        <f t="shared" si="37"/>
        <v>0.0107986736111111+1.88485939393939i</v>
      </c>
      <c r="CS33" s="1" t="str">
        <f t="shared" si="38"/>
        <v>0.329117612354119+1.82558782286926i</v>
      </c>
      <c r="CT33" s="1" t="str">
        <f t="shared" si="39"/>
        <v>0.329117612354119-9.95478338925194i</v>
      </c>
      <c r="CU33" s="1" t="str">
        <f t="shared" si="40"/>
        <v>0.0191834803010191+1.05509141655605i</v>
      </c>
      <c r="CV33" s="1" t="str">
        <f t="shared" si="41"/>
        <v>0.028611331835466+1.17976608662183i</v>
      </c>
      <c r="CW33" s="2">
        <f t="shared" si="42"/>
        <v>2.1999999999999997</v>
      </c>
      <c r="CX33" s="14">
        <f t="shared" si="43"/>
        <v>9.9602224237056092</v>
      </c>
      <c r="CY33" s="14">
        <f t="shared" si="32"/>
        <v>1.0552657974210673</v>
      </c>
      <c r="CZ33" s="14">
        <f t="shared" si="44"/>
        <v>1.1801129723261188</v>
      </c>
      <c r="DC33" s="150">
        <f>SIN(ATAN(BW95))*(S17/SQRT(3))/BK95</f>
        <v>0.47958700752547928</v>
      </c>
      <c r="DE33" s="14">
        <f t="shared" si="45"/>
        <v>2.1999999999999997</v>
      </c>
      <c r="DF33" s="151">
        <f t="shared" si="46"/>
        <v>0.11848259226796201</v>
      </c>
      <c r="DH33" s="152">
        <f t="shared" si="47"/>
        <v>2.1999999999999997</v>
      </c>
      <c r="DI33" s="1">
        <f t="shared" si="48"/>
        <v>1.1183087476256444</v>
      </c>
    </row>
    <row r="34" spans="2:113" ht="18" customHeight="1" x14ac:dyDescent="0.35">
      <c r="B34" s="6"/>
      <c r="C34" s="195" t="s">
        <v>210</v>
      </c>
      <c r="D34" s="195"/>
      <c r="E34" s="195"/>
      <c r="F34" s="195"/>
      <c r="G34" s="195"/>
      <c r="H34" s="195"/>
      <c r="I34" s="195"/>
      <c r="J34" s="195"/>
      <c r="K34" s="195"/>
      <c r="L34" s="195"/>
      <c r="M34" s="195"/>
      <c r="N34" s="195"/>
      <c r="O34" s="195"/>
      <c r="P34" s="195"/>
      <c r="Q34" s="195"/>
      <c r="R34" s="382"/>
      <c r="S34" s="364">
        <v>1</v>
      </c>
      <c r="T34" s="365"/>
      <c r="U34" s="366"/>
      <c r="V34" s="1" t="s">
        <v>32</v>
      </c>
      <c r="AG34" s="18"/>
      <c r="AH34" s="18"/>
      <c r="AI34" s="29" t="s">
        <v>62</v>
      </c>
      <c r="AJ34" s="199">
        <f>AJ35/S35</f>
        <v>154.33994272701955</v>
      </c>
      <c r="AK34" s="199"/>
      <c r="AL34" s="199"/>
      <c r="AM34" s="158" t="s">
        <v>37</v>
      </c>
      <c r="AN34" s="158"/>
      <c r="AP34" s="8"/>
      <c r="AR34" s="6"/>
      <c r="CF34" s="8"/>
      <c r="CM34" s="2">
        <f t="shared" si="49"/>
        <v>2.4</v>
      </c>
      <c r="CN34" s="1" t="str">
        <f t="shared" si="33"/>
        <v>0.0107986736111111+2.59168166666667i</v>
      </c>
      <c r="CO34" s="1" t="str">
        <f t="shared" si="34"/>
        <v>-0.449944733796296i</v>
      </c>
      <c r="CP34" s="1" t="str">
        <f t="shared" si="35"/>
        <v>10.7986736111111</v>
      </c>
      <c r="CQ34" s="1" t="str">
        <f t="shared" si="36"/>
        <v>-10.7986736111111i</v>
      </c>
      <c r="CR34" s="1" t="str">
        <f t="shared" si="37"/>
        <v>0.0107986736111111+2.14173693287037i</v>
      </c>
      <c r="CS34" s="1" t="str">
        <f t="shared" si="38"/>
        <v>0.418296143156984+2.05671814633124i</v>
      </c>
      <c r="CT34" s="1" t="str">
        <f t="shared" si="39"/>
        <v>0.418296143156984-8.74195546477986i</v>
      </c>
      <c r="CU34" s="1" t="str">
        <f t="shared" si="40"/>
        <v>0.0191834803010191+1.15100881806115i</v>
      </c>
      <c r="CV34" s="1" t="str">
        <f t="shared" si="41"/>
        <v>0.0350039588268664+1.32457506976431i</v>
      </c>
      <c r="CW34" s="2">
        <f t="shared" si="42"/>
        <v>2.4</v>
      </c>
      <c r="CX34" s="14">
        <f t="shared" si="43"/>
        <v>8.7519573245974236</v>
      </c>
      <c r="CY34" s="14">
        <f t="shared" si="32"/>
        <v>1.1511686692969825</v>
      </c>
      <c r="CZ34" s="14">
        <f t="shared" si="44"/>
        <v>1.3250375061011215</v>
      </c>
      <c r="DE34" s="14">
        <f t="shared" si="45"/>
        <v>2.4</v>
      </c>
      <c r="DF34" s="151">
        <f t="shared" si="46"/>
        <v>0.15139899075799843</v>
      </c>
      <c r="DH34" s="152">
        <f t="shared" si="47"/>
        <v>2.4</v>
      </c>
      <c r="DI34" s="1">
        <f t="shared" si="48"/>
        <v>1.1510368041117014</v>
      </c>
    </row>
    <row r="35" spans="2:113" ht="18" customHeight="1" x14ac:dyDescent="0.35">
      <c r="B35" s="344" t="s">
        <v>282</v>
      </c>
      <c r="C35" s="232"/>
      <c r="D35" s="232"/>
      <c r="E35" s="232"/>
      <c r="F35" s="232"/>
      <c r="G35" s="232"/>
      <c r="H35" s="232"/>
      <c r="I35" s="232"/>
      <c r="J35" s="232"/>
      <c r="K35" s="232"/>
      <c r="L35" s="232"/>
      <c r="M35" s="232"/>
      <c r="N35" s="232"/>
      <c r="O35" s="232"/>
      <c r="P35" s="232"/>
      <c r="Q35" s="232"/>
      <c r="R35" s="345"/>
      <c r="S35" s="367">
        <v>6</v>
      </c>
      <c r="T35" s="368"/>
      <c r="U35" s="369"/>
      <c r="AI35" s="35" t="s">
        <v>211</v>
      </c>
      <c r="AJ35" s="199">
        <f>1000*(S34*S34)/AJ39</f>
        <v>926.03965636211728</v>
      </c>
      <c r="AK35" s="199"/>
      <c r="AL35" s="199"/>
      <c r="AM35" s="158" t="s">
        <v>37</v>
      </c>
      <c r="AN35" s="158"/>
      <c r="AP35" s="8"/>
      <c r="AR35" s="6"/>
      <c r="AS35" s="225" t="s">
        <v>212</v>
      </c>
      <c r="AT35" s="225"/>
      <c r="AU35" s="225"/>
      <c r="AV35" s="225"/>
      <c r="AW35" s="225"/>
      <c r="AX35" s="225"/>
      <c r="AY35" s="225"/>
      <c r="AZ35" s="225"/>
      <c r="BA35" s="225"/>
      <c r="BB35" s="225"/>
      <c r="BC35" s="225"/>
      <c r="BD35" s="225"/>
      <c r="BE35" s="225"/>
      <c r="BF35" s="225"/>
      <c r="BG35" s="225"/>
      <c r="BH35" s="225"/>
      <c r="BI35" s="225"/>
      <c r="BJ35" s="211">
        <f>CX6/S35</f>
        <v>46.307716508104996</v>
      </c>
      <c r="BK35" s="211"/>
      <c r="BL35" s="211"/>
      <c r="BM35" s="33" t="s">
        <v>39</v>
      </c>
      <c r="BN35" s="38"/>
      <c r="BO35" s="38"/>
      <c r="CF35" s="8"/>
      <c r="CM35" s="2">
        <f t="shared" si="49"/>
        <v>2.6</v>
      </c>
      <c r="CN35" s="1" t="str">
        <f t="shared" si="33"/>
        <v>0.0107986736111111+2.80765513888889i</v>
      </c>
      <c r="CO35" s="1" t="str">
        <f t="shared" si="34"/>
        <v>-0.415333600427351i</v>
      </c>
      <c r="CP35" s="1" t="str">
        <f t="shared" si="35"/>
        <v>10.7986736111111</v>
      </c>
      <c r="CQ35" s="1" t="str">
        <f t="shared" si="36"/>
        <v>-9.96800641025641i</v>
      </c>
      <c r="CR35" s="1" t="str">
        <f t="shared" si="37"/>
        <v>0.0107986736111111+2.39232153846154i</v>
      </c>
      <c r="CS35" s="1" t="str">
        <f t="shared" si="38"/>
        <v>0.514518929330568+2.27605974667855i</v>
      </c>
      <c r="CT35" s="1" t="str">
        <f t="shared" si="39"/>
        <v>0.514518929330568-7.69194666357786i</v>
      </c>
      <c r="CU35" s="1" t="str">
        <f t="shared" si="40"/>
        <v>0.0191834803010191+1.24692621956625i</v>
      </c>
      <c r="CV35" s="1" t="str">
        <f t="shared" si="41"/>
        <v>0.0463921627800686+1.48586039597436i</v>
      </c>
      <c r="CW35" s="2">
        <f t="shared" si="42"/>
        <v>2.6</v>
      </c>
      <c r="CX35" s="14">
        <f t="shared" si="43"/>
        <v>7.709135697597107</v>
      </c>
      <c r="CY35" s="14">
        <f t="shared" si="32"/>
        <v>1.2470737760686936</v>
      </c>
      <c r="CZ35" s="14">
        <f t="shared" si="44"/>
        <v>1.4865844574367424</v>
      </c>
      <c r="DE35" s="14">
        <f t="shared" si="45"/>
        <v>2.6</v>
      </c>
      <c r="DF35" s="151">
        <f t="shared" si="46"/>
        <v>0.19283412768309469</v>
      </c>
      <c r="DH35" s="152">
        <f t="shared" si="47"/>
        <v>2.6</v>
      </c>
      <c r="DI35" s="1">
        <f t="shared" si="48"/>
        <v>1.1920581492163878</v>
      </c>
    </row>
    <row r="36" spans="2:113" ht="18" customHeight="1" x14ac:dyDescent="0.35">
      <c r="B36" s="6"/>
      <c r="J36" s="293" t="s">
        <v>272</v>
      </c>
      <c r="K36" s="293"/>
      <c r="L36" s="293"/>
      <c r="M36" s="293"/>
      <c r="N36" s="293"/>
      <c r="O36" s="293"/>
      <c r="P36" s="293"/>
      <c r="Q36" s="293"/>
      <c r="R36" s="293"/>
      <c r="S36" s="293"/>
      <c r="T36" s="293"/>
      <c r="U36" s="293"/>
      <c r="AI36" s="35" t="s">
        <v>213</v>
      </c>
      <c r="AJ36" s="249">
        <f>AJ39</f>
        <v>1.0798673611111114</v>
      </c>
      <c r="AK36" s="249"/>
      <c r="AL36" s="249"/>
      <c r="AM36" s="1" t="s">
        <v>34</v>
      </c>
      <c r="AP36" s="8"/>
      <c r="AR36" s="6"/>
      <c r="AS36" s="208" t="s">
        <v>214</v>
      </c>
      <c r="AT36" s="208"/>
      <c r="AU36" s="208"/>
      <c r="AV36" s="208"/>
      <c r="AW36" s="208"/>
      <c r="AX36" s="208"/>
      <c r="AY36" s="208"/>
      <c r="AZ36" s="208"/>
      <c r="BA36" s="208"/>
      <c r="BB36" s="208"/>
      <c r="BC36" s="208"/>
      <c r="BD36" s="208"/>
      <c r="BE36" s="208"/>
      <c r="BF36" s="208"/>
      <c r="BG36" s="208"/>
      <c r="BH36" s="208"/>
      <c r="BI36" s="208"/>
      <c r="BJ36" s="185">
        <f>1.8*BJ35</f>
        <v>83.353889714588988</v>
      </c>
      <c r="BK36" s="185"/>
      <c r="BL36" s="185"/>
      <c r="BM36" s="33" t="s">
        <v>39</v>
      </c>
      <c r="BN36" s="38"/>
      <c r="BO36" s="38"/>
      <c r="BZ36" s="35" t="s">
        <v>40</v>
      </c>
      <c r="CA36" s="249">
        <f>(S34*S34)/AJ34*1000</f>
        <v>6.4792041666666682</v>
      </c>
      <c r="CB36" s="249"/>
      <c r="CC36" s="249"/>
      <c r="CD36" s="1" t="s">
        <v>34</v>
      </c>
      <c r="CF36" s="8"/>
      <c r="CM36" s="2">
        <f t="shared" si="49"/>
        <v>2.8000000000000003</v>
      </c>
      <c r="CN36" s="1" t="str">
        <f t="shared" si="33"/>
        <v>0.0107986736111111+3.02362861111111i</v>
      </c>
      <c r="CO36" s="1" t="str">
        <f t="shared" si="34"/>
        <v>-0.38566691468254i</v>
      </c>
      <c r="CP36" s="1" t="str">
        <f t="shared" si="35"/>
        <v>10.7986736111111</v>
      </c>
      <c r="CQ36" s="1" t="str">
        <f t="shared" si="36"/>
        <v>-9.25600595238095i</v>
      </c>
      <c r="CR36" s="1" t="str">
        <f t="shared" si="37"/>
        <v>0.0107986736111111+2.63796169642857i</v>
      </c>
      <c r="CS36" s="1" t="str">
        <f t="shared" si="38"/>
        <v>0.617161464210206+2.48471325406031i</v>
      </c>
      <c r="CT36" s="1" t="str">
        <f t="shared" si="39"/>
        <v>0.617161464210206-6.77129269832064i</v>
      </c>
      <c r="CU36" s="1" t="str">
        <f t="shared" si="40"/>
        <v>0.0191834803010191+1.34284362107134i</v>
      </c>
      <c r="CV36" s="1" t="str">
        <f t="shared" si="41"/>
        <v>0.0669496885737909+1.66935772746889i</v>
      </c>
      <c r="CW36" s="2">
        <f t="shared" si="42"/>
        <v>2.8000000000000003</v>
      </c>
      <c r="CX36" s="14">
        <f t="shared" si="43"/>
        <v>6.7993597550972771</v>
      </c>
      <c r="CY36" s="14">
        <f t="shared" si="32"/>
        <v>1.3429806389402841</v>
      </c>
      <c r="CZ36" s="14">
        <f t="shared" si="44"/>
        <v>1.6706996986473137</v>
      </c>
      <c r="DE36" s="14">
        <f t="shared" si="45"/>
        <v>2.8000000000000003</v>
      </c>
      <c r="DF36" s="151">
        <f t="shared" si="46"/>
        <v>0.24571426705210639</v>
      </c>
      <c r="DH36" s="152">
        <f t="shared" si="47"/>
        <v>2.8000000000000003</v>
      </c>
      <c r="DI36" s="1">
        <f t="shared" si="48"/>
        <v>1.2440236666149058</v>
      </c>
    </row>
    <row r="37" spans="2:113" ht="18" customHeight="1" x14ac:dyDescent="0.35">
      <c r="B37" s="6"/>
      <c r="AI37" s="29" t="s">
        <v>215</v>
      </c>
      <c r="AJ37" s="292">
        <f>ROUND(1000*1000/(2*3.1415*S20*AJ36),2)</f>
        <v>2456.4699999999998</v>
      </c>
      <c r="AK37" s="292"/>
      <c r="AL37" s="292"/>
      <c r="AM37" s="1" t="s">
        <v>67</v>
      </c>
      <c r="AP37" s="8"/>
      <c r="AR37" s="6"/>
      <c r="AS37" s="180" t="s">
        <v>216</v>
      </c>
      <c r="AT37" s="180"/>
      <c r="AU37" s="180"/>
      <c r="AV37" s="180"/>
      <c r="AW37" s="180"/>
      <c r="AX37" s="180"/>
      <c r="AY37" s="180"/>
      <c r="AZ37" s="180"/>
      <c r="BA37" s="180"/>
      <c r="BB37" s="180"/>
      <c r="BC37" s="180"/>
      <c r="BD37" s="180"/>
      <c r="BE37" s="180"/>
      <c r="BF37" s="180"/>
      <c r="BG37" s="180"/>
      <c r="BH37" s="180"/>
      <c r="BI37" s="180"/>
      <c r="BJ37" s="211">
        <f>DH6/1000</f>
        <v>0.30003714974813278</v>
      </c>
      <c r="BK37" s="211"/>
      <c r="BL37" s="211"/>
      <c r="BM37" s="354" t="s">
        <v>32</v>
      </c>
      <c r="BN37" s="354"/>
      <c r="BO37" s="354"/>
      <c r="BZ37" s="35" t="s">
        <v>46</v>
      </c>
      <c r="CA37" s="249">
        <f>1000*1000/(2*3.1415*$S$20*CA36)</f>
        <v>409.41148794901466</v>
      </c>
      <c r="CB37" s="249"/>
      <c r="CC37" s="249"/>
      <c r="CD37" s="1" t="s">
        <v>217</v>
      </c>
      <c r="CF37" s="8"/>
      <c r="CM37" s="2">
        <f t="shared" si="49"/>
        <v>3.0000000000000004</v>
      </c>
      <c r="CN37" s="1" t="str">
        <f t="shared" si="33"/>
        <v>0.0107986736111111+3.23960208333333i</v>
      </c>
      <c r="CO37" s="1" t="str">
        <f t="shared" si="34"/>
        <v>-0.359955787037037i</v>
      </c>
      <c r="CP37" s="1" t="str">
        <f t="shared" si="35"/>
        <v>10.7986736111111</v>
      </c>
      <c r="CQ37" s="1" t="str">
        <f t="shared" si="36"/>
        <v>-8.63893888888889i</v>
      </c>
      <c r="CR37" s="1" t="str">
        <f t="shared" si="37"/>
        <v>0.0107986736111111+2.87964629629629i</v>
      </c>
      <c r="CS37" s="1" t="str">
        <f t="shared" si="38"/>
        <v>0.72566057472856+2.68345335634567i</v>
      </c>
      <c r="CT37" s="1" t="str">
        <f t="shared" si="39"/>
        <v>0.72566057472856-5.95548553254322i</v>
      </c>
      <c r="CU37" s="1" t="str">
        <f t="shared" si="40"/>
        <v>0.0191834803010191+1.43876102257644i</v>
      </c>
      <c r="CV37" s="1" t="str">
        <f t="shared" si="41"/>
        <v>0.104645393964767+1.88289027407679i</v>
      </c>
      <c r="CW37" s="2">
        <f t="shared" si="42"/>
        <v>3.0000000000000004</v>
      </c>
      <c r="CX37" s="14">
        <f t="shared" si="43"/>
        <v>5.9995325816305876</v>
      </c>
      <c r="CY37" s="14">
        <f t="shared" si="32"/>
        <v>1.4388889067616226</v>
      </c>
      <c r="CZ37" s="14">
        <f t="shared" si="44"/>
        <v>1.8857959705893454</v>
      </c>
      <c r="DE37" s="14">
        <f t="shared" si="45"/>
        <v>3.0000000000000004</v>
      </c>
      <c r="DF37" s="151">
        <f t="shared" si="46"/>
        <v>0.31432381521908775</v>
      </c>
      <c r="DH37" s="152">
        <f t="shared" si="47"/>
        <v>3.0000000000000004</v>
      </c>
      <c r="DI37" s="1">
        <f t="shared" si="48"/>
        <v>1.3105917779528453</v>
      </c>
    </row>
    <row r="38" spans="2:113" ht="18" customHeight="1" x14ac:dyDescent="0.25">
      <c r="B38" s="6"/>
      <c r="C38" s="178" t="s">
        <v>68</v>
      </c>
      <c r="D38" s="178"/>
      <c r="E38" s="178"/>
      <c r="F38" s="178"/>
      <c r="G38" s="178"/>
      <c r="H38" s="178"/>
      <c r="I38" s="178"/>
      <c r="J38" s="178"/>
      <c r="K38" s="178"/>
      <c r="L38" s="178"/>
      <c r="M38" s="178"/>
      <c r="N38" s="178"/>
      <c r="O38" s="178"/>
      <c r="P38" s="178"/>
      <c r="Q38" s="178"/>
      <c r="R38" s="178"/>
      <c r="S38" s="178"/>
      <c r="T38" s="178"/>
      <c r="U38" s="178"/>
      <c r="V38" s="178"/>
      <c r="W38" s="178"/>
      <c r="X38" s="178"/>
      <c r="Y38" s="178"/>
      <c r="Z38" s="178"/>
      <c r="AA38" s="178"/>
      <c r="AB38" s="178"/>
      <c r="AC38" s="178"/>
      <c r="AD38" s="178"/>
      <c r="AE38" s="178"/>
      <c r="AF38" s="178"/>
      <c r="AG38" s="178"/>
      <c r="AH38" s="178"/>
      <c r="AI38" s="178"/>
      <c r="AJ38" s="178"/>
      <c r="AK38" s="178"/>
      <c r="AL38" s="178"/>
      <c r="AM38" s="178"/>
      <c r="AN38" s="178"/>
      <c r="AO38" s="178"/>
      <c r="AP38" s="8"/>
      <c r="AR38" s="6"/>
      <c r="AS38" s="177" t="s">
        <v>218</v>
      </c>
      <c r="AT38" s="177"/>
      <c r="AU38" s="177"/>
      <c r="AV38" s="177"/>
      <c r="AW38" s="177"/>
      <c r="AX38" s="177"/>
      <c r="AY38" s="177"/>
      <c r="AZ38" s="177"/>
      <c r="BA38" s="177"/>
      <c r="BB38" s="177"/>
      <c r="BC38" s="177"/>
      <c r="BD38" s="177"/>
      <c r="BE38" s="177"/>
      <c r="BF38" s="177"/>
      <c r="BG38" s="177"/>
      <c r="BH38" s="177"/>
      <c r="BI38" s="177"/>
      <c r="BJ38" s="211">
        <f>DH23/1000</f>
        <v>0.32719864550999772</v>
      </c>
      <c r="BK38" s="211"/>
      <c r="BL38" s="211"/>
      <c r="BM38" s="354" t="s">
        <v>32</v>
      </c>
      <c r="BN38" s="354"/>
      <c r="BO38" s="354"/>
      <c r="CF38" s="8"/>
      <c r="CM38" s="2">
        <f t="shared" si="49"/>
        <v>3.2000000000000006</v>
      </c>
      <c r="CN38" s="1" t="str">
        <f t="shared" si="33"/>
        <v>0.0107986736111111+3.45557555555556i</v>
      </c>
      <c r="CO38" s="1" t="str">
        <f t="shared" si="34"/>
        <v>-0.337458550347222i</v>
      </c>
      <c r="CP38" s="1" t="str">
        <f t="shared" si="35"/>
        <v>10.7986736111111</v>
      </c>
      <c r="CQ38" s="1" t="str">
        <f t="shared" si="36"/>
        <v>-8.09900520833333i</v>
      </c>
      <c r="CR38" s="1" t="str">
        <f t="shared" si="37"/>
        <v>0.0107986736111111+3.11811700520834i</v>
      </c>
      <c r="CS38" s="1" t="str">
        <f t="shared" si="38"/>
        <v>0.839491978662158+2.87284085551413i</v>
      </c>
      <c r="CT38" s="1" t="str">
        <f t="shared" si="39"/>
        <v>0.839491978662158-5.2261643528192i</v>
      </c>
      <c r="CU38" s="1" t="str">
        <f t="shared" si="40"/>
        <v>0.0191834803010191+1.53467842408153i</v>
      </c>
      <c r="CV38" s="1" t="str">
        <f t="shared" si="41"/>
        <v>0.175084764391564+2.1363335016386i</v>
      </c>
      <c r="CW38" s="2">
        <f t="shared" si="42"/>
        <v>3.2000000000000006</v>
      </c>
      <c r="CX38" s="14">
        <f t="shared" si="43"/>
        <v>5.2931597958984984</v>
      </c>
      <c r="CY38" s="14">
        <f t="shared" si="32"/>
        <v>1.5347983161503145</v>
      </c>
      <c r="CZ38" s="14">
        <f t="shared" si="44"/>
        <v>2.1434960939888583</v>
      </c>
      <c r="DE38" s="14">
        <f t="shared" si="45"/>
        <v>3.2000000000000006</v>
      </c>
      <c r="DF38" s="151">
        <f t="shared" si="46"/>
        <v>0.40495586315942866</v>
      </c>
      <c r="DH38" s="152">
        <f t="shared" si="47"/>
        <v>3.2000000000000006</v>
      </c>
      <c r="DI38" s="1">
        <f t="shared" si="48"/>
        <v>1.3965978926568872</v>
      </c>
    </row>
    <row r="39" spans="2:113" ht="18" customHeight="1" x14ac:dyDescent="0.25">
      <c r="B39" s="6"/>
      <c r="C39" s="338" t="s">
        <v>69</v>
      </c>
      <c r="D39" s="338"/>
      <c r="E39" s="338"/>
      <c r="F39" s="338"/>
      <c r="G39" s="338"/>
      <c r="H39" s="338"/>
      <c r="I39" s="338"/>
      <c r="J39" s="338"/>
      <c r="K39" s="338"/>
      <c r="L39" s="338"/>
      <c r="M39" s="338"/>
      <c r="N39" s="338"/>
      <c r="O39" s="338"/>
      <c r="P39" s="338"/>
      <c r="Q39" s="338"/>
      <c r="R39" s="339"/>
      <c r="S39" s="340">
        <v>100</v>
      </c>
      <c r="T39" s="340"/>
      <c r="U39" s="340"/>
      <c r="V39" s="24"/>
      <c r="W39" s="341" t="s">
        <v>70</v>
      </c>
      <c r="X39" s="341"/>
      <c r="Y39" s="341"/>
      <c r="Z39" s="341"/>
      <c r="AA39" s="341"/>
      <c r="AB39" s="341"/>
      <c r="AC39" s="341"/>
      <c r="AD39" s="341"/>
      <c r="AE39" s="341"/>
      <c r="AF39" s="341"/>
      <c r="AG39" s="341"/>
      <c r="AH39" s="341"/>
      <c r="AI39" s="341"/>
      <c r="AJ39" s="211">
        <f>AK17/(S19*S19-1)</f>
        <v>1.0798673611111114</v>
      </c>
      <c r="AK39" s="211"/>
      <c r="AL39" s="211"/>
      <c r="AM39" s="24" t="s">
        <v>71</v>
      </c>
      <c r="AN39" s="24"/>
      <c r="AO39" s="24"/>
      <c r="AP39" s="8"/>
      <c r="AR39" s="6"/>
      <c r="AS39" s="177" t="s">
        <v>219</v>
      </c>
      <c r="AT39" s="177"/>
      <c r="AU39" s="177"/>
      <c r="AV39" s="177"/>
      <c r="AW39" s="177"/>
      <c r="AX39" s="177"/>
      <c r="AY39" s="177"/>
      <c r="AZ39" s="177"/>
      <c r="BA39" s="177"/>
      <c r="BB39" s="177"/>
      <c r="BC39" s="177"/>
      <c r="BD39" s="177"/>
      <c r="BE39" s="177"/>
      <c r="BF39" s="177"/>
      <c r="BG39" s="177"/>
      <c r="BH39" s="177"/>
      <c r="BI39" s="177"/>
      <c r="BJ39" s="211">
        <f>DJ23/1000</f>
        <v>0.79509937242874018</v>
      </c>
      <c r="BK39" s="211"/>
      <c r="BL39" s="211"/>
      <c r="BM39" s="354" t="s">
        <v>32</v>
      </c>
      <c r="BN39" s="354"/>
      <c r="BO39" s="354"/>
      <c r="CF39" s="8"/>
      <c r="CM39" s="2">
        <f t="shared" si="49"/>
        <v>3.4000000000000008</v>
      </c>
      <c r="CN39" s="1" t="str">
        <f t="shared" si="33"/>
        <v>0.0107986736111111+3.67154902777778i</v>
      </c>
      <c r="CO39" s="1" t="str">
        <f t="shared" si="34"/>
        <v>-0.317608047385621i</v>
      </c>
      <c r="CP39" s="1" t="str">
        <f t="shared" si="35"/>
        <v>10.7986736111111</v>
      </c>
      <c r="CQ39" s="1" t="str">
        <f t="shared" si="36"/>
        <v>-7.6225931372549i</v>
      </c>
      <c r="CR39" s="1" t="str">
        <f t="shared" si="37"/>
        <v>0.0107986736111111+3.35394098039216i</v>
      </c>
      <c r="CS39" s="1" t="str">
        <f t="shared" si="38"/>
        <v>0.958158043065478+3.053295069594i</v>
      </c>
      <c r="CT39" s="1" t="str">
        <f t="shared" si="39"/>
        <v>0.958158043065478-4.5692980676609i</v>
      </c>
      <c r="CU39" s="1" t="str">
        <f t="shared" si="40"/>
        <v>0.0191834803010191+1.63059582558663i</v>
      </c>
      <c r="CV39" s="1" t="str">
        <f t="shared" si="41"/>
        <v>0.309250979662402+2.4387687989474i</v>
      </c>
      <c r="CW39" s="2">
        <f t="shared" si="42"/>
        <v>3.4000000000000008</v>
      </c>
      <c r="CX39" s="14">
        <f t="shared" si="43"/>
        <v>4.6686777214346993</v>
      </c>
      <c r="CY39" s="14">
        <f t="shared" si="32"/>
        <v>1.6307086656840342</v>
      </c>
      <c r="CZ39" s="14">
        <f t="shared" si="44"/>
        <v>2.4582980745103913</v>
      </c>
      <c r="DE39" s="14">
        <f t="shared" si="45"/>
        <v>3.4000000000000008</v>
      </c>
      <c r="DF39" s="151">
        <f t="shared" si="46"/>
        <v>0.52655124666753561</v>
      </c>
      <c r="DH39" s="152">
        <f t="shared" si="47"/>
        <v>3.4000000000000008</v>
      </c>
      <c r="DI39" s="1">
        <f t="shared" si="48"/>
        <v>1.5075029195844731</v>
      </c>
    </row>
    <row r="40" spans="2:113" ht="18" customHeight="1" x14ac:dyDescent="0.25">
      <c r="B40" s="6"/>
      <c r="C40" s="24"/>
      <c r="D40" s="24"/>
      <c r="E40" s="24"/>
      <c r="F40" s="24"/>
      <c r="G40" s="24"/>
      <c r="H40" s="24"/>
      <c r="I40" s="24"/>
      <c r="J40" s="24"/>
      <c r="K40" s="24"/>
      <c r="L40" s="24"/>
      <c r="M40" s="24"/>
      <c r="N40" s="24"/>
      <c r="O40" s="24"/>
      <c r="P40" s="24"/>
      <c r="Q40" s="41"/>
      <c r="R40" s="32" t="s">
        <v>72</v>
      </c>
      <c r="S40" s="343">
        <v>1.5</v>
      </c>
      <c r="T40" s="343"/>
      <c r="U40" s="343"/>
      <c r="V40" s="177" t="s">
        <v>73</v>
      </c>
      <c r="W40" s="177"/>
      <c r="X40" s="177"/>
      <c r="Y40" s="177"/>
      <c r="Z40" s="177"/>
      <c r="AA40" s="177"/>
      <c r="AB40" s="177"/>
      <c r="AC40" s="177"/>
      <c r="AD40" s="177"/>
      <c r="AE40" s="177"/>
      <c r="AF40" s="177"/>
      <c r="AG40" s="177"/>
      <c r="AH40" s="177"/>
      <c r="AI40" s="177"/>
      <c r="AJ40" s="211">
        <f>1000*AJ39/(2*3.1415*S20)</f>
        <v>2.8645216221314431</v>
      </c>
      <c r="AK40" s="211"/>
      <c r="AL40" s="211"/>
      <c r="AM40" s="24" t="s">
        <v>74</v>
      </c>
      <c r="AN40" s="24"/>
      <c r="AO40" s="24"/>
      <c r="AP40" s="8"/>
      <c r="AR40" s="6"/>
      <c r="AS40" s="177" t="s">
        <v>220</v>
      </c>
      <c r="AT40" s="177"/>
      <c r="AU40" s="177"/>
      <c r="AV40" s="177"/>
      <c r="AW40" s="177"/>
      <c r="AX40" s="177"/>
      <c r="AY40" s="177"/>
      <c r="AZ40" s="177"/>
      <c r="BA40" s="177"/>
      <c r="BB40" s="177"/>
      <c r="BC40" s="177"/>
      <c r="BD40" s="177"/>
      <c r="BE40" s="177"/>
      <c r="BF40" s="177"/>
      <c r="BG40" s="177"/>
      <c r="BH40" s="177"/>
      <c r="BI40" s="177"/>
      <c r="BJ40" s="248">
        <f>CX23</f>
        <v>302.99892125022848</v>
      </c>
      <c r="BK40" s="248"/>
      <c r="BL40" s="248"/>
      <c r="BM40" s="354" t="s">
        <v>39</v>
      </c>
      <c r="BN40" s="354"/>
      <c r="BO40" s="354"/>
      <c r="CF40" s="8"/>
      <c r="CM40" s="2">
        <f t="shared" si="49"/>
        <v>3.600000000000001</v>
      </c>
      <c r="CN40" s="1" t="str">
        <f t="shared" si="33"/>
        <v>0.0107986736111111+3.8875225i</v>
      </c>
      <c r="CO40" s="1" t="str">
        <f t="shared" si="34"/>
        <v>-0.299963155864198i</v>
      </c>
      <c r="CP40" s="1" t="str">
        <f t="shared" si="35"/>
        <v>10.7986736111111</v>
      </c>
      <c r="CQ40" s="1" t="str">
        <f t="shared" si="36"/>
        <v>-7.19911574074074i</v>
      </c>
      <c r="CR40" s="1" t="str">
        <f t="shared" si="37"/>
        <v>0.0107986736111111+3.5875593441358i</v>
      </c>
      <c r="CS40" s="1" t="str">
        <f t="shared" si="38"/>
        <v>1.08118125582062+3.22514176293912i</v>
      </c>
      <c r="CT40" s="1" t="str">
        <f t="shared" si="39"/>
        <v>1.08118125582062-3.97397397780162i</v>
      </c>
      <c r="CU40" s="1" t="str">
        <f t="shared" si="40"/>
        <v>0.0191834803010191+1.72651322709173i</v>
      </c>
      <c r="CV40" s="1" t="str">
        <f t="shared" si="41"/>
        <v>0.566700821604532+2.78460117895903i</v>
      </c>
      <c r="CW40" s="2">
        <f t="shared" si="42"/>
        <v>3.600000000000001</v>
      </c>
      <c r="CX40" s="14">
        <f t="shared" si="43"/>
        <v>4.1184247090583419</v>
      </c>
      <c r="CY40" s="14">
        <f t="shared" si="32"/>
        <v>1.7266197986931415</v>
      </c>
      <c r="CZ40" s="14">
        <f t="shared" si="44"/>
        <v>2.8416814647435897</v>
      </c>
      <c r="DE40" s="14">
        <f t="shared" si="45"/>
        <v>3.600000000000001</v>
      </c>
      <c r="DF40" s="151">
        <f t="shared" si="46"/>
        <v>0.68999233092531875</v>
      </c>
      <c r="DH40" s="152">
        <f t="shared" si="47"/>
        <v>3.600000000000001</v>
      </c>
      <c r="DI40" s="1">
        <f t="shared" si="48"/>
        <v>1.6458061391942886</v>
      </c>
    </row>
    <row r="41" spans="2:113" ht="18" customHeight="1" x14ac:dyDescent="0.25">
      <c r="B41" s="6"/>
      <c r="C41" s="24"/>
      <c r="D41" s="24"/>
      <c r="E41" s="24"/>
      <c r="F41" s="24"/>
      <c r="G41" s="24"/>
      <c r="H41" s="24"/>
      <c r="I41" s="24"/>
      <c r="J41" s="24"/>
      <c r="K41" s="24"/>
      <c r="L41" s="24"/>
      <c r="M41" s="24"/>
      <c r="N41" s="24"/>
      <c r="O41" s="24"/>
      <c r="P41" s="24"/>
      <c r="Q41" s="24"/>
      <c r="R41" s="32" t="s">
        <v>76</v>
      </c>
      <c r="S41" s="247">
        <v>1.5</v>
      </c>
      <c r="T41" s="247"/>
      <c r="U41" s="247"/>
      <c r="V41" s="24"/>
      <c r="W41" s="24"/>
      <c r="X41" s="24"/>
      <c r="Y41" s="24"/>
      <c r="Z41" s="24"/>
      <c r="AA41" s="24"/>
      <c r="AB41" s="24"/>
      <c r="AC41" s="24"/>
      <c r="AD41" s="24"/>
      <c r="AE41" s="24"/>
      <c r="AF41" s="24"/>
      <c r="AG41" s="24"/>
      <c r="AH41" s="24"/>
      <c r="AI41" s="24"/>
      <c r="AJ41" s="24"/>
      <c r="AK41" s="24"/>
      <c r="AL41" s="24"/>
      <c r="AM41" s="24"/>
      <c r="AN41" s="24"/>
      <c r="AO41" s="24"/>
      <c r="AP41" s="8"/>
      <c r="AR41" s="6"/>
      <c r="AS41" s="177" t="s">
        <v>273</v>
      </c>
      <c r="AT41" s="177"/>
      <c r="AU41" s="177"/>
      <c r="AV41" s="177"/>
      <c r="AW41" s="177"/>
      <c r="AX41" s="177"/>
      <c r="AY41" s="177"/>
      <c r="AZ41" s="177"/>
      <c r="BA41" s="177"/>
      <c r="BB41" s="177"/>
      <c r="BC41" s="177"/>
      <c r="BD41" s="177"/>
      <c r="BE41" s="177"/>
      <c r="BF41" s="177"/>
      <c r="BG41" s="177"/>
      <c r="BH41" s="177"/>
      <c r="BI41" s="177"/>
      <c r="BJ41" s="248">
        <f>DL23/1000</f>
        <v>99.140836624065258</v>
      </c>
      <c r="BK41" s="248"/>
      <c r="BL41" s="248"/>
      <c r="BM41" s="354" t="s">
        <v>37</v>
      </c>
      <c r="BN41" s="354"/>
      <c r="BO41" s="354"/>
      <c r="CF41" s="8"/>
      <c r="CM41" s="2">
        <f t="shared" si="49"/>
        <v>3.8000000000000012</v>
      </c>
      <c r="CN41" s="1" t="str">
        <f t="shared" si="33"/>
        <v>0.0107986736111111+4.10349597222222i</v>
      </c>
      <c r="CO41" s="1" t="str">
        <f t="shared" si="34"/>
        <v>-0.284175621345029i</v>
      </c>
      <c r="CP41" s="1" t="str">
        <f t="shared" si="35"/>
        <v>10.7986736111111</v>
      </c>
      <c r="CQ41" s="1" t="str">
        <f t="shared" si="36"/>
        <v>-6.8202149122807i</v>
      </c>
      <c r="CR41" s="1" t="str">
        <f t="shared" si="37"/>
        <v>0.0107986736111111+3.81932035087719i</v>
      </c>
      <c r="CS41" s="1" t="str">
        <f t="shared" si="38"/>
        <v>1.20810096964694+3.38864546772381i</v>
      </c>
      <c r="CT41" s="1" t="str">
        <f t="shared" si="39"/>
        <v>1.20810096964694-3.43156944455689i</v>
      </c>
      <c r="CU41" s="1" t="str">
        <f t="shared" si="40"/>
        <v>0.0191834803010191+1.82243062859682i</v>
      </c>
      <c r="CV41" s="1" t="str">
        <f t="shared" si="41"/>
        <v>1.04180042660816+3.10624995678994i</v>
      </c>
      <c r="CW41" s="2">
        <f t="shared" si="42"/>
        <v>3.8000000000000012</v>
      </c>
      <c r="CX41" s="14">
        <f t="shared" si="43"/>
        <v>3.6380182525213307</v>
      </c>
      <c r="CY41" s="14">
        <f t="shared" si="32"/>
        <v>1.8225315914859384</v>
      </c>
      <c r="CZ41" s="14">
        <f t="shared" si="44"/>
        <v>3.2762992724930444</v>
      </c>
      <c r="DE41" s="14">
        <f t="shared" si="45"/>
        <v>3.8000000000000012</v>
      </c>
      <c r="DF41" s="151">
        <f t="shared" si="46"/>
        <v>0.90057252192794734</v>
      </c>
      <c r="DH41" s="152">
        <f t="shared" si="47"/>
        <v>3.8000000000000012</v>
      </c>
      <c r="DI41" s="1">
        <f t="shared" si="48"/>
        <v>1.7976639130967393</v>
      </c>
    </row>
    <row r="42" spans="2:113" ht="18" customHeight="1" x14ac:dyDescent="0.25">
      <c r="B42" s="6"/>
      <c r="AP42" s="8"/>
      <c r="AR42" s="6"/>
      <c r="CF42" s="8"/>
      <c r="CM42" s="2">
        <f t="shared" si="49"/>
        <v>4.0000000000000009</v>
      </c>
      <c r="CN42" s="1" t="str">
        <f t="shared" si="33"/>
        <v>0.0107986736111111+4.31946944444445i</v>
      </c>
      <c r="CO42" s="1" t="str">
        <f t="shared" si="34"/>
        <v>-0.269966840277778i</v>
      </c>
      <c r="CP42" s="1" t="str">
        <f t="shared" si="35"/>
        <v>10.7986736111111</v>
      </c>
      <c r="CQ42" s="1" t="str">
        <f t="shared" si="36"/>
        <v>-6.47920416666667i</v>
      </c>
      <c r="CR42" s="1" t="str">
        <f t="shared" si="37"/>
        <v>0.0107986736111111+4.04950260416667i</v>
      </c>
      <c r="CS42" s="1" t="str">
        <f t="shared" si="38"/>
        <v>1.33847203621065+3.54403155902865i</v>
      </c>
      <c r="CT42" s="1" t="str">
        <f t="shared" si="39"/>
        <v>1.33847203621065-2.93517260763802i</v>
      </c>
      <c r="CU42" s="1" t="str">
        <f t="shared" si="40"/>
        <v>0.0191834803010191+1.91834803010192i</v>
      </c>
      <c r="CV42" s="1" t="str">
        <f t="shared" si="41"/>
        <v>1.78154331380634+3.18406646086701i</v>
      </c>
      <c r="CW42" s="2">
        <f t="shared" si="42"/>
        <v>4.0000000000000009</v>
      </c>
      <c r="CX42" s="14">
        <f t="shared" si="43"/>
        <v>3.2259487950595958</v>
      </c>
      <c r="CY42" s="14">
        <f t="shared" si="32"/>
        <v>1.9184439451056075</v>
      </c>
      <c r="CZ42" s="14">
        <f t="shared" si="44"/>
        <v>3.6485854527729291</v>
      </c>
      <c r="DE42" s="14">
        <f t="shared" si="45"/>
        <v>4.0000000000000009</v>
      </c>
      <c r="DF42" s="151">
        <f t="shared" si="46"/>
        <v>1.1310115828126557</v>
      </c>
      <c r="DH42" s="152">
        <f t="shared" si="47"/>
        <v>4.0000000000000009</v>
      </c>
      <c r="DI42" s="1">
        <f t="shared" si="48"/>
        <v>1.9018462656056794</v>
      </c>
    </row>
    <row r="43" spans="2:113" ht="18" customHeight="1" x14ac:dyDescent="0.25">
      <c r="B43" s="6"/>
      <c r="C43" s="178" t="s">
        <v>75</v>
      </c>
      <c r="D43" s="178"/>
      <c r="E43" s="178"/>
      <c r="F43" s="178"/>
      <c r="G43" s="178"/>
      <c r="H43" s="178"/>
      <c r="I43" s="178"/>
      <c r="J43" s="178"/>
      <c r="K43" s="178"/>
      <c r="L43" s="178"/>
      <c r="M43" s="178"/>
      <c r="N43" s="178"/>
      <c r="O43" s="178"/>
      <c r="P43" s="178"/>
      <c r="Q43" s="178"/>
      <c r="R43" s="178"/>
      <c r="S43" s="178"/>
      <c r="T43" s="178"/>
      <c r="U43" s="178"/>
      <c r="V43" s="178"/>
      <c r="W43" s="178"/>
      <c r="X43" s="178"/>
      <c r="Y43" s="178"/>
      <c r="Z43" s="178"/>
      <c r="AA43" s="178"/>
      <c r="AB43" s="178"/>
      <c r="AC43" s="178"/>
      <c r="AD43" s="178"/>
      <c r="AE43" s="178"/>
      <c r="AF43" s="178"/>
      <c r="AG43" s="178"/>
      <c r="AH43" s="178"/>
      <c r="AI43" s="178"/>
      <c r="AJ43" s="178"/>
      <c r="AK43" s="178"/>
      <c r="AL43" s="178"/>
      <c r="AM43" s="178"/>
      <c r="AN43" s="178"/>
      <c r="AO43" s="178"/>
      <c r="AP43" s="8"/>
      <c r="AR43" s="6"/>
      <c r="CF43" s="8"/>
      <c r="CM43" s="2">
        <f t="shared" si="49"/>
        <v>4.2000000000000011</v>
      </c>
      <c r="CN43" s="1" t="str">
        <f t="shared" si="33"/>
        <v>0.0107986736111111+4.53544291666667i</v>
      </c>
      <c r="CO43" s="1" t="str">
        <f t="shared" si="34"/>
        <v>-0.257111276455026i</v>
      </c>
      <c r="CP43" s="1" t="str">
        <f t="shared" si="35"/>
        <v>10.7986736111111</v>
      </c>
      <c r="CQ43" s="1" t="str">
        <f t="shared" si="36"/>
        <v>-6.17067063492063i</v>
      </c>
      <c r="CR43" s="1" t="str">
        <f t="shared" si="37"/>
        <v>0.0107986736111111+4.27833164021164i</v>
      </c>
      <c r="CS43" s="1" t="str">
        <f t="shared" si="38"/>
        <v>1.47186451997496+3.69150143372118i</v>
      </c>
      <c r="CT43" s="1" t="str">
        <f t="shared" si="39"/>
        <v>1.47186451997496-2.47916920119945i</v>
      </c>
      <c r="CU43" s="1" t="str">
        <f t="shared" si="40"/>
        <v>0.0191834803010191+2.01426543160701i</v>
      </c>
      <c r="CV43" s="1" t="str">
        <f t="shared" si="41"/>
        <v>2.51367289371878+2.74020872038744i</v>
      </c>
      <c r="CW43" s="2">
        <f t="shared" si="42"/>
        <v>4.2000000000000011</v>
      </c>
      <c r="CX43" s="14">
        <f t="shared" si="43"/>
        <v>2.883169279341232</v>
      </c>
      <c r="CY43" s="14">
        <f t="shared" si="32"/>
        <v>2.0143567794418762</v>
      </c>
      <c r="CZ43" s="14">
        <f t="shared" si="44"/>
        <v>3.7185071262408411</v>
      </c>
      <c r="DE43" s="14">
        <f t="shared" si="45"/>
        <v>4.2000000000000011</v>
      </c>
      <c r="DF43" s="151">
        <f t="shared" si="46"/>
        <v>1.2897290328684652</v>
      </c>
      <c r="DH43" s="152">
        <f t="shared" si="47"/>
        <v>4.2000000000000011</v>
      </c>
      <c r="DI43" s="1">
        <f t="shared" si="48"/>
        <v>1.8460022396187128</v>
      </c>
    </row>
    <row r="44" spans="2:113" ht="18" customHeight="1" x14ac:dyDescent="0.25">
      <c r="B44" s="28"/>
      <c r="C44" s="24"/>
      <c r="D44" s="24"/>
      <c r="E44" s="24"/>
      <c r="F44" s="24"/>
      <c r="G44" s="24"/>
      <c r="H44" s="24"/>
      <c r="I44" s="24"/>
      <c r="J44" s="24"/>
      <c r="K44" s="24"/>
      <c r="L44" s="24"/>
      <c r="M44" s="24"/>
      <c r="N44" s="24"/>
      <c r="O44" s="24"/>
      <c r="P44" s="24"/>
      <c r="Q44" s="24"/>
      <c r="R44" s="32" t="s">
        <v>77</v>
      </c>
      <c r="S44" s="364">
        <v>100</v>
      </c>
      <c r="T44" s="365"/>
      <c r="U44" s="366"/>
      <c r="V44" s="33" t="s">
        <v>78</v>
      </c>
      <c r="W44" s="24"/>
      <c r="X44" s="24"/>
      <c r="Y44" s="24"/>
      <c r="Z44" s="24"/>
      <c r="AA44" s="24"/>
      <c r="AB44" s="24"/>
      <c r="AC44" s="24"/>
      <c r="AD44" s="24"/>
      <c r="AE44" s="24"/>
      <c r="AF44" s="24"/>
      <c r="AG44" s="24"/>
      <c r="AH44" s="24"/>
      <c r="AI44" s="24"/>
      <c r="AJ44" s="24"/>
      <c r="AK44" s="24"/>
      <c r="AL44" s="24"/>
      <c r="AM44" s="24"/>
      <c r="AN44" s="24"/>
      <c r="AO44" s="24"/>
      <c r="AP44" s="42"/>
      <c r="AR44" s="6"/>
      <c r="CF44" s="8"/>
      <c r="CM44" s="2">
        <f t="shared" si="49"/>
        <v>4.4000000000000012</v>
      </c>
      <c r="CN44" s="1" t="str">
        <f t="shared" si="33"/>
        <v>0.0107986736111111+4.75141638888889i</v>
      </c>
      <c r="CO44" s="1" t="str">
        <f t="shared" si="34"/>
        <v>-0.245424400252525i</v>
      </c>
      <c r="CP44" s="1" t="str">
        <f t="shared" si="35"/>
        <v>10.7986736111111</v>
      </c>
      <c r="CQ44" s="1" t="str">
        <f t="shared" si="36"/>
        <v>-5.89018560606061i</v>
      </c>
      <c r="CR44" s="1" t="str">
        <f t="shared" si="37"/>
        <v>0.0107986736111111+4.50599198863636i</v>
      </c>
      <c r="CS44" s="1" t="str">
        <f t="shared" si="38"/>
        <v>1.60786400333608+3.83124294793274i</v>
      </c>
      <c r="CT44" s="1" t="str">
        <f t="shared" si="39"/>
        <v>1.60786400333608-2.05894265812787i</v>
      </c>
      <c r="CU44" s="1" t="str">
        <f t="shared" si="40"/>
        <v>0.0191834803010191+2.11018283311211i</v>
      </c>
      <c r="CV44" s="1" t="str">
        <f t="shared" si="41"/>
        <v>2.7514607357587+1.97437630716962i</v>
      </c>
      <c r="CW44" s="2">
        <f t="shared" si="42"/>
        <v>4.4000000000000012</v>
      </c>
      <c r="CX44" s="14">
        <f t="shared" si="43"/>
        <v>2.6123689484225969</v>
      </c>
      <c r="CY44" s="14">
        <f t="shared" si="32"/>
        <v>2.1102700289483116</v>
      </c>
      <c r="CZ44" s="14">
        <f t="shared" si="44"/>
        <v>3.3865466160580975</v>
      </c>
      <c r="DE44" s="14">
        <f t="shared" si="45"/>
        <v>4.4000000000000012</v>
      </c>
      <c r="DF44" s="151">
        <f t="shared" si="46"/>
        <v>1.2963508152640362</v>
      </c>
      <c r="DH44" s="152">
        <f t="shared" si="47"/>
        <v>4.4000000000000012</v>
      </c>
      <c r="DI44" s="1">
        <f t="shared" si="48"/>
        <v>1.6047930215574506</v>
      </c>
    </row>
    <row r="45" spans="2:113" ht="18" customHeight="1" x14ac:dyDescent="0.35">
      <c r="B45" s="28"/>
      <c r="C45" s="24"/>
      <c r="D45" s="24"/>
      <c r="E45" s="24"/>
      <c r="F45" s="24"/>
      <c r="G45" s="24"/>
      <c r="H45" s="24"/>
      <c r="I45" s="24"/>
      <c r="J45" s="24"/>
      <c r="K45" s="24"/>
      <c r="L45" s="24"/>
      <c r="M45" s="24"/>
      <c r="N45" s="35" t="s">
        <v>79</v>
      </c>
      <c r="O45" s="248">
        <v>0</v>
      </c>
      <c r="P45" s="248"/>
      <c r="Q45" s="248"/>
      <c r="R45" s="24" t="s">
        <v>39</v>
      </c>
      <c r="S45" s="24"/>
      <c r="T45" s="24"/>
      <c r="U45" s="24"/>
      <c r="V45" s="24"/>
      <c r="W45" s="24"/>
      <c r="X45" s="24"/>
      <c r="Y45" s="24"/>
      <c r="Z45" s="24"/>
      <c r="AA45" s="24"/>
      <c r="AB45" s="24"/>
      <c r="AC45" s="24"/>
      <c r="AD45" s="24"/>
      <c r="AE45" s="24"/>
      <c r="AF45" s="24"/>
      <c r="AG45" s="24"/>
      <c r="AH45" s="24"/>
      <c r="AI45" s="32" t="s">
        <v>80</v>
      </c>
      <c r="AJ45" s="211">
        <f>S21*AJ39*S19</f>
        <v>10.798673611111113</v>
      </c>
      <c r="AK45" s="211"/>
      <c r="AL45" s="211"/>
      <c r="AM45" s="24" t="s">
        <v>34</v>
      </c>
      <c r="AN45" s="24"/>
      <c r="AO45" s="24"/>
      <c r="AP45" s="42"/>
      <c r="AR45" s="6"/>
      <c r="CF45" s="8"/>
      <c r="CM45" s="2">
        <f t="shared" si="49"/>
        <v>4.6000000000000014</v>
      </c>
      <c r="CN45" s="1" t="str">
        <f t="shared" si="33"/>
        <v>0.0107986736111111+4.96738986111111i</v>
      </c>
      <c r="CO45" s="1" t="str">
        <f t="shared" si="34"/>
        <v>-0.234753774154589i</v>
      </c>
      <c r="CP45" s="1" t="str">
        <f t="shared" si="35"/>
        <v>10.7986736111111</v>
      </c>
      <c r="CQ45" s="1" t="str">
        <f t="shared" si="36"/>
        <v>-5.63409057971014i</v>
      </c>
      <c r="CR45" s="1" t="str">
        <f t="shared" si="37"/>
        <v>0.0107986736111111+4.73263608695652i</v>
      </c>
      <c r="CS45" s="1" t="str">
        <f t="shared" si="38"/>
        <v>1.74607218258055+3.96343753635878i</v>
      </c>
      <c r="CT45" s="1" t="str">
        <f t="shared" si="39"/>
        <v>1.74607218258055-1.67065304335136i</v>
      </c>
      <c r="CU45" s="1" t="str">
        <f t="shared" si="40"/>
        <v>0.0191834803010191+2.20610023461721i</v>
      </c>
      <c r="CV45" s="1" t="str">
        <f t="shared" si="41"/>
        <v>2.53041990423642+1.39642949930101i</v>
      </c>
      <c r="CW45" s="2">
        <f t="shared" si="42"/>
        <v>4.6000000000000014</v>
      </c>
      <c r="CX45" s="14">
        <f t="shared" si="43"/>
        <v>2.4165780885460268</v>
      </c>
      <c r="CY45" s="14">
        <f t="shared" si="32"/>
        <v>2.206183639476675</v>
      </c>
      <c r="CZ45" s="14">
        <f t="shared" si="44"/>
        <v>2.890162666403731</v>
      </c>
      <c r="DE45" s="14">
        <f t="shared" si="45"/>
        <v>4.6000000000000014</v>
      </c>
      <c r="DF45" s="151">
        <f t="shared" si="46"/>
        <v>1.1959732152262617</v>
      </c>
      <c r="DH45" s="152">
        <f t="shared" si="47"/>
        <v>4.6000000000000014</v>
      </c>
      <c r="DI45" s="1">
        <f t="shared" si="48"/>
        <v>1.3100281475613202</v>
      </c>
    </row>
    <row r="46" spans="2:113" ht="18" customHeight="1" x14ac:dyDescent="0.35">
      <c r="B46" s="6"/>
      <c r="N46" s="35" t="s">
        <v>81</v>
      </c>
      <c r="O46" s="211">
        <f>SQRT((S44*1000)/AJ45)</f>
        <v>96.230954290296708</v>
      </c>
      <c r="P46" s="211"/>
      <c r="Q46" s="211"/>
      <c r="R46" s="24" t="s">
        <v>39</v>
      </c>
      <c r="S46" s="24"/>
      <c r="T46" s="24"/>
      <c r="U46" s="24"/>
      <c r="V46" s="24"/>
      <c r="W46" s="24"/>
      <c r="X46" s="24"/>
      <c r="Y46" s="24"/>
      <c r="Z46" s="24"/>
      <c r="AA46" s="24"/>
      <c r="AB46" s="24"/>
      <c r="AC46" s="24"/>
      <c r="AD46" s="24"/>
      <c r="AE46" s="24"/>
      <c r="AF46" s="24"/>
      <c r="AG46" s="24"/>
      <c r="AH46" s="24"/>
      <c r="AI46" s="32" t="s">
        <v>82</v>
      </c>
      <c r="AJ46" s="248">
        <f>CZ23/1000</f>
        <v>77.330135970080562</v>
      </c>
      <c r="AK46" s="248"/>
      <c r="AL46" s="248"/>
      <c r="AM46" s="24" t="s">
        <v>78</v>
      </c>
      <c r="AN46" s="24"/>
      <c r="AO46" s="24"/>
      <c r="AP46" s="42"/>
      <c r="AR46" s="6"/>
      <c r="CF46" s="8"/>
      <c r="CM46" s="2">
        <f t="shared" si="49"/>
        <v>4.8000000000000016</v>
      </c>
      <c r="CN46" s="1" t="str">
        <f t="shared" si="33"/>
        <v>0.0107986736111111+5.18336333333334i</v>
      </c>
      <c r="CO46" s="1" t="str">
        <f t="shared" si="34"/>
        <v>-0.224972366898148i</v>
      </c>
      <c r="CP46" s="1" t="str">
        <f t="shared" si="35"/>
        <v>10.7986736111111</v>
      </c>
      <c r="CQ46" s="1" t="str">
        <f t="shared" si="36"/>
        <v>-5.39933680555555i</v>
      </c>
      <c r="CR46" s="1" t="str">
        <f t="shared" si="37"/>
        <v>0.0107986736111111+4.95839096643519i</v>
      </c>
      <c r="CS46" s="1" t="str">
        <f t="shared" si="38"/>
        <v>1.88610756779035+4.08826497658155i</v>
      </c>
      <c r="CT46" s="1" t="str">
        <f t="shared" si="39"/>
        <v>1.88610756779035-1.311071828974i</v>
      </c>
      <c r="CU46" s="1" t="str">
        <f t="shared" si="40"/>
        <v>0.0191834803010191+2.3020176361223i</v>
      </c>
      <c r="CV46" s="1" t="str">
        <f t="shared" si="41"/>
        <v>2.18922344461376+1.12701950333157i</v>
      </c>
      <c r="CW46" s="2">
        <f t="shared" si="42"/>
        <v>4.8000000000000016</v>
      </c>
      <c r="CX46" s="14">
        <f t="shared" si="43"/>
        <v>2.297022224099118</v>
      </c>
      <c r="CY46" s="14">
        <f t="shared" si="32"/>
        <v>2.3020975659025762</v>
      </c>
      <c r="CZ46" s="14">
        <f t="shared" si="44"/>
        <v>2.46229004208202</v>
      </c>
      <c r="DE46" s="14">
        <f t="shared" si="45"/>
        <v>4.8000000000000016</v>
      </c>
      <c r="DF46" s="151">
        <f t="shared" si="46"/>
        <v>1.0719487239822927</v>
      </c>
      <c r="DH46" s="152">
        <f t="shared" si="47"/>
        <v>4.8000000000000016</v>
      </c>
      <c r="DI46" s="1">
        <f t="shared" si="48"/>
        <v>1.0695854417953987</v>
      </c>
    </row>
    <row r="47" spans="2:113"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c r="AR47" s="6"/>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1"/>
      <c r="CE47" s="10"/>
      <c r="CF47" s="8"/>
      <c r="CM47" s="2">
        <f t="shared" si="49"/>
        <v>5.0000000000000018</v>
      </c>
      <c r="CN47" s="1" t="str">
        <f t="shared" si="33"/>
        <v>0.0107986736111111+5.39933680555556i</v>
      </c>
      <c r="CO47" s="1" t="str">
        <f t="shared" si="34"/>
        <v>-0.215973472222222i</v>
      </c>
      <c r="CP47" s="1" t="str">
        <f t="shared" si="35"/>
        <v>10.7986736111111</v>
      </c>
      <c r="CQ47" s="1" t="str">
        <f t="shared" si="36"/>
        <v>-5.18336333333333i</v>
      </c>
      <c r="CR47" s="1" t="str">
        <f t="shared" si="37"/>
        <v>0.0107986736111111+5.18336333333334i</v>
      </c>
      <c r="CS47" s="1" t="str">
        <f t="shared" si="38"/>
        <v>2.02760617062525+4.20590646496825i</v>
      </c>
      <c r="CT47" s="1" t="str">
        <f t="shared" si="39"/>
        <v>2.02760617062525-0.97745686836508i</v>
      </c>
      <c r="CU47" s="1" t="str">
        <f t="shared" si="40"/>
        <v>0.0191834803010191+2.3979350376274i</v>
      </c>
      <c r="CV47" s="1" t="str">
        <f t="shared" si="41"/>
        <v>1.894097520501+1.05178989700902i</v>
      </c>
      <c r="CW47" s="2">
        <f t="shared" si="42"/>
        <v>5.0000000000000018</v>
      </c>
      <c r="CX47" s="14">
        <f t="shared" si="43"/>
        <v>2.2509128620787742</v>
      </c>
      <c r="CY47" s="14">
        <f t="shared" si="32"/>
        <v>2.3980117703208976</v>
      </c>
      <c r="CZ47" s="14">
        <f t="shared" si="44"/>
        <v>2.1665334995375174</v>
      </c>
      <c r="DE47" s="14">
        <f t="shared" si="45"/>
        <v>5.0000000000000018</v>
      </c>
      <c r="DF47" s="151">
        <f t="shared" si="46"/>
        <v>0.96251327007686605</v>
      </c>
      <c r="DH47" s="152">
        <f t="shared" si="47"/>
        <v>5.0000000000000018</v>
      </c>
      <c r="DI47" s="1">
        <f t="shared" si="48"/>
        <v>0.90347075287607737</v>
      </c>
    </row>
    <row r="48" spans="2:113" ht="18" customHeight="1" x14ac:dyDescent="0.25">
      <c r="B48" s="6"/>
      <c r="D48" s="43" t="s">
        <v>84</v>
      </c>
      <c r="AO48" s="44" t="s">
        <v>746</v>
      </c>
      <c r="AP48" s="8"/>
      <c r="AR48" s="6"/>
      <c r="AT48" s="43" t="s">
        <v>84</v>
      </c>
      <c r="CE48" s="29" t="s">
        <v>86</v>
      </c>
      <c r="CF48" s="8"/>
      <c r="CM48" s="2">
        <f t="shared" si="49"/>
        <v>5.200000000000002</v>
      </c>
      <c r="CN48" s="1" t="str">
        <f t="shared" si="33"/>
        <v>0.0107986736111111+5.61531027777778i</v>
      </c>
      <c r="CO48" s="1" t="str">
        <f t="shared" si="34"/>
        <v>-0.207666800213675i</v>
      </c>
      <c r="CP48" s="1" t="str">
        <f t="shared" si="35"/>
        <v>10.7986736111111</v>
      </c>
      <c r="CQ48" s="1" t="str">
        <f t="shared" si="36"/>
        <v>-4.9840032051282i</v>
      </c>
      <c r="CR48" s="1" t="str">
        <f t="shared" si="37"/>
        <v>0.0107986736111111+5.40764347756411i</v>
      </c>
      <c r="CS48" s="1" t="str">
        <f t="shared" si="38"/>
        <v>2.17022210928038+4.31654647482657i</v>
      </c>
      <c r="CT48" s="1" t="str">
        <f t="shared" si="39"/>
        <v>2.17022210928038-0.66745673030163i</v>
      </c>
      <c r="CU48" s="1" t="str">
        <f t="shared" si="40"/>
        <v>0.0191834803010191+2.49385243913249i</v>
      </c>
      <c r="CV48" s="1" t="str">
        <f t="shared" si="41"/>
        <v>1.67260351311309+1.07087224490631i</v>
      </c>
      <c r="CW48" s="2">
        <f t="shared" si="42"/>
        <v>5.200000000000002</v>
      </c>
      <c r="CX48" s="14">
        <f t="shared" si="43"/>
        <v>2.2705423339885833</v>
      </c>
      <c r="CY48" s="14">
        <f t="shared" si="32"/>
        <v>2.4939262206576087</v>
      </c>
      <c r="CZ48" s="14">
        <f t="shared" si="44"/>
        <v>1.9860437751945275</v>
      </c>
      <c r="DE48" s="14">
        <f t="shared" si="45"/>
        <v>5.200000000000002</v>
      </c>
      <c r="DF48" s="151">
        <f t="shared" si="46"/>
        <v>0.87470017425559587</v>
      </c>
      <c r="DH48" s="152">
        <f t="shared" si="47"/>
        <v>5.200000000000002</v>
      </c>
      <c r="DI48" s="1">
        <f t="shared" si="48"/>
        <v>0.79635225723351044</v>
      </c>
    </row>
    <row r="49" spans="2:113"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c r="AR49" s="45"/>
      <c r="AS49" s="46"/>
      <c r="AT49" s="46"/>
      <c r="AU49" s="46"/>
      <c r="AV49" s="46"/>
      <c r="AW49" s="46"/>
      <c r="AX49" s="46"/>
      <c r="AY49" s="46"/>
      <c r="AZ49" s="46"/>
      <c r="BA49" s="46"/>
      <c r="BB49" s="46"/>
      <c r="BC49" s="46"/>
      <c r="BD49" s="46"/>
      <c r="BE49" s="46"/>
      <c r="BF49" s="46"/>
      <c r="BG49" s="46"/>
      <c r="BH49" s="46"/>
      <c r="BI49" s="46"/>
      <c r="BJ49" s="46"/>
      <c r="BK49" s="46"/>
      <c r="BL49" s="46"/>
      <c r="BM49" s="46"/>
      <c r="BN49" s="46"/>
      <c r="BO49" s="46"/>
      <c r="BP49" s="46"/>
      <c r="BQ49" s="46"/>
      <c r="BR49" s="46"/>
      <c r="BS49" s="46"/>
      <c r="BT49" s="46"/>
      <c r="BU49" s="46"/>
      <c r="BV49" s="46"/>
      <c r="BW49" s="46"/>
      <c r="BX49" s="46"/>
      <c r="BY49" s="46"/>
      <c r="BZ49" s="46"/>
      <c r="CA49" s="46"/>
      <c r="CB49" s="46"/>
      <c r="CC49" s="46"/>
      <c r="CD49" s="46"/>
      <c r="CE49" s="46"/>
      <c r="CF49" s="47"/>
      <c r="CM49" s="2">
        <f t="shared" si="49"/>
        <v>5.4000000000000021</v>
      </c>
      <c r="CN49" s="1" t="str">
        <f t="shared" si="33"/>
        <v>0.0107986736111111+5.83128375i</v>
      </c>
      <c r="CO49" s="1" t="str">
        <f t="shared" si="34"/>
        <v>-0.199975437242798i</v>
      </c>
      <c r="CP49" s="1" t="str">
        <f t="shared" si="35"/>
        <v>10.7986736111111</v>
      </c>
      <c r="CQ49" s="1" t="str">
        <f t="shared" si="36"/>
        <v>-4.79941049382716i</v>
      </c>
      <c r="CR49" s="1" t="str">
        <f t="shared" si="37"/>
        <v>0.0107986736111111+5.6313083127572i</v>
      </c>
      <c r="CS49" s="1" t="str">
        <f t="shared" si="38"/>
        <v>2.31362808966822+4.42037373522463i</v>
      </c>
      <c r="CT49" s="1" t="str">
        <f t="shared" si="39"/>
        <v>2.31362808966822-0.379036758602529i</v>
      </c>
      <c r="CU49" s="1" t="str">
        <f t="shared" si="40"/>
        <v>0.0191834803010191+2.58976984063759i</v>
      </c>
      <c r="CV49" s="1" t="str">
        <f t="shared" si="41"/>
        <v>1.51254277706397+1.13196654355972i</v>
      </c>
      <c r="CW49" s="2">
        <f t="shared" si="42"/>
        <v>5.4000000000000021</v>
      </c>
      <c r="CX49" s="14">
        <f t="shared" si="43"/>
        <v>2.3444709001550281</v>
      </c>
      <c r="CY49" s="14">
        <f t="shared" si="32"/>
        <v>2.5898408895900351</v>
      </c>
      <c r="CZ49" s="14">
        <f t="shared" si="44"/>
        <v>1.8892151566687487</v>
      </c>
      <c r="DE49" s="14">
        <f t="shared" si="45"/>
        <v>5.4000000000000021</v>
      </c>
      <c r="DF49" s="151">
        <f t="shared" si="46"/>
        <v>0.80581727695738326</v>
      </c>
      <c r="DH49" s="152">
        <f t="shared" si="47"/>
        <v>5.4000000000000021</v>
      </c>
      <c r="DI49" s="1">
        <f t="shared" si="48"/>
        <v>0.72947151474151262</v>
      </c>
    </row>
    <row r="50" spans="2:113" ht="18" customHeight="1" x14ac:dyDescent="0.25">
      <c r="CM50" s="2">
        <f t="shared" si="49"/>
        <v>5.6000000000000023</v>
      </c>
      <c r="CN50" s="1" t="str">
        <f t="shared" si="33"/>
        <v>0.0107986736111111+6.04725722222223i</v>
      </c>
      <c r="CO50" s="1" t="str">
        <f t="shared" si="34"/>
        <v>-0.19283345734127i</v>
      </c>
      <c r="CP50" s="1" t="str">
        <f t="shared" si="35"/>
        <v>10.7986736111111</v>
      </c>
      <c r="CQ50" s="1" t="str">
        <f t="shared" si="36"/>
        <v>-4.62800297619048i</v>
      </c>
      <c r="CR50" s="1" t="str">
        <f t="shared" si="37"/>
        <v>0.0107986736111111+5.85442376488096i</v>
      </c>
      <c r="CS50" s="1" t="str">
        <f t="shared" si="38"/>
        <v>2.45751574172992+4.51758157760835i</v>
      </c>
      <c r="CT50" s="1" t="str">
        <f t="shared" si="39"/>
        <v>2.45751574172992-0.11042139858213i</v>
      </c>
      <c r="CU50" s="1" t="str">
        <f t="shared" si="40"/>
        <v>0.0191834803010191+2.68568724214269i</v>
      </c>
      <c r="CV50" s="1" t="str">
        <f t="shared" si="41"/>
        <v>1.39768156007379+1.21072385362685i</v>
      </c>
      <c r="CW50" s="2">
        <f t="shared" si="42"/>
        <v>5.6000000000000023</v>
      </c>
      <c r="CX50" s="14">
        <f t="shared" si="43"/>
        <v>2.4599952248155263</v>
      </c>
      <c r="CY50" s="14">
        <f t="shared" si="32"/>
        <v>2.6857557536984711</v>
      </c>
      <c r="CZ50" s="14">
        <f t="shared" si="44"/>
        <v>1.8491527771147935</v>
      </c>
      <c r="DE50" s="14">
        <f t="shared" si="45"/>
        <v>5.6000000000000023</v>
      </c>
      <c r="DF50" s="151">
        <f t="shared" si="46"/>
        <v>0.7516895799069907</v>
      </c>
      <c r="DH50" s="152">
        <f t="shared" si="47"/>
        <v>5.6000000000000023</v>
      </c>
      <c r="DI50" s="1">
        <f t="shared" si="48"/>
        <v>0.68850370126485749</v>
      </c>
    </row>
    <row r="51" spans="2:113" ht="18" customHeight="1" x14ac:dyDescent="0.25">
      <c r="B51" s="3"/>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5"/>
      <c r="AR51" s="3"/>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5"/>
      <c r="CM51" s="2">
        <f t="shared" si="49"/>
        <v>5.8000000000000025</v>
      </c>
      <c r="CN51" s="1" t="str">
        <f t="shared" si="33"/>
        <v>0.0107986736111111+6.26323069444445i</v>
      </c>
      <c r="CO51" s="1" t="str">
        <f t="shared" si="34"/>
        <v>-0.186184027777778i</v>
      </c>
      <c r="CP51" s="1" t="str">
        <f t="shared" si="35"/>
        <v>10.7986736111111</v>
      </c>
      <c r="CQ51" s="1" t="str">
        <f t="shared" si="36"/>
        <v>-4.46841666666667i</v>
      </c>
      <c r="CR51" s="1" t="str">
        <f t="shared" si="37"/>
        <v>0.0107986736111111+6.07704666666667i</v>
      </c>
      <c r="CS51" s="1" t="str">
        <f t="shared" si="38"/>
        <v>2.60159580316663+4.60836783305157i</v>
      </c>
      <c r="CT51" s="1" t="str">
        <f t="shared" si="39"/>
        <v>2.60159580316663+0.1399511663849i</v>
      </c>
      <c r="CU51" s="1" t="str">
        <f t="shared" si="40"/>
        <v>0.0191834803010191+2.78160464364778i</v>
      </c>
      <c r="CV51" s="1" t="str">
        <f t="shared" si="41"/>
        <v>1.31528172338483+1.29603693758879i</v>
      </c>
      <c r="CW51" s="2">
        <f t="shared" si="42"/>
        <v>5.8000000000000025</v>
      </c>
      <c r="CX51" s="14">
        <f t="shared" si="43"/>
        <v>2.6053573751074377</v>
      </c>
      <c r="CY51" s="14">
        <f t="shared" si="32"/>
        <v>2.7816707927933093</v>
      </c>
      <c r="CZ51" s="14">
        <f t="shared" si="44"/>
        <v>1.8465312766007236</v>
      </c>
      <c r="DE51" s="14">
        <f t="shared" si="45"/>
        <v>5.8000000000000025</v>
      </c>
      <c r="DF51" s="151">
        <f t="shared" si="46"/>
        <v>0.70874394977179811</v>
      </c>
      <c r="DH51" s="152">
        <f t="shared" si="47"/>
        <v>5.8000000000000025</v>
      </c>
      <c r="DI51" s="1">
        <f t="shared" si="48"/>
        <v>0.66382092423901562</v>
      </c>
    </row>
    <row r="52" spans="2:113" ht="18" customHeight="1" x14ac:dyDescent="0.25">
      <c r="B52" s="6"/>
      <c r="AN52" s="7"/>
      <c r="AP52" s="8"/>
      <c r="AR52" s="6"/>
      <c r="CD52" s="7"/>
      <c r="CF52" s="8"/>
      <c r="CM52" s="2">
        <f t="shared" si="49"/>
        <v>6.0000000000000027</v>
      </c>
      <c r="CN52" s="1" t="str">
        <f t="shared" si="33"/>
        <v>0.0107986736111111+6.47920416666667i</v>
      </c>
      <c r="CO52" s="1" t="str">
        <f t="shared" si="34"/>
        <v>-0.179977893518518i</v>
      </c>
      <c r="CP52" s="1" t="str">
        <f t="shared" si="35"/>
        <v>10.7986736111111</v>
      </c>
      <c r="CQ52" s="1" t="str">
        <f t="shared" si="36"/>
        <v>-4.31946944444444i</v>
      </c>
      <c r="CR52" s="1" t="str">
        <f t="shared" si="37"/>
        <v>0.0107986736111111+6.29922627314815i</v>
      </c>
      <c r="CS52" s="1" t="str">
        <f t="shared" si="38"/>
        <v>2.74559815191482+4.69293441678106i</v>
      </c>
      <c r="CT52" s="1" t="str">
        <f t="shared" si="39"/>
        <v>2.74559815191482+0.373464972336619i</v>
      </c>
      <c r="CU52" s="1" t="str">
        <f t="shared" si="40"/>
        <v>0.0191834803010191+2.87752204515288i</v>
      </c>
      <c r="CV52" s="1" t="str">
        <f t="shared" si="41"/>
        <v>1.25637171664052+1.38283450046013i</v>
      </c>
      <c r="CW52" s="2">
        <f t="shared" si="42"/>
        <v>6.0000000000000027</v>
      </c>
      <c r="CX52" s="14">
        <f t="shared" si="43"/>
        <v>2.7708816823098865</v>
      </c>
      <c r="CY52" s="14">
        <f t="shared" si="32"/>
        <v>2.8775859893767306</v>
      </c>
      <c r="CZ52" s="14">
        <f t="shared" si="44"/>
        <v>1.8683418172371629</v>
      </c>
      <c r="DE52" s="14">
        <f t="shared" si="45"/>
        <v>6.0000000000000027</v>
      </c>
      <c r="DF52" s="151">
        <f t="shared" si="46"/>
        <v>0.67427701051444922</v>
      </c>
      <c r="DH52" s="152">
        <f t="shared" si="47"/>
        <v>6.0000000000000027</v>
      </c>
      <c r="DI52" s="1">
        <f t="shared" si="48"/>
        <v>0.64927401792146933</v>
      </c>
    </row>
    <row r="53" spans="2:113" ht="18" customHeight="1" x14ac:dyDescent="0.25">
      <c r="B53" s="6"/>
      <c r="AN53" s="9"/>
      <c r="AP53" s="8"/>
      <c r="AR53" s="6"/>
      <c r="CD53" s="9"/>
      <c r="CF53" s="8"/>
      <c r="CM53" s="2">
        <f t="shared" si="49"/>
        <v>6.2000000000000028</v>
      </c>
      <c r="CN53" s="1" t="str">
        <f t="shared" si="33"/>
        <v>0.0107986736111111+6.69517763888889i</v>
      </c>
      <c r="CO53" s="1" t="str">
        <f t="shared" si="34"/>
        <v>-0.174172155017921i</v>
      </c>
      <c r="CP53" s="1" t="str">
        <f t="shared" si="35"/>
        <v>10.7986736111111</v>
      </c>
      <c r="CQ53" s="1" t="str">
        <f t="shared" si="36"/>
        <v>-4.18013172043011i</v>
      </c>
      <c r="CR53" s="1" t="str">
        <f t="shared" si="37"/>
        <v>0.0107986736111111+6.52100548387097i</v>
      </c>
      <c r="CS53" s="1" t="str">
        <f t="shared" si="38"/>
        <v>2.88927169471192+4.77148670281309i</v>
      </c>
      <c r="CT53" s="1" t="str">
        <f t="shared" si="39"/>
        <v>2.88927169471192+0.59135498238298i</v>
      </c>
      <c r="CU53" s="1" t="str">
        <f t="shared" si="40"/>
        <v>0.0191834803010191+2.97343944665797i</v>
      </c>
      <c r="CV53" s="1" t="str">
        <f t="shared" si="41"/>
        <v>1.21477346154579+1.46882133314638i</v>
      </c>
      <c r="CW53" s="2">
        <f t="shared" si="42"/>
        <v>6.2000000000000028</v>
      </c>
      <c r="CX53" s="14">
        <f t="shared" si="43"/>
        <v>2.9491679574165768</v>
      </c>
      <c r="CY53" s="14">
        <f t="shared" si="32"/>
        <v>2.9735013282085703</v>
      </c>
      <c r="CZ53" s="14">
        <f t="shared" si="44"/>
        <v>1.9060720530929174</v>
      </c>
      <c r="DE53" s="14">
        <f t="shared" si="45"/>
        <v>6.2000000000000028</v>
      </c>
      <c r="DF53" s="151">
        <f t="shared" si="46"/>
        <v>0.64630840990236516</v>
      </c>
      <c r="DH53" s="152">
        <f t="shared" si="47"/>
        <v>6.2000000000000028</v>
      </c>
      <c r="DI53" s="1">
        <f t="shared" si="48"/>
        <v>0.6410194053087096</v>
      </c>
    </row>
    <row r="54" spans="2:113" ht="18" customHeight="1" thickBot="1" x14ac:dyDescent="0.3">
      <c r="B54" s="6"/>
      <c r="C54" s="10" t="str">
        <f>"Harmonic Filter Design - C-HP | "&amp; H12 &amp; " | " &amp; AE13</f>
        <v>Harmonic Filter Design - C-HP | Enter Customer PO #  | Stage 1</v>
      </c>
      <c r="D54" s="10"/>
      <c r="E54" s="10"/>
      <c r="F54" s="10"/>
      <c r="G54" s="10"/>
      <c r="H54" s="10"/>
      <c r="I54" s="10"/>
      <c r="J54" s="10"/>
      <c r="K54" s="10"/>
      <c r="L54" s="10"/>
      <c r="M54" s="10"/>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1"/>
      <c r="AO54" s="10"/>
      <c r="AP54" s="8"/>
      <c r="AR54" s="6"/>
      <c r="AS54" s="251" t="str">
        <f>"Harmonic Filter Design - C-HP | "&amp; H12 &amp; " | " &amp; AE13</f>
        <v>Harmonic Filter Design - C-HP | Enter Customer PO #  | Stage 1</v>
      </c>
      <c r="AT54" s="251"/>
      <c r="AU54" s="251"/>
      <c r="AV54" s="251"/>
      <c r="AW54" s="251"/>
      <c r="AX54" s="251"/>
      <c r="AY54" s="251"/>
      <c r="AZ54" s="251"/>
      <c r="BA54" s="251"/>
      <c r="BB54" s="251"/>
      <c r="BC54" s="251"/>
      <c r="BD54" s="251"/>
      <c r="BE54" s="251"/>
      <c r="BF54" s="251"/>
      <c r="BG54" s="251"/>
      <c r="BH54" s="10"/>
      <c r="BI54" s="10"/>
      <c r="BJ54" s="10"/>
      <c r="BK54" s="10"/>
      <c r="BL54" s="10"/>
      <c r="BM54" s="10"/>
      <c r="BN54" s="10"/>
      <c r="BO54" s="10"/>
      <c r="BP54" s="10"/>
      <c r="BQ54" s="10"/>
      <c r="BR54" s="10"/>
      <c r="BS54" s="10"/>
      <c r="BT54" s="10"/>
      <c r="BU54" s="10"/>
      <c r="BV54" s="10"/>
      <c r="BW54" s="10"/>
      <c r="BX54" s="10"/>
      <c r="BY54" s="10"/>
      <c r="BZ54" s="10"/>
      <c r="CA54" s="10"/>
      <c r="CB54" s="10"/>
      <c r="CC54" s="10"/>
      <c r="CD54" s="11"/>
      <c r="CE54" s="10"/>
      <c r="CF54" s="8"/>
      <c r="CM54" s="2">
        <f t="shared" si="49"/>
        <v>6.400000000000003</v>
      </c>
      <c r="CN54" s="1" t="str">
        <f t="shared" si="33"/>
        <v>0.0107986736111111+6.91115111111112i</v>
      </c>
      <c r="CO54" s="1" t="str">
        <f t="shared" si="34"/>
        <v>-0.168729275173611i</v>
      </c>
      <c r="CP54" s="1" t="str">
        <f t="shared" si="35"/>
        <v>10.7986736111111</v>
      </c>
      <c r="CQ54" s="1" t="str">
        <f t="shared" si="36"/>
        <v>-4.04950260416667i</v>
      </c>
      <c r="CR54" s="1" t="str">
        <f t="shared" si="37"/>
        <v>0.0107986736111111+6.74242183593751i</v>
      </c>
      <c r="CS54" s="1" t="str">
        <f t="shared" si="38"/>
        <v>3.03238412299444+4.84423276637648i</v>
      </c>
      <c r="CT54" s="1" t="str">
        <f t="shared" si="39"/>
        <v>3.03238412299444+0.79473016220981i</v>
      </c>
      <c r="CU54" s="1" t="str">
        <f t="shared" si="40"/>
        <v>0.0191834803010191+3.06935684816307i</v>
      </c>
      <c r="CV54" s="1" t="str">
        <f t="shared" si="41"/>
        <v>1.18621036858175+1.55300330972878i</v>
      </c>
      <c r="CW54" s="2">
        <f t="shared" si="42"/>
        <v>6.400000000000003</v>
      </c>
      <c r="CX54" s="14">
        <f t="shared" si="43"/>
        <v>3.1347965643905491</v>
      </c>
      <c r="CY54" s="14">
        <f t="shared" si="32"/>
        <v>3.0694167959535874</v>
      </c>
      <c r="CZ54" s="14">
        <f t="shared" si="44"/>
        <v>1.9542042673577897</v>
      </c>
      <c r="DE54" s="14">
        <f t="shared" si="45"/>
        <v>6.400000000000003</v>
      </c>
      <c r="DF54" s="151">
        <f t="shared" si="46"/>
        <v>0.6233910964291598</v>
      </c>
      <c r="DH54" s="152">
        <f t="shared" si="47"/>
        <v>6.400000000000003</v>
      </c>
      <c r="DI54" s="1">
        <f t="shared" si="48"/>
        <v>0.63666956860795709</v>
      </c>
    </row>
    <row r="55" spans="2:113" ht="18" customHeight="1" x14ac:dyDescent="0.25">
      <c r="B55" s="6"/>
      <c r="AN55" s="9"/>
      <c r="AP55" s="8"/>
      <c r="AR55" s="6"/>
      <c r="CD55" s="9"/>
      <c r="CF55" s="8"/>
      <c r="CM55" s="2">
        <f t="shared" si="49"/>
        <v>6.6000000000000032</v>
      </c>
      <c r="CN55" s="1" t="str">
        <f t="shared" si="33"/>
        <v>0.0107986736111111+7.12712458333334i</v>
      </c>
      <c r="CO55" s="1" t="str">
        <f t="shared" si="34"/>
        <v>-0.163616266835017i</v>
      </c>
      <c r="CP55" s="1" t="str">
        <f t="shared" si="35"/>
        <v>10.7986736111111</v>
      </c>
      <c r="CQ55" s="1" t="str">
        <f t="shared" si="36"/>
        <v>-3.9267904040404i</v>
      </c>
      <c r="CR55" s="1" t="str">
        <f t="shared" si="37"/>
        <v>0.0107986736111111+6.96350831649832i</v>
      </c>
      <c r="CS55" s="1" t="str">
        <f t="shared" si="38"/>
        <v>3.17472154973489+4.91138255278316i</v>
      </c>
      <c r="CT55" s="1" t="str">
        <f t="shared" si="39"/>
        <v>3.17472154973489+0.98459214874276i</v>
      </c>
      <c r="CU55" s="1" t="str">
        <f t="shared" si="40"/>
        <v>0.0191834803010191+3.16527424966816i</v>
      </c>
      <c r="CV55" s="1" t="str">
        <f t="shared" si="41"/>
        <v>1.16767680754024+1.6350046348932i</v>
      </c>
      <c r="CW55" s="2">
        <f t="shared" si="42"/>
        <v>6.6000000000000032</v>
      </c>
      <c r="CX55" s="14">
        <f t="shared" si="43"/>
        <v>3.3238950972792427</v>
      </c>
      <c r="CY55" s="14">
        <f t="shared" si="32"/>
        <v>3.1653323808928544</v>
      </c>
      <c r="CZ55" s="14">
        <f t="shared" si="44"/>
        <v>2.009156361010664</v>
      </c>
      <c r="DE55" s="14">
        <f t="shared" si="45"/>
        <v>6.6000000000000032</v>
      </c>
      <c r="DF55" s="151">
        <f t="shared" si="46"/>
        <v>0.60445841466394257</v>
      </c>
      <c r="DH55" s="152">
        <f t="shared" si="47"/>
        <v>6.6000000000000032</v>
      </c>
      <c r="DI55" s="1">
        <f t="shared" si="48"/>
        <v>0.63473787875759702</v>
      </c>
    </row>
    <row r="56" spans="2:113" ht="18" customHeight="1" x14ac:dyDescent="0.3">
      <c r="B56" s="6"/>
      <c r="C56" s="178" t="s">
        <v>87</v>
      </c>
      <c r="D56" s="178"/>
      <c r="E56" s="178"/>
      <c r="F56" s="178"/>
      <c r="G56" s="178"/>
      <c r="H56" s="178"/>
      <c r="I56" s="178"/>
      <c r="J56" s="178"/>
      <c r="K56" s="178"/>
      <c r="L56" s="178"/>
      <c r="M56" s="178"/>
      <c r="N56" s="178"/>
      <c r="O56" s="178"/>
      <c r="P56" s="178"/>
      <c r="Q56" s="178"/>
      <c r="R56" s="178"/>
      <c r="S56" s="178"/>
      <c r="T56" s="178"/>
      <c r="U56" s="178"/>
      <c r="V56" s="178"/>
      <c r="W56" s="178"/>
      <c r="X56" s="178"/>
      <c r="Y56" s="178"/>
      <c r="Z56" s="178"/>
      <c r="AA56" s="178"/>
      <c r="AB56" s="178"/>
      <c r="AC56" s="178"/>
      <c r="AD56" s="178"/>
      <c r="AE56" s="178"/>
      <c r="AF56" s="178"/>
      <c r="AG56" s="178"/>
      <c r="AH56" s="178"/>
      <c r="AI56" s="178"/>
      <c r="AJ56" s="178"/>
      <c r="AK56" s="178"/>
      <c r="AL56" s="178"/>
      <c r="AM56" s="178"/>
      <c r="AN56" s="178"/>
      <c r="AO56" s="178"/>
      <c r="AP56" s="8"/>
      <c r="AR56" s="6"/>
      <c r="AS56" s="30" t="s">
        <v>88</v>
      </c>
      <c r="CF56" s="8"/>
      <c r="CM56" s="2">
        <f t="shared" si="49"/>
        <v>6.8000000000000034</v>
      </c>
      <c r="CN56" s="1" t="str">
        <f t="shared" si="33"/>
        <v>0.0107986736111111+7.34309805555556i</v>
      </c>
      <c r="CO56" s="1" t="str">
        <f t="shared" si="34"/>
        <v>-0.15880402369281i</v>
      </c>
      <c r="CP56" s="1" t="str">
        <f t="shared" si="35"/>
        <v>10.7986736111111</v>
      </c>
      <c r="CQ56" s="1" t="str">
        <f t="shared" si="36"/>
        <v>-3.81129656862745i</v>
      </c>
      <c r="CR56" s="1" t="str">
        <f t="shared" si="37"/>
        <v>0.0107986736111111+7.18429403186275i</v>
      </c>
      <c r="CS56" s="1" t="str">
        <f t="shared" si="38"/>
        <v>3.31608804207555+4.97314701685328i</v>
      </c>
      <c r="CT56" s="1" t="str">
        <f t="shared" si="39"/>
        <v>3.31608804207555+1.16185044822583i</v>
      </c>
      <c r="CU56" s="1" t="str">
        <f t="shared" si="40"/>
        <v>0.0191834803010191+3.26119165117326i</v>
      </c>
      <c r="CV56" s="1" t="str">
        <f t="shared" si="41"/>
        <v>1.15702095503345+1.7147433245505i</v>
      </c>
      <c r="CW56" s="2">
        <f t="shared" si="42"/>
        <v>6.8000000000000034</v>
      </c>
      <c r="CX56" s="14">
        <f t="shared" si="43"/>
        <v>3.5137353865706813</v>
      </c>
      <c r="CY56" s="14">
        <f t="shared" si="32"/>
        <v>3.2612480726860751</v>
      </c>
      <c r="CZ56" s="14">
        <f t="shared" si="44"/>
        <v>2.0685845787583883</v>
      </c>
      <c r="DE56" s="14">
        <f t="shared" si="45"/>
        <v>6.8000000000000034</v>
      </c>
      <c r="DF56" s="151">
        <f t="shared" si="46"/>
        <v>0.58871381910670306</v>
      </c>
      <c r="DH56" s="152">
        <f t="shared" si="47"/>
        <v>6.8000000000000034</v>
      </c>
      <c r="DI56" s="1">
        <f t="shared" si="48"/>
        <v>0.63429231161021005</v>
      </c>
    </row>
    <row r="57" spans="2:113" ht="18" customHeight="1" x14ac:dyDescent="0.25">
      <c r="B57" s="6"/>
      <c r="C57" s="18"/>
      <c r="D57" s="18"/>
      <c r="E57" s="18"/>
      <c r="F57" s="18"/>
      <c r="G57" s="18"/>
      <c r="H57" s="18"/>
      <c r="I57" s="18"/>
      <c r="J57" s="18"/>
      <c r="K57" s="18"/>
      <c r="L57" s="18"/>
      <c r="M57" s="18"/>
      <c r="N57" s="18"/>
      <c r="O57" s="18"/>
      <c r="P57" s="18"/>
      <c r="Q57" s="18"/>
      <c r="R57" s="18"/>
      <c r="S57" s="18"/>
      <c r="T57" s="18"/>
      <c r="U57" s="18"/>
      <c r="V57" s="18"/>
      <c r="W57" s="18"/>
      <c r="X57" s="335" t="s">
        <v>221</v>
      </c>
      <c r="Y57" s="335"/>
      <c r="Z57" s="335"/>
      <c r="AA57" s="335"/>
      <c r="AB57" s="335"/>
      <c r="AC57" s="18"/>
      <c r="AD57" s="18"/>
      <c r="AE57" s="18"/>
      <c r="AF57" s="18"/>
      <c r="AG57" s="18"/>
      <c r="AH57" s="18"/>
      <c r="AI57" s="18"/>
      <c r="AJ57" s="18"/>
      <c r="AK57" s="18"/>
      <c r="AL57" s="18"/>
      <c r="AM57" s="18"/>
      <c r="AN57" s="18"/>
      <c r="AP57" s="8"/>
      <c r="AR57" s="6"/>
      <c r="CF57" s="8"/>
      <c r="CM57" s="2">
        <f t="shared" si="49"/>
        <v>7.0000000000000036</v>
      </c>
      <c r="CN57" s="1" t="str">
        <f t="shared" si="33"/>
        <v>0.0107986736111111+7.55907152777778i</v>
      </c>
      <c r="CO57" s="1" t="str">
        <f t="shared" si="34"/>
        <v>-0.154266765873016i</v>
      </c>
      <c r="CP57" s="1" t="str">
        <f t="shared" si="35"/>
        <v>10.7986736111111</v>
      </c>
      <c r="CQ57" s="1" t="str">
        <f t="shared" si="36"/>
        <v>-3.70240238095238i</v>
      </c>
      <c r="CR57" s="1" t="str">
        <f t="shared" si="37"/>
        <v>0.0107986736111111+7.40480476190476i</v>
      </c>
      <c r="CS57" s="1" t="str">
        <f t="shared" si="38"/>
        <v>3.45630506505592+5.02973726574354i</v>
      </c>
      <c r="CT57" s="1" t="str">
        <f t="shared" si="39"/>
        <v>3.45630506505592+1.32733488479116i</v>
      </c>
      <c r="CU57" s="1" t="str">
        <f t="shared" si="40"/>
        <v>0.0191834803010191+3.35710905267836i</v>
      </c>
      <c r="CV57" s="1" t="str">
        <f t="shared" si="41"/>
        <v>1.15267259551267+1.79227342921833i</v>
      </c>
      <c r="CW57" s="2">
        <f t="shared" si="42"/>
        <v>7.0000000000000036</v>
      </c>
      <c r="CX57" s="14">
        <f t="shared" si="43"/>
        <v>3.702413077860812</v>
      </c>
      <c r="CY57" s="14">
        <f t="shared" si="32"/>
        <v>3.3571638621746533</v>
      </c>
      <c r="CZ57" s="14">
        <f t="shared" si="44"/>
        <v>2.1309383279503766</v>
      </c>
      <c r="DE57" s="14">
        <f t="shared" si="45"/>
        <v>7.0000000000000036</v>
      </c>
      <c r="DF57" s="151">
        <f t="shared" si="46"/>
        <v>0.57555391122959265</v>
      </c>
      <c r="DH57" s="152">
        <f t="shared" si="47"/>
        <v>7.0000000000000036</v>
      </c>
      <c r="DI57" s="1">
        <f t="shared" si="48"/>
        <v>0.63474361557378245</v>
      </c>
    </row>
    <row r="58" spans="2:113" ht="18" customHeight="1" x14ac:dyDescent="0.3">
      <c r="B58" s="6"/>
      <c r="C58" s="18"/>
      <c r="D58" s="18"/>
      <c r="E58" s="18"/>
      <c r="F58" s="18"/>
      <c r="G58" s="18"/>
      <c r="H58" s="18"/>
      <c r="I58" s="335" t="s">
        <v>93</v>
      </c>
      <c r="J58" s="335"/>
      <c r="K58" s="335"/>
      <c r="L58" s="335"/>
      <c r="M58" s="18"/>
      <c r="N58" s="335" t="s">
        <v>222</v>
      </c>
      <c r="O58" s="335"/>
      <c r="P58" s="335"/>
      <c r="Q58" s="335"/>
      <c r="R58" s="18"/>
      <c r="S58" s="335" t="s">
        <v>223</v>
      </c>
      <c r="T58" s="335"/>
      <c r="U58" s="335"/>
      <c r="V58" s="335"/>
      <c r="W58" s="18"/>
      <c r="X58" s="335"/>
      <c r="Y58" s="335"/>
      <c r="Z58" s="335"/>
      <c r="AA58" s="335"/>
      <c r="AB58" s="335"/>
      <c r="AC58" s="18"/>
      <c r="AD58" s="18"/>
      <c r="AE58" s="18"/>
      <c r="AF58" s="18"/>
      <c r="AG58" s="18"/>
      <c r="AH58" s="18"/>
      <c r="AI58" s="18"/>
      <c r="AJ58" s="18"/>
      <c r="AK58" s="18"/>
      <c r="AL58" s="18"/>
      <c r="AM58" s="18"/>
      <c r="AN58" s="18"/>
      <c r="AP58" s="8"/>
      <c r="AR58" s="6"/>
      <c r="AS58" s="337" t="str">
        <f>S17&amp;"kV, "&amp;S20&amp;"Hz C-High-Pass Filter, Wye-Connected"</f>
        <v>12.47kV, 60Hz C-High-Pass Filter, Wye-Connected</v>
      </c>
      <c r="AT58" s="337"/>
      <c r="AU58" s="337"/>
      <c r="AV58" s="337"/>
      <c r="AW58" s="337"/>
      <c r="AX58" s="337"/>
      <c r="AY58" s="337"/>
      <c r="AZ58" s="337"/>
      <c r="BA58" s="337"/>
      <c r="BB58" s="337"/>
      <c r="BC58" s="337"/>
      <c r="BD58" s="337"/>
      <c r="BE58" s="337"/>
      <c r="BF58" s="337"/>
      <c r="BG58" s="337"/>
      <c r="BH58" s="337"/>
      <c r="BI58" s="337"/>
      <c r="BJ58" s="337"/>
      <c r="BK58" s="337"/>
      <c r="BL58" s="337"/>
      <c r="BM58" s="337"/>
      <c r="BN58" s="337"/>
      <c r="BO58" s="337"/>
      <c r="BP58" s="337"/>
      <c r="BQ58" s="337"/>
      <c r="BR58" s="337"/>
      <c r="BS58" s="337"/>
      <c r="BT58" s="337"/>
      <c r="BU58" s="337"/>
      <c r="BV58" s="337"/>
      <c r="BW58" s="337"/>
      <c r="BX58" s="337"/>
      <c r="BY58" s="337"/>
      <c r="BZ58" s="337"/>
      <c r="CA58" s="337"/>
      <c r="CB58" s="337"/>
      <c r="CC58" s="337"/>
      <c r="CD58" s="337"/>
      <c r="CE58" s="337"/>
      <c r="CF58" s="8"/>
      <c r="CM58" s="2">
        <f t="shared" si="49"/>
        <v>7.2000000000000037</v>
      </c>
      <c r="CN58" s="1" t="str">
        <f t="shared" si="33"/>
        <v>0.0107986736111111+7.77504500000001i</v>
      </c>
      <c r="CO58" s="1" t="str">
        <f t="shared" si="34"/>
        <v>-0.149981577932099i</v>
      </c>
      <c r="CP58" s="1" t="str">
        <f t="shared" si="35"/>
        <v>10.7986736111111</v>
      </c>
      <c r="CQ58" s="1" t="str">
        <f t="shared" si="36"/>
        <v>-3.59955787037037i</v>
      </c>
      <c r="CR58" s="1" t="str">
        <f t="shared" si="37"/>
        <v>0.0107986736111111+7.62506342206791i</v>
      </c>
      <c r="CS58" s="1" t="str">
        <f t="shared" si="38"/>
        <v>3.59521085158034+5.08136372925054i</v>
      </c>
      <c r="CT58" s="1" t="str">
        <f t="shared" si="39"/>
        <v>3.59521085158034+1.48180585888017i</v>
      </c>
      <c r="CU58" s="1" t="str">
        <f t="shared" si="40"/>
        <v>0.0191834803010191+3.45302645418345i</v>
      </c>
      <c r="CV58" s="1" t="str">
        <f t="shared" si="41"/>
        <v>1.15346453352201+1.86770720085403i</v>
      </c>
      <c r="CW58" s="2">
        <f t="shared" si="42"/>
        <v>7.2000000000000037</v>
      </c>
      <c r="CX58" s="14">
        <f t="shared" si="43"/>
        <v>3.8886102492706356</v>
      </c>
      <c r="CY58" s="14">
        <f t="shared" si="32"/>
        <v>3.4530797412175711</v>
      </c>
      <c r="CZ58" s="14">
        <f t="shared" si="44"/>
        <v>2.1951789490187683</v>
      </c>
      <c r="DE58" s="14">
        <f t="shared" si="45"/>
        <v>7.2000000000000037</v>
      </c>
      <c r="DF58" s="151">
        <f t="shared" si="46"/>
        <v>0.56451503449863816</v>
      </c>
      <c r="DH58" s="152">
        <f t="shared" si="47"/>
        <v>7.2000000000000037</v>
      </c>
      <c r="DI58" s="1">
        <f t="shared" si="48"/>
        <v>0.63571626302633355</v>
      </c>
    </row>
    <row r="59" spans="2:113" ht="18" customHeight="1" x14ac:dyDescent="0.3">
      <c r="B59" s="6"/>
      <c r="C59" s="335" t="s">
        <v>95</v>
      </c>
      <c r="D59" s="335"/>
      <c r="E59" s="335"/>
      <c r="F59" s="335"/>
      <c r="G59" s="335"/>
      <c r="H59" s="17"/>
      <c r="I59" s="335"/>
      <c r="J59" s="335"/>
      <c r="K59" s="335"/>
      <c r="L59" s="335"/>
      <c r="M59" s="48"/>
      <c r="N59" s="335"/>
      <c r="O59" s="335"/>
      <c r="P59" s="335"/>
      <c r="Q59" s="335"/>
      <c r="R59" s="18"/>
      <c r="S59" s="335"/>
      <c r="T59" s="335"/>
      <c r="U59" s="335"/>
      <c r="V59" s="335"/>
      <c r="W59" s="18"/>
      <c r="X59" s="335"/>
      <c r="Y59" s="335"/>
      <c r="Z59" s="335"/>
      <c r="AA59" s="335"/>
      <c r="AB59" s="335"/>
      <c r="AC59" s="18"/>
      <c r="AD59" s="335" t="s">
        <v>224</v>
      </c>
      <c r="AE59" s="335"/>
      <c r="AF59" s="335"/>
      <c r="AG59" s="335"/>
      <c r="AH59" s="335"/>
      <c r="AI59" s="18"/>
      <c r="AJ59" s="335" t="s">
        <v>96</v>
      </c>
      <c r="AK59" s="335"/>
      <c r="AL59" s="335"/>
      <c r="AM59" s="335"/>
      <c r="AN59" s="335"/>
      <c r="AP59" s="8"/>
      <c r="AR59" s="6"/>
      <c r="AS59" s="154" t="str">
        <f>FIXED(S18,0)&amp;" Kvar 3-Phase, "&amp;FIXED(S19,1)&amp;" Tuning"</f>
        <v>6,000 Kvar 3-Phase, 5.0 Tuning</v>
      </c>
      <c r="AT59" s="154"/>
      <c r="AU59" s="154"/>
      <c r="AV59" s="154"/>
      <c r="AW59" s="154"/>
      <c r="AX59" s="154"/>
      <c r="AY59" s="154"/>
      <c r="AZ59" s="154"/>
      <c r="BA59" s="154"/>
      <c r="BB59" s="154"/>
      <c r="BC59" s="154"/>
      <c r="BD59" s="154"/>
      <c r="BE59" s="154"/>
      <c r="BF59" s="154"/>
      <c r="BG59" s="154"/>
      <c r="BH59" s="154"/>
      <c r="BI59" s="154"/>
      <c r="BJ59" s="154"/>
      <c r="BK59" s="154"/>
      <c r="BL59" s="154"/>
      <c r="BM59" s="154"/>
      <c r="BN59" s="154"/>
      <c r="BO59" s="154"/>
      <c r="BP59" s="154"/>
      <c r="BQ59" s="154"/>
      <c r="BR59" s="154"/>
      <c r="BS59" s="154"/>
      <c r="BT59" s="154"/>
      <c r="BU59" s="154"/>
      <c r="BV59" s="154"/>
      <c r="BW59" s="154"/>
      <c r="BX59" s="154"/>
      <c r="BY59" s="154"/>
      <c r="BZ59" s="154"/>
      <c r="CA59" s="154"/>
      <c r="CB59" s="154"/>
      <c r="CC59" s="154"/>
      <c r="CD59" s="154"/>
      <c r="CE59" s="154"/>
      <c r="CF59" s="8"/>
      <c r="CM59" s="2">
        <f t="shared" si="49"/>
        <v>7.4000000000000039</v>
      </c>
      <c r="CN59" s="1" t="str">
        <f t="shared" si="33"/>
        <v>0.0107986736111111+7.99101847222223i</v>
      </c>
      <c r="CO59" s="1" t="str">
        <f t="shared" si="34"/>
        <v>-0.145928021771772i</v>
      </c>
      <c r="CP59" s="1" t="str">
        <f t="shared" si="35"/>
        <v>10.7986736111111</v>
      </c>
      <c r="CQ59" s="1" t="str">
        <f t="shared" si="36"/>
        <v>-3.50227252252252i</v>
      </c>
      <c r="CR59" s="1" t="str">
        <f t="shared" si="37"/>
        <v>0.0107986736111111+7.84509045045046i</v>
      </c>
      <c r="CS59" s="1" t="str">
        <f t="shared" si="38"/>
        <v>3.7326597132+5.12823537478336i</v>
      </c>
      <c r="CT59" s="1" t="str">
        <f t="shared" si="39"/>
        <v>3.7326597132+1.62596285226084i</v>
      </c>
      <c r="CU59" s="1" t="str">
        <f t="shared" si="40"/>
        <v>0.0191834803010191+3.54894385568855i</v>
      </c>
      <c r="CV59" s="1" t="str">
        <f t="shared" si="41"/>
        <v>1.15851386256728+1.94117660216924i</v>
      </c>
      <c r="CW59" s="2">
        <f t="shared" si="42"/>
        <v>7.4000000000000039</v>
      </c>
      <c r="CX59" s="14">
        <f t="shared" si="43"/>
        <v>4.0714252702804838</v>
      </c>
      <c r="CY59" s="14">
        <f t="shared" si="32"/>
        <v>3.5489957025538872</v>
      </c>
      <c r="CZ59" s="14">
        <f t="shared" si="44"/>
        <v>2.2606019044869168</v>
      </c>
      <c r="DE59" s="14">
        <f t="shared" si="45"/>
        <v>7.4000000000000039</v>
      </c>
      <c r="DF59" s="151">
        <f t="shared" si="46"/>
        <v>0.55523600567797671</v>
      </c>
      <c r="DH59" s="152">
        <f t="shared" si="47"/>
        <v>7.4000000000000039</v>
      </c>
      <c r="DI59" s="1">
        <f t="shared" si="48"/>
        <v>0.63696946797094289</v>
      </c>
    </row>
    <row r="60" spans="2:113" ht="18" customHeight="1" x14ac:dyDescent="0.25">
      <c r="B60" s="6"/>
      <c r="C60" s="336"/>
      <c r="D60" s="336"/>
      <c r="E60" s="336"/>
      <c r="F60" s="336"/>
      <c r="G60" s="336"/>
      <c r="H60" s="17"/>
      <c r="I60" s="336"/>
      <c r="J60" s="336"/>
      <c r="K60" s="336"/>
      <c r="L60" s="336"/>
      <c r="M60" s="48"/>
      <c r="N60" s="336"/>
      <c r="O60" s="336"/>
      <c r="P60" s="336"/>
      <c r="Q60" s="336"/>
      <c r="R60" s="18"/>
      <c r="S60" s="336"/>
      <c r="T60" s="336"/>
      <c r="U60" s="336"/>
      <c r="V60" s="336"/>
      <c r="W60" s="18"/>
      <c r="X60" s="336"/>
      <c r="Y60" s="336"/>
      <c r="Z60" s="336"/>
      <c r="AA60" s="336"/>
      <c r="AB60" s="336"/>
      <c r="AC60" s="18"/>
      <c r="AD60" s="336"/>
      <c r="AE60" s="336"/>
      <c r="AF60" s="336"/>
      <c r="AG60" s="336"/>
      <c r="AH60" s="336"/>
      <c r="AI60" s="17"/>
      <c r="AJ60" s="336"/>
      <c r="AK60" s="336"/>
      <c r="AL60" s="336"/>
      <c r="AM60" s="336"/>
      <c r="AN60" s="336"/>
      <c r="AP60" s="8"/>
      <c r="AR60" s="6"/>
      <c r="CF60" s="8"/>
      <c r="CM60" s="2">
        <f t="shared" si="49"/>
        <v>7.6000000000000041</v>
      </c>
      <c r="CN60" s="1" t="str">
        <f t="shared" si="33"/>
        <v>0.0107986736111111+8.20699194444445i</v>
      </c>
      <c r="CO60" s="1" t="str">
        <f t="shared" si="34"/>
        <v>-0.142087810672515i</v>
      </c>
      <c r="CP60" s="1" t="str">
        <f t="shared" si="35"/>
        <v>10.7986736111111</v>
      </c>
      <c r="CQ60" s="1" t="str">
        <f t="shared" si="36"/>
        <v>-3.41010745614035i</v>
      </c>
      <c r="CR60" s="1" t="str">
        <f t="shared" si="37"/>
        <v>0.0107986736111111+8.06490413377193i</v>
      </c>
      <c r="CS60" s="1" t="str">
        <f t="shared" si="38"/>
        <v>3.868521305419+5.17055897879863i</v>
      </c>
      <c r="CT60" s="1" t="str">
        <f t="shared" si="39"/>
        <v>3.868521305419+1.76045152265828i</v>
      </c>
      <c r="CU60" s="1" t="str">
        <f t="shared" si="40"/>
        <v>0.0191834803010191+3.64486125719364i</v>
      </c>
      <c r="CV60" s="1" t="str">
        <f t="shared" si="41"/>
        <v>1.16714173694189+2.01281457841349i</v>
      </c>
      <c r="CW60" s="2">
        <f t="shared" si="42"/>
        <v>7.6000000000000041</v>
      </c>
      <c r="CX60" s="14">
        <f t="shared" si="43"/>
        <v>4.2502525400393072</v>
      </c>
      <c r="CY60" s="14">
        <f t="shared" si="32"/>
        <v>3.6449117396869424</v>
      </c>
      <c r="CZ60" s="14">
        <f t="shared" si="44"/>
        <v>2.3267235248704576</v>
      </c>
      <c r="DE60" s="14">
        <f t="shared" si="45"/>
        <v>7.6000000000000041</v>
      </c>
      <c r="DF60" s="151">
        <f t="shared" si="46"/>
        <v>0.5474318297446239</v>
      </c>
      <c r="DH60" s="152">
        <f t="shared" si="47"/>
        <v>7.6000000000000041</v>
      </c>
      <c r="DI60" s="1">
        <f t="shared" si="48"/>
        <v>0.63834838565125207</v>
      </c>
    </row>
    <row r="61" spans="2:113" ht="18" customHeight="1" x14ac:dyDescent="0.25">
      <c r="B61" s="6"/>
      <c r="C61" s="185">
        <f>J24</f>
        <v>1</v>
      </c>
      <c r="D61" s="185"/>
      <c r="E61" s="185"/>
      <c r="F61" s="185"/>
      <c r="G61" s="185"/>
      <c r="H61" s="24"/>
      <c r="I61" s="332">
        <f>J25</f>
        <v>278.12414534767834</v>
      </c>
      <c r="J61" s="332"/>
      <c r="K61" s="332"/>
      <c r="L61" s="332"/>
      <c r="M61" s="49"/>
      <c r="N61" s="381">
        <f>($AJ$30/J24)*J25</f>
        <v>7208.0924855491339</v>
      </c>
      <c r="O61" s="381"/>
      <c r="P61" s="381"/>
      <c r="Q61" s="381"/>
      <c r="S61" s="381">
        <f>$DH$6</f>
        <v>300.03714974813278</v>
      </c>
      <c r="T61" s="381"/>
      <c r="U61" s="381"/>
      <c r="V61" s="381"/>
      <c r="X61" s="381">
        <f>$CX$6</f>
        <v>277.84629904862999</v>
      </c>
      <c r="Y61" s="381"/>
      <c r="Z61" s="381"/>
      <c r="AA61" s="381"/>
      <c r="AB61" s="381"/>
      <c r="AD61" s="332">
        <f>$CW$6</f>
        <v>0.27784629904863001</v>
      </c>
      <c r="AE61" s="332"/>
      <c r="AF61" s="332"/>
      <c r="AG61" s="332"/>
      <c r="AH61" s="332"/>
      <c r="AI61" s="24"/>
      <c r="AJ61" s="334">
        <v>1</v>
      </c>
      <c r="AK61" s="334"/>
      <c r="AL61" s="334"/>
      <c r="AM61" s="334"/>
      <c r="AN61" s="334"/>
      <c r="AP61" s="8"/>
      <c r="AR61" s="6"/>
      <c r="BK61" s="24" t="str">
        <f>"Fundamental Current "&amp;ROUND(J25,1)&amp;" amps/phase"</f>
        <v>Fundamental Current 278.1 amps/phase</v>
      </c>
      <c r="CC61" s="17"/>
      <c r="CF61" s="8"/>
      <c r="CM61" s="2">
        <f t="shared" si="49"/>
        <v>7.8000000000000043</v>
      </c>
      <c r="CN61" s="1" t="str">
        <f t="shared" si="33"/>
        <v>0.0107986736111111+8.42296541666667i</v>
      </c>
      <c r="CO61" s="1" t="str">
        <f t="shared" si="34"/>
        <v>-0.138444533475783i</v>
      </c>
      <c r="CP61" s="1" t="str">
        <f t="shared" si="35"/>
        <v>10.7986736111111</v>
      </c>
      <c r="CQ61" s="1" t="str">
        <f t="shared" si="36"/>
        <v>-3.3226688034188i</v>
      </c>
      <c r="CR61" s="1" t="str">
        <f t="shared" si="37"/>
        <v>0.0107986736111111+8.28452088319089i</v>
      </c>
      <c r="CS61" s="1" t="str">
        <f t="shared" si="38"/>
        <v>4.00267986017757+5.20853846225395i</v>
      </c>
      <c r="CT61" s="1" t="str">
        <f t="shared" si="39"/>
        <v>4.00267986017757+1.88586965883515i</v>
      </c>
      <c r="CU61" s="1" t="str">
        <f t="shared" si="40"/>
        <v>0.0191834803010191+3.74077865869874i</v>
      </c>
      <c r="CV61" s="1" t="str">
        <f t="shared" si="41"/>
        <v>1.1788182277712+2.08274638765876i</v>
      </c>
      <c r="CW61" s="2">
        <f t="shared" si="42"/>
        <v>7.8000000000000043</v>
      </c>
      <c r="CX61" s="14">
        <f t="shared" si="43"/>
        <v>4.4246977787399366</v>
      </c>
      <c r="CY61" s="14">
        <f t="shared" si="32"/>
        <v>3.7408278467863778</v>
      </c>
      <c r="CZ61" s="14">
        <f t="shared" si="44"/>
        <v>2.3932080831869271</v>
      </c>
      <c r="DE61" s="14">
        <f t="shared" si="45"/>
        <v>7.8000000000000043</v>
      </c>
      <c r="DF61" s="151">
        <f t="shared" si="46"/>
        <v>0.54087492589572084</v>
      </c>
      <c r="DH61" s="152">
        <f t="shared" si="47"/>
        <v>7.8000000000000043</v>
      </c>
      <c r="DI61" s="1">
        <f t="shared" si="48"/>
        <v>0.6397536003274914</v>
      </c>
    </row>
    <row r="62" spans="2:113" ht="18" customHeight="1" x14ac:dyDescent="0.25">
      <c r="B62" s="6"/>
      <c r="C62" s="185">
        <f>L24</f>
        <v>2</v>
      </c>
      <c r="D62" s="185"/>
      <c r="E62" s="185"/>
      <c r="F62" s="185"/>
      <c r="G62" s="185"/>
      <c r="H62" s="24"/>
      <c r="I62" s="248">
        <f>L25</f>
        <v>0</v>
      </c>
      <c r="J62" s="248"/>
      <c r="K62" s="248"/>
      <c r="L62" s="248"/>
      <c r="M62" s="49"/>
      <c r="N62" s="380">
        <f>($AJ$30/L24)*L25</f>
        <v>0</v>
      </c>
      <c r="O62" s="380"/>
      <c r="P62" s="380"/>
      <c r="Q62" s="380"/>
      <c r="S62" s="380">
        <f>$DH$7</f>
        <v>0</v>
      </c>
      <c r="T62" s="380"/>
      <c r="U62" s="380"/>
      <c r="V62" s="380"/>
      <c r="X62" s="380">
        <f>$CX$7</f>
        <v>0</v>
      </c>
      <c r="Y62" s="380"/>
      <c r="Z62" s="380"/>
      <c r="AA62" s="380"/>
      <c r="AB62" s="380"/>
      <c r="AD62" s="248">
        <f>$CW$7</f>
        <v>0</v>
      </c>
      <c r="AE62" s="248"/>
      <c r="AF62" s="248"/>
      <c r="AG62" s="248"/>
      <c r="AH62" s="248"/>
      <c r="AI62" s="24"/>
      <c r="AJ62" s="328">
        <f>CV7/($CV$6)</f>
        <v>0</v>
      </c>
      <c r="AK62" s="328"/>
      <c r="AL62" s="328"/>
      <c r="AM62" s="328"/>
      <c r="AN62" s="328"/>
      <c r="AP62" s="8"/>
      <c r="AR62" s="6"/>
      <c r="BK62" s="38" t="str">
        <f>"RMS current "&amp;ROUND(I77,2)&amp;" amps/phase"</f>
        <v>RMS current 314.89 amps/phase</v>
      </c>
      <c r="CC62" s="17"/>
      <c r="CF62" s="8"/>
      <c r="CM62" s="2">
        <f t="shared" si="49"/>
        <v>8.0000000000000036</v>
      </c>
      <c r="CN62" s="1" t="str">
        <f t="shared" si="33"/>
        <v>0.0107986736111111+8.63893888888889i</v>
      </c>
      <c r="CO62" s="1" t="str">
        <f t="shared" si="34"/>
        <v>-0.134983420138889i</v>
      </c>
      <c r="CP62" s="1" t="str">
        <f t="shared" si="35"/>
        <v>10.7986736111111</v>
      </c>
      <c r="CQ62" s="1" t="str">
        <f t="shared" si="36"/>
        <v>-3.23960208333333i</v>
      </c>
      <c r="CR62" s="1" t="str">
        <f t="shared" si="37"/>
        <v>0.0107986736111111+8.50395546875i</v>
      </c>
      <c r="CS62" s="1" t="str">
        <f t="shared" si="38"/>
        <v>4.13503339699364+5.24237429432319i</v>
      </c>
      <c r="CT62" s="1" t="str">
        <f t="shared" si="39"/>
        <v>4.13503339699364+2.00277221098986i</v>
      </c>
      <c r="CU62" s="1" t="str">
        <f t="shared" si="40"/>
        <v>0.0191834803010191+3.83669606020384i</v>
      </c>
      <c r="CV62" s="1" t="str">
        <f t="shared" si="41"/>
        <v>1.19312377597166+2.1510860686551i</v>
      </c>
      <c r="CW62" s="2">
        <f t="shared" si="42"/>
        <v>8.0000000000000036</v>
      </c>
      <c r="CX62" s="14">
        <f t="shared" si="43"/>
        <v>4.5945182253818491</v>
      </c>
      <c r="CY62" s="14">
        <f t="shared" si="32"/>
        <v>3.8367440186048505</v>
      </c>
      <c r="CZ62" s="14">
        <f t="shared" si="44"/>
        <v>2.4598202413084835</v>
      </c>
      <c r="DE62" s="14">
        <f t="shared" si="45"/>
        <v>8.0000000000000036</v>
      </c>
      <c r="DF62" s="151">
        <f t="shared" si="46"/>
        <v>0.53538153961812707</v>
      </c>
      <c r="DH62" s="152">
        <f t="shared" si="47"/>
        <v>8.0000000000000036</v>
      </c>
      <c r="DI62" s="1">
        <f t="shared" si="48"/>
        <v>0.64112180259629059</v>
      </c>
    </row>
    <row r="63" spans="2:113" ht="18" customHeight="1" x14ac:dyDescent="0.25">
      <c r="B63" s="6"/>
      <c r="C63" s="185">
        <f>N24</f>
        <v>3</v>
      </c>
      <c r="D63" s="185"/>
      <c r="E63" s="185"/>
      <c r="F63" s="185"/>
      <c r="G63" s="185"/>
      <c r="H63" s="24"/>
      <c r="I63" s="248">
        <f>N25</f>
        <v>0</v>
      </c>
      <c r="J63" s="248"/>
      <c r="K63" s="248"/>
      <c r="L63" s="248"/>
      <c r="M63" s="49"/>
      <c r="N63" s="380">
        <f>($AJ$30/N24)*N25</f>
        <v>0</v>
      </c>
      <c r="O63" s="380"/>
      <c r="P63" s="380"/>
      <c r="Q63" s="380"/>
      <c r="S63" s="380">
        <f t="shared" ref="S63:S76" si="50">$DH$7</f>
        <v>0</v>
      </c>
      <c r="T63" s="380"/>
      <c r="U63" s="380"/>
      <c r="V63" s="380"/>
      <c r="X63" s="380">
        <f t="shared" ref="X63:X76" si="51">$CX$7</f>
        <v>0</v>
      </c>
      <c r="Y63" s="380"/>
      <c r="Z63" s="380"/>
      <c r="AA63" s="380"/>
      <c r="AB63" s="380"/>
      <c r="AD63" s="248">
        <f t="shared" ref="AD63:AD76" si="52">$CW$7</f>
        <v>0</v>
      </c>
      <c r="AE63" s="248"/>
      <c r="AF63" s="248"/>
      <c r="AG63" s="248"/>
      <c r="AH63" s="248"/>
      <c r="AI63" s="24"/>
      <c r="AJ63" s="328">
        <f t="shared" ref="AJ63:AJ76" si="53">CV8/($CV$6)</f>
        <v>0</v>
      </c>
      <c r="AK63" s="328"/>
      <c r="AL63" s="328"/>
      <c r="AM63" s="328"/>
      <c r="AN63" s="328"/>
      <c r="AP63" s="8"/>
      <c r="AR63" s="6"/>
      <c r="CC63" s="17"/>
      <c r="CF63" s="8"/>
      <c r="CM63" s="2">
        <f t="shared" si="49"/>
        <v>8.2000000000000028</v>
      </c>
      <c r="CN63" s="1" t="str">
        <f t="shared" si="33"/>
        <v>0.0107986736111111+8.85491236111112i</v>
      </c>
      <c r="CO63" s="1" t="str">
        <f t="shared" si="34"/>
        <v>-0.131691141598916i</v>
      </c>
      <c r="CP63" s="1" t="str">
        <f t="shared" si="35"/>
        <v>10.7986736111111</v>
      </c>
      <c r="CQ63" s="1" t="str">
        <f t="shared" si="36"/>
        <v>-3.16058739837398i</v>
      </c>
      <c r="CR63" s="1" t="str">
        <f t="shared" si="37"/>
        <v>0.0107986736111111+8.7232212195122i</v>
      </c>
      <c r="CS63" s="1" t="str">
        <f t="shared" si="38"/>
        <v>4.26549292301858+5.2722629660492i</v>
      </c>
      <c r="CT63" s="1" t="str">
        <f t="shared" si="39"/>
        <v>4.26549292301858+2.11167556767522i</v>
      </c>
      <c r="CU63" s="1" t="str">
        <f t="shared" si="40"/>
        <v>0.0191834803010191+3.93261346170893i</v>
      </c>
      <c r="CV63" s="1" t="str">
        <f t="shared" si="41"/>
        <v>1.20972180743697+2.21793550614021i</v>
      </c>
      <c r="CW63" s="2">
        <f t="shared" si="42"/>
        <v>8.2000000000000028</v>
      </c>
      <c r="CX63" s="14">
        <f t="shared" si="43"/>
        <v>4.7595801894114631</v>
      </c>
      <c r="CY63" s="14">
        <f t="shared" si="32"/>
        <v>3.9326602504069386</v>
      </c>
      <c r="CZ63" s="14">
        <f t="shared" si="44"/>
        <v>2.5263936274432766</v>
      </c>
      <c r="DE63" s="14">
        <f t="shared" si="45"/>
        <v>8.2000000000000028</v>
      </c>
      <c r="DF63" s="151">
        <f t="shared" si="46"/>
        <v>0.53080177807775764</v>
      </c>
      <c r="DH63" s="152">
        <f t="shared" si="47"/>
        <v>8.2000000000000028</v>
      </c>
      <c r="DI63" s="1">
        <f t="shared" si="48"/>
        <v>0.64241339616913273</v>
      </c>
    </row>
    <row r="64" spans="2:113" ht="18" customHeight="1" x14ac:dyDescent="0.25">
      <c r="B64" s="6"/>
      <c r="C64" s="185">
        <f>P24</f>
        <v>4</v>
      </c>
      <c r="D64" s="185"/>
      <c r="E64" s="185"/>
      <c r="F64" s="185"/>
      <c r="G64" s="185"/>
      <c r="H64" s="17"/>
      <c r="I64" s="248">
        <f>P25</f>
        <v>0</v>
      </c>
      <c r="J64" s="248"/>
      <c r="K64" s="248"/>
      <c r="L64" s="248"/>
      <c r="M64" s="49"/>
      <c r="N64" s="380">
        <f>($AJ$30/P24)*P25</f>
        <v>0</v>
      </c>
      <c r="O64" s="380"/>
      <c r="P64" s="380"/>
      <c r="Q64" s="380"/>
      <c r="S64" s="380">
        <f t="shared" si="50"/>
        <v>0</v>
      </c>
      <c r="T64" s="380"/>
      <c r="U64" s="380"/>
      <c r="V64" s="380"/>
      <c r="X64" s="380">
        <f t="shared" si="51"/>
        <v>0</v>
      </c>
      <c r="Y64" s="380"/>
      <c r="Z64" s="380"/>
      <c r="AA64" s="380"/>
      <c r="AB64" s="380"/>
      <c r="AD64" s="248">
        <f t="shared" si="52"/>
        <v>0</v>
      </c>
      <c r="AE64" s="248"/>
      <c r="AF64" s="248"/>
      <c r="AG64" s="248"/>
      <c r="AH64" s="248"/>
      <c r="AI64" s="24"/>
      <c r="AJ64" s="328">
        <f t="shared" si="53"/>
        <v>0</v>
      </c>
      <c r="AK64" s="328"/>
      <c r="AL64" s="328"/>
      <c r="AM64" s="328"/>
      <c r="AN64" s="328"/>
      <c r="AP64" s="8"/>
      <c r="AR64" s="6"/>
      <c r="BK64" s="38" t="str">
        <f>"Reactor: "&amp;ROUND(AJ39,2)&amp;" ohms, "&amp;ROUND(AJ40,2)&amp;" mH"</f>
        <v>Reactor: 1.08 ohms, 2.86 mH</v>
      </c>
      <c r="CC64" s="17"/>
      <c r="CF64" s="8"/>
      <c r="CM64" s="2">
        <f t="shared" si="49"/>
        <v>8.4000000000000021</v>
      </c>
      <c r="CN64" s="1" t="str">
        <f t="shared" si="33"/>
        <v>0.0107986736111111+9.07088583333334i</v>
      </c>
      <c r="CO64" s="1" t="str">
        <f t="shared" si="34"/>
        <v>-0.128555638227513i</v>
      </c>
      <c r="CP64" s="1" t="str">
        <f t="shared" si="35"/>
        <v>10.7986736111111</v>
      </c>
      <c r="CQ64" s="1" t="str">
        <f t="shared" si="36"/>
        <v>-3.08533531746032i</v>
      </c>
      <c r="CR64" s="1" t="str">
        <f t="shared" si="37"/>
        <v>0.0107986736111111+8.94233019510583i</v>
      </c>
      <c r="CS64" s="1" t="str">
        <f t="shared" si="38"/>
        <v>4.3939816310278+5.29839653364012i</v>
      </c>
      <c r="CT64" s="1" t="str">
        <f t="shared" si="39"/>
        <v>4.3939816310278+2.2130612161798i</v>
      </c>
      <c r="CU64" s="1" t="str">
        <f t="shared" si="40"/>
        <v>0.0191834803010191+4.02853086321403i</v>
      </c>
      <c r="CV64" s="1" t="str">
        <f t="shared" si="41"/>
        <v>1.2283389785516+2.28338476709836i</v>
      </c>
      <c r="CW64" s="2">
        <f t="shared" si="42"/>
        <v>8.4000000000000021</v>
      </c>
      <c r="CX64" s="14">
        <f t="shared" si="43"/>
        <v>4.9198287084378194</v>
      </c>
      <c r="CY64" s="14">
        <f t="shared" si="32"/>
        <v>4.028576537908199</v>
      </c>
      <c r="CZ64" s="14">
        <f t="shared" si="44"/>
        <v>2.5928097965037891</v>
      </c>
      <c r="DE64" s="14">
        <f t="shared" si="45"/>
        <v>8.4000000000000021</v>
      </c>
      <c r="DF64" s="151">
        <f t="shared" si="46"/>
        <v>0.52701220919682767</v>
      </c>
      <c r="DH64" s="152">
        <f t="shared" si="47"/>
        <v>8.4000000000000021</v>
      </c>
      <c r="DI64" s="1">
        <f t="shared" si="48"/>
        <v>0.64360445236820019</v>
      </c>
    </row>
    <row r="65" spans="2:113" ht="18" customHeight="1" x14ac:dyDescent="0.25">
      <c r="B65" s="6"/>
      <c r="C65" s="185">
        <f>R24</f>
        <v>5</v>
      </c>
      <c r="D65" s="185"/>
      <c r="E65" s="185"/>
      <c r="F65" s="185"/>
      <c r="G65" s="185"/>
      <c r="H65" s="17"/>
      <c r="I65" s="248">
        <f>R25</f>
        <v>100</v>
      </c>
      <c r="J65" s="248"/>
      <c r="K65" s="248"/>
      <c r="L65" s="248"/>
      <c r="M65" s="49"/>
      <c r="N65" s="380">
        <f>($AJ$30/R24)*R25</f>
        <v>518.33633333333341</v>
      </c>
      <c r="O65" s="380"/>
      <c r="P65" s="380"/>
      <c r="Q65" s="380"/>
      <c r="S65" s="380">
        <f t="shared" si="50"/>
        <v>0</v>
      </c>
      <c r="T65" s="380"/>
      <c r="U65" s="380"/>
      <c r="V65" s="380"/>
      <c r="X65" s="380">
        <f t="shared" si="51"/>
        <v>0</v>
      </c>
      <c r="Y65" s="380"/>
      <c r="Z65" s="380"/>
      <c r="AA65" s="380"/>
      <c r="AB65" s="380"/>
      <c r="AD65" s="248">
        <f t="shared" si="52"/>
        <v>0</v>
      </c>
      <c r="AE65" s="248"/>
      <c r="AF65" s="248"/>
      <c r="AG65" s="248"/>
      <c r="AH65" s="248"/>
      <c r="AI65" s="24"/>
      <c r="AJ65" s="328">
        <f t="shared" si="53"/>
        <v>3.1227577498345215E-2</v>
      </c>
      <c r="AK65" s="328"/>
      <c r="AL65" s="328"/>
      <c r="AM65" s="328"/>
      <c r="AN65" s="328"/>
      <c r="AP65" s="8"/>
      <c r="AR65" s="6"/>
      <c r="BE65" s="29" t="str">
        <f>"High-Pass Resistor: "&amp;ROUND(AJ45,2)&amp;" ohms/Phase"</f>
        <v>High-Pass Resistor: 10.8 ohms/Phase</v>
      </c>
      <c r="BK65" s="1" t="str">
        <f>"I1= "&amp;ROUND(J25,1)&amp;" amps nominal"</f>
        <v>I1= 278.1 amps nominal</v>
      </c>
      <c r="CC65" s="17"/>
      <c r="CF65" s="8"/>
      <c r="CM65" s="2">
        <f t="shared" si="49"/>
        <v>8.6000000000000014</v>
      </c>
      <c r="CN65" s="1" t="str">
        <f t="shared" si="33"/>
        <v>0.0107986736111111+9.28685930555556i</v>
      </c>
      <c r="CO65" s="1" t="str">
        <f t="shared" si="34"/>
        <v>-0.125565972222222i</v>
      </c>
      <c r="CP65" s="1" t="str">
        <f t="shared" si="35"/>
        <v>10.7986736111111</v>
      </c>
      <c r="CQ65" s="1" t="str">
        <f t="shared" si="36"/>
        <v>-3.01358333333333i</v>
      </c>
      <c r="CR65" s="1" t="str">
        <f t="shared" si="37"/>
        <v>0.0107986736111111+9.16129333333334i</v>
      </c>
      <c r="CS65" s="1" t="str">
        <f t="shared" si="38"/>
        <v>4.52043410315924+5.3209622296328i</v>
      </c>
      <c r="CT65" s="1" t="str">
        <f t="shared" si="39"/>
        <v>4.52043410315924+2.30737889629947i</v>
      </c>
      <c r="CU65" s="1" t="str">
        <f t="shared" si="40"/>
        <v>0.0191834803010191+4.12444826471912i</v>
      </c>
      <c r="CV65" s="1" t="str">
        <f t="shared" si="41"/>
        <v>1.24875072048786+2.34751301246349i</v>
      </c>
      <c r="CW65" s="2">
        <f t="shared" si="42"/>
        <v>8.6000000000000014</v>
      </c>
      <c r="CX65" s="14">
        <f t="shared" si="43"/>
        <v>5.0752656927586797</v>
      </c>
      <c r="CY65" s="14">
        <f t="shared" si="32"/>
        <v>4.1244928772227309</v>
      </c>
      <c r="CZ65" s="14">
        <f t="shared" si="44"/>
        <v>2.6589839611408639</v>
      </c>
      <c r="DE65" s="14">
        <f t="shared" si="45"/>
        <v>8.6000000000000014</v>
      </c>
      <c r="DF65" s="151">
        <f t="shared" si="46"/>
        <v>0.52391029792482924</v>
      </c>
      <c r="DH65" s="152">
        <f t="shared" si="47"/>
        <v>8.6000000000000014</v>
      </c>
      <c r="DI65" s="1">
        <f t="shared" si="48"/>
        <v>0.64468142879454293</v>
      </c>
    </row>
    <row r="66" spans="2:113" ht="18" customHeight="1" x14ac:dyDescent="0.25">
      <c r="B66" s="6"/>
      <c r="C66" s="185">
        <f>T24</f>
        <v>7</v>
      </c>
      <c r="D66" s="185"/>
      <c r="E66" s="185"/>
      <c r="F66" s="185"/>
      <c r="G66" s="185"/>
      <c r="H66" s="17"/>
      <c r="I66" s="248">
        <f>T25</f>
        <v>80</v>
      </c>
      <c r="J66" s="248"/>
      <c r="K66" s="248"/>
      <c r="L66" s="248"/>
      <c r="M66" s="49"/>
      <c r="N66" s="380">
        <f>($AJ$30/T24)*T25</f>
        <v>296.19219047619055</v>
      </c>
      <c r="O66" s="380"/>
      <c r="P66" s="380"/>
      <c r="Q66" s="380"/>
      <c r="S66" s="380">
        <f t="shared" si="50"/>
        <v>0</v>
      </c>
      <c r="T66" s="380"/>
      <c r="U66" s="380"/>
      <c r="V66" s="380"/>
      <c r="X66" s="380">
        <f t="shared" si="51"/>
        <v>0</v>
      </c>
      <c r="Y66" s="380"/>
      <c r="Z66" s="380"/>
      <c r="AA66" s="380"/>
      <c r="AB66" s="380"/>
      <c r="AD66" s="248">
        <f t="shared" si="52"/>
        <v>0</v>
      </c>
      <c r="AE66" s="248"/>
      <c r="AF66" s="248"/>
      <c r="AG66" s="248"/>
      <c r="AH66" s="248"/>
      <c r="AI66" s="24"/>
      <c r="AJ66" s="328">
        <f t="shared" si="53"/>
        <v>4.1091734208852419E-2</v>
      </c>
      <c r="AK66" s="328"/>
      <c r="AL66" s="328"/>
      <c r="AM66" s="328"/>
      <c r="AN66" s="328"/>
      <c r="AP66" s="8"/>
      <c r="AR66" s="6"/>
      <c r="BE66" s="29" t="str">
        <f>ROUND(AJ46,0)&amp;" KW/Phase"</f>
        <v>77 KW/Phase</v>
      </c>
      <c r="CC66" s="17"/>
      <c r="CF66" s="8"/>
      <c r="CM66" s="2">
        <f t="shared" si="49"/>
        <v>8.8000000000000007</v>
      </c>
      <c r="CN66" s="1" t="str">
        <f t="shared" si="33"/>
        <v>0.0107986736111111+9.50283277777778i</v>
      </c>
      <c r="CO66" s="1" t="str">
        <f t="shared" si="34"/>
        <v>-0.122712200126263i</v>
      </c>
      <c r="CP66" s="1" t="str">
        <f t="shared" si="35"/>
        <v>10.7986736111111</v>
      </c>
      <c r="CQ66" s="1" t="str">
        <f t="shared" si="36"/>
        <v>-2.9450928030303i</v>
      </c>
      <c r="CR66" s="1" t="str">
        <f t="shared" si="37"/>
        <v>0.0107986736111111+9.38012057765152i</v>
      </c>
      <c r="CS66" s="1" t="str">
        <f t="shared" si="38"/>
        <v>4.64479552705548+5.34014213905657i</v>
      </c>
      <c r="CT66" s="1" t="str">
        <f t="shared" si="39"/>
        <v>4.64479552705548+2.39504933602627i</v>
      </c>
      <c r="CU66" s="1" t="str">
        <f t="shared" si="40"/>
        <v>0.0191834803010191+4.22036566622422i</v>
      </c>
      <c r="CV66" s="1" t="str">
        <f t="shared" si="41"/>
        <v>1.27077051881638+2.41038962191872i</v>
      </c>
      <c r="CW66" s="2">
        <f t="shared" si="42"/>
        <v>8.8000000000000007</v>
      </c>
      <c r="CX66" s="14">
        <f t="shared" si="43"/>
        <v>5.2259340610224392</v>
      </c>
      <c r="CY66" s="14">
        <f t="shared" si="32"/>
        <v>4.2204092648178859</v>
      </c>
      <c r="CZ66" s="14">
        <f t="shared" si="44"/>
        <v>2.724855196326279</v>
      </c>
      <c r="DE66" s="14">
        <f t="shared" si="45"/>
        <v>8.8000000000000007</v>
      </c>
      <c r="DF66" s="151">
        <f t="shared" si="46"/>
        <v>0.52141017557982161</v>
      </c>
      <c r="DH66" s="152">
        <f t="shared" si="47"/>
        <v>8.8000000000000007</v>
      </c>
      <c r="DI66" s="1">
        <f t="shared" si="48"/>
        <v>0.64563766813829593</v>
      </c>
    </row>
    <row r="67" spans="2:113" ht="18" customHeight="1" x14ac:dyDescent="0.25">
      <c r="B67" s="6"/>
      <c r="C67" s="185">
        <f>V24</f>
        <v>11</v>
      </c>
      <c r="D67" s="185"/>
      <c r="E67" s="185"/>
      <c r="F67" s="185"/>
      <c r="G67" s="185"/>
      <c r="H67" s="17"/>
      <c r="I67" s="248">
        <f>V25</f>
        <v>60</v>
      </c>
      <c r="J67" s="248"/>
      <c r="K67" s="248"/>
      <c r="L67" s="248"/>
      <c r="M67" s="49"/>
      <c r="N67" s="380">
        <f>($AJ$30/V24)*V25</f>
        <v>141.36445454545458</v>
      </c>
      <c r="O67" s="380"/>
      <c r="P67" s="380"/>
      <c r="Q67" s="380"/>
      <c r="S67" s="380">
        <f t="shared" si="50"/>
        <v>0</v>
      </c>
      <c r="T67" s="380"/>
      <c r="U67" s="380"/>
      <c r="V67" s="380"/>
      <c r="X67" s="380">
        <f t="shared" si="51"/>
        <v>0</v>
      </c>
      <c r="Y67" s="380"/>
      <c r="Z67" s="380"/>
      <c r="AA67" s="380"/>
      <c r="AB67" s="380"/>
      <c r="AD67" s="248">
        <f t="shared" si="52"/>
        <v>0</v>
      </c>
      <c r="AE67" s="248"/>
      <c r="AF67" s="248"/>
      <c r="AG67" s="248"/>
      <c r="AH67" s="248"/>
      <c r="AI67" s="17"/>
      <c r="AJ67" s="328">
        <f t="shared" si="53"/>
        <v>5.4923195362552454E-2</v>
      </c>
      <c r="AK67" s="328"/>
      <c r="AL67" s="328"/>
      <c r="AM67" s="328"/>
      <c r="AN67" s="328"/>
      <c r="AP67" s="8"/>
      <c r="AR67" s="6"/>
      <c r="BE67" s="29" t="str">
        <f>ROUND(AD77,1)&amp;" RMS Amps"</f>
        <v>84.6 RMS Amps</v>
      </c>
      <c r="CC67" s="17"/>
      <c r="CF67" s="8"/>
      <c r="CM67" s="2">
        <f t="shared" si="49"/>
        <v>9</v>
      </c>
      <c r="CN67" s="1" t="str">
        <f t="shared" si="33"/>
        <v>0.0107986736111111+9.71880625i</v>
      </c>
      <c r="CO67" s="1" t="str">
        <f t="shared" si="34"/>
        <v>-0.119985262345679i</v>
      </c>
      <c r="CP67" s="1" t="str">
        <f t="shared" si="35"/>
        <v>10.7986736111111</v>
      </c>
      <c r="CQ67" s="1" t="str">
        <f t="shared" si="36"/>
        <v>-2.8796462962963i</v>
      </c>
      <c r="CR67" s="1" t="str">
        <f t="shared" si="37"/>
        <v>0.0107986736111111+9.59882098765432i</v>
      </c>
      <c r="CS67" s="1" t="str">
        <f t="shared" si="38"/>
        <v>4.76702092997808+5.35611293695906i</v>
      </c>
      <c r="CT67" s="1" t="str">
        <f t="shared" si="39"/>
        <v>4.76702092997808+2.47646664066276i</v>
      </c>
      <c r="CU67" s="1" t="str">
        <f t="shared" si="40"/>
        <v>0.0191834803010191+4.31628306772931i</v>
      </c>
      <c r="CV67" s="1" t="str">
        <f t="shared" si="41"/>
        <v>1.29424186387371+2.47207534717182i</v>
      </c>
      <c r="CW67" s="2">
        <f t="shared" si="42"/>
        <v>9</v>
      </c>
      <c r="CX67" s="14">
        <f t="shared" si="43"/>
        <v>5.3719061392735235</v>
      </c>
      <c r="CY67" s="14">
        <f t="shared" si="32"/>
        <v>4.3163256974750217</v>
      </c>
      <c r="CZ67" s="14">
        <f t="shared" si="44"/>
        <v>2.7903796380238246</v>
      </c>
      <c r="DE67" s="14">
        <f t="shared" si="45"/>
        <v>9</v>
      </c>
      <c r="DF67" s="151">
        <f t="shared" si="46"/>
        <v>0.51943938812028023</v>
      </c>
      <c r="DH67" s="152">
        <f t="shared" si="47"/>
        <v>9</v>
      </c>
      <c r="DI67" s="1">
        <f t="shared" si="48"/>
        <v>0.64647105746819411</v>
      </c>
    </row>
    <row r="68" spans="2:113" ht="18" customHeight="1" x14ac:dyDescent="0.25">
      <c r="B68" s="6"/>
      <c r="C68" s="185">
        <f>X24</f>
        <v>13</v>
      </c>
      <c r="D68" s="185"/>
      <c r="E68" s="185"/>
      <c r="F68" s="185"/>
      <c r="G68" s="185"/>
      <c r="H68" s="17"/>
      <c r="I68" s="248">
        <f>X25</f>
        <v>30</v>
      </c>
      <c r="J68" s="248"/>
      <c r="K68" s="248"/>
      <c r="L68" s="248"/>
      <c r="M68" s="49"/>
      <c r="N68" s="380">
        <f>($AJ$30/X24)*X25</f>
        <v>59.808038461538473</v>
      </c>
      <c r="O68" s="380"/>
      <c r="P68" s="380"/>
      <c r="Q68" s="380"/>
      <c r="S68" s="380">
        <f t="shared" si="50"/>
        <v>0</v>
      </c>
      <c r="T68" s="380"/>
      <c r="U68" s="380"/>
      <c r="V68" s="380"/>
      <c r="X68" s="380">
        <f t="shared" si="51"/>
        <v>0</v>
      </c>
      <c r="Y68" s="380"/>
      <c r="Z68" s="380"/>
      <c r="AA68" s="380"/>
      <c r="AB68" s="380"/>
      <c r="AD68" s="248">
        <f t="shared" si="52"/>
        <v>0</v>
      </c>
      <c r="AE68" s="248"/>
      <c r="AF68" s="248"/>
      <c r="AG68" s="248"/>
      <c r="AH68" s="248"/>
      <c r="AI68" s="17"/>
      <c r="AJ68" s="328">
        <f t="shared" si="53"/>
        <v>3.1154867519621973E-2</v>
      </c>
      <c r="AK68" s="328"/>
      <c r="AL68" s="328"/>
      <c r="AM68" s="328"/>
      <c r="AN68" s="328"/>
      <c r="AP68" s="8"/>
      <c r="AR68" s="6"/>
      <c r="BK68" s="50" t="str">
        <f>"Aux Capacitor: Qty("&amp;S35*3&amp;"), "&amp;ROUND(AJ34,0)&amp;" kvar, "&amp;S34&amp;" kV, "&amp;ROUND(CA37,2)&amp;" µF/Can"</f>
        <v>Aux Capacitor: Qty(18), 154 kvar, 1 kV, 409.41 µF/Can</v>
      </c>
      <c r="CC68" s="17"/>
      <c r="CF68" s="8"/>
      <c r="CM68" s="2">
        <f t="shared" si="49"/>
        <v>9.1999999999999993</v>
      </c>
      <c r="CN68" s="1" t="str">
        <f t="shared" si="33"/>
        <v>0.0107986736111111+9.93477972222222i</v>
      </c>
      <c r="CO68" s="1" t="str">
        <f t="shared" si="34"/>
        <v>-0.117376887077295i</v>
      </c>
      <c r="CP68" s="1" t="str">
        <f t="shared" si="35"/>
        <v>10.7986736111111</v>
      </c>
      <c r="CQ68" s="1" t="str">
        <f t="shared" si="36"/>
        <v>-2.81704528985507i</v>
      </c>
      <c r="CR68" s="1" t="str">
        <f t="shared" si="37"/>
        <v>0.0107986736111111+9.81740283514493i</v>
      </c>
      <c r="CS68" s="1" t="str">
        <f t="shared" si="38"/>
        <v>4.88707443545659+5.36904568314018i</v>
      </c>
      <c r="CT68" s="1" t="str">
        <f t="shared" si="39"/>
        <v>4.88707443545659+2.55200039328511i</v>
      </c>
      <c r="CU68" s="1" t="str">
        <f t="shared" si="40"/>
        <v>0.0191834803010191+4.41220046923441i</v>
      </c>
      <c r="CV68" s="1" t="str">
        <f t="shared" si="41"/>
        <v>1.31903213634276+2.5326234042977i</v>
      </c>
      <c r="CW68" s="2">
        <f t="shared" si="42"/>
        <v>9.1999999999999993</v>
      </c>
      <c r="CX68" s="14">
        <f t="shared" si="43"/>
        <v>5.5132751196562566</v>
      </c>
      <c r="CY68" s="14">
        <f t="shared" si="32"/>
        <v>4.4122421722553717</v>
      </c>
      <c r="CZ68" s="14">
        <f t="shared" si="44"/>
        <v>2.8555257107407415</v>
      </c>
      <c r="DE68" s="14">
        <f t="shared" si="45"/>
        <v>9.1999999999999993</v>
      </c>
      <c r="DF68" s="151">
        <f t="shared" si="46"/>
        <v>0.51793637153351024</v>
      </c>
      <c r="DH68" s="152">
        <f t="shared" si="47"/>
        <v>9.1999999999999993</v>
      </c>
      <c r="DI68" s="1">
        <f t="shared" si="48"/>
        <v>0.64718245265334207</v>
      </c>
    </row>
    <row r="69" spans="2:113" ht="18" customHeight="1" x14ac:dyDescent="0.25">
      <c r="B69" s="6"/>
      <c r="C69" s="185">
        <f>Z24</f>
        <v>17</v>
      </c>
      <c r="D69" s="185"/>
      <c r="E69" s="185"/>
      <c r="F69" s="185"/>
      <c r="G69" s="185"/>
      <c r="H69" s="17"/>
      <c r="I69" s="248">
        <f>Z25</f>
        <v>20</v>
      </c>
      <c r="J69" s="248"/>
      <c r="K69" s="248"/>
      <c r="L69" s="248"/>
      <c r="M69" s="49"/>
      <c r="N69" s="248">
        <f>($AJ$30/Z24)*Z25</f>
        <v>30.490372549019614</v>
      </c>
      <c r="O69" s="248"/>
      <c r="P69" s="248"/>
      <c r="Q69" s="248"/>
      <c r="S69" s="380">
        <f t="shared" si="50"/>
        <v>0</v>
      </c>
      <c r="T69" s="380"/>
      <c r="U69" s="380"/>
      <c r="V69" s="380"/>
      <c r="X69" s="380">
        <f t="shared" si="51"/>
        <v>0</v>
      </c>
      <c r="Y69" s="380"/>
      <c r="Z69" s="380"/>
      <c r="AA69" s="380"/>
      <c r="AB69" s="380"/>
      <c r="AD69" s="248">
        <f t="shared" si="52"/>
        <v>0</v>
      </c>
      <c r="AE69" s="248"/>
      <c r="AF69" s="248"/>
      <c r="AG69" s="248"/>
      <c r="AH69" s="248"/>
      <c r="AI69" s="17"/>
      <c r="AJ69" s="328">
        <f t="shared" si="53"/>
        <v>2.3925410457547348E-2</v>
      </c>
      <c r="AK69" s="328"/>
      <c r="AL69" s="328"/>
      <c r="AM69" s="328"/>
      <c r="AN69" s="328"/>
      <c r="AP69" s="8"/>
      <c r="AR69" s="6"/>
      <c r="BK69" s="38" t="str">
        <f>"Optional Fuse: "&amp;ROUND(BJ36,0)&amp;" (Minimum Amps)"</f>
        <v>Optional Fuse: 83 (Minimum Amps)</v>
      </c>
      <c r="CC69" s="17"/>
      <c r="CF69" s="8"/>
      <c r="CM69" s="2">
        <f t="shared" si="49"/>
        <v>9.3999999999999986</v>
      </c>
      <c r="CN69" s="1" t="str">
        <f t="shared" si="33"/>
        <v>0.0107986736111111+10.1507531944444i</v>
      </c>
      <c r="CO69" s="1" t="str">
        <f t="shared" si="34"/>
        <v>-0.114879506501182i</v>
      </c>
      <c r="CP69" s="1" t="str">
        <f t="shared" si="35"/>
        <v>10.7986736111111</v>
      </c>
      <c r="CQ69" s="1" t="str">
        <f t="shared" si="36"/>
        <v>-2.75710815602837i</v>
      </c>
      <c r="CR69" s="1" t="str">
        <f t="shared" si="37"/>
        <v>0.0107986736111111+10.0358736879432i</v>
      </c>
      <c r="CS69" s="1" t="str">
        <f t="shared" si="38"/>
        <v>5.0049285461154+5.37910566962844i</v>
      </c>
      <c r="CT69" s="1" t="str">
        <f t="shared" si="39"/>
        <v>5.0049285461154+2.62199751360007i</v>
      </c>
      <c r="CU69" s="1" t="str">
        <f t="shared" si="40"/>
        <v>0.0191834803010191+4.5081178707395i</v>
      </c>
      <c r="CV69" s="1" t="str">
        <f t="shared" si="41"/>
        <v>1.3450279127032+2.59208046655088i</v>
      </c>
      <c r="CW69" s="2">
        <f t="shared" si="42"/>
        <v>9.3999999999999986</v>
      </c>
      <c r="CX69" s="14">
        <f t="shared" si="43"/>
        <v>5.6501487337100915</v>
      </c>
      <c r="CY69" s="14">
        <f t="shared" si="32"/>
        <v>4.5081586864702698</v>
      </c>
      <c r="CZ69" s="14">
        <f t="shared" si="44"/>
        <v>2.9202707461852495</v>
      </c>
      <c r="DE69" s="14">
        <f t="shared" si="45"/>
        <v>9.3999999999999986</v>
      </c>
      <c r="DF69" s="151">
        <f t="shared" si="46"/>
        <v>0.5168484731671289</v>
      </c>
      <c r="DH69" s="152">
        <f t="shared" si="47"/>
        <v>9.3999999999999986</v>
      </c>
      <c r="DI69" s="1">
        <f t="shared" si="48"/>
        <v>0.64777461249300472</v>
      </c>
    </row>
    <row r="70" spans="2:113" ht="18" customHeight="1" x14ac:dyDescent="0.25">
      <c r="B70" s="6"/>
      <c r="C70" s="185">
        <f>AB24</f>
        <v>19</v>
      </c>
      <c r="D70" s="185"/>
      <c r="E70" s="185"/>
      <c r="F70" s="185"/>
      <c r="G70" s="185"/>
      <c r="H70" s="17"/>
      <c r="I70" s="248">
        <f>AB25</f>
        <v>10</v>
      </c>
      <c r="J70" s="248"/>
      <c r="K70" s="248"/>
      <c r="L70" s="248"/>
      <c r="M70" s="49"/>
      <c r="N70" s="248">
        <f>($AJ$30/AB24)*AB25</f>
        <v>13.640429824561407</v>
      </c>
      <c r="O70" s="248"/>
      <c r="P70" s="248"/>
      <c r="Q70" s="248"/>
      <c r="S70" s="380">
        <f t="shared" si="50"/>
        <v>0</v>
      </c>
      <c r="T70" s="380"/>
      <c r="U70" s="380"/>
      <c r="V70" s="380"/>
      <c r="X70" s="380">
        <f t="shared" si="51"/>
        <v>0</v>
      </c>
      <c r="Y70" s="380"/>
      <c r="Z70" s="380"/>
      <c r="AA70" s="380"/>
      <c r="AB70" s="380"/>
      <c r="AD70" s="248">
        <f t="shared" si="52"/>
        <v>0</v>
      </c>
      <c r="AE70" s="248"/>
      <c r="AF70" s="248"/>
      <c r="AG70" s="248"/>
      <c r="AH70" s="248"/>
      <c r="AI70" s="17"/>
      <c r="AJ70" s="328">
        <f t="shared" si="53"/>
        <v>1.2476047947780428E-2</v>
      </c>
      <c r="AK70" s="328"/>
      <c r="AL70" s="328"/>
      <c r="AM70" s="328"/>
      <c r="AN70" s="328"/>
      <c r="AP70" s="8"/>
      <c r="AR70" s="6"/>
      <c r="CC70" s="17"/>
      <c r="CF70" s="8"/>
      <c r="CM70" s="2">
        <f t="shared" si="49"/>
        <v>9.5999999999999979</v>
      </c>
      <c r="CN70" s="1" t="str">
        <f t="shared" si="33"/>
        <v>0.0107986736111111+10.3667266666667i</v>
      </c>
      <c r="CO70" s="1" t="str">
        <f t="shared" si="34"/>
        <v>-0.112486183449074i</v>
      </c>
      <c r="CP70" s="1" t="str">
        <f t="shared" si="35"/>
        <v>10.7986736111111</v>
      </c>
      <c r="CQ70" s="1" t="str">
        <f t="shared" si="36"/>
        <v>-2.69966840277778i</v>
      </c>
      <c r="CR70" s="1" t="str">
        <f t="shared" si="37"/>
        <v>0.0107986736111111+10.2542404832176i</v>
      </c>
      <c r="CS70" s="1" t="str">
        <f t="shared" si="38"/>
        <v>5.12056345549604+5.38645231628652i</v>
      </c>
      <c r="CT70" s="1" t="str">
        <f t="shared" si="39"/>
        <v>5.12056345549604+2.68678391350874i</v>
      </c>
      <c r="CU70" s="1" t="str">
        <f t="shared" si="40"/>
        <v>0.0191834803010191+4.6040352722446i</v>
      </c>
      <c r="CV70" s="1" t="str">
        <f t="shared" si="41"/>
        <v>1.37213132470152+2.65048754575088i</v>
      </c>
      <c r="CW70" s="2">
        <f t="shared" si="42"/>
        <v>9.5999999999999979</v>
      </c>
      <c r="CX70" s="14">
        <f t="shared" si="43"/>
        <v>5.7826445420456967</v>
      </c>
      <c r="CY70" s="14">
        <f t="shared" si="32"/>
        <v>4.6040752376551</v>
      </c>
      <c r="CZ70" s="14">
        <f t="shared" si="44"/>
        <v>2.9845985663749945</v>
      </c>
      <c r="DE70" s="14">
        <f t="shared" si="45"/>
        <v>9.5999999999999979</v>
      </c>
      <c r="DF70" s="151">
        <f t="shared" si="46"/>
        <v>0.51613038717388415</v>
      </c>
      <c r="DH70" s="152">
        <f t="shared" si="47"/>
        <v>9.5999999999999979</v>
      </c>
      <c r="DI70" s="1">
        <f t="shared" si="48"/>
        <v>0.64825147555474771</v>
      </c>
    </row>
    <row r="71" spans="2:113" ht="18" customHeight="1" x14ac:dyDescent="0.25">
      <c r="B71" s="6"/>
      <c r="C71" s="185">
        <f>AD24</f>
        <v>23</v>
      </c>
      <c r="D71" s="185"/>
      <c r="E71" s="185"/>
      <c r="F71" s="185"/>
      <c r="G71" s="185"/>
      <c r="H71" s="17"/>
      <c r="I71" s="248">
        <f>AD25</f>
        <v>10</v>
      </c>
      <c r="J71" s="248"/>
      <c r="K71" s="248"/>
      <c r="L71" s="248"/>
      <c r="M71" s="49"/>
      <c r="N71" s="248">
        <f>($AJ$30/AD24)*AD25</f>
        <v>11.268181159420292</v>
      </c>
      <c r="O71" s="248"/>
      <c r="P71" s="248"/>
      <c r="Q71" s="248"/>
      <c r="S71" s="380">
        <f t="shared" si="50"/>
        <v>0</v>
      </c>
      <c r="T71" s="380"/>
      <c r="U71" s="380"/>
      <c r="V71" s="380"/>
      <c r="X71" s="380">
        <f t="shared" si="51"/>
        <v>0</v>
      </c>
      <c r="Y71" s="380"/>
      <c r="Z71" s="380"/>
      <c r="AA71" s="380"/>
      <c r="AB71" s="380"/>
      <c r="AD71" s="248">
        <f t="shared" si="52"/>
        <v>0</v>
      </c>
      <c r="AE71" s="248"/>
      <c r="AF71" s="248"/>
      <c r="AG71" s="248"/>
      <c r="AH71" s="248"/>
      <c r="AI71" s="17"/>
      <c r="AJ71" s="328">
        <f t="shared" si="53"/>
        <v>1.3186501624599174E-2</v>
      </c>
      <c r="AK71" s="328"/>
      <c r="AL71" s="328"/>
      <c r="AM71" s="328"/>
      <c r="AN71" s="328"/>
      <c r="AP71" s="8"/>
      <c r="AR71" s="6"/>
      <c r="CC71" s="17"/>
      <c r="CF71" s="8"/>
      <c r="CM71" s="2">
        <f t="shared" si="49"/>
        <v>9.7999999999999972</v>
      </c>
      <c r="CN71" s="1" t="str">
        <f t="shared" si="33"/>
        <v>0.0107986736111111+10.5827001388889i</v>
      </c>
      <c r="CO71" s="1" t="str">
        <f t="shared" si="34"/>
        <v>-0.110190547052154i</v>
      </c>
      <c r="CP71" s="1" t="str">
        <f t="shared" si="35"/>
        <v>10.7986736111111</v>
      </c>
      <c r="CQ71" s="1" t="str">
        <f t="shared" si="36"/>
        <v>-2.6445731292517i</v>
      </c>
      <c r="CR71" s="1" t="str">
        <f t="shared" si="37"/>
        <v>0.0107986736111111+10.4725095918367i</v>
      </c>
      <c r="CS71" s="1" t="str">
        <f t="shared" si="38"/>
        <v>5.23396639095251+5.39123910990921i</v>
      </c>
      <c r="CT71" s="1" t="str">
        <f t="shared" si="39"/>
        <v>5.23396639095251+2.74666598065751i</v>
      </c>
      <c r="CU71" s="1" t="str">
        <f t="shared" si="40"/>
        <v>0.0191834803010191+4.6999526737497i</v>
      </c>
      <c r="CV71" s="1" t="str">
        <f t="shared" si="41"/>
        <v>1.4002572098727+2.70788076389034i</v>
      </c>
      <c r="CW71" s="2">
        <f t="shared" si="42"/>
        <v>9.7999999999999972</v>
      </c>
      <c r="CX71" s="14">
        <f t="shared" si="43"/>
        <v>5.9108864132989156</v>
      </c>
      <c r="CY71" s="14">
        <f t="shared" si="32"/>
        <v>4.699991823546438</v>
      </c>
      <c r="CZ71" s="14">
        <f t="shared" si="44"/>
        <v>3.0484977423721036</v>
      </c>
      <c r="DE71" s="14">
        <f t="shared" si="45"/>
        <v>9.7999999999999972</v>
      </c>
      <c r="DF71" s="151">
        <f t="shared" si="46"/>
        <v>0.5157429071066707</v>
      </c>
      <c r="DH71" s="152">
        <f t="shared" si="47"/>
        <v>9.7999999999999972</v>
      </c>
      <c r="DI71" s="1">
        <f t="shared" si="48"/>
        <v>0.6486176693115645</v>
      </c>
    </row>
    <row r="72" spans="2:113" ht="18" customHeight="1" x14ac:dyDescent="0.25">
      <c r="B72" s="6"/>
      <c r="C72" s="185">
        <f>AF24</f>
        <v>25</v>
      </c>
      <c r="D72" s="185"/>
      <c r="E72" s="185"/>
      <c r="F72" s="185"/>
      <c r="G72" s="185"/>
      <c r="H72" s="17"/>
      <c r="I72" s="248">
        <f>AF25</f>
        <v>10</v>
      </c>
      <c r="J72" s="248"/>
      <c r="K72" s="248"/>
      <c r="L72" s="248"/>
      <c r="M72" s="49"/>
      <c r="N72" s="248">
        <f>($AJ$30/AF24)*AF25</f>
        <v>10.36672666666667</v>
      </c>
      <c r="O72" s="248"/>
      <c r="P72" s="248"/>
      <c r="Q72" s="248"/>
      <c r="S72" s="380">
        <f t="shared" si="50"/>
        <v>0</v>
      </c>
      <c r="T72" s="380"/>
      <c r="U72" s="380"/>
      <c r="V72" s="380"/>
      <c r="X72" s="380">
        <f t="shared" si="51"/>
        <v>0</v>
      </c>
      <c r="Y72" s="380"/>
      <c r="Z72" s="380"/>
      <c r="AA72" s="380"/>
      <c r="AB72" s="380"/>
      <c r="AD72" s="248">
        <f t="shared" si="52"/>
        <v>0</v>
      </c>
      <c r="AE72" s="248"/>
      <c r="AF72" s="248"/>
      <c r="AG72" s="248"/>
      <c r="AH72" s="248"/>
      <c r="AI72" s="17"/>
      <c r="AJ72" s="328">
        <f t="shared" si="53"/>
        <v>1.3436497865717097E-2</v>
      </c>
      <c r="AK72" s="328"/>
      <c r="AL72" s="328"/>
      <c r="AM72" s="328"/>
      <c r="AN72" s="328"/>
      <c r="AP72" s="8"/>
      <c r="AR72" s="6"/>
      <c r="BK72" s="1" t="str">
        <f>"Capacitor Fuse: "&amp;ROUND(BJ19,0)&amp;" (Minimum Amps)"</f>
        <v>Capacitor Fuse: 100 (Minimum Amps)</v>
      </c>
      <c r="CC72" s="17"/>
      <c r="CF72" s="8"/>
      <c r="CM72" s="2">
        <f t="shared" si="49"/>
        <v>9.9999999999999964</v>
      </c>
      <c r="CN72" s="1" t="str">
        <f t="shared" si="33"/>
        <v>0.0107986736111111+10.7986736111111i</v>
      </c>
      <c r="CO72" s="1" t="str">
        <f t="shared" si="34"/>
        <v>-0.107986736111111i</v>
      </c>
      <c r="CP72" s="1" t="str">
        <f t="shared" si="35"/>
        <v>10.7986736111111</v>
      </c>
      <c r="CQ72" s="1" t="str">
        <f t="shared" si="36"/>
        <v>-2.59168166666667i</v>
      </c>
      <c r="CR72" s="1" t="str">
        <f t="shared" si="37"/>
        <v>0.0107986736111111+10.690686875i</v>
      </c>
      <c r="CS72" s="1" t="str">
        <f t="shared" si="38"/>
        <v>5.34513098905389+5.39361358225437i</v>
      </c>
      <c r="CT72" s="1" t="str">
        <f t="shared" si="39"/>
        <v>5.34513098905389+2.8019319155877i</v>
      </c>
      <c r="CU72" s="1" t="str">
        <f t="shared" si="40"/>
        <v>0.0191834803010191+4.79587007525479i</v>
      </c>
      <c r="CV72" s="1" t="str">
        <f t="shared" si="41"/>
        <v>1.42933086187096+2.76429202300579i</v>
      </c>
      <c r="CW72" s="2">
        <f t="shared" si="42"/>
        <v>9.9999999999999964</v>
      </c>
      <c r="CX72" s="14">
        <f t="shared" si="43"/>
        <v>6.0350018848160412</v>
      </c>
      <c r="CY72" s="14">
        <f t="shared" si="32"/>
        <v>4.7959084420619265</v>
      </c>
      <c r="CZ72" s="14">
        <f t="shared" si="44"/>
        <v>3.1119603309088348</v>
      </c>
      <c r="DE72" s="14">
        <f t="shared" si="45"/>
        <v>9.9999999999999964</v>
      </c>
      <c r="DF72" s="151">
        <f t="shared" si="46"/>
        <v>0.51565192361223144</v>
      </c>
      <c r="DH72" s="152">
        <f t="shared" si="47"/>
        <v>9.9999999999999964</v>
      </c>
      <c r="DI72" s="1">
        <f t="shared" si="48"/>
        <v>0.64887817782669999</v>
      </c>
    </row>
    <row r="73" spans="2:113" ht="18" customHeight="1" x14ac:dyDescent="0.25">
      <c r="B73" s="6"/>
      <c r="C73" s="185">
        <f>AH24</f>
        <v>29</v>
      </c>
      <c r="D73" s="185"/>
      <c r="E73" s="185"/>
      <c r="F73" s="185"/>
      <c r="G73" s="185"/>
      <c r="H73" s="17"/>
      <c r="I73" s="248">
        <f>AH25</f>
        <v>0</v>
      </c>
      <c r="J73" s="248"/>
      <c r="K73" s="248"/>
      <c r="L73" s="248"/>
      <c r="M73" s="49"/>
      <c r="N73" s="248">
        <f>($AJ$30/AH24)*AH25</f>
        <v>0</v>
      </c>
      <c r="O73" s="248"/>
      <c r="P73" s="248"/>
      <c r="Q73" s="248"/>
      <c r="S73" s="380">
        <f t="shared" si="50"/>
        <v>0</v>
      </c>
      <c r="T73" s="380"/>
      <c r="U73" s="380"/>
      <c r="V73" s="380"/>
      <c r="X73" s="380">
        <f t="shared" si="51"/>
        <v>0</v>
      </c>
      <c r="Y73" s="380"/>
      <c r="Z73" s="380"/>
      <c r="AA73" s="380"/>
      <c r="AB73" s="380"/>
      <c r="AD73" s="248">
        <f t="shared" si="52"/>
        <v>0</v>
      </c>
      <c r="AE73" s="248"/>
      <c r="AF73" s="248"/>
      <c r="AG73" s="248"/>
      <c r="AH73" s="248"/>
      <c r="AI73" s="17"/>
      <c r="AJ73" s="328">
        <f t="shared" si="53"/>
        <v>0</v>
      </c>
      <c r="AK73" s="328"/>
      <c r="AL73" s="328"/>
      <c r="AM73" s="328"/>
      <c r="AN73" s="328"/>
      <c r="AP73" s="8"/>
      <c r="AR73" s="6"/>
      <c r="CC73" s="17"/>
      <c r="CF73" s="8"/>
      <c r="CM73" s="2">
        <f t="shared" si="49"/>
        <v>10.199999999999996</v>
      </c>
      <c r="CN73" s="1" t="str">
        <f t="shared" si="33"/>
        <v>0.0107986736111111+11.0146470833333i</v>
      </c>
      <c r="CO73" s="1" t="str">
        <f t="shared" si="34"/>
        <v>-0.10586934912854i</v>
      </c>
      <c r="CP73" s="1" t="str">
        <f t="shared" si="35"/>
        <v>10.7986736111111</v>
      </c>
      <c r="CQ73" s="1" t="str">
        <f t="shared" si="36"/>
        <v>-2.54086437908497i</v>
      </c>
      <c r="CR73" s="1" t="str">
        <f t="shared" si="37"/>
        <v>0.0107986736111111+10.9087777342048i</v>
      </c>
      <c r="CS73" s="1" t="str">
        <f t="shared" si="38"/>
        <v>5.45405670436001+5.39371732259541i</v>
      </c>
      <c r="CT73" s="1" t="str">
        <f t="shared" si="39"/>
        <v>5.45405670436001+2.85285294351044i</v>
      </c>
      <c r="CU73" s="1" t="str">
        <f t="shared" si="40"/>
        <v>0.0191834803010191+4.89178747675989i</v>
      </c>
      <c r="CV73" s="1" t="str">
        <f t="shared" si="41"/>
        <v>1.45928623999031+2.81974958388433i</v>
      </c>
      <c r="CW73" s="2">
        <f t="shared" si="42"/>
        <v>10.199999999999996</v>
      </c>
      <c r="CX73" s="14">
        <f t="shared" si="43"/>
        <v>6.1551201817406103</v>
      </c>
      <c r="CY73" s="14">
        <f t="shared" si="32"/>
        <v>4.891825091282529</v>
      </c>
      <c r="CZ73" s="14">
        <f t="shared" si="44"/>
        <v>3.174980952075289</v>
      </c>
      <c r="DE73" s="14">
        <f t="shared" si="45"/>
        <v>10.199999999999996</v>
      </c>
      <c r="DF73" s="151">
        <f t="shared" si="46"/>
        <v>0.51582761316245074</v>
      </c>
      <c r="DH73" s="152">
        <f t="shared" si="47"/>
        <v>10.199999999999996</v>
      </c>
      <c r="DI73" s="1">
        <f t="shared" si="48"/>
        <v>0.64903811825432178</v>
      </c>
    </row>
    <row r="74" spans="2:113" ht="18" customHeight="1" x14ac:dyDescent="0.25">
      <c r="B74" s="6"/>
      <c r="C74" s="185">
        <f>AJ24</f>
        <v>31</v>
      </c>
      <c r="D74" s="185"/>
      <c r="E74" s="185"/>
      <c r="F74" s="185"/>
      <c r="G74" s="185"/>
      <c r="H74" s="17"/>
      <c r="I74" s="248">
        <f>AJ25</f>
        <v>0</v>
      </c>
      <c r="J74" s="248"/>
      <c r="K74" s="248"/>
      <c r="L74" s="248"/>
      <c r="M74" s="49"/>
      <c r="N74" s="248">
        <f>($AJ$30/AJ24)*AJ25</f>
        <v>0</v>
      </c>
      <c r="O74" s="248"/>
      <c r="P74" s="248"/>
      <c r="Q74" s="248"/>
      <c r="S74" s="380">
        <f t="shared" si="50"/>
        <v>0</v>
      </c>
      <c r="T74" s="380"/>
      <c r="U74" s="380"/>
      <c r="V74" s="380"/>
      <c r="X74" s="380">
        <f t="shared" si="51"/>
        <v>0</v>
      </c>
      <c r="Y74" s="380"/>
      <c r="Z74" s="380"/>
      <c r="AA74" s="380"/>
      <c r="AB74" s="380"/>
      <c r="AD74" s="248">
        <f t="shared" si="52"/>
        <v>0</v>
      </c>
      <c r="AE74" s="248"/>
      <c r="AF74" s="248"/>
      <c r="AG74" s="248"/>
      <c r="AH74" s="248"/>
      <c r="AI74" s="17"/>
      <c r="AJ74" s="328">
        <f t="shared" si="53"/>
        <v>0</v>
      </c>
      <c r="AK74" s="328"/>
      <c r="AL74" s="328"/>
      <c r="AM74" s="328"/>
      <c r="AN74" s="328"/>
      <c r="AP74" s="8"/>
      <c r="AR74" s="6"/>
      <c r="CC74" s="17"/>
      <c r="CE74" s="17"/>
      <c r="CF74" s="8"/>
      <c r="CM74" s="2">
        <f t="shared" si="49"/>
        <v>10.399999999999995</v>
      </c>
      <c r="CN74" s="1" t="str">
        <f t="shared" si="33"/>
        <v>0.0107986736111111+11.2306205555556i</v>
      </c>
      <c r="CO74" s="1" t="str">
        <f t="shared" si="34"/>
        <v>-0.103833400106838i</v>
      </c>
      <c r="CP74" s="1" t="str">
        <f t="shared" si="35"/>
        <v>10.7986736111111</v>
      </c>
      <c r="CQ74" s="1" t="str">
        <f t="shared" si="36"/>
        <v>-2.4920016025641i</v>
      </c>
      <c r="CR74" s="1" t="str">
        <f t="shared" si="37"/>
        <v>0.0107986736111111+11.1267871554488i</v>
      </c>
      <c r="CS74" s="1" t="str">
        <f t="shared" si="38"/>
        <v>5.56074825195558+5.39168602058625i</v>
      </c>
      <c r="CT74" s="1" t="str">
        <f t="shared" si="39"/>
        <v>5.56074825195558+2.89968441802215i</v>
      </c>
      <c r="CU74" s="1" t="str">
        <f t="shared" si="40"/>
        <v>0.0191834803010191+4.98770487826498i</v>
      </c>
      <c r="CV74" s="1" t="str">
        <f t="shared" si="41"/>
        <v>1.49006453340208+2.87427856469059i</v>
      </c>
      <c r="CW74" s="2">
        <f t="shared" si="42"/>
        <v>10.399999999999995</v>
      </c>
      <c r="CX74" s="14">
        <f t="shared" si="43"/>
        <v>6.2713707310082931</v>
      </c>
      <c r="CY74" s="14">
        <f t="shared" si="32"/>
        <v>4.9877417694368225</v>
      </c>
      <c r="CZ74" s="14">
        <f t="shared" si="44"/>
        <v>3.2375561124314984</v>
      </c>
      <c r="DE74" s="14">
        <f t="shared" si="45"/>
        <v>10.399999999999995</v>
      </c>
      <c r="DF74" s="151">
        <f t="shared" si="46"/>
        <v>0.51624377688655188</v>
      </c>
      <c r="DH74" s="152">
        <f t="shared" si="47"/>
        <v>10.399999999999995</v>
      </c>
      <c r="DI74" s="1">
        <f t="shared" si="48"/>
        <v>0.64910259233349554</v>
      </c>
    </row>
    <row r="75" spans="2:113" ht="18" customHeight="1" x14ac:dyDescent="0.25">
      <c r="B75" s="6"/>
      <c r="C75" s="185">
        <f>AL24</f>
        <v>35</v>
      </c>
      <c r="D75" s="185"/>
      <c r="E75" s="185"/>
      <c r="F75" s="185"/>
      <c r="G75" s="185"/>
      <c r="H75" s="17"/>
      <c r="I75" s="248">
        <f>AL25</f>
        <v>10</v>
      </c>
      <c r="J75" s="248"/>
      <c r="K75" s="248"/>
      <c r="L75" s="248"/>
      <c r="M75" s="49"/>
      <c r="N75" s="248">
        <f>($AJ$30/AL24)*AL25</f>
        <v>7.4048047619047637</v>
      </c>
      <c r="O75" s="248"/>
      <c r="P75" s="248"/>
      <c r="Q75" s="248"/>
      <c r="S75" s="380">
        <f t="shared" si="50"/>
        <v>0</v>
      </c>
      <c r="T75" s="380"/>
      <c r="U75" s="380"/>
      <c r="V75" s="380"/>
      <c r="X75" s="380">
        <f t="shared" si="51"/>
        <v>0</v>
      </c>
      <c r="Y75" s="380"/>
      <c r="Z75" s="380"/>
      <c r="AA75" s="380"/>
      <c r="AB75" s="380"/>
      <c r="AD75" s="248">
        <f t="shared" si="52"/>
        <v>0</v>
      </c>
      <c r="AE75" s="248"/>
      <c r="AF75" s="248"/>
      <c r="AG75" s="248"/>
      <c r="AH75" s="248"/>
      <c r="AI75" s="17"/>
      <c r="AJ75" s="328">
        <f t="shared" si="53"/>
        <v>1.4155011239706559E-2</v>
      </c>
      <c r="AK75" s="328"/>
      <c r="AL75" s="328"/>
      <c r="AM75" s="328"/>
      <c r="AN75" s="328"/>
      <c r="AP75" s="8"/>
      <c r="AR75" s="6"/>
      <c r="BK75" s="1" t="str">
        <f>"Main Capacitor: Qty("&amp;S29*3&amp;"), "&amp;ROUND(AJ28,0)&amp;" kvar, "&amp;S28&amp;" kV, "&amp;ROUND(CA19,2)&amp;" µF/Can"</f>
        <v>Main Capacitor: Qty(15), 766 kvar, 9.96 kV, 20.47 µF/Can</v>
      </c>
      <c r="CC75" s="17"/>
      <c r="CE75" s="17"/>
      <c r="CF75" s="8"/>
      <c r="CM75" s="2">
        <f t="shared" si="49"/>
        <v>10.599999999999994</v>
      </c>
      <c r="CN75" s="1" t="str">
        <f t="shared" si="33"/>
        <v>0.0107986736111111+11.4465940277778i</v>
      </c>
      <c r="CO75" s="1" t="str">
        <f t="shared" si="34"/>
        <v>-0.101874279350105i</v>
      </c>
      <c r="CP75" s="1" t="str">
        <f t="shared" si="35"/>
        <v>10.7986736111111</v>
      </c>
      <c r="CQ75" s="1" t="str">
        <f t="shared" si="36"/>
        <v>-2.44498270440252i</v>
      </c>
      <c r="CR75" s="1" t="str">
        <f t="shared" si="37"/>
        <v>0.0107986736111111+11.3447197484277i</v>
      </c>
      <c r="CS75" s="1" t="str">
        <f t="shared" si="38"/>
        <v>5.66521508371643+5.38764953547086i</v>
      </c>
      <c r="CT75" s="1" t="str">
        <f t="shared" si="39"/>
        <v>5.66521508371643+2.94266683106834i</v>
      </c>
      <c r="CU75" s="1" t="str">
        <f t="shared" si="40"/>
        <v>0.0191834803010191+5.08362227977008i</v>
      </c>
      <c r="CV75" s="1" t="str">
        <f t="shared" si="41"/>
        <v>1.5216130017294+2.92790137009729i</v>
      </c>
      <c r="CW75" s="2">
        <f t="shared" si="42"/>
        <v>10.599999999999994</v>
      </c>
      <c r="CX75" s="14">
        <f t="shared" si="43"/>
        <v>6.3838820496182365</v>
      </c>
      <c r="CY75" s="14">
        <f t="shared" si="32"/>
        <v>5.0836584748870752</v>
      </c>
      <c r="CZ75" s="14">
        <f t="shared" si="44"/>
        <v>3.2996837060617707</v>
      </c>
      <c r="DE75" s="14">
        <f t="shared" si="45"/>
        <v>10.599999999999994</v>
      </c>
      <c r="DF75" s="151">
        <f t="shared" si="46"/>
        <v>0.51687729823565565</v>
      </c>
      <c r="DH75" s="152">
        <f t="shared" si="47"/>
        <v>10.599999999999994</v>
      </c>
      <c r="DI75" s="1">
        <f t="shared" si="48"/>
        <v>0.64907658969657112</v>
      </c>
    </row>
    <row r="76" spans="2:113" ht="18" customHeight="1" x14ac:dyDescent="0.25">
      <c r="B76" s="6"/>
      <c r="C76" s="185">
        <f>AN24</f>
        <v>37</v>
      </c>
      <c r="D76" s="185"/>
      <c r="E76" s="185"/>
      <c r="F76" s="185"/>
      <c r="G76" s="185"/>
      <c r="H76" s="17"/>
      <c r="I76" s="329">
        <f>AN25</f>
        <v>10</v>
      </c>
      <c r="J76" s="329"/>
      <c r="K76" s="329"/>
      <c r="L76" s="329"/>
      <c r="M76" s="49"/>
      <c r="N76" s="329">
        <f>($AJ$30/AN24)*AN25</f>
        <v>7.0045450450450462</v>
      </c>
      <c r="O76" s="329"/>
      <c r="P76" s="329"/>
      <c r="Q76" s="329"/>
      <c r="S76" s="329">
        <f t="shared" si="50"/>
        <v>0</v>
      </c>
      <c r="T76" s="329"/>
      <c r="U76" s="329"/>
      <c r="V76" s="329"/>
      <c r="X76" s="380">
        <f t="shared" si="51"/>
        <v>0</v>
      </c>
      <c r="Y76" s="380"/>
      <c r="Z76" s="380"/>
      <c r="AA76" s="380"/>
      <c r="AB76" s="380"/>
      <c r="AD76" s="380">
        <f t="shared" si="52"/>
        <v>0</v>
      </c>
      <c r="AE76" s="380"/>
      <c r="AF76" s="380"/>
      <c r="AG76" s="380"/>
      <c r="AH76" s="380"/>
      <c r="AI76" s="17"/>
      <c r="AJ76" s="379">
        <f t="shared" si="53"/>
        <v>1.4237949369751087E-2</v>
      </c>
      <c r="AK76" s="379"/>
      <c r="AL76" s="379"/>
      <c r="AM76" s="379"/>
      <c r="AN76" s="379"/>
      <c r="AP76" s="8"/>
      <c r="AR76" s="6"/>
      <c r="CC76" s="17"/>
      <c r="CE76" s="17"/>
      <c r="CF76" s="8"/>
      <c r="CM76" s="2">
        <f t="shared" si="49"/>
        <v>10.799999999999994</v>
      </c>
      <c r="CN76" s="1" t="str">
        <f t="shared" si="33"/>
        <v>0.0107986736111111+11.6625675i</v>
      </c>
      <c r="CO76" s="1" t="str">
        <f t="shared" si="34"/>
        <v>-0.0999877186213993i</v>
      </c>
      <c r="CP76" s="1" t="str">
        <f t="shared" si="35"/>
        <v>10.7986736111111</v>
      </c>
      <c r="CQ76" s="1" t="str">
        <f t="shared" si="36"/>
        <v>-2.39970524691358i</v>
      </c>
      <c r="CR76" s="1" t="str">
        <f t="shared" si="37"/>
        <v>0.0107986736111111+11.5625797813786i</v>
      </c>
      <c r="CS76" s="1" t="str">
        <f t="shared" si="38"/>
        <v>5.7674708979387+5.38173198793113i</v>
      </c>
      <c r="CT76" s="1" t="str">
        <f t="shared" si="39"/>
        <v>5.7674708979387+2.98202674101755i</v>
      </c>
      <c r="CU76" s="1" t="str">
        <f t="shared" si="40"/>
        <v>0.0191834803010191+5.17953968127517i</v>
      </c>
      <c r="CV76" s="1" t="str">
        <f t="shared" si="41"/>
        <v>1.55388403261271+2.98063806054625i</v>
      </c>
      <c r="CW76" s="2">
        <f t="shared" si="42"/>
        <v>10.799999999999994</v>
      </c>
      <c r="CX76" s="14">
        <f t="shared" si="43"/>
        <v>6.4927809175047306</v>
      </c>
      <c r="CY76" s="14">
        <f t="shared" si="32"/>
        <v>5.1795752061168665</v>
      </c>
      <c r="CZ76" s="14">
        <f t="shared" si="44"/>
        <v>3.3613626455331547</v>
      </c>
      <c r="DE76" s="14">
        <f t="shared" si="45"/>
        <v>10.799999999999994</v>
      </c>
      <c r="DF76" s="151">
        <f t="shared" si="46"/>
        <v>0.51770769539918082</v>
      </c>
      <c r="DH76" s="152">
        <f t="shared" si="47"/>
        <v>10.799999999999994</v>
      </c>
      <c r="DI76" s="1">
        <f t="shared" si="48"/>
        <v>0.64896492700087194</v>
      </c>
    </row>
    <row r="77" spans="2:113" ht="18" customHeight="1" x14ac:dyDescent="0.25">
      <c r="B77" s="6"/>
      <c r="C77" s="17"/>
      <c r="D77" s="17"/>
      <c r="E77" s="17"/>
      <c r="F77" s="17"/>
      <c r="G77" s="17"/>
      <c r="H77" s="29" t="s">
        <v>97</v>
      </c>
      <c r="I77" s="325">
        <f>CL23</f>
        <v>314.88575741906226</v>
      </c>
      <c r="J77" s="325"/>
      <c r="K77" s="325"/>
      <c r="L77" s="325"/>
      <c r="M77" s="52"/>
      <c r="N77" s="325">
        <f>BJ21*1000</f>
        <v>7234.501684201422</v>
      </c>
      <c r="O77" s="325"/>
      <c r="P77" s="325"/>
      <c r="Q77" s="325"/>
      <c r="S77" s="380">
        <f>BJ38*1000</f>
        <v>327.19864550999773</v>
      </c>
      <c r="T77" s="380"/>
      <c r="U77" s="380"/>
      <c r="V77" s="380"/>
      <c r="X77" s="325">
        <f>$CX$23</f>
        <v>302.99892125022848</v>
      </c>
      <c r="Y77" s="325"/>
      <c r="Z77" s="325"/>
      <c r="AA77" s="325"/>
      <c r="AB77" s="325"/>
      <c r="AD77" s="325">
        <f>CW23</f>
        <v>84.623148452518137</v>
      </c>
      <c r="AE77" s="325"/>
      <c r="AF77" s="325"/>
      <c r="AG77" s="325"/>
      <c r="AH77" s="325"/>
      <c r="AI77" s="17"/>
      <c r="AJ77" s="325" t="str">
        <f>"Vthd: "&amp;ROUND(SQRT(AJ62^2+AJ63^2+AJ64^2+AJ65^2+AJ66^2+AJ67^2+AJ68^2+AJ69^2+AJ70^2+AJ71^2+AJ72^2+AJ73^2+AJ74^2+AJ75^2+AJ76^2)*100,2)&amp;"%"</f>
        <v>Vthd: 9.02%</v>
      </c>
      <c r="AK77" s="325"/>
      <c r="AL77" s="325"/>
      <c r="AM77" s="325"/>
      <c r="AN77" s="325"/>
      <c r="AP77" s="8"/>
      <c r="AR77" s="6"/>
      <c r="CE77" s="17"/>
      <c r="CF77" s="8"/>
      <c r="CM77" s="2">
        <f t="shared" si="49"/>
        <v>10.999999999999993</v>
      </c>
      <c r="CN77" s="1" t="str">
        <f t="shared" si="33"/>
        <v>0.0107986736111111+11.8785409722222i</v>
      </c>
      <c r="CO77" s="1" t="str">
        <f t="shared" si="34"/>
        <v>-0.0981697601010102i</v>
      </c>
      <c r="CP77" s="1" t="str">
        <f t="shared" si="35"/>
        <v>10.7986736111111</v>
      </c>
      <c r="CQ77" s="1" t="str">
        <f t="shared" si="36"/>
        <v>-2.35607424242424i</v>
      </c>
      <c r="CR77" s="1" t="str">
        <f t="shared" si="37"/>
        <v>0.0107986736111111+11.7803712121212i</v>
      </c>
      <c r="CS77" s="1" t="str">
        <f t="shared" si="38"/>
        <v>5.86753318167913+5.37405187114555i</v>
      </c>
      <c r="CT77" s="1" t="str">
        <f t="shared" si="39"/>
        <v>5.86753318167913+3.01797762872131i</v>
      </c>
      <c r="CU77" s="1" t="str">
        <f t="shared" si="40"/>
        <v>0.0191834803010191+5.27545708278027i</v>
      </c>
      <c r="CV77" s="1" t="str">
        <f t="shared" si="41"/>
        <v>1.5868343709404+3.03250667015476i</v>
      </c>
      <c r="CW77" s="2">
        <f t="shared" si="42"/>
        <v>10.999999999999993</v>
      </c>
      <c r="CX77" s="14">
        <f t="shared" si="43"/>
        <v>6.5981917678685207</v>
      </c>
      <c r="CY77" s="14">
        <f t="shared" si="32"/>
        <v>5.2754919617200589</v>
      </c>
      <c r="CZ77" s="14">
        <f t="shared" si="44"/>
        <v>3.422592588277332</v>
      </c>
      <c r="DE77" s="14">
        <f t="shared" si="45"/>
        <v>10.999999999999993</v>
      </c>
      <c r="DF77" s="151">
        <f t="shared" si="46"/>
        <v>0.51871674978355009</v>
      </c>
      <c r="DH77" s="152">
        <f t="shared" si="47"/>
        <v>10.999999999999993</v>
      </c>
      <c r="DI77" s="1">
        <f t="shared" si="48"/>
        <v>0.64877221178845423</v>
      </c>
    </row>
    <row r="78" spans="2:113" ht="18" customHeight="1" x14ac:dyDescent="0.25">
      <c r="B78" s="6"/>
      <c r="C78" s="33" t="s">
        <v>98</v>
      </c>
      <c r="AP78" s="8"/>
      <c r="AR78" s="6"/>
      <c r="CE78" s="17"/>
      <c r="CF78" s="8"/>
      <c r="CM78" s="2">
        <f t="shared" si="49"/>
        <v>11.199999999999992</v>
      </c>
      <c r="CN78" s="1" t="str">
        <f t="shared" si="33"/>
        <v>0.0107986736111111+12.0945144444444i</v>
      </c>
      <c r="CO78" s="1" t="str">
        <f t="shared" si="34"/>
        <v>-0.096416728670635i</v>
      </c>
      <c r="CP78" s="1" t="str">
        <f t="shared" si="35"/>
        <v>10.7986736111111</v>
      </c>
      <c r="CQ78" s="1" t="str">
        <f t="shared" si="36"/>
        <v>-2.31400148809524i</v>
      </c>
      <c r="CR78" s="1" t="str">
        <f t="shared" si="37"/>
        <v>0.0107986736111111+11.9980977157738i</v>
      </c>
      <c r="CS78" s="1" t="str">
        <f t="shared" si="38"/>
        <v>5.96542278492856+5.36472217791277i</v>
      </c>
      <c r="CT78" s="1" t="str">
        <f t="shared" si="39"/>
        <v>5.96542278492856+3.05072068981753i</v>
      </c>
      <c r="CU78" s="1" t="str">
        <f t="shared" si="40"/>
        <v>0.0191834803010191+5.37137448428536i</v>
      </c>
      <c r="CV78" s="1" t="str">
        <f t="shared" si="41"/>
        <v>1.6204244848418+3.08352348067206i</v>
      </c>
      <c r="CW78" s="2">
        <f t="shared" si="42"/>
        <v>11.199999999999992</v>
      </c>
      <c r="CX78" s="14">
        <f t="shared" si="43"/>
        <v>6.7002362443592647</v>
      </c>
      <c r="CY78" s="14">
        <f t="shared" si="32"/>
        <v>5.3714087403909527</v>
      </c>
      <c r="CZ78" s="14">
        <f t="shared" si="44"/>
        <v>3.4833737334559363</v>
      </c>
      <c r="DE78" s="14">
        <f t="shared" si="45"/>
        <v>11.199999999999992</v>
      </c>
      <c r="DF78" s="151">
        <f t="shared" si="46"/>
        <v>0.51988819594062574</v>
      </c>
      <c r="DH78" s="152">
        <f t="shared" si="47"/>
        <v>11.199999999999992</v>
      </c>
      <c r="DI78" s="1">
        <f t="shared" si="48"/>
        <v>0.64850282333986065</v>
      </c>
    </row>
    <row r="79" spans="2:113" ht="18" customHeight="1" x14ac:dyDescent="0.25">
      <c r="B79" s="6"/>
      <c r="AP79" s="8"/>
      <c r="AR79" s="6"/>
      <c r="CE79" s="17"/>
      <c r="CF79" s="8"/>
      <c r="CM79" s="2">
        <f t="shared" si="49"/>
        <v>11.399999999999991</v>
      </c>
      <c r="CN79" s="1" t="str">
        <f t="shared" si="33"/>
        <v>0.0107986736111111+12.3104879166667i</v>
      </c>
      <c r="CO79" s="1" t="str">
        <f t="shared" si="34"/>
        <v>-0.0947252071150098i</v>
      </c>
      <c r="CP79" s="1" t="str">
        <f t="shared" si="35"/>
        <v>10.7986736111111</v>
      </c>
      <c r="CQ79" s="1" t="str">
        <f t="shared" si="36"/>
        <v>-2.27340497076024i</v>
      </c>
      <c r="CR79" s="1" t="str">
        <f t="shared" si="37"/>
        <v>0.0107986736111111+12.2157627095517i</v>
      </c>
      <c r="CS79" s="1" t="str">
        <f t="shared" si="38"/>
        <v>6.06116352555956+5.3538505409742i</v>
      </c>
      <c r="CT79" s="1" t="str">
        <f t="shared" si="39"/>
        <v>6.06116352555956+3.08044557021396i</v>
      </c>
      <c r="CU79" s="1" t="str">
        <f t="shared" si="40"/>
        <v>0.0191834803010191+5.46729188579046i</v>
      </c>
      <c r="CV79" s="1" t="str">
        <f t="shared" si="41"/>
        <v>1.65461804135838+3.13370325785525i</v>
      </c>
      <c r="CW79" s="2">
        <f t="shared" si="42"/>
        <v>11.399999999999991</v>
      </c>
      <c r="CX79" s="14">
        <f t="shared" si="43"/>
        <v>6.799032886714433</v>
      </c>
      <c r="CY79" s="14">
        <f t="shared" si="32"/>
        <v>5.4673255409154722</v>
      </c>
      <c r="CZ79" s="14">
        <f t="shared" si="44"/>
        <v>3.5437066711398741</v>
      </c>
      <c r="DE79" s="14">
        <f t="shared" si="45"/>
        <v>11.399999999999991</v>
      </c>
      <c r="DF79" s="151">
        <f t="shared" si="46"/>
        <v>0.52120746144123142</v>
      </c>
      <c r="DH79" s="152">
        <f t="shared" si="47"/>
        <v>11.399999999999991</v>
      </c>
      <c r="DI79" s="1">
        <f t="shared" si="48"/>
        <v>0.6481609051116618</v>
      </c>
    </row>
    <row r="80" spans="2:113" ht="18" customHeight="1" x14ac:dyDescent="0.25">
      <c r="B80" s="6"/>
      <c r="C80" s="17"/>
      <c r="E80" s="17"/>
      <c r="F80" s="17"/>
      <c r="G80" s="17"/>
      <c r="H80" s="17"/>
      <c r="I80" s="17"/>
      <c r="J80" s="17"/>
      <c r="K80" s="17"/>
      <c r="L80" s="17"/>
      <c r="M80" s="17"/>
      <c r="N80" s="17"/>
      <c r="O80" s="17"/>
      <c r="X80" s="17"/>
      <c r="Y80" s="17"/>
      <c r="Z80" s="17"/>
      <c r="AA80" s="17"/>
      <c r="AB80" s="17"/>
      <c r="AG80" s="29"/>
      <c r="AM80" s="17"/>
      <c r="AN80" s="17"/>
      <c r="AP80" s="8"/>
      <c r="AR80" s="6"/>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8"/>
      <c r="CM80" s="2">
        <f t="shared" si="49"/>
        <v>11.599999999999991</v>
      </c>
      <c r="CN80" s="1" t="str">
        <f t="shared" si="33"/>
        <v>0.0107986736111111+12.5264613888889i</v>
      </c>
      <c r="CO80" s="1" t="str">
        <f t="shared" si="34"/>
        <v>-0.093092013888889i</v>
      </c>
      <c r="CP80" s="1" t="str">
        <f t="shared" si="35"/>
        <v>10.7986736111111</v>
      </c>
      <c r="CQ80" s="1" t="str">
        <f t="shared" si="36"/>
        <v>-2.23420833333334i</v>
      </c>
      <c r="CR80" s="1" t="str">
        <f t="shared" si="37"/>
        <v>0.0107986736111111+12.433369375i</v>
      </c>
      <c r="CS80" s="1" t="str">
        <f t="shared" si="38"/>
        <v>6.15478182385339+5.34153938394482i</v>
      </c>
      <c r="CT80" s="1" t="str">
        <f t="shared" si="39"/>
        <v>6.15478182385339+3.10733105061148i</v>
      </c>
      <c r="CU80" s="1" t="str">
        <f t="shared" si="40"/>
        <v>0.0191834803010191+5.56320928729555i</v>
      </c>
      <c r="CV80" s="1" t="str">
        <f t="shared" si="41"/>
        <v>1.68938147062063+3.18305945570906i</v>
      </c>
      <c r="CW80" s="2">
        <f t="shared" si="42"/>
        <v>11.599999999999991</v>
      </c>
      <c r="CX80" s="14">
        <f t="shared" si="43"/>
        <v>6.8946969155525828</v>
      </c>
      <c r="CY80" s="14">
        <f t="shared" si="32"/>
        <v>5.5632423621632716</v>
      </c>
      <c r="CZ80" s="14">
        <f t="shared" si="44"/>
        <v>3.6035922704788872</v>
      </c>
      <c r="DE80" s="14">
        <f t="shared" si="45"/>
        <v>11.599999999999991</v>
      </c>
      <c r="DF80" s="151">
        <f t="shared" si="46"/>
        <v>0.52266144757576571</v>
      </c>
      <c r="DH80" s="152">
        <f t="shared" si="47"/>
        <v>11.599999999999991</v>
      </c>
      <c r="DI80" s="1">
        <f t="shared" si="48"/>
        <v>0.64775036496479788</v>
      </c>
    </row>
    <row r="81" spans="2:113" ht="18" customHeight="1" x14ac:dyDescent="0.25">
      <c r="B81" s="6"/>
      <c r="C81" s="17"/>
      <c r="E81" s="17"/>
      <c r="F81" s="17"/>
      <c r="G81" s="17"/>
      <c r="H81" s="17"/>
      <c r="I81" s="17"/>
      <c r="J81" s="17"/>
      <c r="K81" s="17"/>
      <c r="S81" s="17"/>
      <c r="T81" s="17"/>
      <c r="U81" s="17"/>
      <c r="V81" s="17"/>
      <c r="W81" s="17"/>
      <c r="X81" s="17"/>
      <c r="Y81" s="17"/>
      <c r="Z81" s="17"/>
      <c r="AA81" s="17"/>
      <c r="AB81" s="17"/>
      <c r="AC81" s="17"/>
      <c r="AD81" s="17"/>
      <c r="AE81" s="17"/>
      <c r="AF81" s="17"/>
      <c r="AG81" s="17"/>
      <c r="AH81" s="17"/>
      <c r="AI81" s="17"/>
      <c r="AJ81" s="17"/>
      <c r="AK81" s="17"/>
      <c r="AL81" s="17"/>
      <c r="AM81" s="17"/>
      <c r="AN81" s="17"/>
      <c r="AP81" s="8"/>
      <c r="AR81" s="6"/>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8"/>
      <c r="CM81" s="2">
        <f t="shared" si="49"/>
        <v>11.79999999999999</v>
      </c>
      <c r="CN81" s="1" t="str">
        <f t="shared" si="33"/>
        <v>0.0107986736111111+12.7424348611111i</v>
      </c>
      <c r="CO81" s="1" t="str">
        <f t="shared" si="34"/>
        <v>-0.0915141831450095i</v>
      </c>
      <c r="CP81" s="1" t="str">
        <f t="shared" si="35"/>
        <v>10.7986736111111</v>
      </c>
      <c r="CQ81" s="1" t="str">
        <f t="shared" si="36"/>
        <v>-2.19634039548023i</v>
      </c>
      <c r="CR81" s="1" t="str">
        <f t="shared" si="37"/>
        <v>0.0107986736111111+12.6509206779661i</v>
      </c>
      <c r="CS81" s="1" t="str">
        <f t="shared" si="38"/>
        <v>6.2463063653111+5.32788608052448i</v>
      </c>
      <c r="CT81" s="1" t="str">
        <f t="shared" si="39"/>
        <v>6.2463063653111+3.13154568504425i</v>
      </c>
      <c r="CU81" s="1" t="str">
        <f t="shared" si="40"/>
        <v>0.0191834803010191+5.65912668880065i</v>
      </c>
      <c r="CV81" s="1" t="str">
        <f t="shared" si="41"/>
        <v>1.72468360186561+3.2316043932231i</v>
      </c>
      <c r="CW81" s="2">
        <f t="shared" si="42"/>
        <v>11.79999999999999</v>
      </c>
      <c r="CX81" s="14">
        <f t="shared" si="43"/>
        <v>6.9873400938300705</v>
      </c>
      <c r="CY81" s="14">
        <f t="shared" si="32"/>
        <v>5.6591592030806375</v>
      </c>
      <c r="CZ81" s="14">
        <f t="shared" si="44"/>
        <v>3.6630315970303848</v>
      </c>
      <c r="DE81" s="14">
        <f t="shared" si="45"/>
        <v>11.79999999999999</v>
      </c>
      <c r="DF81" s="151">
        <f t="shared" si="46"/>
        <v>0.52423834361016686</v>
      </c>
      <c r="DH81" s="152">
        <f t="shared" si="47"/>
        <v>11.79999999999999</v>
      </c>
      <c r="DI81" s="1">
        <f t="shared" si="48"/>
        <v>0.64727488052224558</v>
      </c>
    </row>
    <row r="82" spans="2:113" ht="18" customHeight="1" x14ac:dyDescent="0.25">
      <c r="B82" s="6"/>
      <c r="C82" s="17"/>
      <c r="D82" s="17"/>
      <c r="E82" s="17"/>
      <c r="F82" s="17"/>
      <c r="G82" s="17"/>
      <c r="H82" s="17"/>
      <c r="I82" s="17"/>
      <c r="N82" s="17"/>
      <c r="O82" s="17"/>
      <c r="P82" s="17"/>
      <c r="Q82" s="17"/>
      <c r="R82" s="17"/>
      <c r="S82" s="17"/>
      <c r="T82" s="17"/>
      <c r="U82" s="17"/>
      <c r="V82" s="17"/>
      <c r="AA82" s="17"/>
      <c r="AB82" s="17"/>
      <c r="AC82" s="17"/>
      <c r="AD82" s="17"/>
      <c r="AE82" s="17"/>
      <c r="AF82" s="17"/>
      <c r="AG82" s="17"/>
      <c r="AH82" s="17"/>
      <c r="AI82" s="17"/>
      <c r="AJ82" s="17"/>
      <c r="AK82" s="17"/>
      <c r="AL82" s="17"/>
      <c r="AM82" s="17"/>
      <c r="AN82" s="17"/>
      <c r="AP82" s="8"/>
      <c r="AR82" s="6"/>
      <c r="AS82" s="17"/>
      <c r="AT82" s="17"/>
      <c r="AU82" s="17"/>
      <c r="AV82" s="17"/>
      <c r="AW82" s="17"/>
      <c r="AX82" s="17"/>
      <c r="AY82" s="17"/>
      <c r="AZ82" s="17"/>
      <c r="BA82" s="17"/>
      <c r="BB82" s="17"/>
      <c r="BC82" s="17"/>
      <c r="BD82" s="17"/>
      <c r="BE82" s="17"/>
      <c r="BF82" s="17"/>
      <c r="BG82" s="17"/>
      <c r="BH82" s="17"/>
      <c r="BI82" s="17"/>
      <c r="BJ82" s="17"/>
      <c r="BK82" s="17"/>
      <c r="BL82" s="17"/>
      <c r="BM82" s="17"/>
      <c r="BN82" s="17"/>
      <c r="BO82" s="17"/>
      <c r="BP82" s="17"/>
      <c r="BQ82" s="17"/>
      <c r="BR82" s="17"/>
      <c r="BS82" s="17"/>
      <c r="BT82" s="17"/>
      <c r="BU82" s="17"/>
      <c r="BV82" s="17"/>
      <c r="BW82" s="17"/>
      <c r="BX82" s="17"/>
      <c r="BY82" s="17"/>
      <c r="BZ82" s="17"/>
      <c r="CA82" s="17"/>
      <c r="CB82" s="17"/>
      <c r="CC82" s="17"/>
      <c r="CD82" s="17"/>
      <c r="CE82" s="17"/>
      <c r="CF82" s="8"/>
      <c r="CM82" s="2">
        <f t="shared" si="49"/>
        <v>11.999999999999989</v>
      </c>
      <c r="CN82" s="1" t="str">
        <f t="shared" si="33"/>
        <v>0.0107986736111111+12.9584083333333i</v>
      </c>
      <c r="CO82" s="1" t="str">
        <f t="shared" si="34"/>
        <v>-0.0899889467592594i</v>
      </c>
      <c r="CP82" s="1" t="str">
        <f t="shared" si="35"/>
        <v>10.7986736111111</v>
      </c>
      <c r="CQ82" s="1" t="str">
        <f t="shared" si="36"/>
        <v>-2.15973472222222i</v>
      </c>
      <c r="CR82" s="1" t="str">
        <f t="shared" si="37"/>
        <v>0.0107986736111111+12.868419386574i</v>
      </c>
      <c r="CS82" s="1" t="str">
        <f t="shared" si="38"/>
        <v>6.33576779038396+5.31298311991323i</v>
      </c>
      <c r="CT82" s="1" t="str">
        <f t="shared" si="39"/>
        <v>6.33576779038396+3.15324839769101i</v>
      </c>
      <c r="CU82" s="1" t="str">
        <f t="shared" si="40"/>
        <v>0.0191834803010191+5.75504409030575i</v>
      </c>
      <c r="CV82" s="1" t="str">
        <f t="shared" si="41"/>
        <v>1.76049535809082+3.27934940754316i</v>
      </c>
      <c r="CW82" s="2">
        <f t="shared" si="42"/>
        <v>11.999999999999989</v>
      </c>
      <c r="CX82" s="14">
        <f t="shared" si="43"/>
        <v>7.0770706476060967</v>
      </c>
      <c r="CY82" s="14">
        <f t="shared" si="32"/>
        <v>5.7550760626841022</v>
      </c>
      <c r="CZ82" s="14">
        <f t="shared" si="44"/>
        <v>3.7220258519538789</v>
      </c>
      <c r="DE82" s="14">
        <f t="shared" si="45"/>
        <v>11.999999999999989</v>
      </c>
      <c r="DF82" s="151">
        <f t="shared" si="46"/>
        <v>0.52592746876320917</v>
      </c>
      <c r="DH82" s="152">
        <f t="shared" si="47"/>
        <v>11.999999999999989</v>
      </c>
      <c r="DI82" s="1">
        <f t="shared" si="48"/>
        <v>0.64673790779021634</v>
      </c>
    </row>
    <row r="83" spans="2:113" ht="18" customHeight="1" x14ac:dyDescent="0.25">
      <c r="B83" s="6"/>
      <c r="C83" s="17"/>
      <c r="D83" s="17"/>
      <c r="E83" s="17"/>
      <c r="F83" s="17"/>
      <c r="G83" s="17"/>
      <c r="H83" s="17"/>
      <c r="I83" s="17"/>
      <c r="N83" s="17"/>
      <c r="O83" s="17"/>
      <c r="P83" s="17"/>
      <c r="Q83" s="17"/>
      <c r="R83" s="17"/>
      <c r="S83" s="17"/>
      <c r="T83" s="17"/>
      <c r="U83" s="17"/>
      <c r="V83" s="17"/>
      <c r="AA83" s="17"/>
      <c r="AB83" s="17"/>
      <c r="AC83" s="17"/>
      <c r="AD83" s="17"/>
      <c r="AE83" s="17"/>
      <c r="AF83" s="17"/>
      <c r="AG83" s="17"/>
      <c r="AH83" s="17"/>
      <c r="AI83" s="17"/>
      <c r="AJ83" s="17"/>
      <c r="AK83" s="17"/>
      <c r="AL83" s="17"/>
      <c r="AM83" s="17"/>
      <c r="AN83" s="17"/>
      <c r="AP83" s="8"/>
      <c r="AR83" s="6"/>
      <c r="AS83" s="17"/>
      <c r="AT83" s="17"/>
      <c r="AU83" s="17"/>
      <c r="AV83" s="17"/>
      <c r="AW83" s="17"/>
      <c r="AX83" s="17"/>
      <c r="AY83" s="17"/>
      <c r="AZ83" s="17"/>
      <c r="BA83" s="17"/>
      <c r="BB83" s="17"/>
      <c r="BC83" s="17"/>
      <c r="BD83" s="17"/>
      <c r="BE83" s="17"/>
      <c r="BF83" s="17"/>
      <c r="BG83" s="17"/>
      <c r="BH83" s="17"/>
      <c r="BI83" s="17"/>
      <c r="BJ83" s="17"/>
      <c r="BK83" s="17"/>
      <c r="BL83" s="17"/>
      <c r="BM83" s="17"/>
      <c r="BN83" s="17"/>
      <c r="BO83" s="17"/>
      <c r="BP83" s="17"/>
      <c r="BQ83" s="17"/>
      <c r="BR83" s="17"/>
      <c r="BS83" s="17"/>
      <c r="BT83" s="17"/>
      <c r="BU83" s="17"/>
      <c r="BV83" s="17"/>
      <c r="BW83" s="17"/>
      <c r="BX83" s="17"/>
      <c r="BY83" s="17"/>
      <c r="BZ83" s="17"/>
      <c r="CA83" s="17"/>
      <c r="CB83" s="17"/>
      <c r="CC83" s="17"/>
      <c r="CD83" s="17"/>
      <c r="CE83" s="17"/>
      <c r="CF83" s="8"/>
      <c r="CM83" s="2">
        <f t="shared" si="49"/>
        <v>12.199999999999989</v>
      </c>
      <c r="CN83" s="1" t="str">
        <f t="shared" si="33"/>
        <v>0.0107986736111111+13.1743818055555i</v>
      </c>
      <c r="CO83" s="1" t="str">
        <f t="shared" si="34"/>
        <v>-0.0885137181238617i</v>
      </c>
      <c r="CP83" s="1" t="str">
        <f t="shared" si="35"/>
        <v>10.7986736111111</v>
      </c>
      <c r="CQ83" s="1" t="str">
        <f t="shared" si="36"/>
        <v>-2.12432923497268i</v>
      </c>
      <c r="CR83" s="1" t="str">
        <f t="shared" si="37"/>
        <v>0.0107986736111111+13.0858680874316i</v>
      </c>
      <c r="CS83" s="1" t="str">
        <f t="shared" si="38"/>
        <v>6.42319840971906+5.29691827659064i</v>
      </c>
      <c r="CT83" s="1" t="str">
        <f t="shared" si="39"/>
        <v>6.42319840971906+3.17258904161796i</v>
      </c>
      <c r="CU83" s="1" t="str">
        <f t="shared" si="40"/>
        <v>0.0191834803010191+5.85096149181084i</v>
      </c>
      <c r="CV83" s="1" t="str">
        <f t="shared" si="41"/>
        <v>1.79678949881719+3.32630498691719i</v>
      </c>
      <c r="CW83" s="2">
        <f t="shared" si="42"/>
        <v>12.199999999999989</v>
      </c>
      <c r="CX83" s="14">
        <f t="shared" si="43"/>
        <v>7.1639932326609461</v>
      </c>
      <c r="CY83" s="14">
        <f t="shared" si="32"/>
        <v>5.8509929400546881</v>
      </c>
      <c r="CZ83" s="14">
        <f t="shared" si="44"/>
        <v>3.7805763276317927</v>
      </c>
      <c r="DE83" s="14">
        <f t="shared" si="45"/>
        <v>12.199999999999989</v>
      </c>
      <c r="DF83" s="151">
        <f t="shared" si="46"/>
        <v>0.52771913719795127</v>
      </c>
      <c r="DH83" s="152">
        <f t="shared" si="47"/>
        <v>12.199999999999989</v>
      </c>
      <c r="DI83" s="1">
        <f t="shared" si="48"/>
        <v>0.64614269173882499</v>
      </c>
    </row>
    <row r="84" spans="2:113" ht="18" customHeight="1" x14ac:dyDescent="0.25">
      <c r="B84" s="6"/>
      <c r="C84" s="17"/>
      <c r="D84" s="17"/>
      <c r="E84" s="17"/>
      <c r="F84" s="17"/>
      <c r="G84" s="17"/>
      <c r="H84" s="17"/>
      <c r="I84" s="17"/>
      <c r="N84" s="17"/>
      <c r="O84" s="17"/>
      <c r="P84" s="17"/>
      <c r="Q84" s="17"/>
      <c r="R84" s="17"/>
      <c r="S84" s="17"/>
      <c r="T84" s="17"/>
      <c r="U84" s="17"/>
      <c r="V84" s="17"/>
      <c r="AA84" s="17"/>
      <c r="AB84" s="17"/>
      <c r="AC84" s="17"/>
      <c r="AD84" s="17"/>
      <c r="AE84" s="17"/>
      <c r="AF84" s="17"/>
      <c r="AG84" s="17"/>
      <c r="AH84" s="17"/>
      <c r="AI84" s="17"/>
      <c r="AJ84" s="17"/>
      <c r="AK84" s="17"/>
      <c r="AL84" s="17"/>
      <c r="AM84" s="17"/>
      <c r="AN84" s="17"/>
      <c r="AP84" s="8"/>
      <c r="AR84" s="6"/>
      <c r="AS84" s="17"/>
      <c r="AT84" s="17"/>
      <c r="AU84" s="17"/>
      <c r="AV84" s="17"/>
      <c r="AW84" s="17"/>
      <c r="AX84" s="17"/>
      <c r="AY84" s="17"/>
      <c r="AZ84" s="17"/>
      <c r="BA84" s="17"/>
      <c r="BB84" s="17"/>
      <c r="BC84" s="17"/>
      <c r="BD84" s="17"/>
      <c r="BE84" s="17"/>
      <c r="BF84" s="17"/>
      <c r="BG84" s="17"/>
      <c r="BH84" s="17"/>
      <c r="BI84" s="17"/>
      <c r="BJ84" s="17"/>
      <c r="BK84" s="17"/>
      <c r="BL84" s="17"/>
      <c r="BM84" s="17"/>
      <c r="BN84" s="17"/>
      <c r="BO84" s="17"/>
      <c r="BP84" s="17"/>
      <c r="BQ84" s="17"/>
      <c r="BR84" s="17"/>
      <c r="BS84" s="17"/>
      <c r="BT84" s="17"/>
      <c r="BU84" s="17"/>
      <c r="BV84" s="17"/>
      <c r="BW84" s="17"/>
      <c r="BX84" s="17"/>
      <c r="BY84" s="17"/>
      <c r="BZ84" s="17"/>
      <c r="CA84" s="17"/>
      <c r="CB84" s="17"/>
      <c r="CC84" s="17"/>
      <c r="CD84" s="17"/>
      <c r="CE84" s="17"/>
      <c r="CF84" s="8"/>
      <c r="CM84" s="2">
        <f t="shared" si="49"/>
        <v>12.399999999999988</v>
      </c>
      <c r="CN84" s="1" t="str">
        <f t="shared" si="33"/>
        <v>0.0107986736111111+13.3903552777778i</v>
      </c>
      <c r="CO84" s="1" t="str">
        <f t="shared" si="34"/>
        <v>-0.0870860775089607i</v>
      </c>
      <c r="CP84" s="1" t="str">
        <f t="shared" si="35"/>
        <v>10.7986736111111</v>
      </c>
      <c r="CQ84" s="1" t="str">
        <f t="shared" si="36"/>
        <v>-2.09006586021506i</v>
      </c>
      <c r="CR84" s="1" t="str">
        <f t="shared" si="37"/>
        <v>0.0107986736111111+13.3032692002688i</v>
      </c>
      <c r="CS84" s="1" t="str">
        <f t="shared" si="38"/>
        <v>6.50863194349438+5.27977478283921i</v>
      </c>
      <c r="CT84" s="1" t="str">
        <f t="shared" si="39"/>
        <v>6.50863194349438+3.18970892262415i</v>
      </c>
      <c r="CU84" s="1" t="str">
        <f t="shared" si="40"/>
        <v>0.0191834803010191+5.94687889331594i</v>
      </c>
      <c r="CV84" s="1" t="str">
        <f t="shared" si="41"/>
        <v>1.83354040251866+3.37248088625123i</v>
      </c>
      <c r="CW84" s="2">
        <f t="shared" si="42"/>
        <v>12.399999999999988</v>
      </c>
      <c r="CX84" s="14">
        <f t="shared" si="43"/>
        <v>7.2482089364851738</v>
      </c>
      <c r="CY84" s="14">
        <f t="shared" si="32"/>
        <v>5.9469098343327049</v>
      </c>
      <c r="CZ84" s="14">
        <f t="shared" si="44"/>
        <v>3.8386843756420213</v>
      </c>
      <c r="DE84" s="14">
        <f t="shared" si="45"/>
        <v>12.399999999999988</v>
      </c>
      <c r="DF84" s="151">
        <f t="shared" si="46"/>
        <v>0.52960454220894504</v>
      </c>
      <c r="DH84" s="152">
        <f t="shared" si="47"/>
        <v>12.399999999999988</v>
      </c>
      <c r="DI84" s="1">
        <f t="shared" si="48"/>
        <v>0.64549227793576447</v>
      </c>
    </row>
    <row r="85" spans="2:113" ht="18" customHeight="1" x14ac:dyDescent="0.25">
      <c r="B85" s="6"/>
      <c r="C85" s="17"/>
      <c r="D85" s="17"/>
      <c r="E85" s="17"/>
      <c r="F85" s="17"/>
      <c r="G85" s="17"/>
      <c r="H85" s="17"/>
      <c r="I85" s="17"/>
      <c r="N85" s="17"/>
      <c r="O85" s="17"/>
      <c r="P85" s="17"/>
      <c r="Q85" s="17"/>
      <c r="R85" s="17"/>
      <c r="S85" s="17"/>
      <c r="T85" s="17"/>
      <c r="U85" s="17"/>
      <c r="V85" s="17"/>
      <c r="AA85" s="17"/>
      <c r="AB85" s="17"/>
      <c r="AC85" s="17"/>
      <c r="AD85" s="17"/>
      <c r="AE85" s="17"/>
      <c r="AF85" s="17"/>
      <c r="AG85" s="17"/>
      <c r="AH85" s="17"/>
      <c r="AI85" s="17"/>
      <c r="AJ85" s="17"/>
      <c r="AK85" s="17"/>
      <c r="AL85" s="17"/>
      <c r="AM85" s="17"/>
      <c r="AN85" s="17"/>
      <c r="AP85" s="8"/>
      <c r="AR85" s="6"/>
      <c r="AS85" s="17"/>
      <c r="AT85" s="17"/>
      <c r="AU85" s="17"/>
      <c r="AV85" s="17"/>
      <c r="AW85" s="17"/>
      <c r="AX85" s="17"/>
      <c r="AY85" s="17"/>
      <c r="AZ85" s="17"/>
      <c r="BA85" s="17"/>
      <c r="BB85" s="17"/>
      <c r="BC85" s="17"/>
      <c r="BD85" s="17"/>
      <c r="BE85" s="17"/>
      <c r="BF85" s="17"/>
      <c r="BG85" s="17"/>
      <c r="BH85" s="17"/>
      <c r="BI85" s="17"/>
      <c r="BJ85" s="17"/>
      <c r="BK85" s="17"/>
      <c r="BL85" s="17"/>
      <c r="BM85" s="17"/>
      <c r="BN85" s="17"/>
      <c r="BO85" s="17"/>
      <c r="BP85" s="17"/>
      <c r="BQ85" s="17"/>
      <c r="BR85" s="17"/>
      <c r="BS85" s="17"/>
      <c r="BT85" s="17"/>
      <c r="BU85" s="17"/>
      <c r="BV85" s="17"/>
      <c r="BW85" s="17"/>
      <c r="BX85" s="17"/>
      <c r="BY85" s="17"/>
      <c r="BZ85" s="17"/>
      <c r="CA85" s="17"/>
      <c r="CB85" s="17"/>
      <c r="CC85" s="17"/>
      <c r="CD85" s="17"/>
      <c r="CE85" s="17"/>
      <c r="CF85" s="8"/>
      <c r="CM85" s="2">
        <f t="shared" si="49"/>
        <v>12.599999999999987</v>
      </c>
      <c r="CN85" s="1" t="str">
        <f t="shared" si="33"/>
        <v>0.0107986736111111+13.60632875i</v>
      </c>
      <c r="CO85" s="1" t="str">
        <f t="shared" si="34"/>
        <v>-0.0857037588183423i</v>
      </c>
      <c r="CP85" s="1" t="str">
        <f t="shared" si="35"/>
        <v>10.7986736111111</v>
      </c>
      <c r="CQ85" s="1" t="str">
        <f t="shared" si="36"/>
        <v>-2.05689021164021i</v>
      </c>
      <c r="CR85" s="1" t="str">
        <f t="shared" si="37"/>
        <v>0.0107986736111111+13.5206249911817i</v>
      </c>
      <c r="CS85" s="1" t="str">
        <f t="shared" si="38"/>
        <v>6.59210328342024+5.26163150259671i</v>
      </c>
      <c r="CT85" s="1" t="str">
        <f t="shared" si="39"/>
        <v>6.59210328342024+3.2047412909565i</v>
      </c>
      <c r="CU85" s="1" t="str">
        <f t="shared" si="40"/>
        <v>0.0191834803010191+6.04279629482103i</v>
      </c>
      <c r="CV85" s="1" t="str">
        <f t="shared" si="41"/>
        <v>1.87072388190902+3.41788622768349i</v>
      </c>
      <c r="CW85" s="2">
        <f t="shared" si="42"/>
        <v>12.599999999999987</v>
      </c>
      <c r="CX85" s="14">
        <f t="shared" si="43"/>
        <v>7.3298153074440728</v>
      </c>
      <c r="CY85" s="14">
        <f t="shared" si="32"/>
        <v>6.0428267447130448</v>
      </c>
      <c r="CZ85" s="14">
        <f t="shared" si="44"/>
        <v>3.8963513840172621</v>
      </c>
      <c r="DE85" s="14">
        <f t="shared" si="45"/>
        <v>12.599999999999987</v>
      </c>
      <c r="DF85" s="151">
        <f t="shared" si="46"/>
        <v>0.53157565649166816</v>
      </c>
      <c r="DH85" s="152">
        <f t="shared" si="47"/>
        <v>12.599999999999987</v>
      </c>
      <c r="DI85" s="1">
        <f t="shared" si="48"/>
        <v>0.64478952460886496</v>
      </c>
    </row>
    <row r="86" spans="2:113" ht="18" customHeight="1" x14ac:dyDescent="0.25">
      <c r="B86" s="6"/>
      <c r="C86" s="17"/>
      <c r="D86" s="17"/>
      <c r="E86" s="17"/>
      <c r="F86" s="17"/>
      <c r="G86" s="17"/>
      <c r="H86" s="17"/>
      <c r="I86" s="17"/>
      <c r="J86" s="17"/>
      <c r="K86" s="17"/>
      <c r="L86" s="17"/>
      <c r="M86" s="17"/>
      <c r="N86" s="17"/>
      <c r="O86" s="17"/>
      <c r="P86" s="17"/>
      <c r="Q86" s="17"/>
      <c r="R86" s="17"/>
      <c r="S86" s="17"/>
      <c r="T86" s="17"/>
      <c r="U86" s="17"/>
      <c r="V86" s="17"/>
      <c r="AA86" s="17"/>
      <c r="AB86" s="17"/>
      <c r="AC86" s="17"/>
      <c r="AD86" s="17"/>
      <c r="AE86" s="17"/>
      <c r="AF86" s="17"/>
      <c r="AG86" s="17"/>
      <c r="AH86" s="17"/>
      <c r="AI86" s="17"/>
      <c r="AJ86" s="17"/>
      <c r="AK86" s="17"/>
      <c r="AL86" s="17"/>
      <c r="AM86" s="17"/>
      <c r="AN86" s="17"/>
      <c r="AP86" s="8"/>
      <c r="AR86" s="6"/>
      <c r="AS86" s="17"/>
      <c r="AT86" s="17"/>
      <c r="AU86" s="17"/>
      <c r="AV86" s="17"/>
      <c r="AW86" s="17"/>
      <c r="AX86" s="17"/>
      <c r="AY86" s="17"/>
      <c r="AZ86" s="17"/>
      <c r="BA86" s="17"/>
      <c r="BB86" s="17"/>
      <c r="BC86" s="17"/>
      <c r="BD86" s="17"/>
      <c r="BE86" s="17"/>
      <c r="BF86" s="17"/>
      <c r="BG86" s="17"/>
      <c r="BH86" s="17"/>
      <c r="BI86" s="17"/>
      <c r="BJ86" s="17"/>
      <c r="BK86" s="17"/>
      <c r="BL86" s="17"/>
      <c r="BM86" s="17"/>
      <c r="BN86" s="17"/>
      <c r="BO86" s="17"/>
      <c r="BP86" s="17"/>
      <c r="BQ86" s="17"/>
      <c r="BR86" s="17"/>
      <c r="BS86" s="17"/>
      <c r="BT86" s="17"/>
      <c r="BU86" s="17"/>
      <c r="BV86" s="17"/>
      <c r="BW86" s="17"/>
      <c r="BX86" s="17"/>
      <c r="BY86" s="17"/>
      <c r="BZ86" s="17"/>
      <c r="CA86" s="17"/>
      <c r="CB86" s="17"/>
      <c r="CC86" s="17"/>
      <c r="CD86" s="17"/>
      <c r="CE86" s="17"/>
      <c r="CF86" s="8"/>
      <c r="CM86" s="2">
        <f t="shared" si="49"/>
        <v>12.799999999999986</v>
      </c>
      <c r="CN86" s="1" t="str">
        <f t="shared" si="33"/>
        <v>0.0107986736111111+13.8223022222222i</v>
      </c>
      <c r="CO86" s="1" t="str">
        <f t="shared" si="34"/>
        <v>-0.0843646375868057i</v>
      </c>
      <c r="CP86" s="1" t="str">
        <f t="shared" si="35"/>
        <v>10.7986736111111</v>
      </c>
      <c r="CQ86" s="1" t="str">
        <f t="shared" si="36"/>
        <v>-2.02475130208334i</v>
      </c>
      <c r="CR86" s="1" t="str">
        <f t="shared" si="37"/>
        <v>0.0107986736111111+13.7379375846354i</v>
      </c>
      <c r="CS86" s="1" t="str">
        <f t="shared" si="38"/>
        <v>6.67364827599777+5.24256310540911i</v>
      </c>
      <c r="CT86" s="1" t="str">
        <f t="shared" si="39"/>
        <v>6.67364827599777+3.21781180332577i</v>
      </c>
      <c r="CU86" s="1" t="str">
        <f t="shared" si="40"/>
        <v>0.0191834803010191+6.13871369632613i</v>
      </c>
      <c r="CV86" s="1" t="str">
        <f t="shared" si="41"/>
        <v>1.9083170265655+3.46252958822438i</v>
      </c>
      <c r="CW86" s="2">
        <f t="shared" si="42"/>
        <v>12.799999999999986</v>
      </c>
      <c r="CX86" s="14">
        <f t="shared" si="43"/>
        <v>7.4089064046828579</v>
      </c>
      <c r="CY86" s="14">
        <f t="shared" si="32"/>
        <v>6.1387436704409195</v>
      </c>
      <c r="CZ86" s="14">
        <f t="shared" si="44"/>
        <v>3.9535787614778952</v>
      </c>
      <c r="DE86" s="14">
        <f t="shared" si="45"/>
        <v>12.799999999999986</v>
      </c>
      <c r="DF86" s="151">
        <f t="shared" si="46"/>
        <v>0.53362514594313171</v>
      </c>
      <c r="DH86" s="152">
        <f t="shared" si="47"/>
        <v>12.799999999999986</v>
      </c>
      <c r="DI86" s="1">
        <f t="shared" si="48"/>
        <v>0.64403711471372105</v>
      </c>
    </row>
    <row r="87" spans="2:113" ht="18" customHeight="1" x14ac:dyDescent="0.25">
      <c r="B87" s="6"/>
      <c r="C87" s="17"/>
      <c r="D87" s="17"/>
      <c r="E87" s="17"/>
      <c r="F87" s="17"/>
      <c r="G87" s="17"/>
      <c r="H87" s="17"/>
      <c r="I87" s="17"/>
      <c r="J87" s="17"/>
      <c r="K87" s="17"/>
      <c r="L87" s="17"/>
      <c r="M87" s="17"/>
      <c r="N87" s="17"/>
      <c r="O87" s="17"/>
      <c r="P87" s="17"/>
      <c r="Q87" s="17"/>
      <c r="R87" s="17"/>
      <c r="S87" s="17"/>
      <c r="T87" s="17"/>
      <c r="U87" s="17"/>
      <c r="V87" s="17"/>
      <c r="AA87" s="17"/>
      <c r="AB87" s="17"/>
      <c r="AC87" s="17"/>
      <c r="AD87" s="17"/>
      <c r="AE87" s="17"/>
      <c r="AF87" s="17"/>
      <c r="AG87" s="17"/>
      <c r="AH87" s="17"/>
      <c r="AI87" s="17"/>
      <c r="AJ87" s="17"/>
      <c r="AK87" s="17"/>
      <c r="AL87" s="17"/>
      <c r="AM87" s="17"/>
      <c r="AN87" s="17"/>
      <c r="AP87" s="8"/>
      <c r="AR87" s="6"/>
      <c r="AS87" s="17"/>
      <c r="AT87" s="17"/>
      <c r="AU87" s="17"/>
      <c r="AV87" s="17"/>
      <c r="AW87" s="17"/>
      <c r="AX87" s="17"/>
      <c r="AY87" s="17"/>
      <c r="AZ87" s="17"/>
      <c r="BA87" s="17"/>
      <c r="BB87" s="17"/>
      <c r="BC87" s="17"/>
      <c r="BD87" s="17"/>
      <c r="BE87" s="17"/>
      <c r="BF87" s="17"/>
      <c r="BG87" s="17"/>
      <c r="BH87" s="17"/>
      <c r="BI87" s="17"/>
      <c r="BJ87" s="17"/>
      <c r="BK87" s="17"/>
      <c r="BL87" s="17"/>
      <c r="BM87" s="17"/>
      <c r="BN87" s="17"/>
      <c r="BO87" s="17"/>
      <c r="BP87" s="17"/>
      <c r="BQ87" s="17"/>
      <c r="BR87" s="17"/>
      <c r="BS87" s="17"/>
      <c r="BT87" s="17"/>
      <c r="BU87" s="17"/>
      <c r="BV87" s="17"/>
      <c r="BW87" s="17"/>
      <c r="BX87" s="17"/>
      <c r="BY87" s="17"/>
      <c r="BZ87" s="17"/>
      <c r="CA87" s="17"/>
      <c r="CB87" s="17"/>
      <c r="CC87" s="17"/>
      <c r="CD87" s="17"/>
      <c r="CE87" s="17"/>
      <c r="CF87" s="8"/>
      <c r="CM87" s="2">
        <f t="shared" si="49"/>
        <v>12.999999999999986</v>
      </c>
      <c r="CN87" s="1" t="str">
        <f t="shared" si="33"/>
        <v>0.0107986736111111+14.0382756944444i</v>
      </c>
      <c r="CO87" s="1" t="str">
        <f t="shared" si="34"/>
        <v>-0.0830667200854702i</v>
      </c>
      <c r="CP87" s="1" t="str">
        <f t="shared" si="35"/>
        <v>10.7986736111111</v>
      </c>
      <c r="CQ87" s="1" t="str">
        <f t="shared" si="36"/>
        <v>-1.99360128205128i</v>
      </c>
      <c r="CR87" s="1" t="str">
        <f t="shared" si="37"/>
        <v>0.0107986736111111+13.9552089743589i</v>
      </c>
      <c r="CS87" s="1" t="str">
        <f t="shared" si="38"/>
        <v>6.75330352565405+5.2226402394281i</v>
      </c>
      <c r="CT87" s="1" t="str">
        <f t="shared" si="39"/>
        <v>6.75330352565405+3.22903895737682i</v>
      </c>
      <c r="CU87" s="1" t="str">
        <f t="shared" si="40"/>
        <v>0.0191834803010191+6.23463109783122i</v>
      </c>
      <c r="CV87" s="1" t="str">
        <f t="shared" si="41"/>
        <v>1.94629806838951+3.50641907620613i</v>
      </c>
      <c r="CW87" s="2">
        <f t="shared" si="42"/>
        <v>12.999999999999986</v>
      </c>
      <c r="CX87" s="14">
        <f t="shared" si="43"/>
        <v>7.4855728637071337</v>
      </c>
      <c r="CY87" s="14">
        <f t="shared" si="32"/>
        <v>6.2346606108079881</v>
      </c>
      <c r="CZ87" s="14">
        <f t="shared" si="44"/>
        <v>4.0103679268863832</v>
      </c>
      <c r="DE87" s="14">
        <f t="shared" si="45"/>
        <v>12.999999999999986</v>
      </c>
      <c r="DF87" s="151">
        <f t="shared" si="46"/>
        <v>0.53574629489349468</v>
      </c>
      <c r="DH87" s="152">
        <f t="shared" si="47"/>
        <v>12.999999999999986</v>
      </c>
      <c r="DI87" s="1">
        <f t="shared" si="48"/>
        <v>0.6432375677249027</v>
      </c>
    </row>
    <row r="88" spans="2:113" ht="18" customHeight="1" x14ac:dyDescent="0.25">
      <c r="B88" s="6"/>
      <c r="C88" s="17"/>
      <c r="D88" s="17"/>
      <c r="E88" s="17"/>
      <c r="F88" s="17"/>
      <c r="G88" s="17"/>
      <c r="H88" s="17"/>
      <c r="I88" s="17"/>
      <c r="J88" s="17"/>
      <c r="K88" s="17"/>
      <c r="L88" s="17"/>
      <c r="M88" s="17"/>
      <c r="N88" s="17"/>
      <c r="O88" s="17"/>
      <c r="P88" s="17"/>
      <c r="Q88" s="17"/>
      <c r="R88" s="17"/>
      <c r="S88" s="17"/>
      <c r="T88" s="17"/>
      <c r="U88" s="17"/>
      <c r="V88" s="17"/>
      <c r="AA88" s="17"/>
      <c r="AB88" s="17"/>
      <c r="AC88" s="17"/>
      <c r="AD88" s="17"/>
      <c r="AE88" s="17"/>
      <c r="AF88" s="17"/>
      <c r="AG88" s="17"/>
      <c r="AH88" s="17"/>
      <c r="AI88" s="17"/>
      <c r="AJ88" s="17"/>
      <c r="AK88" s="17"/>
      <c r="AL88" s="17"/>
      <c r="AM88" s="17"/>
      <c r="AN88" s="17"/>
      <c r="AP88" s="8"/>
      <c r="AR88" s="6"/>
      <c r="AS88" s="17"/>
      <c r="AT88" s="17"/>
      <c r="AU88" s="17"/>
      <c r="AV88" s="17"/>
      <c r="AW88" s="17"/>
      <c r="AX88" s="17"/>
      <c r="AY88" s="17"/>
      <c r="AZ88" s="17"/>
      <c r="BA88" s="17"/>
      <c r="BB88" s="17"/>
      <c r="BC88" s="17"/>
      <c r="BD88" s="17"/>
      <c r="BE88" s="17"/>
      <c r="BF88" s="17"/>
      <c r="BG88" s="17"/>
      <c r="BH88" s="17"/>
      <c r="BI88" s="17"/>
      <c r="BJ88" s="17"/>
      <c r="BK88" s="17"/>
      <c r="BL88" s="17"/>
      <c r="BM88" s="17"/>
      <c r="BN88" s="17"/>
      <c r="BO88" s="17"/>
      <c r="BP88" s="17"/>
      <c r="BQ88" s="17"/>
      <c r="BR88" s="17"/>
      <c r="BS88" s="17"/>
      <c r="BT88" s="17"/>
      <c r="BU88" s="17"/>
      <c r="BV88" s="17"/>
      <c r="BW88" s="17"/>
      <c r="BX88" s="17"/>
      <c r="BY88" s="17"/>
      <c r="BZ88" s="17"/>
      <c r="CA88" s="17"/>
      <c r="CB88" s="17"/>
      <c r="CC88" s="17"/>
      <c r="CD88" s="17"/>
      <c r="CE88" s="17"/>
      <c r="CF88" s="8"/>
      <c r="CM88" s="2">
        <f t="shared" si="49"/>
        <v>13.199999999999985</v>
      </c>
      <c r="CN88" s="1" t="str">
        <f t="shared" si="33"/>
        <v>0.0107986736111111+14.2542491666667i</v>
      </c>
      <c r="CO88" s="1" t="str">
        <f t="shared" si="34"/>
        <v>-0.0818081334175085i</v>
      </c>
      <c r="CP88" s="1" t="str">
        <f t="shared" si="35"/>
        <v>10.7986736111111</v>
      </c>
      <c r="CQ88" s="1" t="str">
        <f t="shared" si="36"/>
        <v>-1.9633952020202i</v>
      </c>
      <c r="CR88" s="1" t="str">
        <f t="shared" si="37"/>
        <v>0.0107986736111111+14.1724410332492i</v>
      </c>
      <c r="CS88" s="1" t="str">
        <f t="shared" si="38"/>
        <v>6.83110621641178+5.20192970255282i</v>
      </c>
      <c r="CT88" s="1" t="str">
        <f t="shared" si="39"/>
        <v>6.83110621641178+3.23853450053262i</v>
      </c>
      <c r="CU88" s="1" t="str">
        <f t="shared" si="40"/>
        <v>0.0191834803010191+6.33054849933632i</v>
      </c>
      <c r="CV88" s="1" t="str">
        <f t="shared" si="41"/>
        <v>1.98464626622018+3.54956239803039i</v>
      </c>
      <c r="CW88" s="2">
        <f t="shared" si="42"/>
        <v>13.199999999999985</v>
      </c>
      <c r="CX88" s="14">
        <f t="shared" si="43"/>
        <v>7.5599019736395885</v>
      </c>
      <c r="CY88" s="14">
        <f t="shared" si="32"/>
        <v>6.330577565148837</v>
      </c>
      <c r="CZ88" s="14">
        <f t="shared" si="44"/>
        <v>4.0667203025943337</v>
      </c>
      <c r="DE88" s="14">
        <f t="shared" si="45"/>
        <v>13.199999999999985</v>
      </c>
      <c r="DF88" s="151">
        <f t="shared" si="46"/>
        <v>0.53793294103210276</v>
      </c>
      <c r="DH88" s="152">
        <f t="shared" si="47"/>
        <v>13.199999999999985</v>
      </c>
      <c r="DI88" s="1">
        <f t="shared" si="48"/>
        <v>0.64239325097009947</v>
      </c>
    </row>
    <row r="89" spans="2:113" ht="18" customHeight="1" x14ac:dyDescent="0.25">
      <c r="B89" s="6"/>
      <c r="C89" s="17"/>
      <c r="D89" s="17"/>
      <c r="E89" s="17"/>
      <c r="F89" s="17"/>
      <c r="G89" s="17"/>
      <c r="H89" s="17"/>
      <c r="I89" s="17"/>
      <c r="J89" s="17"/>
      <c r="K89" s="17"/>
      <c r="L89" s="17"/>
      <c r="M89" s="17"/>
      <c r="N89" s="17"/>
      <c r="O89" s="17"/>
      <c r="P89" s="17"/>
      <c r="Q89" s="17"/>
      <c r="R89" s="17"/>
      <c r="S89" s="17"/>
      <c r="T89" s="17"/>
      <c r="U89" s="17"/>
      <c r="V89" s="17"/>
      <c r="AA89" s="17"/>
      <c r="AB89" s="17"/>
      <c r="AC89" s="17"/>
      <c r="AD89" s="17"/>
      <c r="AE89" s="17"/>
      <c r="AF89" s="17"/>
      <c r="AG89" s="17"/>
      <c r="AH89" s="17"/>
      <c r="AI89" s="17"/>
      <c r="AJ89" s="17"/>
      <c r="AK89" s="17"/>
      <c r="AL89" s="17"/>
      <c r="AM89" s="17"/>
      <c r="AN89" s="17"/>
      <c r="AP89" s="8"/>
      <c r="AR89" s="6"/>
      <c r="AS89" s="17"/>
      <c r="AT89" s="17"/>
      <c r="AU89" s="17"/>
      <c r="AV89" s="17"/>
      <c r="AW89" s="17"/>
      <c r="AX89" s="17"/>
      <c r="AY89" s="17"/>
      <c r="AZ89" s="17"/>
      <c r="BA89" s="17"/>
      <c r="BB89" s="17"/>
      <c r="BC89" s="17"/>
      <c r="BD89" s="17"/>
      <c r="BE89" s="17"/>
      <c r="BF89" s="17"/>
      <c r="BG89" s="17"/>
      <c r="BH89" s="17"/>
      <c r="BI89" s="17"/>
      <c r="BJ89" s="17"/>
      <c r="BK89" s="17"/>
      <c r="BL89" s="17"/>
      <c r="BM89" s="17"/>
      <c r="BN89" s="17"/>
      <c r="BO89" s="17"/>
      <c r="BP89" s="17"/>
      <c r="BQ89" s="17"/>
      <c r="BR89" s="17"/>
      <c r="BS89" s="17"/>
      <c r="BT89" s="17"/>
      <c r="BU89" s="17"/>
      <c r="BV89" s="17"/>
      <c r="BW89" s="17"/>
      <c r="BX89" s="17"/>
      <c r="BY89" s="17"/>
      <c r="BZ89" s="17"/>
      <c r="CA89" s="17"/>
      <c r="CB89" s="17"/>
      <c r="CC89" s="17"/>
      <c r="CD89" s="17"/>
      <c r="CE89" s="17"/>
      <c r="CF89" s="8"/>
      <c r="CM89" s="2">
        <f t="shared" si="49"/>
        <v>13.399999999999984</v>
      </c>
      <c r="CN89" s="1" t="str">
        <f t="shared" si="33"/>
        <v>0.0107986736111111+14.4702226388889i</v>
      </c>
      <c r="CO89" s="1" t="str">
        <f t="shared" si="34"/>
        <v>-0.0805871165008293i</v>
      </c>
      <c r="CP89" s="1" t="str">
        <f t="shared" si="35"/>
        <v>10.7986736111111</v>
      </c>
      <c r="CQ89" s="1" t="str">
        <f t="shared" si="36"/>
        <v>-1.9340907960199i</v>
      </c>
      <c r="CR89" s="1" t="str">
        <f t="shared" si="37"/>
        <v>0.0107986736111111+14.3896355223881i</v>
      </c>
      <c r="CS89" s="1" t="str">
        <f t="shared" si="38"/>
        <v>6.90709395079595+5.18049461095526i</v>
      </c>
      <c r="CT89" s="1" t="str">
        <f t="shared" si="39"/>
        <v>6.90709395079595+3.24640381493536i</v>
      </c>
      <c r="CU89" s="1" t="str">
        <f t="shared" si="40"/>
        <v>0.0191834803010191+6.42646590084142i</v>
      </c>
      <c r="CV89" s="1" t="str">
        <f t="shared" si="41"/>
        <v>2.02334180656977+3.59196691648505i</v>
      </c>
      <c r="CW89" s="2">
        <f t="shared" si="42"/>
        <v>13.399999999999984</v>
      </c>
      <c r="CX89" s="14">
        <f t="shared" si="43"/>
        <v>7.6319777629883641</v>
      </c>
      <c r="CY89" s="14">
        <f t="shared" si="32"/>
        <v>6.4264945328377827</v>
      </c>
      <c r="CZ89" s="14">
        <f t="shared" si="44"/>
        <v>4.1226373106709415</v>
      </c>
      <c r="DE89" s="14">
        <f t="shared" si="45"/>
        <v>13.399999999999984</v>
      </c>
      <c r="DF89" s="151">
        <f t="shared" si="46"/>
        <v>0.54017941858581775</v>
      </c>
      <c r="DH89" s="152">
        <f t="shared" si="47"/>
        <v>13.399999999999984</v>
      </c>
      <c r="DI89" s="1">
        <f t="shared" si="48"/>
        <v>0.64150639039764068</v>
      </c>
    </row>
    <row r="90" spans="2:113" ht="18" customHeight="1" x14ac:dyDescent="0.25">
      <c r="B90" s="6"/>
      <c r="C90" s="17"/>
      <c r="D90" s="17"/>
      <c r="E90" s="17"/>
      <c r="F90" s="17"/>
      <c r="G90" s="17"/>
      <c r="H90" s="17"/>
      <c r="I90" s="17"/>
      <c r="J90" s="17"/>
      <c r="K90" s="17"/>
      <c r="L90" s="17"/>
      <c r="M90" s="17"/>
      <c r="N90" s="17"/>
      <c r="O90" s="17"/>
      <c r="P90" s="17"/>
      <c r="Q90" s="17"/>
      <c r="R90" s="17"/>
      <c r="S90" s="17"/>
      <c r="T90" s="17"/>
      <c r="U90" s="17"/>
      <c r="V90" s="17"/>
      <c r="AA90" s="17"/>
      <c r="AB90" s="17"/>
      <c r="AC90" s="17"/>
      <c r="AD90" s="17"/>
      <c r="AE90" s="17"/>
      <c r="AF90" s="17"/>
      <c r="AG90" s="17"/>
      <c r="AH90" s="17"/>
      <c r="AI90" s="17"/>
      <c r="AJ90" s="17"/>
      <c r="AK90" s="17"/>
      <c r="AL90" s="17"/>
      <c r="AM90" s="17"/>
      <c r="AN90" s="17"/>
      <c r="AP90" s="8"/>
      <c r="AR90" s="6"/>
      <c r="AS90" s="17"/>
      <c r="AT90" s="17"/>
      <c r="AU90" s="17"/>
      <c r="AV90" s="17"/>
      <c r="AW90" s="17"/>
      <c r="AX90" s="17"/>
      <c r="AY90" s="17"/>
      <c r="AZ90" s="17"/>
      <c r="BA90" s="17"/>
      <c r="BB90" s="17"/>
      <c r="BC90" s="17"/>
      <c r="BD90" s="17"/>
      <c r="BE90" s="17"/>
      <c r="BF90" s="17"/>
      <c r="BG90" s="17"/>
      <c r="BH90" s="17"/>
      <c r="BI90" s="17"/>
      <c r="BJ90" s="17"/>
      <c r="BK90" s="17"/>
      <c r="BL90" s="17"/>
      <c r="BM90" s="17"/>
      <c r="BN90" s="17"/>
      <c r="BO90" s="17"/>
      <c r="BP90" s="17"/>
      <c r="BQ90" s="17"/>
      <c r="BR90" s="17"/>
      <c r="BS90" s="17"/>
      <c r="BT90" s="17"/>
      <c r="BU90" s="17"/>
      <c r="BV90" s="17"/>
      <c r="BW90" s="17"/>
      <c r="BX90" s="17"/>
      <c r="BY90" s="17"/>
      <c r="BZ90" s="17"/>
      <c r="CA90" s="17"/>
      <c r="CB90" s="17"/>
      <c r="CC90" s="17"/>
      <c r="CD90" s="17"/>
      <c r="CE90" s="17"/>
      <c r="CF90" s="8"/>
      <c r="CM90" s="2">
        <f t="shared" si="49"/>
        <v>13.599999999999984</v>
      </c>
      <c r="CN90" s="1" t="str">
        <f t="shared" si="33"/>
        <v>0.0107986736111111+14.6861961111111i</v>
      </c>
      <c r="CO90" s="1" t="str">
        <f t="shared" si="34"/>
        <v>-0.0794020118464053i</v>
      </c>
      <c r="CP90" s="1" t="str">
        <f t="shared" si="35"/>
        <v>10.7986736111111</v>
      </c>
      <c r="CQ90" s="1" t="str">
        <f t="shared" si="36"/>
        <v>-1.90564828431373i</v>
      </c>
      <c r="CR90" s="1" t="str">
        <f t="shared" si="37"/>
        <v>0.0107986736111111+14.6067940992647i</v>
      </c>
      <c r="CS90" s="1" t="str">
        <f t="shared" si="38"/>
        <v>6.98130460473381+5.15839456435599i</v>
      </c>
      <c r="CT90" s="1" t="str">
        <f t="shared" si="39"/>
        <v>6.98130460473381+3.25274628004226i</v>
      </c>
      <c r="CU90" s="1" t="str">
        <f t="shared" si="40"/>
        <v>0.0191834803010191+6.52238330234651i</v>
      </c>
      <c r="CV90" s="1" t="str">
        <f t="shared" si="41"/>
        <v>2.06236571797607+3.63363970172075i</v>
      </c>
      <c r="CW90" s="2">
        <f t="shared" si="42"/>
        <v>13.599999999999984</v>
      </c>
      <c r="CX90" s="14">
        <f t="shared" si="43"/>
        <v>7.7018810914221643</v>
      </c>
      <c r="CY90" s="14">
        <f t="shared" si="32"/>
        <v>6.5224115132859426</v>
      </c>
      <c r="CZ90" s="14">
        <f t="shared" si="44"/>
        <v>4.1781203712440131</v>
      </c>
      <c r="DE90" s="14">
        <f t="shared" si="45"/>
        <v>13.599999999999984</v>
      </c>
      <c r="DF90" s="151">
        <f t="shared" si="46"/>
        <v>0.54248050854710372</v>
      </c>
      <c r="DH90" s="152">
        <f t="shared" si="47"/>
        <v>13.599999999999984</v>
      </c>
      <c r="DI90" s="1">
        <f t="shared" si="48"/>
        <v>0.64057908071781766</v>
      </c>
    </row>
    <row r="91" spans="2:113" ht="18" customHeight="1" x14ac:dyDescent="0.25">
      <c r="B91" s="6"/>
      <c r="C91" s="17"/>
      <c r="D91" s="17"/>
      <c r="E91" s="17"/>
      <c r="F91" s="17"/>
      <c r="G91" s="17"/>
      <c r="H91" s="17"/>
      <c r="I91" s="17"/>
      <c r="J91" s="17"/>
      <c r="K91" s="17"/>
      <c r="L91" s="17"/>
      <c r="M91" s="17"/>
      <c r="N91" s="17"/>
      <c r="O91" s="17"/>
      <c r="P91" s="17"/>
      <c r="Q91" s="17"/>
      <c r="R91" s="17"/>
      <c r="S91" s="17"/>
      <c r="T91" s="17"/>
      <c r="U91" s="17"/>
      <c r="V91" s="17"/>
      <c r="AA91" s="17"/>
      <c r="AB91" s="17"/>
      <c r="AC91" s="17"/>
      <c r="AD91" s="17"/>
      <c r="AE91" s="17"/>
      <c r="AF91" s="17"/>
      <c r="AG91" s="17"/>
      <c r="AH91" s="17"/>
      <c r="AI91" s="17"/>
      <c r="AJ91" s="17"/>
      <c r="AK91" s="17"/>
      <c r="AL91" s="17"/>
      <c r="AM91" s="17"/>
      <c r="AN91" s="17"/>
      <c r="AP91" s="8"/>
      <c r="AR91" s="6"/>
      <c r="AS91" s="17"/>
      <c r="AT91" s="17"/>
      <c r="AU91" s="17"/>
      <c r="AV91" s="17"/>
      <c r="AW91" s="17"/>
      <c r="AX91" s="17"/>
      <c r="AY91" s="17"/>
      <c r="AZ91" s="17"/>
      <c r="BA91" s="17"/>
      <c r="BB91" s="17"/>
      <c r="BC91" s="17"/>
      <c r="BD91" s="17"/>
      <c r="BE91" s="17"/>
      <c r="BF91" s="17"/>
      <c r="BG91" s="17"/>
      <c r="BH91" s="17"/>
      <c r="BI91" s="17"/>
      <c r="BJ91" s="17"/>
      <c r="BK91" s="17"/>
      <c r="BL91" s="17"/>
      <c r="BM91" s="17"/>
      <c r="BN91" s="17"/>
      <c r="BO91" s="17"/>
      <c r="BP91" s="17"/>
      <c r="BQ91" s="17"/>
      <c r="BR91" s="17"/>
      <c r="BS91" s="17"/>
      <c r="BT91" s="17"/>
      <c r="BU91" s="17"/>
      <c r="BV91" s="17"/>
      <c r="BW91" s="17"/>
      <c r="BX91" s="17"/>
      <c r="BY91" s="17"/>
      <c r="BZ91" s="17"/>
      <c r="CA91" s="17"/>
      <c r="CB91" s="17"/>
      <c r="CC91" s="17"/>
      <c r="CD91" s="17"/>
      <c r="CE91" s="17"/>
      <c r="CF91" s="8"/>
      <c r="CM91" s="2">
        <f t="shared" si="49"/>
        <v>13.799999999999983</v>
      </c>
      <c r="CN91" s="1" t="str">
        <f t="shared" si="33"/>
        <v>0.0107986736111111+14.9021695833333i</v>
      </c>
      <c r="CO91" s="1" t="str">
        <f t="shared" si="34"/>
        <v>-0.0782512580515299i</v>
      </c>
      <c r="CP91" s="1" t="str">
        <f t="shared" si="35"/>
        <v>10.7986736111111</v>
      </c>
      <c r="CQ91" s="1" t="str">
        <f t="shared" si="36"/>
        <v>-1.87803019323672i</v>
      </c>
      <c r="CR91" s="1" t="str">
        <f t="shared" si="37"/>
        <v>0.0107986736111111+14.8239183252818i</v>
      </c>
      <c r="CS91" s="1" t="str">
        <f t="shared" si="38"/>
        <v>7.05377619725714+5.13568580752941i</v>
      </c>
      <c r="CT91" s="1" t="str">
        <f t="shared" si="39"/>
        <v>7.05377619725714+3.25765561429269i</v>
      </c>
      <c r="CU91" s="1" t="str">
        <f t="shared" si="40"/>
        <v>0.0191834803010191+6.61830070385161i</v>
      </c>
      <c r="CV91" s="1" t="str">
        <f t="shared" si="41"/>
        <v>2.10169979689394+3.67458757582208i</v>
      </c>
      <c r="CW91" s="2">
        <f t="shared" si="42"/>
        <v>13.799999999999983</v>
      </c>
      <c r="CX91" s="14">
        <f t="shared" si="43"/>
        <v>7.7696897455641087</v>
      </c>
      <c r="CY91" s="14">
        <f t="shared" ref="CY91:CY154" si="54">SQRT(($DC$30^2)+(($DC$33*CW91)^2))</f>
        <v>6.6183285059385746</v>
      </c>
      <c r="CZ91" s="14">
        <f t="shared" si="44"/>
        <v>4.2331709023673989</v>
      </c>
      <c r="DE91" s="14">
        <f t="shared" si="45"/>
        <v>13.799999999999983</v>
      </c>
      <c r="DF91" s="151">
        <f t="shared" si="46"/>
        <v>0.54483139494523602</v>
      </c>
      <c r="DH91" s="152">
        <f t="shared" si="47"/>
        <v>13.799999999999983</v>
      </c>
      <c r="DI91" s="1">
        <f t="shared" si="48"/>
        <v>0.63961329489296259</v>
      </c>
    </row>
    <row r="92" spans="2:113" ht="18" customHeight="1" x14ac:dyDescent="0.25">
      <c r="B92" s="6"/>
      <c r="C92" s="17"/>
      <c r="D92" s="17"/>
      <c r="E92" s="17"/>
      <c r="F92" s="17"/>
      <c r="G92" s="17"/>
      <c r="H92" s="17"/>
      <c r="I92" s="17"/>
      <c r="J92" s="17"/>
      <c r="K92" s="17"/>
      <c r="L92" s="17"/>
      <c r="M92" s="17"/>
      <c r="N92" s="17"/>
      <c r="O92" s="17"/>
      <c r="P92" s="17"/>
      <c r="Q92" s="17"/>
      <c r="R92" s="17"/>
      <c r="S92" s="17"/>
      <c r="T92" s="17"/>
      <c r="U92" s="17"/>
      <c r="V92" s="17"/>
      <c r="AA92" s="17"/>
      <c r="AB92" s="17"/>
      <c r="AC92" s="17"/>
      <c r="AD92" s="17"/>
      <c r="AE92" s="17"/>
      <c r="AF92" s="17"/>
      <c r="AG92" s="17"/>
      <c r="AH92" s="17"/>
      <c r="AI92" s="17"/>
      <c r="AJ92" s="17"/>
      <c r="AK92" s="17"/>
      <c r="AL92" s="17"/>
      <c r="AM92" s="17"/>
      <c r="AN92" s="17"/>
      <c r="AP92" s="8"/>
      <c r="AR92" s="6"/>
      <c r="CF92" s="8"/>
      <c r="CM92" s="2">
        <f t="shared" si="49"/>
        <v>13.999999999999982</v>
      </c>
      <c r="CN92" s="1" t="str">
        <f t="shared" ref="CN92:CN155" si="55">COMPLEX($AJ$39/$S$39,$AJ$39*CM92)</f>
        <v>0.0107986736111111+15.1181430555555i</v>
      </c>
      <c r="CO92" s="1" t="str">
        <f t="shared" ref="CO92:CO155" si="56">COMPLEX("0",-$AJ$36/CM92)</f>
        <v>-0.0771333829365081i</v>
      </c>
      <c r="CP92" s="1" t="str">
        <f t="shared" ref="CP92:CP155" si="57">COMPLEX($AJ$45,"0")</f>
        <v>10.7986736111111</v>
      </c>
      <c r="CQ92" s="1" t="str">
        <f t="shared" ref="CQ92:CQ155" si="58">COMPLEX("0",-$AJ$30/CM92)</f>
        <v>-1.85120119047619i</v>
      </c>
      <c r="CR92" s="1" t="str">
        <f t="shared" ref="CR92:CR155" si="59">IMSUM(CN92,CO92)</f>
        <v>0.0107986736111111+15.041009672619i</v>
      </c>
      <c r="CS92" s="1" t="str">
        <f t="shared" ref="CS92:CS155" si="60">IMDIV(IMPRODUCT(CR92,CP92),IMSUM(CP92,CR92))</f>
        <v>7.12454677387641+5.11242138761788i</v>
      </c>
      <c r="CT92" s="1" t="str">
        <f t="shared" ref="CT92:CT155" si="61">IMSUM(CS92,CQ92)</f>
        <v>7.12454677387641+3.26122019714169i</v>
      </c>
      <c r="CU92" s="1" t="str">
        <f t="shared" ref="CU92:CU155" si="62">COMPLEX($DC$30,$DC$33*CW92)</f>
        <v>0.0191834803010191+6.7142181053567i</v>
      </c>
      <c r="CV92" s="1" t="str">
        <f t="shared" ref="CV92:CV155" si="63">IMDIV(IMPRODUCT(CT92,CU92),IMSUM(CT92,CU92))</f>
        <v>2.14132654339425+3.71481715177878i</v>
      </c>
      <c r="CW92" s="2">
        <f t="shared" ref="CW92:CW155" si="64">CM92</f>
        <v>13.999999999999982</v>
      </c>
      <c r="CX92" s="14">
        <f t="shared" ref="CX92:CX155" si="65">IMABS(CT92)</f>
        <v>7.8354785372303617</v>
      </c>
      <c r="CY92" s="14">
        <f t="shared" si="54"/>
        <v>6.7142455102726322</v>
      </c>
      <c r="CZ92" s="14">
        <f t="shared" ref="CZ92:CZ155" si="66">IMABS(CV92)</f>
        <v>4.2877903209688988</v>
      </c>
      <c r="DE92" s="14">
        <f t="shared" ref="DE92:DE155" si="67">CW92</f>
        <v>13.999999999999982</v>
      </c>
      <c r="DF92" s="151">
        <f t="shared" ref="DF92:DF155" si="68">IMABS(IMDIV(CU92,IMSUM(CT92,CU92)))</f>
        <v>0.54722762631477062</v>
      </c>
      <c r="DH92" s="152">
        <f t="shared" ref="DH92:DH155" si="69">DE92</f>
        <v>13.999999999999982</v>
      </c>
      <c r="DI92" s="1">
        <f t="shared" ref="DI92:DI155" si="70">IMABS(IMDIV(CT92,IMSUM(CT92,CU92)))</f>
        <v>0.63861089297504647</v>
      </c>
    </row>
    <row r="93" spans="2:113" ht="18" customHeight="1" x14ac:dyDescent="0.25">
      <c r="B93" s="6"/>
      <c r="C93" s="17"/>
      <c r="D93" s="17"/>
      <c r="E93" s="17"/>
      <c r="F93" s="17"/>
      <c r="G93" s="17"/>
      <c r="H93" s="17"/>
      <c r="I93" s="17"/>
      <c r="J93" s="17"/>
      <c r="K93" s="17"/>
      <c r="L93" s="17"/>
      <c r="M93" s="17"/>
      <c r="N93" s="17"/>
      <c r="O93" s="17"/>
      <c r="P93" s="17"/>
      <c r="Q93" s="17"/>
      <c r="R93" s="17"/>
      <c r="S93" s="17"/>
      <c r="T93" s="17"/>
      <c r="U93" s="17"/>
      <c r="V93" s="17"/>
      <c r="AA93" s="17"/>
      <c r="AB93" s="17"/>
      <c r="AC93" s="17"/>
      <c r="AD93" s="17"/>
      <c r="AE93" s="17"/>
      <c r="AF93" s="17"/>
      <c r="AG93" s="17"/>
      <c r="AH93" s="17"/>
      <c r="AI93" s="17"/>
      <c r="AJ93" s="17"/>
      <c r="AK93" s="17"/>
      <c r="AL93" s="17"/>
      <c r="AM93" s="17"/>
      <c r="AN93" s="17"/>
      <c r="AP93" s="8"/>
      <c r="AR93" s="6"/>
      <c r="CF93" s="8"/>
      <c r="CM93" s="2">
        <f t="shared" ref="CM93:CM156" si="71">CM92+0.2</f>
        <v>14.199999999999982</v>
      </c>
      <c r="CN93" s="1" t="str">
        <f t="shared" si="55"/>
        <v>0.0107986736111111+15.3341165277778i</v>
      </c>
      <c r="CO93" s="1" t="str">
        <f t="shared" si="56"/>
        <v>-0.076046997261346i</v>
      </c>
      <c r="CP93" s="1" t="str">
        <f t="shared" si="57"/>
        <v>10.7986736111111</v>
      </c>
      <c r="CQ93" s="1" t="str">
        <f t="shared" si="58"/>
        <v>-1.8251279342723i</v>
      </c>
      <c r="CR93" s="1" t="str">
        <f t="shared" si="59"/>
        <v>0.0107986736111111+15.2580695305165i</v>
      </c>
      <c r="CS93" s="1" t="str">
        <f t="shared" si="60"/>
        <v>7.19365430255528+5.08865130692299i</v>
      </c>
      <c r="CT93" s="1" t="str">
        <f t="shared" si="61"/>
        <v>7.19365430255528+3.26352337265069i</v>
      </c>
      <c r="CU93" s="1" t="str">
        <f t="shared" si="62"/>
        <v>0.0191834803010191+6.8101355068618i</v>
      </c>
      <c r="CV93" s="1" t="str">
        <f t="shared" si="63"/>
        <v>2.18122910522301+3.75433486755162i</v>
      </c>
      <c r="CW93" s="2">
        <f t="shared" si="64"/>
        <v>14.199999999999982</v>
      </c>
      <c r="CX93" s="14">
        <f t="shared" si="65"/>
        <v>7.8993194028668965</v>
      </c>
      <c r="CY93" s="14">
        <f t="shared" si="54"/>
        <v>6.8101625257945377</v>
      </c>
      <c r="CZ93" s="14">
        <f t="shared" si="66"/>
        <v>4.3419800445402572</v>
      </c>
      <c r="DE93" s="14">
        <f t="shared" si="67"/>
        <v>14.199999999999982</v>
      </c>
      <c r="DF93" s="151">
        <f t="shared" si="68"/>
        <v>0.54966508164797412</v>
      </c>
      <c r="DH93" s="152">
        <f t="shared" si="69"/>
        <v>14.199999999999982</v>
      </c>
      <c r="DI93" s="1">
        <f t="shared" si="70"/>
        <v>0.63757363030534742</v>
      </c>
    </row>
    <row r="94" spans="2:113" ht="18" customHeight="1" x14ac:dyDescent="0.25">
      <c r="B94" s="6"/>
      <c r="AP94" s="8"/>
      <c r="AR94" s="6"/>
      <c r="CF94" s="8"/>
      <c r="CM94" s="2">
        <f t="shared" si="71"/>
        <v>14.399999999999981</v>
      </c>
      <c r="CN94" s="1" t="str">
        <f t="shared" si="55"/>
        <v>0.0107986736111111+15.55009i</v>
      </c>
      <c r="CO94" s="1" t="str">
        <f t="shared" si="56"/>
        <v>-0.0749907889660495i</v>
      </c>
      <c r="CP94" s="1" t="str">
        <f t="shared" si="57"/>
        <v>10.7986736111111</v>
      </c>
      <c r="CQ94" s="1" t="str">
        <f t="shared" si="58"/>
        <v>-1.79977893518519i</v>
      </c>
      <c r="CR94" s="1" t="str">
        <f t="shared" si="59"/>
        <v>0.0107986736111111+15.475099211034i</v>
      </c>
      <c r="CS94" s="1" t="str">
        <f t="shared" si="60"/>
        <v>7.26113658127407+5.06442267092055i</v>
      </c>
      <c r="CT94" s="1" t="str">
        <f t="shared" si="61"/>
        <v>7.26113658127407+3.26464373573536i</v>
      </c>
      <c r="CU94" s="1" t="str">
        <f t="shared" si="62"/>
        <v>0.0191834803010191+6.90605290836689i</v>
      </c>
      <c r="CV94" s="1" t="str">
        <f t="shared" si="63"/>
        <v>2.22139122900496+3.79314701583295i</v>
      </c>
      <c r="CW94" s="2">
        <f t="shared" si="64"/>
        <v>14.399999999999981</v>
      </c>
      <c r="CX94" s="14">
        <f t="shared" si="65"/>
        <v>7.9612815031998858</v>
      </c>
      <c r="CY94" s="14">
        <f t="shared" si="54"/>
        <v>6.9060795520381371</v>
      </c>
      <c r="CZ94" s="14">
        <f t="shared" si="66"/>
        <v>4.3957414933117462</v>
      </c>
      <c r="DE94" s="14">
        <f t="shared" si="67"/>
        <v>14.399999999999981</v>
      </c>
      <c r="DF94" s="151">
        <f t="shared" si="68"/>
        <v>0.55213994022758284</v>
      </c>
      <c r="DH94" s="152">
        <f t="shared" si="69"/>
        <v>14.399999999999981</v>
      </c>
      <c r="DI94" s="1">
        <f t="shared" si="70"/>
        <v>0.63650316510102545</v>
      </c>
    </row>
    <row r="95" spans="2:113" ht="18" customHeight="1" x14ac:dyDescent="0.25">
      <c r="B95" s="6"/>
      <c r="AP95" s="8"/>
      <c r="AR95" s="6"/>
      <c r="BJ95" s="29" t="s">
        <v>433</v>
      </c>
      <c r="BK95" s="156">
        <v>15</v>
      </c>
      <c r="BL95" s="156"/>
      <c r="BM95" s="156"/>
      <c r="BN95" s="156"/>
      <c r="BO95" s="156"/>
      <c r="BP95" s="158" t="s">
        <v>432</v>
      </c>
      <c r="BQ95" s="158"/>
      <c r="BR95" s="158"/>
      <c r="BV95" s="29" t="s">
        <v>434</v>
      </c>
      <c r="BW95" s="156">
        <v>25</v>
      </c>
      <c r="BX95" s="156"/>
      <c r="CE95" s="17"/>
      <c r="CF95" s="8"/>
      <c r="CM95" s="2">
        <f t="shared" si="71"/>
        <v>14.59999999999998</v>
      </c>
      <c r="CN95" s="1" t="str">
        <f t="shared" si="55"/>
        <v>0.0107986736111111+15.7660634722222i</v>
      </c>
      <c r="CO95" s="1" t="str">
        <f t="shared" si="56"/>
        <v>-0.0739635178843228i</v>
      </c>
      <c r="CP95" s="1" t="str">
        <f t="shared" si="57"/>
        <v>10.7986736111111</v>
      </c>
      <c r="CQ95" s="1" t="str">
        <f t="shared" si="58"/>
        <v>-1.77512442922375i</v>
      </c>
      <c r="CR95" s="1" t="str">
        <f t="shared" si="59"/>
        <v>0.0107986736111111+15.6920999543379i</v>
      </c>
      <c r="CS95" s="1" t="str">
        <f t="shared" si="60"/>
        <v>7.32703115623204+5.03977983131346i</v>
      </c>
      <c r="CT95" s="1" t="str">
        <f t="shared" si="61"/>
        <v>7.32703115623204+3.26465540208971i</v>
      </c>
      <c r="CU95" s="1" t="str">
        <f t="shared" si="62"/>
        <v>0.0191834803010191+7.00197030987199i</v>
      </c>
      <c r="CV95" s="1" t="str">
        <f t="shared" si="63"/>
        <v>2.26179721756905+3.83125977002277i</v>
      </c>
      <c r="CW95" s="2">
        <f t="shared" si="64"/>
        <v>14.59999999999998</v>
      </c>
      <c r="CX95" s="14">
        <f t="shared" si="65"/>
        <v>8.0214313223257445</v>
      </c>
      <c r="CY95" s="14">
        <f t="shared" si="54"/>
        <v>7.0019965885628128</v>
      </c>
      <c r="CZ95" s="14">
        <f t="shared" si="66"/>
        <v>4.4490760927183555</v>
      </c>
      <c r="DE95" s="14">
        <f t="shared" si="67"/>
        <v>14.59999999999998</v>
      </c>
      <c r="DF95" s="151">
        <f t="shared" si="68"/>
        <v>0.55464865482740111</v>
      </c>
      <c r="DH95" s="152">
        <f t="shared" si="69"/>
        <v>14.59999999999998</v>
      </c>
      <c r="DI95" s="1">
        <f t="shared" si="70"/>
        <v>0.63540106545975161</v>
      </c>
    </row>
    <row r="96" spans="2:113" ht="18" customHeight="1" thickBot="1" x14ac:dyDescent="0.3">
      <c r="B96" s="6"/>
      <c r="C96" s="10"/>
      <c r="D96" s="10"/>
      <c r="E96" s="10"/>
      <c r="F96" s="10"/>
      <c r="G96" s="10"/>
      <c r="H96" s="10"/>
      <c r="I96" s="10"/>
      <c r="J96" s="10"/>
      <c r="K96" s="10"/>
      <c r="L96" s="10"/>
      <c r="M96" s="10"/>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1"/>
      <c r="AO96" s="10"/>
      <c r="AP96" s="8"/>
      <c r="AR96" s="6"/>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1"/>
      <c r="CE96" s="10"/>
      <c r="CF96" s="8"/>
      <c r="CM96" s="2">
        <f t="shared" si="71"/>
        <v>14.799999999999979</v>
      </c>
      <c r="CN96" s="1" t="str">
        <f t="shared" si="55"/>
        <v>0.0107986736111111+15.9820369444444i</v>
      </c>
      <c r="CO96" s="1" t="str">
        <f t="shared" si="56"/>
        <v>-0.072964010885886i</v>
      </c>
      <c r="CP96" s="1" t="str">
        <f t="shared" si="57"/>
        <v>10.7986736111111</v>
      </c>
      <c r="CQ96" s="1" t="str">
        <f t="shared" si="58"/>
        <v>-1.75113626126126i</v>
      </c>
      <c r="CR96" s="1" t="str">
        <f t="shared" si="59"/>
        <v>0.0107986736111111+15.9090729335585i</v>
      </c>
      <c r="CS96" s="1" t="str">
        <f t="shared" si="60"/>
        <v>7.39137524979605+5.01476452399717i</v>
      </c>
      <c r="CT96" s="1" t="str">
        <f t="shared" si="61"/>
        <v>7.39137524979605+3.26362826273591i</v>
      </c>
      <c r="CU96" s="1" t="str">
        <f t="shared" si="62"/>
        <v>0.0191834803010191+7.09788771137708i</v>
      </c>
      <c r="CV96" s="1" t="str">
        <f t="shared" si="63"/>
        <v>2.30243189253062+3.8686792068718i</v>
      </c>
      <c r="CW96" s="2">
        <f t="shared" si="64"/>
        <v>14.799999999999979</v>
      </c>
      <c r="CX96" s="14">
        <f t="shared" si="65"/>
        <v>8.0798327656348317</v>
      </c>
      <c r="CY96" s="14">
        <f t="shared" si="54"/>
        <v>7.0979136349517713</v>
      </c>
      <c r="CZ96" s="14">
        <f t="shared" si="66"/>
        <v>4.5019852760115011</v>
      </c>
      <c r="DE96" s="14">
        <f t="shared" si="67"/>
        <v>14.799999999999979</v>
      </c>
      <c r="DF96" s="151">
        <f t="shared" si="68"/>
        <v>0.55718792784417037</v>
      </c>
      <c r="DH96" s="152">
        <f t="shared" si="69"/>
        <v>14.799999999999979</v>
      </c>
      <c r="DI96" s="1">
        <f t="shared" si="70"/>
        <v>0.63426881581690209</v>
      </c>
    </row>
    <row r="97" spans="2:113" ht="18" customHeight="1" x14ac:dyDescent="0.25">
      <c r="B97" s="6"/>
      <c r="D97" s="43" t="s">
        <v>84</v>
      </c>
      <c r="AO97" s="29" t="s">
        <v>99</v>
      </c>
      <c r="AP97" s="8"/>
      <c r="AR97" s="6"/>
      <c r="AT97" s="43" t="s">
        <v>84</v>
      </c>
      <c r="CE97" s="29" t="s">
        <v>100</v>
      </c>
      <c r="CF97" s="8"/>
      <c r="CM97" s="2">
        <f t="shared" si="71"/>
        <v>14.999999999999979</v>
      </c>
      <c r="CN97" s="1" t="str">
        <f t="shared" si="55"/>
        <v>0.0107986736111111+16.1980104166666i</v>
      </c>
      <c r="CO97" s="1" t="str">
        <f t="shared" si="56"/>
        <v>-0.0719911574074075i</v>
      </c>
      <c r="CP97" s="1" t="str">
        <f t="shared" si="57"/>
        <v>10.7986736111111</v>
      </c>
      <c r="CQ97" s="1" t="str">
        <f t="shared" si="58"/>
        <v>-1.72778777777778i</v>
      </c>
      <c r="CR97" s="1" t="str">
        <f t="shared" si="59"/>
        <v>0.0107986736111111+16.1260192592592i</v>
      </c>
      <c r="CS97" s="1" t="str">
        <f t="shared" si="60"/>
        <v>7.45420569736237+4.98941600186293i</v>
      </c>
      <c r="CT97" s="1" t="str">
        <f t="shared" si="61"/>
        <v>7.45420569736237+3.26162822408515i</v>
      </c>
      <c r="CU97" s="1" t="str">
        <f t="shared" si="62"/>
        <v>0.0191834803010191+7.19380511288218i</v>
      </c>
      <c r="CV97" s="1" t="str">
        <f t="shared" si="63"/>
        <v>2.34328056139797+3.90541132618555i</v>
      </c>
      <c r="CW97" s="2">
        <f t="shared" si="64"/>
        <v>14.999999999999979</v>
      </c>
      <c r="CX97" s="14">
        <f t="shared" si="65"/>
        <v>8.1365472560993872</v>
      </c>
      <c r="CY97" s="14">
        <f t="shared" si="54"/>
        <v>7.1938306908104419</v>
      </c>
      <c r="CZ97" s="14">
        <f t="shared" si="66"/>
        <v>4.5544704869088743</v>
      </c>
      <c r="DE97" s="14">
        <f t="shared" si="67"/>
        <v>14.999999999999979</v>
      </c>
      <c r="DF97" s="151">
        <f t="shared" si="68"/>
        <v>0.5597546899877851</v>
      </c>
      <c r="DH97" s="152">
        <f t="shared" si="69"/>
        <v>14.999999999999979</v>
      </c>
      <c r="DI97" s="1">
        <f t="shared" si="70"/>
        <v>0.63310782289147471</v>
      </c>
    </row>
    <row r="98" spans="2:113" ht="18" customHeight="1" x14ac:dyDescent="0.25">
      <c r="B98" s="45"/>
      <c r="C98" s="46"/>
      <c r="D98" s="46"/>
      <c r="E98" s="46"/>
      <c r="F98" s="46"/>
      <c r="G98" s="46"/>
      <c r="H98" s="46"/>
      <c r="I98" s="46"/>
      <c r="J98" s="46"/>
      <c r="K98" s="46"/>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7"/>
      <c r="AR98" s="45"/>
      <c r="AS98" s="46"/>
      <c r="AT98" s="46"/>
      <c r="AU98" s="46"/>
      <c r="AV98" s="46"/>
      <c r="AW98" s="46"/>
      <c r="AX98" s="46"/>
      <c r="AY98" s="46"/>
      <c r="AZ98" s="46"/>
      <c r="BA98" s="46"/>
      <c r="BB98" s="46"/>
      <c r="BC98" s="46"/>
      <c r="BD98" s="46"/>
      <c r="BE98" s="46"/>
      <c r="BF98" s="46"/>
      <c r="BG98" s="46"/>
      <c r="BH98" s="46"/>
      <c r="BI98" s="46"/>
      <c r="BJ98" s="46"/>
      <c r="BK98" s="46"/>
      <c r="BL98" s="46"/>
      <c r="BM98" s="46"/>
      <c r="BN98" s="46"/>
      <c r="BO98" s="46"/>
      <c r="BP98" s="46"/>
      <c r="BQ98" s="46"/>
      <c r="BR98" s="46"/>
      <c r="BS98" s="46"/>
      <c r="BT98" s="46"/>
      <c r="BU98" s="46"/>
      <c r="BV98" s="46"/>
      <c r="BW98" s="46"/>
      <c r="BX98" s="46"/>
      <c r="BY98" s="46"/>
      <c r="BZ98" s="46"/>
      <c r="CA98" s="46"/>
      <c r="CB98" s="46"/>
      <c r="CC98" s="46"/>
      <c r="CD98" s="46"/>
      <c r="CE98" s="46"/>
      <c r="CF98" s="47"/>
      <c r="CM98" s="2">
        <f t="shared" si="71"/>
        <v>15.199999999999978</v>
      </c>
      <c r="CN98" s="1" t="str">
        <f t="shared" si="55"/>
        <v>0.0107986736111111+16.4139838888889i</v>
      </c>
      <c r="CO98" s="1" t="str">
        <f t="shared" si="56"/>
        <v>-0.0710439053362574i</v>
      </c>
      <c r="CP98" s="1" t="str">
        <f t="shared" si="57"/>
        <v>10.7986736111111</v>
      </c>
      <c r="CQ98" s="1" t="str">
        <f t="shared" si="58"/>
        <v>-1.70505372807018i</v>
      </c>
      <c r="CR98" s="1" t="str">
        <f t="shared" si="59"/>
        <v>0.0107986736111111+16.3429399835526i</v>
      </c>
      <c r="CS98" s="1" t="str">
        <f t="shared" si="60"/>
        <v>7.51555889235411+4.96377116240903i</v>
      </c>
      <c r="CT98" s="1" t="str">
        <f t="shared" si="61"/>
        <v>7.51555889235411+3.25871743433885i</v>
      </c>
      <c r="CU98" s="1" t="str">
        <f t="shared" si="62"/>
        <v>0.0191834803010191+7.28972251438727i</v>
      </c>
      <c r="CV98" s="1" t="str">
        <f t="shared" si="63"/>
        <v>2.38432898857993+3.9414620679324i</v>
      </c>
      <c r="CW98" s="2">
        <f t="shared" si="64"/>
        <v>15.199999999999978</v>
      </c>
      <c r="CX98" s="14">
        <f t="shared" si="65"/>
        <v>8.1916338285660046</v>
      </c>
      <c r="CY98" s="14">
        <f t="shared" si="54"/>
        <v>7.2897477557650223</v>
      </c>
      <c r="CZ98" s="14">
        <f t="shared" si="66"/>
        <v>4.606533182202484</v>
      </c>
      <c r="DE98" s="14">
        <f t="shared" si="67"/>
        <v>15.199999999999978</v>
      </c>
      <c r="DF98" s="151">
        <f t="shared" si="68"/>
        <v>0.56234608121013729</v>
      </c>
      <c r="DH98" s="152">
        <f t="shared" si="69"/>
        <v>15.199999999999978</v>
      </c>
      <c r="DI98" s="1">
        <f t="shared" si="70"/>
        <v>0.63191942115685196</v>
      </c>
    </row>
    <row r="99" spans="2:113" ht="18" customHeight="1" x14ac:dyDescent="0.25">
      <c r="CM99" s="2">
        <f t="shared" si="71"/>
        <v>15.399999999999977</v>
      </c>
      <c r="CN99" s="1" t="str">
        <f t="shared" si="55"/>
        <v>0.0107986736111111+16.6299573611111i</v>
      </c>
      <c r="CO99" s="1" t="str">
        <f t="shared" si="56"/>
        <v>-0.0701212572150073i</v>
      </c>
      <c r="CP99" s="1" t="str">
        <f t="shared" si="57"/>
        <v>10.7986736111111</v>
      </c>
      <c r="CQ99" s="1" t="str">
        <f t="shared" si="58"/>
        <v>-1.68291017316018i</v>
      </c>
      <c r="CR99" s="1" t="str">
        <f t="shared" si="59"/>
        <v>0.0107986736111111+16.5598361038961i</v>
      </c>
      <c r="CS99" s="1" t="str">
        <f t="shared" si="60"/>
        <v>7.57547073863062+4.93786467016748i</v>
      </c>
      <c r="CT99" s="1" t="str">
        <f t="shared" si="61"/>
        <v>7.57547073863062+3.2549544970073i</v>
      </c>
      <c r="CU99" s="1" t="str">
        <f t="shared" si="62"/>
        <v>0.0191834803010191+7.38563991589237i</v>
      </c>
      <c r="CV99" s="1" t="str">
        <f t="shared" si="63"/>
        <v>2.42556336976393+3.97683732705653i</v>
      </c>
      <c r="CW99" s="2">
        <f t="shared" si="64"/>
        <v>15.399999999999977</v>
      </c>
      <c r="CX99" s="14">
        <f t="shared" si="65"/>
        <v>8.2451492217810589</v>
      </c>
      <c r="CY99" s="14">
        <f t="shared" si="54"/>
        <v>7.3856648294611311</v>
      </c>
      <c r="CZ99" s="14">
        <f t="shared" si="66"/>
        <v>4.6581748342683191</v>
      </c>
      <c r="DE99" s="14">
        <f t="shared" si="67"/>
        <v>15.399999999999977</v>
      </c>
      <c r="DF99" s="151">
        <f t="shared" si="68"/>
        <v>0.56495943359798884</v>
      </c>
      <c r="DH99" s="152">
        <f t="shared" si="69"/>
        <v>15.399999999999977</v>
      </c>
      <c r="DI99" s="1">
        <f t="shared" si="70"/>
        <v>0.63070487787193374</v>
      </c>
    </row>
    <row r="100" spans="2:113" ht="18" customHeight="1" x14ac:dyDescent="0.25">
      <c r="B100" s="3"/>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5"/>
      <c r="AR100" s="3"/>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5"/>
      <c r="CM100" s="2">
        <f t="shared" si="71"/>
        <v>15.599999999999977</v>
      </c>
      <c r="CN100" s="1" t="str">
        <f t="shared" si="55"/>
        <v>0.0107986736111111+16.8459308333333i</v>
      </c>
      <c r="CO100" s="1" t="str">
        <f t="shared" si="56"/>
        <v>-0.0692222667378919i</v>
      </c>
      <c r="CP100" s="1" t="str">
        <f t="shared" si="57"/>
        <v>10.7986736111111</v>
      </c>
      <c r="CQ100" s="1" t="str">
        <f t="shared" si="58"/>
        <v>-1.6613344017094i</v>
      </c>
      <c r="CR100" s="1" t="str">
        <f t="shared" si="59"/>
        <v>0.0107986736111111+16.7767085665954i</v>
      </c>
      <c r="CS100" s="1" t="str">
        <f t="shared" si="60"/>
        <v>7.63397660963691+4.91172907398551i</v>
      </c>
      <c r="CT100" s="1" t="str">
        <f t="shared" si="61"/>
        <v>7.63397660963691+3.25039467227611i</v>
      </c>
      <c r="CU100" s="1" t="str">
        <f t="shared" si="62"/>
        <v>0.0191834803010191+7.48155731739747i</v>
      </c>
      <c r="CV100" s="1" t="str">
        <f t="shared" si="63"/>
        <v>2.46697030921038+4.01154296625844i</v>
      </c>
      <c r="CW100" s="2">
        <f t="shared" si="64"/>
        <v>15.599999999999977</v>
      </c>
      <c r="CX100" s="14">
        <f t="shared" si="65"/>
        <v>8.2971479679492504</v>
      </c>
      <c r="CY100" s="14">
        <f t="shared" si="54"/>
        <v>7.4815819115625546</v>
      </c>
      <c r="CZ100" s="14">
        <f t="shared" si="66"/>
        <v>4.7093969334367136</v>
      </c>
      <c r="DE100" s="14">
        <f t="shared" si="67"/>
        <v>15.599999999999977</v>
      </c>
      <c r="DF100" s="151">
        <f t="shared" si="68"/>
        <v>0.5675922559930795</v>
      </c>
      <c r="DH100" s="152">
        <f t="shared" si="69"/>
        <v>15.599999999999977</v>
      </c>
      <c r="DI100" s="1">
        <f t="shared" si="70"/>
        <v>0.62946539770666432</v>
      </c>
    </row>
    <row r="101" spans="2:113" ht="18" customHeight="1" x14ac:dyDescent="0.25">
      <c r="B101" s="6"/>
      <c r="AN101" s="7"/>
      <c r="AP101" s="8"/>
      <c r="AR101" s="6"/>
      <c r="CD101" s="7"/>
      <c r="CF101" s="8"/>
      <c r="CM101" s="2">
        <f t="shared" si="71"/>
        <v>15.799999999999976</v>
      </c>
      <c r="CN101" s="1" t="str">
        <f t="shared" si="55"/>
        <v>0.0107986736111111+17.0619043055555i</v>
      </c>
      <c r="CO101" s="1" t="str">
        <f t="shared" si="56"/>
        <v>-0.0683460355133616i</v>
      </c>
      <c r="CP101" s="1" t="str">
        <f t="shared" si="57"/>
        <v>10.7986736111111</v>
      </c>
      <c r="CQ101" s="1" t="str">
        <f t="shared" si="58"/>
        <v>-1.64030485232068i</v>
      </c>
      <c r="CR101" s="1" t="str">
        <f t="shared" si="59"/>
        <v>0.0107986736111111+16.9935582700421i</v>
      </c>
      <c r="CS101" s="1" t="str">
        <f t="shared" si="60"/>
        <v>7.69111131367135+4.88539491922894i</v>
      </c>
      <c r="CT101" s="1" t="str">
        <f t="shared" si="61"/>
        <v>7.69111131367135+3.24509006690826i</v>
      </c>
      <c r="CU101" s="1" t="str">
        <f t="shared" si="62"/>
        <v>0.0191834803010191+7.57747471890256i</v>
      </c>
      <c r="CV101" s="1" t="str">
        <f t="shared" si="63"/>
        <v>2.50853679957456+4.04558482697482i</v>
      </c>
      <c r="CW101" s="2">
        <f t="shared" si="64"/>
        <v>15.799999999999976</v>
      </c>
      <c r="CX101" s="14">
        <f t="shared" si="65"/>
        <v>8.347682479684412</v>
      </c>
      <c r="CY101" s="14">
        <f t="shared" si="54"/>
        <v>7.5774990017501098</v>
      </c>
      <c r="CZ101" s="14">
        <f t="shared" si="66"/>
        <v>4.7602009901965969</v>
      </c>
      <c r="DE101" s="14">
        <f t="shared" si="67"/>
        <v>15.799999999999976</v>
      </c>
      <c r="DF101" s="151">
        <f t="shared" si="68"/>
        <v>0.57024222013491821</v>
      </c>
      <c r="DH101" s="152">
        <f t="shared" si="69"/>
        <v>15.799999999999976</v>
      </c>
      <c r="DI101" s="1">
        <f t="shared" si="70"/>
        <v>0.62820212699429956</v>
      </c>
    </row>
    <row r="102" spans="2:113" ht="18" customHeight="1" x14ac:dyDescent="0.25">
      <c r="B102" s="6"/>
      <c r="AN102" s="9"/>
      <c r="AP102" s="8"/>
      <c r="AR102" s="6"/>
      <c r="CD102" s="9"/>
      <c r="CF102" s="8"/>
      <c r="CM102" s="2">
        <f t="shared" si="71"/>
        <v>15.999999999999975</v>
      </c>
      <c r="CN102" s="1" t="str">
        <f t="shared" si="55"/>
        <v>0.0107986736111111+17.2778777777778i</v>
      </c>
      <c r="CO102" s="1" t="str">
        <f t="shared" si="56"/>
        <v>-0.0674917100694446i</v>
      </c>
      <c r="CP102" s="1" t="str">
        <f t="shared" si="57"/>
        <v>10.7986736111111</v>
      </c>
      <c r="CQ102" s="1" t="str">
        <f t="shared" si="58"/>
        <v>-1.61980104166667i</v>
      </c>
      <c r="CR102" s="1" t="str">
        <f t="shared" si="59"/>
        <v>0.0107986736111111+17.2103860677084i</v>
      </c>
      <c r="CS102" s="1" t="str">
        <f t="shared" si="60"/>
        <v>7.74690906469525+4.85889085499532i</v>
      </c>
      <c r="CT102" s="1" t="str">
        <f t="shared" si="61"/>
        <v>7.74690906469525+3.23908981332865i</v>
      </c>
      <c r="CU102" s="1" t="str">
        <f t="shared" si="62"/>
        <v>0.0191834803010191+7.67339212040766i</v>
      </c>
      <c r="CV102" s="1" t="str">
        <f t="shared" si="63"/>
        <v>2.55025020392215+4.07896873876126i</v>
      </c>
      <c r="CW102" s="2">
        <f t="shared" si="64"/>
        <v>15.999999999999975</v>
      </c>
      <c r="CX102" s="14">
        <f t="shared" si="65"/>
        <v>8.3968031342569205</v>
      </c>
      <c r="CY102" s="14">
        <f t="shared" si="54"/>
        <v>7.6734160997205656</v>
      </c>
      <c r="CZ102" s="14">
        <f t="shared" si="66"/>
        <v>4.8105885372162724</v>
      </c>
      <c r="DE102" s="14">
        <f t="shared" si="67"/>
        <v>15.999999999999975</v>
      </c>
      <c r="DF102" s="151">
        <f t="shared" si="68"/>
        <v>0.57290714814906563</v>
      </c>
      <c r="DH102" s="152">
        <f t="shared" si="69"/>
        <v>15.999999999999975</v>
      </c>
      <c r="DI102" s="1">
        <f t="shared" si="70"/>
        <v>0.62691615764085185</v>
      </c>
    </row>
    <row r="103" spans="2:113" ht="18" customHeight="1" thickBot="1" x14ac:dyDescent="0.3">
      <c r="B103" s="6"/>
      <c r="C103" s="10" t="str">
        <f>"Harmonic Filter Design - C-HP | "&amp; H12 &amp; " | " &amp; AE13</f>
        <v>Harmonic Filter Design - C-HP | Enter Customer PO #  | Stage 1</v>
      </c>
      <c r="D103" s="10"/>
      <c r="E103" s="10"/>
      <c r="F103" s="10"/>
      <c r="G103" s="10"/>
      <c r="H103" s="10"/>
      <c r="I103" s="10"/>
      <c r="J103" s="10"/>
      <c r="K103" s="10"/>
      <c r="L103" s="10"/>
      <c r="M103" s="10"/>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1"/>
      <c r="AO103" s="10"/>
      <c r="AP103" s="8"/>
      <c r="AR103" s="6"/>
      <c r="AS103" s="10" t="str">
        <f>"Harmonic Filter Design - C-HP | "&amp; H12 &amp; " | " &amp; AE13</f>
        <v>Harmonic Filter Design - C-HP | Enter Customer PO #  | Stage 1</v>
      </c>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1"/>
      <c r="CE103" s="10"/>
      <c r="CF103" s="8"/>
      <c r="CM103" s="2">
        <f t="shared" si="71"/>
        <v>16.199999999999974</v>
      </c>
      <c r="CN103" s="1" t="str">
        <f t="shared" si="55"/>
        <v>0.0107986736111111+17.49385125i</v>
      </c>
      <c r="CO103" s="1" t="str">
        <f t="shared" si="56"/>
        <v>-0.0666584790809329i</v>
      </c>
      <c r="CP103" s="1" t="str">
        <f t="shared" si="57"/>
        <v>10.7986736111111</v>
      </c>
      <c r="CQ103" s="1" t="str">
        <f t="shared" si="58"/>
        <v>-1.59980349794239i</v>
      </c>
      <c r="CR103" s="1" t="str">
        <f t="shared" si="59"/>
        <v>0.0107986736111111+17.4271927709191i</v>
      </c>
      <c r="CS103" s="1" t="str">
        <f t="shared" si="60"/>
        <v>7.80140345815323+4.83224373644446i</v>
      </c>
      <c r="CT103" s="1" t="str">
        <f t="shared" si="61"/>
        <v>7.80140345815323+3.23244023850207i</v>
      </c>
      <c r="CU103" s="1" t="str">
        <f t="shared" si="62"/>
        <v>0.0191834803010191+7.76930952191275i</v>
      </c>
      <c r="CV103" s="1" t="str">
        <f t="shared" si="63"/>
        <v>2.59209823965068+4.11170052725732i</v>
      </c>
      <c r="CW103" s="2">
        <f t="shared" si="64"/>
        <v>16.199999999999974</v>
      </c>
      <c r="CX103" s="14">
        <f t="shared" si="65"/>
        <v>8.4445583550812469</v>
      </c>
      <c r="CY103" s="14">
        <f t="shared" si="54"/>
        <v>7.7693332051856689</v>
      </c>
      <c r="CZ103" s="14">
        <f t="shared" si="66"/>
        <v>4.8605611311707912</v>
      </c>
      <c r="DE103" s="14">
        <f t="shared" si="67"/>
        <v>16.199999999999974</v>
      </c>
      <c r="DF103" s="151">
        <f t="shared" si="68"/>
        <v>0.57558500122698486</v>
      </c>
      <c r="DH103" s="152">
        <f t="shared" si="69"/>
        <v>16.199999999999974</v>
      </c>
      <c r="DI103" s="1">
        <f t="shared" si="70"/>
        <v>0.62560853072006084</v>
      </c>
    </row>
    <row r="104" spans="2:113" ht="18" customHeight="1" x14ac:dyDescent="0.25">
      <c r="B104" s="6"/>
      <c r="AN104" s="9"/>
      <c r="AP104" s="8"/>
      <c r="AR104" s="6"/>
      <c r="CD104" s="9"/>
      <c r="CF104" s="8"/>
      <c r="CM104" s="2">
        <f t="shared" si="71"/>
        <v>16.399999999999974</v>
      </c>
      <c r="CN104" s="1" t="str">
        <f t="shared" si="55"/>
        <v>0.0107986736111111+17.7098247222222i</v>
      </c>
      <c r="CO104" s="1" t="str">
        <f t="shared" si="56"/>
        <v>-0.0658455707994581i</v>
      </c>
      <c r="CP104" s="1" t="str">
        <f t="shared" si="57"/>
        <v>10.7986736111111</v>
      </c>
      <c r="CQ104" s="1" t="str">
        <f t="shared" si="58"/>
        <v>-1.58029369918699i</v>
      </c>
      <c r="CR104" s="1" t="str">
        <f t="shared" si="59"/>
        <v>0.0107986736111111+17.6439791514227i</v>
      </c>
      <c r="CS104" s="1" t="str">
        <f t="shared" si="60"/>
        <v>7.85462745131585+4.8054787223675i</v>
      </c>
      <c r="CT104" s="1" t="str">
        <f t="shared" si="61"/>
        <v>7.85462745131585+3.22518502318051i</v>
      </c>
      <c r="CU104" s="1" t="str">
        <f t="shared" si="62"/>
        <v>0.0191834803010191+7.86522692341785i</v>
      </c>
      <c r="CV104" s="1" t="str">
        <f t="shared" si="63"/>
        <v>2.63406896406917+4.14378602089305i</v>
      </c>
      <c r="CW104" s="2">
        <f t="shared" si="64"/>
        <v>16.399999999999974</v>
      </c>
      <c r="CX104" s="14">
        <f t="shared" si="65"/>
        <v>8.4909946904183364</v>
      </c>
      <c r="CY104" s="14">
        <f t="shared" si="54"/>
        <v>7.8652503178712276</v>
      </c>
      <c r="CZ104" s="14">
        <f t="shared" si="66"/>
        <v>4.9101203543722933</v>
      </c>
      <c r="DE104" s="14">
        <f t="shared" si="67"/>
        <v>16.399999999999974</v>
      </c>
      <c r="DF104" s="151">
        <f t="shared" si="68"/>
        <v>0.57827386936339986</v>
      </c>
      <c r="DH104" s="152">
        <f t="shared" si="69"/>
        <v>16.399999999999974</v>
      </c>
      <c r="DI104" s="1">
        <f t="shared" si="70"/>
        <v>0.62428023978024449</v>
      </c>
    </row>
    <row r="105" spans="2:113" ht="18" customHeight="1" x14ac:dyDescent="0.3">
      <c r="B105" s="6"/>
      <c r="C105" s="30" t="s">
        <v>101</v>
      </c>
      <c r="D105" s="21"/>
      <c r="E105" s="21"/>
      <c r="F105" s="21"/>
      <c r="G105" s="21"/>
      <c r="H105" s="21"/>
      <c r="I105" s="21"/>
      <c r="J105" s="21"/>
      <c r="K105" s="21"/>
      <c r="L105" s="21"/>
      <c r="M105" s="21"/>
      <c r="N105" s="21"/>
      <c r="AO105" s="17"/>
      <c r="AP105" s="8"/>
      <c r="AR105" s="6"/>
      <c r="AS105" s="30" t="s">
        <v>102</v>
      </c>
      <c r="CE105" s="17"/>
      <c r="CF105" s="8"/>
      <c r="CM105" s="2">
        <f t="shared" si="71"/>
        <v>16.599999999999973</v>
      </c>
      <c r="CN105" s="1" t="str">
        <f t="shared" si="55"/>
        <v>0.0107986736111111+17.9257981944444i</v>
      </c>
      <c r="CO105" s="1" t="str">
        <f t="shared" si="56"/>
        <v>-0.0650522506693442i</v>
      </c>
      <c r="CP105" s="1" t="str">
        <f t="shared" si="57"/>
        <v>10.7986736111111</v>
      </c>
      <c r="CQ105" s="1" t="str">
        <f t="shared" si="58"/>
        <v>-1.56125401606426i</v>
      </c>
      <c r="CR105" s="1" t="str">
        <f t="shared" si="59"/>
        <v>0.0107986736111111+17.8607459437751i</v>
      </c>
      <c r="CS105" s="1" t="str">
        <f t="shared" si="60"/>
        <v>7.90661334769212+4.77861936812777i</v>
      </c>
      <c r="CT105" s="1" t="str">
        <f t="shared" si="61"/>
        <v>7.90661334769212+3.21736535206351i</v>
      </c>
      <c r="CU105" s="1" t="str">
        <f t="shared" si="62"/>
        <v>0.0191834803010191+7.96114432492294i</v>
      </c>
      <c r="CV105" s="1" t="str">
        <f t="shared" si="63"/>
        <v>2.67615076142149+4.17523105647736i</v>
      </c>
      <c r="CW105" s="2">
        <f t="shared" si="64"/>
        <v>16.599999999999973</v>
      </c>
      <c r="CX105" s="14">
        <f t="shared" si="65"/>
        <v>8.5361568892893445</v>
      </c>
      <c r="CY105" s="14">
        <f t="shared" si="54"/>
        <v>7.9611674375162611</v>
      </c>
      <c r="CZ105" s="14">
        <f t="shared" si="66"/>
        <v>4.9592678162033019</v>
      </c>
      <c r="DE105" s="14">
        <f t="shared" si="67"/>
        <v>16.599999999999973</v>
      </c>
      <c r="DF105" s="151">
        <f t="shared" si="68"/>
        <v>0.58097196203433099</v>
      </c>
      <c r="DH105" s="152">
        <f t="shared" si="69"/>
        <v>16.599999999999973</v>
      </c>
      <c r="DI105" s="1">
        <f t="shared" si="70"/>
        <v>0.62293223388735808</v>
      </c>
    </row>
    <row r="106" spans="2:113" ht="18" customHeight="1" x14ac:dyDescent="0.3">
      <c r="B106" s="6"/>
      <c r="C106" s="46"/>
      <c r="D106" s="154" t="s">
        <v>103</v>
      </c>
      <c r="E106" s="154"/>
      <c r="F106" s="154"/>
      <c r="G106" s="154"/>
      <c r="H106" s="154"/>
      <c r="I106" s="154"/>
      <c r="J106" s="154"/>
      <c r="K106" s="154"/>
      <c r="L106" s="154"/>
      <c r="M106" s="154"/>
      <c r="N106" s="154"/>
      <c r="O106" s="154"/>
      <c r="P106" s="154"/>
      <c r="Q106" s="154"/>
      <c r="R106" s="154"/>
      <c r="S106" s="154"/>
      <c r="T106" s="154"/>
      <c r="U106" s="154"/>
      <c r="V106" s="154"/>
      <c r="W106" s="154"/>
      <c r="X106" s="154"/>
      <c r="Y106" s="154"/>
      <c r="Z106" s="154"/>
      <c r="AA106" s="154"/>
      <c r="AB106" s="154"/>
      <c r="AC106" s="154"/>
      <c r="AD106" s="154"/>
      <c r="AE106" s="154"/>
      <c r="AF106" s="154"/>
      <c r="AG106" s="154"/>
      <c r="AH106" s="154"/>
      <c r="AI106" s="154"/>
      <c r="AJ106" s="154"/>
      <c r="AK106" s="154"/>
      <c r="AL106" s="154"/>
      <c r="AM106" s="154"/>
      <c r="AN106" s="154"/>
      <c r="AO106" s="46"/>
      <c r="AP106" s="8"/>
      <c r="AR106" s="6"/>
      <c r="CF106" s="8"/>
      <c r="CM106" s="2">
        <f t="shared" si="71"/>
        <v>16.799999999999972</v>
      </c>
      <c r="CN106" s="1" t="str">
        <f t="shared" si="55"/>
        <v>0.0107986736111111+18.1417716666666i</v>
      </c>
      <c r="CO106" s="1" t="str">
        <f t="shared" si="56"/>
        <v>-0.0642778191137567i</v>
      </c>
      <c r="CP106" s="1" t="str">
        <f t="shared" si="57"/>
        <v>10.7986736111111</v>
      </c>
      <c r="CQ106" s="1" t="str">
        <f t="shared" si="58"/>
        <v>-1.54266765873016i</v>
      </c>
      <c r="CR106" s="1" t="str">
        <f t="shared" si="59"/>
        <v>0.0107986736111111+18.0774938475528i</v>
      </c>
      <c r="CS106" s="1" t="str">
        <f t="shared" si="60"/>
        <v>7.95739278509967+4.75168771411598i</v>
      </c>
      <c r="CT106" s="1" t="str">
        <f t="shared" si="61"/>
        <v>7.95739278509967+3.20902005538582i</v>
      </c>
      <c r="CU106" s="1" t="str">
        <f t="shared" si="62"/>
        <v>0.0191834803010191+8.05706172642804i</v>
      </c>
      <c r="CV106" s="1" t="str">
        <f t="shared" si="63"/>
        <v>2.71833233116783+4.20604148379295i</v>
      </c>
      <c r="CW106" s="2">
        <f t="shared" si="64"/>
        <v>16.799999999999972</v>
      </c>
      <c r="CX106" s="14">
        <f t="shared" si="65"/>
        <v>8.5800879746203478</v>
      </c>
      <c r="CY106" s="14">
        <f t="shared" si="54"/>
        <v>8.0570845638722215</v>
      </c>
      <c r="CZ106" s="14">
        <f t="shared" si="66"/>
        <v>5.0080051543563258</v>
      </c>
      <c r="DE106" s="14">
        <f t="shared" si="67"/>
        <v>16.799999999999972</v>
      </c>
      <c r="DF106" s="151">
        <f t="shared" si="68"/>
        <v>0.5836775997134146</v>
      </c>
      <c r="DH106" s="152">
        <f t="shared" si="69"/>
        <v>16.799999999999972</v>
      </c>
      <c r="DI106" s="1">
        <f t="shared" si="70"/>
        <v>0.62156542042665275</v>
      </c>
    </row>
    <row r="107" spans="2:113" ht="18" customHeight="1" x14ac:dyDescent="0.3">
      <c r="B107" s="6"/>
      <c r="AP107" s="8"/>
      <c r="AR107" s="6"/>
      <c r="AS107" s="154" t="str">
        <f>S20&amp;" Hertz Losses"</f>
        <v>60 Hertz Losses</v>
      </c>
      <c r="AT107" s="154"/>
      <c r="AU107" s="154"/>
      <c r="AV107" s="154"/>
      <c r="AW107" s="154"/>
      <c r="AX107" s="154"/>
      <c r="AY107" s="154"/>
      <c r="AZ107" s="154"/>
      <c r="BA107" s="154"/>
      <c r="BB107" s="154"/>
      <c r="BC107" s="154"/>
      <c r="BD107" s="154"/>
      <c r="BE107" s="154"/>
      <c r="BF107" s="154"/>
      <c r="BG107" s="154"/>
      <c r="BH107" s="154"/>
      <c r="BI107" s="154"/>
      <c r="BJ107" s="154"/>
      <c r="BK107" s="154"/>
      <c r="BL107" s="154"/>
      <c r="BM107" s="154"/>
      <c r="BN107" s="154"/>
      <c r="BO107" s="154"/>
      <c r="BP107" s="154"/>
      <c r="BQ107" s="154"/>
      <c r="BR107" s="154"/>
      <c r="BS107" s="154"/>
      <c r="BT107" s="154"/>
      <c r="BU107" s="154"/>
      <c r="BV107" s="154"/>
      <c r="BW107" s="154"/>
      <c r="BX107" s="154"/>
      <c r="BY107" s="154"/>
      <c r="BZ107" s="154"/>
      <c r="CA107" s="154"/>
      <c r="CB107" s="154"/>
      <c r="CC107" s="154"/>
      <c r="CD107" s="154"/>
      <c r="CE107" s="154"/>
      <c r="CF107" s="8"/>
      <c r="CM107" s="2">
        <f t="shared" si="71"/>
        <v>16.999999999999972</v>
      </c>
      <c r="CN107" s="1" t="str">
        <f t="shared" si="55"/>
        <v>0.0107986736111111+18.3577451388889i</v>
      </c>
      <c r="CO107" s="1" t="str">
        <f t="shared" si="56"/>
        <v>-0.0635216094771243i</v>
      </c>
      <c r="CP107" s="1" t="str">
        <f t="shared" si="57"/>
        <v>10.7986736111111</v>
      </c>
      <c r="CQ107" s="1" t="str">
        <f t="shared" si="58"/>
        <v>-1.52451862745098i</v>
      </c>
      <c r="CR107" s="1" t="str">
        <f t="shared" si="59"/>
        <v>0.0107986736111111+18.2942235294118i</v>
      </c>
      <c r="CS107" s="1" t="str">
        <f t="shared" si="60"/>
        <v>8.00699672701265+4.72470436986753i</v>
      </c>
      <c r="CT107" s="1" t="str">
        <f t="shared" si="61"/>
        <v>8.00699672701265+3.20018574241655i</v>
      </c>
      <c r="CU107" s="1" t="str">
        <f t="shared" si="62"/>
        <v>0.0191834803010191+8.15297912793313i</v>
      </c>
      <c r="CV107" s="1" t="str">
        <f t="shared" si="63"/>
        <v>2.76060267736375+4.23622316930917i</v>
      </c>
      <c r="CW107" s="2">
        <f t="shared" si="64"/>
        <v>16.999999999999972</v>
      </c>
      <c r="CX107" s="14">
        <f t="shared" si="65"/>
        <v>8.6228293136509109</v>
      </c>
      <c r="CY107" s="14">
        <f t="shared" si="54"/>
        <v>8.1530016967022512</v>
      </c>
      <c r="CZ107" s="14">
        <f t="shared" si="66"/>
        <v>5.0563340358860529</v>
      </c>
      <c r="DE107" s="14">
        <f t="shared" si="67"/>
        <v>16.999999999999972</v>
      </c>
      <c r="DF107" s="151">
        <f t="shared" si="68"/>
        <v>0.58638920613693513</v>
      </c>
      <c r="DH107" s="152">
        <f t="shared" si="69"/>
        <v>16.999999999999972</v>
      </c>
      <c r="DI107" s="1">
        <f t="shared" si="70"/>
        <v>0.62018066768356683</v>
      </c>
    </row>
    <row r="108" spans="2:113" ht="18" customHeight="1" x14ac:dyDescent="0.25">
      <c r="B108" s="6"/>
      <c r="G108" s="35" t="s">
        <v>105</v>
      </c>
      <c r="H108" s="53" t="s">
        <v>225</v>
      </c>
      <c r="I108" s="38"/>
      <c r="J108" s="38"/>
      <c r="K108" s="38"/>
      <c r="L108" s="38"/>
      <c r="M108" s="38"/>
      <c r="N108" s="38"/>
      <c r="O108" s="38"/>
      <c r="Q108" s="24"/>
      <c r="R108" s="24"/>
      <c r="S108" s="24"/>
      <c r="T108" s="24"/>
      <c r="U108" s="24"/>
      <c r="V108" s="24"/>
      <c r="W108" s="32" t="s">
        <v>107</v>
      </c>
      <c r="X108" s="234" t="s">
        <v>108</v>
      </c>
      <c r="Y108" s="234"/>
      <c r="Z108" s="234"/>
      <c r="AA108" s="234"/>
      <c r="AB108" s="234"/>
      <c r="AC108" s="234"/>
      <c r="AD108" s="234"/>
      <c r="AE108" s="234"/>
      <c r="AF108" s="234"/>
      <c r="AG108" s="234"/>
      <c r="AH108" s="234"/>
      <c r="AI108" s="234"/>
      <c r="AJ108" s="234"/>
      <c r="AK108" s="234"/>
      <c r="AL108" s="234"/>
      <c r="AM108" s="234"/>
      <c r="AN108" s="234"/>
      <c r="AO108" s="234"/>
      <c r="AP108" s="8"/>
      <c r="AR108" s="6"/>
      <c r="AT108" s="180" t="s">
        <v>226</v>
      </c>
      <c r="AU108" s="180"/>
      <c r="AV108" s="180"/>
      <c r="AW108" s="180"/>
      <c r="AX108" s="180"/>
      <c r="AY108" s="180"/>
      <c r="AZ108" s="180"/>
      <c r="BA108" s="180"/>
      <c r="BB108" s="180"/>
      <c r="BC108" s="180"/>
      <c r="BD108" s="180"/>
      <c r="BE108" s="180"/>
      <c r="BF108" s="180"/>
      <c r="BG108" s="180"/>
      <c r="BH108" s="199">
        <f>0.1*AJ29*3</f>
        <v>1148.3076946821529</v>
      </c>
      <c r="BI108" s="199"/>
      <c r="BJ108" s="199"/>
      <c r="BK108" s="199"/>
      <c r="BL108" s="1" t="str">
        <f t="shared" ref="BL108:BL114" si="72">"Watts, 3-Phase or "&amp;ROUND(BH108*3.412141,0)&amp;" BTUs/Hour"</f>
        <v>Watts, 3-Phase or 3918 BTUs/Hour</v>
      </c>
      <c r="CF108" s="8"/>
      <c r="CM108" s="2">
        <f t="shared" si="71"/>
        <v>17.199999999999971</v>
      </c>
      <c r="CN108" s="1" t="str">
        <f t="shared" si="55"/>
        <v>0.0107986736111111+18.5737186111111i</v>
      </c>
      <c r="CO108" s="1" t="str">
        <f t="shared" si="56"/>
        <v>-0.0627829861111112i</v>
      </c>
      <c r="CP108" s="1" t="str">
        <f t="shared" si="57"/>
        <v>10.7986736111111</v>
      </c>
      <c r="CQ108" s="1" t="str">
        <f t="shared" si="58"/>
        <v>-1.50679166666667i</v>
      </c>
      <c r="CR108" s="1" t="str">
        <f t="shared" si="59"/>
        <v>0.0107986736111111+18.510935625i</v>
      </c>
      <c r="CS108" s="1" t="str">
        <f t="shared" si="60"/>
        <v>8.0554554568393+4.69768859399614i</v>
      </c>
      <c r="CT108" s="1" t="str">
        <f t="shared" si="61"/>
        <v>8.0554554568393+3.19089692732947i</v>
      </c>
      <c r="CU108" s="1" t="str">
        <f t="shared" si="62"/>
        <v>0.0191834803010191+8.24889652943823i</v>
      </c>
      <c r="CV108" s="1" t="str">
        <f t="shared" si="63"/>
        <v>2.80295109899646+4.26578199911107i</v>
      </c>
      <c r="CW108" s="2">
        <f t="shared" si="64"/>
        <v>17.199999999999971</v>
      </c>
      <c r="CX108" s="14">
        <f t="shared" si="65"/>
        <v>8.6644206856524875</v>
      </c>
      <c r="CY108" s="14">
        <f t="shared" si="54"/>
        <v>8.248918835780513</v>
      </c>
      <c r="CZ108" s="14">
        <f t="shared" si="66"/>
        <v>5.1042561580807737</v>
      </c>
      <c r="DE108" s="14">
        <f t="shared" si="67"/>
        <v>17.199999999999971</v>
      </c>
      <c r="DF108" s="151">
        <f t="shared" si="68"/>
        <v>0.58910530123877269</v>
      </c>
      <c r="DH108" s="152">
        <f t="shared" si="69"/>
        <v>17.199999999999971</v>
      </c>
      <c r="DI108" s="1">
        <f t="shared" si="70"/>
        <v>0.61877880722265621</v>
      </c>
    </row>
    <row r="109" spans="2:113" ht="18" customHeight="1" x14ac:dyDescent="0.25">
      <c r="B109" s="6"/>
      <c r="G109" s="35" t="s">
        <v>24</v>
      </c>
      <c r="H109" s="53" t="str">
        <f>AE13</f>
        <v>Stage 1</v>
      </c>
      <c r="I109" s="38"/>
      <c r="J109" s="38"/>
      <c r="K109" s="38"/>
      <c r="L109" s="38"/>
      <c r="M109" s="38"/>
      <c r="N109" s="38"/>
      <c r="O109" s="38"/>
      <c r="AP109" s="8"/>
      <c r="AR109" s="6"/>
      <c r="AT109" s="232" t="s">
        <v>227</v>
      </c>
      <c r="AU109" s="232"/>
      <c r="AV109" s="232"/>
      <c r="AW109" s="232"/>
      <c r="AX109" s="232"/>
      <c r="AY109" s="232"/>
      <c r="AZ109" s="232"/>
      <c r="BA109" s="232"/>
      <c r="BB109" s="232"/>
      <c r="BC109" s="232"/>
      <c r="BD109" s="232"/>
      <c r="BE109" s="232"/>
      <c r="BF109" s="232"/>
      <c r="BG109" s="232"/>
      <c r="BH109" s="199">
        <f>(1.9*BJ19+12)*S29*3</f>
        <v>3033.55373126718</v>
      </c>
      <c r="BI109" s="199"/>
      <c r="BJ109" s="199"/>
      <c r="BK109" s="199"/>
      <c r="BL109" s="1" t="str">
        <f t="shared" si="72"/>
        <v>Watts, 3-Phase or 10351 BTUs/Hour</v>
      </c>
      <c r="CF109" s="8"/>
      <c r="CM109" s="2">
        <f t="shared" si="71"/>
        <v>17.39999999999997</v>
      </c>
      <c r="CN109" s="1" t="str">
        <f t="shared" si="55"/>
        <v>0.0107986736111111+18.7896920833333i</v>
      </c>
      <c r="CO109" s="1" t="str">
        <f t="shared" si="56"/>
        <v>-0.0620613425925927i</v>
      </c>
      <c r="CP109" s="1" t="str">
        <f t="shared" si="57"/>
        <v>10.7986736111111</v>
      </c>
      <c r="CQ109" s="1" t="str">
        <f t="shared" si="58"/>
        <v>-1.48947222222223i</v>
      </c>
      <c r="CR109" s="1" t="str">
        <f t="shared" si="59"/>
        <v>0.0107986736111111+18.7276307407407i</v>
      </c>
      <c r="CS109" s="1" t="str">
        <f t="shared" si="60"/>
        <v>8.10279857481214+4.67065837009874i</v>
      </c>
      <c r="CT109" s="1" t="str">
        <f t="shared" si="61"/>
        <v>8.10279857481214+3.18118614787651i</v>
      </c>
      <c r="CU109" s="1" t="str">
        <f t="shared" si="62"/>
        <v>0.0191834803010191+8.34481393094332i</v>
      </c>
      <c r="CV109" s="1" t="str">
        <f t="shared" si="63"/>
        <v>2.84536718115748+4.29472388113314i</v>
      </c>
      <c r="CW109" s="2">
        <f t="shared" si="64"/>
        <v>17.39999999999997</v>
      </c>
      <c r="CX109" s="14">
        <f t="shared" si="65"/>
        <v>8.7049003470125381</v>
      </c>
      <c r="CY109" s="14">
        <f t="shared" si="54"/>
        <v>8.3448359808915491</v>
      </c>
      <c r="CZ109" s="14">
        <f t="shared" si="66"/>
        <v>5.1517732491622112</v>
      </c>
      <c r="DE109" s="14">
        <f t="shared" si="67"/>
        <v>17.39999999999997</v>
      </c>
      <c r="DF109" s="151">
        <f t="shared" si="68"/>
        <v>0.59182449468594567</v>
      </c>
      <c r="DH109" s="152">
        <f t="shared" si="69"/>
        <v>17.39999999999997</v>
      </c>
      <c r="DI109" s="1">
        <f t="shared" si="70"/>
        <v>0.61736063608188552</v>
      </c>
    </row>
    <row r="110" spans="2:113" ht="18" customHeight="1" x14ac:dyDescent="0.25">
      <c r="B110" s="6"/>
      <c r="G110" s="35" t="s">
        <v>111</v>
      </c>
      <c r="H110" s="323">
        <f>S19</f>
        <v>5</v>
      </c>
      <c r="I110" s="324"/>
      <c r="J110" s="324"/>
      <c r="K110" s="324"/>
      <c r="L110" s="324"/>
      <c r="M110" s="324"/>
      <c r="N110" s="324"/>
      <c r="O110" s="324"/>
      <c r="AP110" s="8"/>
      <c r="AR110" s="6"/>
      <c r="AT110" s="180" t="s">
        <v>228</v>
      </c>
      <c r="AU110" s="180"/>
      <c r="AV110" s="180"/>
      <c r="AW110" s="180"/>
      <c r="AX110" s="180"/>
      <c r="AY110" s="180"/>
      <c r="AZ110" s="180"/>
      <c r="BA110" s="180"/>
      <c r="BB110" s="180"/>
      <c r="BC110" s="180"/>
      <c r="BD110" s="180"/>
      <c r="BE110" s="180"/>
      <c r="BF110" s="180"/>
      <c r="BG110" s="180"/>
      <c r="BH110" s="199">
        <f>3*0.1*AJ35</f>
        <v>277.81189690863522</v>
      </c>
      <c r="BI110" s="199"/>
      <c r="BJ110" s="199"/>
      <c r="BK110" s="199"/>
      <c r="BL110" s="1" t="str">
        <f t="shared" si="72"/>
        <v>Watts, 3-Phase or 948 BTUs/Hour</v>
      </c>
      <c r="CF110" s="8"/>
      <c r="CM110" s="2">
        <f t="shared" si="71"/>
        <v>17.599999999999969</v>
      </c>
      <c r="CN110" s="1" t="str">
        <f t="shared" si="55"/>
        <v>0.0107986736111111+19.0056655555555i</v>
      </c>
      <c r="CO110" s="1" t="str">
        <f t="shared" si="56"/>
        <v>-0.0613561000631314i</v>
      </c>
      <c r="CP110" s="1" t="str">
        <f t="shared" si="57"/>
        <v>10.7986736111111</v>
      </c>
      <c r="CQ110" s="1" t="str">
        <f t="shared" si="58"/>
        <v>-1.47254640151515i</v>
      </c>
      <c r="CR110" s="1" t="str">
        <f t="shared" si="59"/>
        <v>0.0107986736111111+18.9443094554924i</v>
      </c>
      <c r="CS110" s="1" t="str">
        <f t="shared" si="60"/>
        <v>8.14905499719978+4.64363047878971i</v>
      </c>
      <c r="CT110" s="1" t="str">
        <f t="shared" si="61"/>
        <v>8.14905499719978+3.17108407727456i</v>
      </c>
      <c r="CU110" s="1" t="str">
        <f t="shared" si="62"/>
        <v>0.0191834803010191+8.44073133244842i</v>
      </c>
      <c r="CV110" s="1" t="str">
        <f t="shared" si="63"/>
        <v>2.88784078694536+4.32305474677622i</v>
      </c>
      <c r="CW110" s="2">
        <f t="shared" si="64"/>
        <v>17.599999999999969</v>
      </c>
      <c r="CX110" s="14">
        <f t="shared" si="65"/>
        <v>8.7443050937470712</v>
      </c>
      <c r="CY110" s="14">
        <f t="shared" si="54"/>
        <v>8.4407531318297035</v>
      </c>
      <c r="CZ110" s="14">
        <f t="shared" si="66"/>
        <v>5.1988870688224811</v>
      </c>
      <c r="DE110" s="14">
        <f t="shared" si="67"/>
        <v>17.599999999999969</v>
      </c>
      <c r="DF110" s="151">
        <f t="shared" si="68"/>
        <v>0.59454547995359153</v>
      </c>
      <c r="DH110" s="152">
        <f t="shared" si="69"/>
        <v>17.599999999999969</v>
      </c>
      <c r="DI110" s="1">
        <f t="shared" si="70"/>
        <v>0.61592691879800598</v>
      </c>
    </row>
    <row r="111" spans="2:113" ht="18" customHeight="1" x14ac:dyDescent="0.25">
      <c r="B111" s="6"/>
      <c r="H111" s="18"/>
      <c r="AP111" s="8"/>
      <c r="AR111" s="6"/>
      <c r="AT111" s="180" t="s">
        <v>229</v>
      </c>
      <c r="AU111" s="180"/>
      <c r="AV111" s="180"/>
      <c r="AW111" s="180"/>
      <c r="AX111" s="180"/>
      <c r="AY111" s="180"/>
      <c r="AZ111" s="180"/>
      <c r="BA111" s="180"/>
      <c r="BB111" s="180"/>
      <c r="BC111" s="180"/>
      <c r="BD111" s="180"/>
      <c r="BE111" s="180"/>
      <c r="BF111" s="180"/>
      <c r="BG111" s="180"/>
      <c r="BH111" s="199">
        <f>(1.9*BJ36+12)*S35*3</f>
        <v>3066.7030282389433</v>
      </c>
      <c r="BI111" s="199"/>
      <c r="BJ111" s="199"/>
      <c r="BK111" s="199"/>
      <c r="BL111" s="1" t="str">
        <f t="shared" si="72"/>
        <v>Watts, 3-Phase or 10464 BTUs/Hour</v>
      </c>
      <c r="CF111" s="8"/>
      <c r="CM111" s="2">
        <f t="shared" si="71"/>
        <v>17.799999999999969</v>
      </c>
      <c r="CN111" s="1" t="str">
        <f t="shared" si="55"/>
        <v>0.0107986736111111+19.2216390277777i</v>
      </c>
      <c r="CO111" s="1" t="str">
        <f t="shared" si="56"/>
        <v>-0.0606667056803996i</v>
      </c>
      <c r="CP111" s="1" t="str">
        <f t="shared" si="57"/>
        <v>10.7986736111111</v>
      </c>
      <c r="CQ111" s="1" t="str">
        <f t="shared" si="58"/>
        <v>-1.45600093632959i</v>
      </c>
      <c r="CR111" s="1" t="str">
        <f t="shared" si="59"/>
        <v>0.0107986736111111+19.1609723220973i</v>
      </c>
      <c r="CS111" s="1" t="str">
        <f t="shared" si="60"/>
        <v>8.1942529575759+4.61662056602135i</v>
      </c>
      <c r="CT111" s="1" t="str">
        <f t="shared" si="61"/>
        <v>8.1942529575759+3.16061962969176i</v>
      </c>
      <c r="CU111" s="1" t="str">
        <f t="shared" si="62"/>
        <v>0.0191834803010191+8.53664873395352i</v>
      </c>
      <c r="CV111" s="1" t="str">
        <f t="shared" si="63"/>
        <v>2.93036205000638+4.35078055197819i</v>
      </c>
      <c r="CW111" s="2">
        <f t="shared" si="64"/>
        <v>17.799999999999969</v>
      </c>
      <c r="CX111" s="14">
        <f t="shared" si="65"/>
        <v>8.7826703215100963</v>
      </c>
      <c r="CY111" s="14">
        <f t="shared" si="54"/>
        <v>8.5366702883985521</v>
      </c>
      <c r="CZ111" s="14">
        <f t="shared" si="66"/>
        <v>5.2455994086080615</v>
      </c>
      <c r="DE111" s="14">
        <f t="shared" si="67"/>
        <v>17.799999999999969</v>
      </c>
      <c r="DF111" s="151">
        <f t="shared" si="68"/>
        <v>0.59726702888537131</v>
      </c>
      <c r="DH111" s="152">
        <f t="shared" si="69"/>
        <v>17.799999999999969</v>
      </c>
      <c r="DI111" s="1">
        <f t="shared" si="70"/>
        <v>0.61447838927748044</v>
      </c>
    </row>
    <row r="112" spans="2:113" ht="18" customHeight="1" x14ac:dyDescent="0.3">
      <c r="B112" s="6"/>
      <c r="D112" s="320" t="s">
        <v>113</v>
      </c>
      <c r="E112" s="320"/>
      <c r="F112" s="320"/>
      <c r="G112" s="320"/>
      <c r="H112" s="320"/>
      <c r="I112" s="320"/>
      <c r="J112" s="320"/>
      <c r="K112" s="320"/>
      <c r="M112" s="154" t="s">
        <v>114</v>
      </c>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54"/>
      <c r="AN112" s="154"/>
      <c r="AO112" s="154"/>
      <c r="AP112" s="8"/>
      <c r="AR112" s="6"/>
      <c r="AT112" s="225" t="str">
        <f>"High-Pass Resistor Losses, "&amp;S20&amp;" Hertz:"</f>
        <v>High-Pass Resistor Losses, 60 Hertz:</v>
      </c>
      <c r="AU112" s="225"/>
      <c r="AV112" s="225"/>
      <c r="AW112" s="225"/>
      <c r="AX112" s="225"/>
      <c r="AY112" s="225"/>
      <c r="AZ112" s="225"/>
      <c r="BA112" s="225"/>
      <c r="BB112" s="225"/>
      <c r="BC112" s="225"/>
      <c r="BD112" s="225"/>
      <c r="BE112" s="225"/>
      <c r="BF112" s="225"/>
      <c r="BG112" s="225"/>
      <c r="BH112" s="211">
        <f>CZ6*3</f>
        <v>2.5009263490385485</v>
      </c>
      <c r="BI112" s="211"/>
      <c r="BJ112" s="211"/>
      <c r="BK112" s="211"/>
      <c r="BL112" s="1" t="str">
        <f t="shared" si="72"/>
        <v>Watts, 3-Phase or 9 BTUs/Hour</v>
      </c>
      <c r="CF112" s="8"/>
      <c r="CM112" s="2">
        <f t="shared" si="71"/>
        <v>17.999999999999968</v>
      </c>
      <c r="CN112" s="1" t="str">
        <f t="shared" si="55"/>
        <v>0.0107986736111111+19.4376125i</v>
      </c>
      <c r="CO112" s="1" t="str">
        <f t="shared" si="56"/>
        <v>-0.0599926311728396i</v>
      </c>
      <c r="CP112" s="1" t="str">
        <f t="shared" si="57"/>
        <v>10.7986736111111</v>
      </c>
      <c r="CQ112" s="1" t="str">
        <f t="shared" si="58"/>
        <v>-1.43982314814815i</v>
      </c>
      <c r="CR112" s="1" t="str">
        <f t="shared" si="59"/>
        <v>0.0107986736111111+19.3776198688272i</v>
      </c>
      <c r="CS112" s="1" t="str">
        <f t="shared" si="60"/>
        <v>8.23842000990415+4.58964320784682i</v>
      </c>
      <c r="CT112" s="1" t="str">
        <f t="shared" si="61"/>
        <v>8.23842000990415+3.14982005969867i</v>
      </c>
      <c r="CU112" s="1" t="str">
        <f t="shared" si="62"/>
        <v>0.0191834803010191+8.63256613545861i</v>
      </c>
      <c r="CV112" s="1" t="str">
        <f t="shared" si="63"/>
        <v>2.97292136763285+4.37790727780106i</v>
      </c>
      <c r="CW112" s="2">
        <f t="shared" si="64"/>
        <v>17.999999999999968</v>
      </c>
      <c r="CX112" s="14">
        <f t="shared" si="65"/>
        <v>8.8200300831725755</v>
      </c>
      <c r="CY112" s="14">
        <f t="shared" si="54"/>
        <v>8.6325874504104085</v>
      </c>
      <c r="CZ112" s="14">
        <f t="shared" si="66"/>
        <v>5.291912092160211</v>
      </c>
      <c r="DE112" s="14">
        <f t="shared" si="67"/>
        <v>17.999999999999968</v>
      </c>
      <c r="DF112" s="151">
        <f t="shared" si="68"/>
        <v>0.59998798669139064</v>
      </c>
      <c r="DH112" s="152">
        <f t="shared" si="69"/>
        <v>17.999999999999968</v>
      </c>
      <c r="DI112" s="1">
        <f t="shared" si="70"/>
        <v>0.61301575252604323</v>
      </c>
    </row>
    <row r="113" spans="2:113" ht="18" customHeight="1" thickBot="1" x14ac:dyDescent="0.3">
      <c r="B113" s="6"/>
      <c r="D113" s="172" t="s">
        <v>115</v>
      </c>
      <c r="E113" s="172"/>
      <c r="F113" s="172"/>
      <c r="G113" s="321"/>
      <c r="H113" s="322" t="s">
        <v>116</v>
      </c>
      <c r="I113" s="172"/>
      <c r="J113" s="172"/>
      <c r="K113" s="172"/>
      <c r="V113" s="35" t="s">
        <v>117</v>
      </c>
      <c r="W113" s="247">
        <v>3</v>
      </c>
      <c r="X113" s="247"/>
      <c r="Y113" s="247"/>
      <c r="Z113" s="54"/>
      <c r="AA113" s="54"/>
      <c r="AB113" s="54"/>
      <c r="AC113" s="54"/>
      <c r="AD113" s="54"/>
      <c r="AE113" s="54"/>
      <c r="AF113" s="54"/>
      <c r="AG113" s="54"/>
      <c r="AH113" s="54"/>
      <c r="AI113" s="54"/>
      <c r="AJ113" s="54"/>
      <c r="AK113" s="54"/>
      <c r="AL113" s="54"/>
      <c r="AM113" s="54"/>
      <c r="AN113" s="54"/>
      <c r="AP113" s="8"/>
      <c r="AR113" s="6"/>
      <c r="AT113" s="225" t="str">
        <f>"Iron-Core Reactor Losses, "&amp;S20&amp;" Hertz:"</f>
        <v>Iron-Core Reactor Losses, 60 Hertz:</v>
      </c>
      <c r="AU113" s="225"/>
      <c r="AV113" s="225"/>
      <c r="AW113" s="225"/>
      <c r="AX113" s="225"/>
      <c r="AY113" s="225"/>
      <c r="AZ113" s="225"/>
      <c r="BA113" s="225"/>
      <c r="BB113" s="225"/>
      <c r="BC113" s="225"/>
      <c r="BD113" s="225"/>
      <c r="BE113" s="225"/>
      <c r="BF113" s="225"/>
      <c r="BG113" s="225"/>
      <c r="BH113" s="227">
        <f>DA6*3</f>
        <v>2500.9263490385479</v>
      </c>
      <c r="BI113" s="227"/>
      <c r="BJ113" s="227"/>
      <c r="BK113" s="227"/>
      <c r="BL113" s="1" t="str">
        <f t="shared" si="72"/>
        <v>Watts, 3-Phase or 8534 BTUs/Hour</v>
      </c>
      <c r="CF113" s="8"/>
      <c r="CM113" s="2">
        <f t="shared" si="71"/>
        <v>18.199999999999967</v>
      </c>
      <c r="CN113" s="1" t="str">
        <f t="shared" si="55"/>
        <v>0.0107986736111111+19.6535859722222i</v>
      </c>
      <c r="CO113" s="1" t="str">
        <f t="shared" si="56"/>
        <v>-0.0593333714896216i</v>
      </c>
      <c r="CP113" s="1" t="str">
        <f t="shared" si="57"/>
        <v>10.7986736111111</v>
      </c>
      <c r="CQ113" s="1" t="str">
        <f t="shared" si="58"/>
        <v>-1.42400091575092i</v>
      </c>
      <c r="CR113" s="1" t="str">
        <f t="shared" si="59"/>
        <v>0.0107986736111111+19.5942526007326i</v>
      </c>
      <c r="CS113" s="1" t="str">
        <f t="shared" si="60"/>
        <v>8.28158303321954+4.56271197178046i</v>
      </c>
      <c r="CT113" s="1" t="str">
        <f t="shared" si="61"/>
        <v>8.28158303321954+3.13871105602954i</v>
      </c>
      <c r="CU113" s="1" t="str">
        <f t="shared" si="62"/>
        <v>0.0191834803010191+8.72848353696371i</v>
      </c>
      <c r="CV113" s="1" t="str">
        <f t="shared" si="63"/>
        <v>3.01550939434857+4.40444093059169i</v>
      </c>
      <c r="CW113" s="2">
        <f t="shared" si="64"/>
        <v>18.199999999999967</v>
      </c>
      <c r="CX113" s="14">
        <f t="shared" si="65"/>
        <v>8.8564171440459951</v>
      </c>
      <c r="CY113" s="14">
        <f t="shared" si="54"/>
        <v>8.7285046176858341</v>
      </c>
      <c r="CZ113" s="14">
        <f t="shared" si="66"/>
        <v>5.337826975322062</v>
      </c>
      <c r="DE113" s="14">
        <f t="shared" si="67"/>
        <v>18.199999999999967</v>
      </c>
      <c r="DF113" s="151">
        <f t="shared" si="68"/>
        <v>0.60270726734123858</v>
      </c>
      <c r="DH113" s="152">
        <f t="shared" si="69"/>
        <v>18.199999999999967</v>
      </c>
      <c r="DI113" s="1">
        <f t="shared" si="70"/>
        <v>0.61153968624894461</v>
      </c>
    </row>
    <row r="114" spans="2:113" ht="18" customHeight="1" thickTop="1" x14ac:dyDescent="0.25">
      <c r="B114" s="6"/>
      <c r="D114" s="310">
        <f>J24</f>
        <v>1</v>
      </c>
      <c r="E114" s="311"/>
      <c r="F114" s="311"/>
      <c r="G114" s="311"/>
      <c r="H114" s="318">
        <f>CX6*S40</f>
        <v>416.76944857294495</v>
      </c>
      <c r="I114" s="310"/>
      <c r="J114" s="310"/>
      <c r="K114" s="310"/>
      <c r="V114" s="35" t="s">
        <v>118</v>
      </c>
      <c r="W114" s="247">
        <v>1</v>
      </c>
      <c r="X114" s="247"/>
      <c r="Y114" s="247"/>
      <c r="Z114" s="54"/>
      <c r="AA114" s="54"/>
      <c r="AB114" s="54"/>
      <c r="AC114" s="54"/>
      <c r="AD114" s="54"/>
      <c r="AE114" s="54"/>
      <c r="AF114" s="54"/>
      <c r="AG114" s="54"/>
      <c r="AH114" s="54"/>
      <c r="AI114" s="54"/>
      <c r="AJ114" s="54"/>
      <c r="AK114" s="54"/>
      <c r="AL114" s="54"/>
      <c r="AM114" s="54"/>
      <c r="AN114" s="54"/>
      <c r="AP114" s="8"/>
      <c r="AR114" s="6"/>
      <c r="AT114" s="180" t="str">
        <f>"Total "&amp;S20&amp;" Hz Losses:"</f>
        <v>Total 60 Hz Losses:</v>
      </c>
      <c r="AU114" s="180"/>
      <c r="AV114" s="180"/>
      <c r="AW114" s="180"/>
      <c r="AX114" s="180"/>
      <c r="AY114" s="180"/>
      <c r="AZ114" s="180"/>
      <c r="BA114" s="180"/>
      <c r="BB114" s="180"/>
      <c r="BC114" s="180"/>
      <c r="BD114" s="180"/>
      <c r="BE114" s="180"/>
      <c r="BF114" s="180"/>
      <c r="BG114" s="180"/>
      <c r="BH114" s="199">
        <f>SUM(BH108:BK113)</f>
        <v>10029.803626484498</v>
      </c>
      <c r="BI114" s="199"/>
      <c r="BJ114" s="199"/>
      <c r="BK114" s="199"/>
      <c r="BL114" s="1" t="str">
        <f t="shared" si="72"/>
        <v>Watts, 3-Phase or 34223 BTUs/Hour</v>
      </c>
      <c r="CF114" s="8"/>
      <c r="CM114" s="2">
        <f t="shared" si="71"/>
        <v>18.399999999999967</v>
      </c>
      <c r="CN114" s="1" t="str">
        <f t="shared" si="55"/>
        <v>0.0107986736111111+19.8695594444444i</v>
      </c>
      <c r="CO114" s="1" t="str">
        <f t="shared" si="56"/>
        <v>-0.0586884435386475i</v>
      </c>
      <c r="CP114" s="1" t="str">
        <f t="shared" si="57"/>
        <v>10.7986736111111</v>
      </c>
      <c r="CQ114" s="1" t="str">
        <f t="shared" si="58"/>
        <v>-1.40852264492754i</v>
      </c>
      <c r="CR114" s="1" t="str">
        <f t="shared" si="59"/>
        <v>0.0107986736111111+19.8108710009058i</v>
      </c>
      <c r="CS114" s="1" t="str">
        <f t="shared" si="60"/>
        <v>8.32376823770734+4.53583947490651i</v>
      </c>
      <c r="CT114" s="1" t="str">
        <f t="shared" si="61"/>
        <v>8.32376823770734+3.12731682997897i</v>
      </c>
      <c r="CU114" s="1" t="str">
        <f t="shared" si="62"/>
        <v>0.0191834803010191+8.8244009384688i</v>
      </c>
      <c r="CV114" s="1" t="str">
        <f t="shared" si="63"/>
        <v>3.0581170359203+4.4303875417664i</v>
      </c>
      <c r="CW114" s="2">
        <f t="shared" si="64"/>
        <v>18.399999999999967</v>
      </c>
      <c r="CX114" s="14">
        <f t="shared" si="65"/>
        <v>8.8918630348277006</v>
      </c>
      <c r="CY114" s="14">
        <f t="shared" si="54"/>
        <v>8.8244217900531883</v>
      </c>
      <c r="CZ114" s="14">
        <f t="shared" si="66"/>
        <v>5.383345946121695</v>
      </c>
      <c r="DE114" s="14">
        <f t="shared" si="67"/>
        <v>18.399999999999967</v>
      </c>
      <c r="DF114" s="151">
        <f t="shared" si="68"/>
        <v>0.60542384931438775</v>
      </c>
      <c r="DH114" s="152">
        <f t="shared" si="69"/>
        <v>18.399999999999967</v>
      </c>
      <c r="DI114" s="1">
        <f t="shared" si="70"/>
        <v>0.61005084233278151</v>
      </c>
    </row>
    <row r="115" spans="2:113" ht="18" customHeight="1" x14ac:dyDescent="0.25">
      <c r="B115" s="6"/>
      <c r="D115" s="376">
        <f>L24</f>
        <v>2</v>
      </c>
      <c r="E115" s="377"/>
      <c r="F115" s="377"/>
      <c r="G115" s="378"/>
      <c r="H115" s="312">
        <f>CX7*$S$41</f>
        <v>0</v>
      </c>
      <c r="I115" s="313"/>
      <c r="J115" s="313"/>
      <c r="K115" s="313"/>
      <c r="V115" s="35" t="s">
        <v>120</v>
      </c>
      <c r="W115" s="317">
        <f>S17</f>
        <v>12.47</v>
      </c>
      <c r="X115" s="317"/>
      <c r="Y115" s="317"/>
      <c r="Z115" s="1" t="s">
        <v>32</v>
      </c>
      <c r="AP115" s="8"/>
      <c r="AR115" s="6"/>
      <c r="CF115" s="8"/>
      <c r="CM115" s="2">
        <f t="shared" si="71"/>
        <v>18.599999999999966</v>
      </c>
      <c r="CN115" s="1" t="str">
        <f t="shared" si="55"/>
        <v>0.0107986736111111+20.0855329166666i</v>
      </c>
      <c r="CO115" s="1" t="str">
        <f t="shared" si="56"/>
        <v>-0.0580573850059738i</v>
      </c>
      <c r="CP115" s="1" t="str">
        <f t="shared" si="57"/>
        <v>10.7986736111111</v>
      </c>
      <c r="CQ115" s="1" t="str">
        <f t="shared" si="58"/>
        <v>-1.39337724014337i</v>
      </c>
      <c r="CR115" s="1" t="str">
        <f t="shared" si="59"/>
        <v>0.0107986736111111+20.0274755316606i</v>
      </c>
      <c r="CS115" s="1" t="str">
        <f t="shared" si="60"/>
        <v>8.36500117199826+4.50903743888568i</v>
      </c>
      <c r="CT115" s="1" t="str">
        <f t="shared" si="61"/>
        <v>8.36500117199826+3.11566019874231i</v>
      </c>
      <c r="CU115" s="1" t="str">
        <f t="shared" si="62"/>
        <v>0.0191834803010191+8.9203183399739i</v>
      </c>
      <c r="CV115" s="1" t="str">
        <f t="shared" si="63"/>
        <v>3.10073544374126+4.45575316726535i</v>
      </c>
      <c r="CW115" s="2">
        <f t="shared" si="64"/>
        <v>18.599999999999966</v>
      </c>
      <c r="CX115" s="14">
        <f t="shared" si="65"/>
        <v>8.9263981023456065</v>
      </c>
      <c r="CY115" s="14">
        <f t="shared" si="54"/>
        <v>8.9203389673482221</v>
      </c>
      <c r="CZ115" s="14">
        <f t="shared" si="66"/>
        <v>5.428470924640612</v>
      </c>
      <c r="DE115" s="14">
        <f t="shared" si="67"/>
        <v>18.599999999999966</v>
      </c>
      <c r="DF115" s="151">
        <f t="shared" si="68"/>
        <v>0.60813677167436242</v>
      </c>
      <c r="DH115" s="152">
        <f t="shared" si="69"/>
        <v>18.599999999999966</v>
      </c>
      <c r="DI115" s="1">
        <f t="shared" si="70"/>
        <v>0.60854984821886771</v>
      </c>
    </row>
    <row r="116" spans="2:113" ht="18" customHeight="1" x14ac:dyDescent="0.3">
      <c r="B116" s="6"/>
      <c r="D116" s="310">
        <f>N24</f>
        <v>3</v>
      </c>
      <c r="E116" s="311"/>
      <c r="F116" s="311"/>
      <c r="G116" s="372"/>
      <c r="H116" s="312">
        <f t="shared" ref="H116:H129" si="73">CX8*$S$41</f>
        <v>0</v>
      </c>
      <c r="I116" s="313"/>
      <c r="J116" s="313"/>
      <c r="K116" s="313"/>
      <c r="V116" s="35" t="s">
        <v>122</v>
      </c>
      <c r="W116" s="247">
        <v>95</v>
      </c>
      <c r="X116" s="247"/>
      <c r="Y116" s="247"/>
      <c r="Z116" s="1" t="s">
        <v>32</v>
      </c>
      <c r="AP116" s="8"/>
      <c r="AR116" s="6"/>
      <c r="AS116" s="154" t="s">
        <v>119</v>
      </c>
      <c r="AT116" s="154"/>
      <c r="AU116" s="154"/>
      <c r="AV116" s="154"/>
      <c r="AW116" s="154"/>
      <c r="AX116" s="154"/>
      <c r="AY116" s="154"/>
      <c r="AZ116" s="154"/>
      <c r="BA116" s="154"/>
      <c r="BB116" s="154"/>
      <c r="BC116" s="154"/>
      <c r="BD116" s="154"/>
      <c r="BE116" s="154"/>
      <c r="BF116" s="154"/>
      <c r="BG116" s="154"/>
      <c r="BH116" s="154"/>
      <c r="BI116" s="154"/>
      <c r="BJ116" s="154"/>
      <c r="BK116" s="154"/>
      <c r="BL116" s="154"/>
      <c r="BM116" s="154"/>
      <c r="BN116" s="154"/>
      <c r="BO116" s="154"/>
      <c r="BP116" s="154"/>
      <c r="BQ116" s="154"/>
      <c r="BR116" s="154"/>
      <c r="BS116" s="154"/>
      <c r="BT116" s="154"/>
      <c r="BU116" s="154"/>
      <c r="BV116" s="154"/>
      <c r="BW116" s="154"/>
      <c r="BX116" s="154"/>
      <c r="BY116" s="154"/>
      <c r="BZ116" s="154"/>
      <c r="CA116" s="154"/>
      <c r="CB116" s="154"/>
      <c r="CC116" s="154"/>
      <c r="CD116" s="154"/>
      <c r="CE116" s="154"/>
      <c r="CF116" s="8"/>
      <c r="CM116" s="2">
        <f t="shared" si="71"/>
        <v>18.799999999999965</v>
      </c>
      <c r="CN116" s="1" t="str">
        <f t="shared" si="55"/>
        <v>0.0107986736111111+20.3015063888889i</v>
      </c>
      <c r="CO116" s="1" t="str">
        <f t="shared" si="56"/>
        <v>-0.0574397532505911i</v>
      </c>
      <c r="CP116" s="1" t="str">
        <f t="shared" si="57"/>
        <v>10.7986736111111</v>
      </c>
      <c r="CQ116" s="1" t="str">
        <f t="shared" si="58"/>
        <v>-1.37855407801419i</v>
      </c>
      <c r="CR116" s="1" t="str">
        <f t="shared" si="59"/>
        <v>0.0107986736111111+20.2440666356383i</v>
      </c>
      <c r="CS116" s="1" t="str">
        <f t="shared" si="60"/>
        <v>8.40530673151685+4.48231674200374i</v>
      </c>
      <c r="CT116" s="1" t="str">
        <f t="shared" si="61"/>
        <v>8.40530673151685+3.10376266398955i</v>
      </c>
      <c r="CU116" s="1" t="str">
        <f t="shared" si="62"/>
        <v>0.0191834803010191+9.01623574147899i</v>
      </c>
      <c r="CV116" s="1" t="str">
        <f t="shared" si="63"/>
        <v>3.14335600954005+4.48054388671782i</v>
      </c>
      <c r="CW116" s="2">
        <f t="shared" si="64"/>
        <v>18.799999999999965</v>
      </c>
      <c r="CX116" s="14">
        <f t="shared" si="65"/>
        <v>8.9600515581807905</v>
      </c>
      <c r="CY116" s="14">
        <f t="shared" si="54"/>
        <v>9.0162561494136639</v>
      </c>
      <c r="CZ116" s="14">
        <f t="shared" si="66"/>
        <v>5.4732038627768995</v>
      </c>
      <c r="DE116" s="14">
        <f t="shared" si="67"/>
        <v>18.799999999999965</v>
      </c>
      <c r="DF116" s="151">
        <f t="shared" si="68"/>
        <v>0.61084513043674393</v>
      </c>
      <c r="DH116" s="152">
        <f t="shared" si="69"/>
        <v>18.799999999999965</v>
      </c>
      <c r="DI116" s="1">
        <f t="shared" si="70"/>
        <v>0.60703730817727786</v>
      </c>
    </row>
    <row r="117" spans="2:113" ht="18" customHeight="1" x14ac:dyDescent="0.25">
      <c r="B117" s="6"/>
      <c r="D117" s="376">
        <f>P24</f>
        <v>4</v>
      </c>
      <c r="E117" s="377"/>
      <c r="F117" s="377"/>
      <c r="G117" s="378"/>
      <c r="H117" s="312">
        <f t="shared" si="73"/>
        <v>0</v>
      </c>
      <c r="I117" s="313"/>
      <c r="J117" s="313"/>
      <c r="K117" s="313"/>
      <c r="V117" s="35" t="s">
        <v>124</v>
      </c>
      <c r="W117" s="247">
        <v>35</v>
      </c>
      <c r="X117" s="247"/>
      <c r="Y117" s="247"/>
      <c r="Z117" s="1" t="s">
        <v>32</v>
      </c>
      <c r="AP117" s="8"/>
      <c r="AR117" s="6"/>
      <c r="AS117" s="18"/>
      <c r="AT117" s="180" t="s">
        <v>35</v>
      </c>
      <c r="AU117" s="180"/>
      <c r="AV117" s="180"/>
      <c r="AW117" s="180"/>
      <c r="AX117" s="180"/>
      <c r="AY117" s="180"/>
      <c r="AZ117" s="180"/>
      <c r="BA117" s="180"/>
      <c r="BB117" s="180"/>
      <c r="BC117" s="180"/>
      <c r="BD117" s="180"/>
      <c r="BE117" s="180"/>
      <c r="BF117" s="180"/>
      <c r="BG117" s="180"/>
      <c r="BH117" s="199">
        <f>SUM(CZ7:CZ21)*3</f>
        <v>231987.90698389261</v>
      </c>
      <c r="BI117" s="199"/>
      <c r="BJ117" s="199"/>
      <c r="BK117" s="199"/>
      <c r="BL117" s="1" t="str">
        <f>"Watts, 3-Phase or "&amp;ROUND(BH117*3.412141,0)&amp;" BTUs/Hour"</f>
        <v>Watts, 3-Phase or 791575 BTUs/Hour</v>
      </c>
      <c r="CF117" s="8"/>
      <c r="CM117" s="2">
        <f t="shared" si="71"/>
        <v>18.999999999999964</v>
      </c>
      <c r="CN117" s="1" t="str">
        <f t="shared" si="55"/>
        <v>0.0107986736111111+20.5174798611111i</v>
      </c>
      <c r="CO117" s="1" t="str">
        <f t="shared" si="56"/>
        <v>-0.056835124269006i</v>
      </c>
      <c r="CP117" s="1" t="str">
        <f t="shared" si="57"/>
        <v>10.7986736111111</v>
      </c>
      <c r="CQ117" s="1" t="str">
        <f t="shared" si="58"/>
        <v>-1.36404298245614i</v>
      </c>
      <c r="CR117" s="1" t="str">
        <f t="shared" si="59"/>
        <v>0.0107986736111111+20.4606447368421i</v>
      </c>
      <c r="CS117" s="1" t="str">
        <f t="shared" si="60"/>
        <v>8.44470916773426+4.45568746840351i</v>
      </c>
      <c r="CT117" s="1" t="str">
        <f t="shared" si="61"/>
        <v>8.44470916773426+3.09164448594737i</v>
      </c>
      <c r="CU117" s="1" t="str">
        <f t="shared" si="62"/>
        <v>0.0191834803010191+9.11215314298409i</v>
      </c>
      <c r="CV117" s="1" t="str">
        <f t="shared" si="63"/>
        <v>3.18597036037378+4.50476580235516i</v>
      </c>
      <c r="CW117" s="2">
        <f t="shared" si="64"/>
        <v>18.999999999999964</v>
      </c>
      <c r="CX117" s="14">
        <f t="shared" si="65"/>
        <v>8.9928515252451398</v>
      </c>
      <c r="CY117" s="14">
        <f t="shared" si="54"/>
        <v>9.1121733360988735</v>
      </c>
      <c r="CZ117" s="14">
        <f t="shared" si="66"/>
        <v>5.5175467439115335</v>
      </c>
      <c r="DE117" s="14">
        <f t="shared" si="67"/>
        <v>18.999999999999964</v>
      </c>
      <c r="DF117" s="151">
        <f t="shared" si="68"/>
        <v>0.6135480752042255</v>
      </c>
      <c r="DH117" s="152">
        <f t="shared" si="69"/>
        <v>18.999999999999964</v>
      </c>
      <c r="DI117" s="1">
        <f t="shared" si="70"/>
        <v>0.60551380448977765</v>
      </c>
    </row>
    <row r="118" spans="2:113" ht="18" customHeight="1" thickBot="1" x14ac:dyDescent="0.3">
      <c r="B118" s="6"/>
      <c r="D118" s="310">
        <f>R24</f>
        <v>5</v>
      </c>
      <c r="E118" s="311"/>
      <c r="F118" s="311"/>
      <c r="G118" s="372"/>
      <c r="H118" s="312">
        <f t="shared" si="73"/>
        <v>135.11863151349652</v>
      </c>
      <c r="I118" s="313"/>
      <c r="J118" s="313"/>
      <c r="K118" s="313"/>
      <c r="V118" s="35" t="s">
        <v>125</v>
      </c>
      <c r="W118" s="317">
        <f>S20</f>
        <v>60</v>
      </c>
      <c r="X118" s="317"/>
      <c r="Y118" s="317"/>
      <c r="Z118" s="1" t="s">
        <v>44</v>
      </c>
      <c r="AP118" s="8"/>
      <c r="AR118" s="6"/>
      <c r="AS118" s="18"/>
      <c r="AT118" s="180" t="s">
        <v>121</v>
      </c>
      <c r="AU118" s="180"/>
      <c r="AV118" s="180"/>
      <c r="AW118" s="180"/>
      <c r="AX118" s="180"/>
      <c r="AY118" s="180"/>
      <c r="AZ118" s="180"/>
      <c r="BA118" s="180"/>
      <c r="BB118" s="180"/>
      <c r="BC118" s="180"/>
      <c r="BD118" s="180"/>
      <c r="BE118" s="180"/>
      <c r="BF118" s="180"/>
      <c r="BG118" s="180"/>
      <c r="BH118" s="227">
        <f>SUM(DA7:DA21)*3</f>
        <v>473.29874968340869</v>
      </c>
      <c r="BI118" s="227"/>
      <c r="BJ118" s="227"/>
      <c r="BK118" s="227"/>
      <c r="BL118" s="1" t="str">
        <f>"Watts, 3-Phase or "&amp;ROUND(BH118*3.412141,0)&amp;" BTUs/Hour"</f>
        <v>Watts, 3-Phase or 1615 BTUs/Hour</v>
      </c>
      <c r="CF118" s="8"/>
      <c r="CM118" s="2">
        <f t="shared" si="71"/>
        <v>19.199999999999964</v>
      </c>
      <c r="CN118" s="1" t="str">
        <f t="shared" si="55"/>
        <v>0.0107986736111111+20.7334533333333i</v>
      </c>
      <c r="CO118" s="1" t="str">
        <f t="shared" si="56"/>
        <v>-0.0562430917245372i</v>
      </c>
      <c r="CP118" s="1" t="str">
        <f t="shared" si="57"/>
        <v>10.7986736111111</v>
      </c>
      <c r="CQ118" s="1" t="str">
        <f t="shared" si="58"/>
        <v>-1.34983420138889i</v>
      </c>
      <c r="CR118" s="1" t="str">
        <f t="shared" si="59"/>
        <v>0.0107986736111111+20.6772102416088i</v>
      </c>
      <c r="CS118" s="1" t="str">
        <f t="shared" si="60"/>
        <v>8.48323209819237+4.4291589546362i</v>
      </c>
      <c r="CT118" s="1" t="str">
        <f t="shared" si="61"/>
        <v>8.48323209819237+3.07932475324731i</v>
      </c>
      <c r="CU118" s="1" t="str">
        <f t="shared" si="62"/>
        <v>0.0191834803010191+9.20807054448919i</v>
      </c>
      <c r="CV118" s="1" t="str">
        <f t="shared" si="63"/>
        <v>3.2285703538697+4.52842503770527i</v>
      </c>
      <c r="CW118" s="2">
        <f t="shared" si="64"/>
        <v>19.199999999999964</v>
      </c>
      <c r="CX118" s="14">
        <f t="shared" si="65"/>
        <v>9.0248250823915104</v>
      </c>
      <c r="CY118" s="14">
        <f t="shared" si="54"/>
        <v>9.2080905272594826</v>
      </c>
      <c r="CZ118" s="14">
        <f t="shared" si="66"/>
        <v>5.5615015824867209</v>
      </c>
      <c r="DE118" s="14">
        <f t="shared" si="67"/>
        <v>19.199999999999964</v>
      </c>
      <c r="DF118" s="151">
        <f t="shared" si="68"/>
        <v>0.61624480604481302</v>
      </c>
      <c r="DH118" s="152">
        <f t="shared" si="69"/>
        <v>19.199999999999964</v>
      </c>
      <c r="DI118" s="1">
        <f t="shared" si="70"/>
        <v>0.60397989854927392</v>
      </c>
    </row>
    <row r="119" spans="2:113" ht="18" customHeight="1" thickTop="1" x14ac:dyDescent="0.25">
      <c r="B119" s="6"/>
      <c r="D119" s="376">
        <f>T24</f>
        <v>7</v>
      </c>
      <c r="E119" s="377"/>
      <c r="F119" s="377"/>
      <c r="G119" s="378"/>
      <c r="H119" s="312">
        <f t="shared" si="73"/>
        <v>98.900181775555239</v>
      </c>
      <c r="I119" s="313"/>
      <c r="J119" s="313"/>
      <c r="K119" s="313"/>
      <c r="V119" s="35" t="s">
        <v>127</v>
      </c>
      <c r="W119" s="316">
        <f>AJ40</f>
        <v>2.8645216221314431</v>
      </c>
      <c r="X119" s="316"/>
      <c r="Y119" s="316"/>
      <c r="Z119" s="56" t="s">
        <v>74</v>
      </c>
      <c r="AA119" s="56"/>
      <c r="AB119" s="56"/>
      <c r="AC119" s="56"/>
      <c r="AD119" s="56"/>
      <c r="AE119" s="56"/>
      <c r="AF119" s="56"/>
      <c r="AG119" s="56"/>
      <c r="AH119" s="56"/>
      <c r="AI119" s="56"/>
      <c r="AJ119" s="56"/>
      <c r="AK119" s="56"/>
      <c r="AL119" s="56"/>
      <c r="AM119" s="56"/>
      <c r="AN119" s="56"/>
      <c r="AP119" s="8"/>
      <c r="AR119" s="6"/>
      <c r="AS119" s="18"/>
      <c r="AT119" s="180" t="s">
        <v>123</v>
      </c>
      <c r="AU119" s="180"/>
      <c r="AV119" s="180"/>
      <c r="AW119" s="180"/>
      <c r="AX119" s="180"/>
      <c r="AY119" s="180"/>
      <c r="AZ119" s="180"/>
      <c r="BA119" s="180"/>
      <c r="BB119" s="180"/>
      <c r="BC119" s="180"/>
      <c r="BD119" s="180"/>
      <c r="BE119" s="180"/>
      <c r="BF119" s="180"/>
      <c r="BG119" s="180"/>
      <c r="BH119" s="199">
        <f>SUM(BH117:BK118)</f>
        <v>232461.205733576</v>
      </c>
      <c r="BI119" s="199"/>
      <c r="BJ119" s="199"/>
      <c r="BK119" s="199"/>
      <c r="BL119" s="1" t="str">
        <f>"Watts, 3-Phase or "&amp;ROUND(BH119*3.412141,0)&amp;" BTUs/Hour"</f>
        <v>Watts, 3-Phase or 793190 BTUs/Hour</v>
      </c>
      <c r="CF119" s="8"/>
      <c r="CM119" s="2">
        <f t="shared" si="71"/>
        <v>19.399999999999963</v>
      </c>
      <c r="CN119" s="1" t="str">
        <f t="shared" si="55"/>
        <v>0.0107986736111111+20.9494268055555i</v>
      </c>
      <c r="CO119" s="1" t="str">
        <f t="shared" si="56"/>
        <v>-0.0556632660366553i</v>
      </c>
      <c r="CP119" s="1" t="str">
        <f t="shared" si="57"/>
        <v>10.7986736111111</v>
      </c>
      <c r="CQ119" s="1" t="str">
        <f t="shared" si="58"/>
        <v>-1.33591838487973i</v>
      </c>
      <c r="CR119" s="1" t="str">
        <f t="shared" si="59"/>
        <v>0.0107986736111111+20.8937635395188i</v>
      </c>
      <c r="CS119" s="1" t="str">
        <f t="shared" si="60"/>
        <v>8.52089851717817+4.40273983366461i</v>
      </c>
      <c r="CT119" s="1" t="str">
        <f t="shared" si="61"/>
        <v>8.52089851717817+3.06682144878488i</v>
      </c>
      <c r="CU119" s="1" t="str">
        <f t="shared" si="62"/>
        <v>0.0191834803010191+9.30398794599428i</v>
      </c>
      <c r="CV119" s="1" t="str">
        <f t="shared" si="63"/>
        <v>3.27114807368374+4.55152773609768i</v>
      </c>
      <c r="CW119" s="2">
        <f t="shared" si="64"/>
        <v>19.399999999999963</v>
      </c>
      <c r="CX119" s="14">
        <f t="shared" si="65"/>
        <v>9.0559983071319152</v>
      </c>
      <c r="CY119" s="14">
        <f t="shared" si="54"/>
        <v>9.3040077227570759</v>
      </c>
      <c r="CZ119" s="14">
        <f t="shared" si="66"/>
        <v>5.6050704235032871</v>
      </c>
      <c r="DE119" s="14">
        <f t="shared" si="67"/>
        <v>19.399999999999963</v>
      </c>
      <c r="DF119" s="151">
        <f t="shared" si="68"/>
        <v>0.61893457059163726</v>
      </c>
      <c r="DH119" s="152">
        <f t="shared" si="69"/>
        <v>19.399999999999963</v>
      </c>
      <c r="DI119" s="1">
        <f t="shared" si="70"/>
        <v>0.6024361318825654</v>
      </c>
    </row>
    <row r="120" spans="2:113" ht="18" customHeight="1" x14ac:dyDescent="0.25">
      <c r="B120" s="6"/>
      <c r="D120" s="310">
        <f>V24</f>
        <v>11</v>
      </c>
      <c r="E120" s="311"/>
      <c r="F120" s="311"/>
      <c r="G120" s="372"/>
      <c r="H120" s="312">
        <f t="shared" si="73"/>
        <v>60.787453248270417</v>
      </c>
      <c r="I120" s="313"/>
      <c r="J120" s="313"/>
      <c r="K120" s="313"/>
      <c r="V120" s="35" t="str">
        <f>"Reactance at "&amp;W118&amp;"Hz:"</f>
        <v>Reactance at 60Hz:</v>
      </c>
      <c r="W120" s="316">
        <f>AJ39</f>
        <v>1.0798673611111114</v>
      </c>
      <c r="X120" s="316"/>
      <c r="Y120" s="316"/>
      <c r="Z120" s="56" t="s">
        <v>34</v>
      </c>
      <c r="AA120" s="56"/>
      <c r="AB120" s="56"/>
      <c r="AC120" s="56"/>
      <c r="AD120" s="56"/>
      <c r="AE120" s="56"/>
      <c r="AF120" s="56"/>
      <c r="AG120" s="56"/>
      <c r="AH120" s="56"/>
      <c r="AI120" s="56"/>
      <c r="AJ120" s="56"/>
      <c r="AK120" s="56"/>
      <c r="AL120" s="56"/>
      <c r="AM120" s="56"/>
      <c r="AN120" s="56"/>
      <c r="AP120" s="8"/>
      <c r="AR120" s="6"/>
      <c r="CF120" s="8"/>
      <c r="CM120" s="2">
        <f t="shared" si="71"/>
        <v>19.599999999999962</v>
      </c>
      <c r="CN120" s="1" t="str">
        <f t="shared" si="55"/>
        <v>0.0107986736111111+21.1654002777777i</v>
      </c>
      <c r="CO120" s="1" t="str">
        <f t="shared" si="56"/>
        <v>-0.0550952735260772i</v>
      </c>
      <c r="CP120" s="1" t="str">
        <f t="shared" si="57"/>
        <v>10.7986736111111</v>
      </c>
      <c r="CQ120" s="1" t="str">
        <f t="shared" si="58"/>
        <v>-1.32228656462585i</v>
      </c>
      <c r="CR120" s="1" t="str">
        <f t="shared" si="59"/>
        <v>0.0107986736111111+21.1103050042516i</v>
      </c>
      <c r="CS120" s="1" t="str">
        <f t="shared" si="60"/>
        <v>8.55773080694001+4.3764380764449i</v>
      </c>
      <c r="CT120" s="1" t="str">
        <f t="shared" si="61"/>
        <v>8.55773080694001+3.05415151181905i</v>
      </c>
      <c r="CU120" s="1" t="str">
        <f t="shared" si="62"/>
        <v>0.0191834803010191+9.39990534749938i</v>
      </c>
      <c r="CV120" s="1" t="str">
        <f t="shared" si="63"/>
        <v>3.31369582514899+4.57408005900769i</v>
      </c>
      <c r="CW120" s="2">
        <f t="shared" si="64"/>
        <v>19.599999999999962</v>
      </c>
      <c r="CX120" s="14">
        <f t="shared" si="65"/>
        <v>9.0863963165380763</v>
      </c>
      <c r="CY120" s="14">
        <f t="shared" si="54"/>
        <v>9.3999249224588919</v>
      </c>
      <c r="CZ120" s="14">
        <f t="shared" si="66"/>
        <v>5.64825534194601</v>
      </c>
      <c r="DE120" s="14">
        <f t="shared" si="67"/>
        <v>19.599999999999962</v>
      </c>
      <c r="DF120" s="151">
        <f t="shared" si="68"/>
        <v>0.62161666134523208</v>
      </c>
      <c r="DH120" s="152">
        <f t="shared" si="69"/>
        <v>19.599999999999962</v>
      </c>
      <c r="DI120" s="1">
        <f t="shared" si="70"/>
        <v>0.60088302710278496</v>
      </c>
    </row>
    <row r="121" spans="2:113" ht="18" customHeight="1" x14ac:dyDescent="0.35">
      <c r="B121" s="6"/>
      <c r="D121" s="376">
        <f>X24</f>
        <v>13</v>
      </c>
      <c r="E121" s="377"/>
      <c r="F121" s="377"/>
      <c r="G121" s="378"/>
      <c r="H121" s="312">
        <f t="shared" si="73"/>
        <v>27.52893414850962</v>
      </c>
      <c r="I121" s="313"/>
      <c r="J121" s="313"/>
      <c r="K121" s="313"/>
      <c r="V121" s="35" t="s">
        <v>129</v>
      </c>
      <c r="W121" s="234" t="s">
        <v>130</v>
      </c>
      <c r="X121" s="234"/>
      <c r="Y121" s="234"/>
      <c r="Z121" s="234"/>
      <c r="AA121" s="234"/>
      <c r="AB121" s="234"/>
      <c r="AC121" s="234"/>
      <c r="AD121" s="234"/>
      <c r="AE121" s="234"/>
      <c r="AF121" s="234"/>
      <c r="AG121" s="234"/>
      <c r="AH121" s="234"/>
      <c r="AI121" s="234"/>
      <c r="AJ121" s="234"/>
      <c r="AK121" s="234"/>
      <c r="AL121" s="234"/>
      <c r="AM121" s="234"/>
      <c r="AN121" s="234"/>
      <c r="AP121" s="8"/>
      <c r="AR121" s="6"/>
      <c r="AS121" s="18"/>
      <c r="AT121" s="180" t="s">
        <v>126</v>
      </c>
      <c r="AU121" s="180"/>
      <c r="AV121" s="180"/>
      <c r="AW121" s="180"/>
      <c r="AX121" s="180"/>
      <c r="AY121" s="180"/>
      <c r="AZ121" s="180"/>
      <c r="BA121" s="180"/>
      <c r="BB121" s="180"/>
      <c r="BC121" s="180"/>
      <c r="BD121" s="180"/>
      <c r="BE121" s="180"/>
      <c r="BF121" s="180"/>
      <c r="BG121" s="180"/>
      <c r="BH121" s="199">
        <f>SUM(BH119,BH114)</f>
        <v>242491.0093600605</v>
      </c>
      <c r="BI121" s="199"/>
      <c r="BJ121" s="199"/>
      <c r="BK121" s="199"/>
      <c r="BL121" s="1" t="str">
        <f>"Watts, 3-Phase or "&amp;ROUND(BH121*3.412141,0)&amp;" BTUs/Hour"</f>
        <v>Watts, 3-Phase or 827414 BTUs/Hour</v>
      </c>
      <c r="BZ121" s="55"/>
      <c r="CC121" s="55"/>
      <c r="CD121" s="55"/>
      <c r="CF121" s="8"/>
      <c r="CM121" s="2">
        <f t="shared" si="71"/>
        <v>19.799999999999962</v>
      </c>
      <c r="CN121" s="1" t="str">
        <f t="shared" si="55"/>
        <v>0.0107986736111111+21.38137375i</v>
      </c>
      <c r="CO121" s="1" t="str">
        <f t="shared" si="56"/>
        <v>-0.0545387556116724i</v>
      </c>
      <c r="CP121" s="1" t="str">
        <f t="shared" si="57"/>
        <v>10.7986736111111</v>
      </c>
      <c r="CQ121" s="1" t="str">
        <f t="shared" si="58"/>
        <v>-1.30893013468014i</v>
      </c>
      <c r="CR121" s="1" t="str">
        <f t="shared" si="59"/>
        <v>0.0107986736111111+21.3268349943883i</v>
      </c>
      <c r="CS121" s="1" t="str">
        <f t="shared" si="60"/>
        <v>8.59375074934827+4.35026103120992i</v>
      </c>
      <c r="CT121" s="1" t="str">
        <f t="shared" si="61"/>
        <v>8.59375074934827+3.04133089652978i</v>
      </c>
      <c r="CU121" s="1" t="str">
        <f t="shared" si="62"/>
        <v>0.0191834803010191+9.49582274900447i</v>
      </c>
      <c r="CV121" s="1" t="str">
        <f t="shared" si="63"/>
        <v>3.35620613108964+4.59608818426272i</v>
      </c>
      <c r="CW121" s="2">
        <f t="shared" si="64"/>
        <v>19.799999999999962</v>
      </c>
      <c r="CX121" s="14">
        <f t="shared" si="65"/>
        <v>9.1160433063972768</v>
      </c>
      <c r="CY121" s="14">
        <f t="shared" si="54"/>
        <v>9.4958421262375303</v>
      </c>
      <c r="CZ121" s="14">
        <f t="shared" si="66"/>
        <v>5.6910584421426451</v>
      </c>
      <c r="DE121" s="14">
        <f t="shared" si="67"/>
        <v>19.799999999999962</v>
      </c>
      <c r="DF121" s="151">
        <f t="shared" si="68"/>
        <v>0.62429041316081546</v>
      </c>
      <c r="DH121" s="152">
        <f t="shared" si="69"/>
        <v>19.799999999999962</v>
      </c>
      <c r="DI121" s="1">
        <f t="shared" si="70"/>
        <v>0.59932108879716228</v>
      </c>
    </row>
    <row r="122" spans="2:113" ht="18" customHeight="1" x14ac:dyDescent="0.25">
      <c r="B122" s="6"/>
      <c r="D122" s="310">
        <f>Z24</f>
        <v>17</v>
      </c>
      <c r="E122" s="311"/>
      <c r="F122" s="311"/>
      <c r="G122" s="372"/>
      <c r="H122" s="312">
        <f t="shared" si="73"/>
        <v>15.245847937680455</v>
      </c>
      <c r="I122" s="313"/>
      <c r="J122" s="313"/>
      <c r="K122" s="313"/>
      <c r="Q122" s="56"/>
      <c r="V122" s="35" t="s">
        <v>131</v>
      </c>
      <c r="W122" s="234" t="s">
        <v>132</v>
      </c>
      <c r="X122" s="234"/>
      <c r="Y122" s="234"/>
      <c r="AP122" s="8"/>
      <c r="AR122" s="6"/>
      <c r="AS122" s="46"/>
      <c r="AT122" s="46"/>
      <c r="AU122" s="46"/>
      <c r="AV122" s="46"/>
      <c r="AW122" s="46"/>
      <c r="AX122" s="46"/>
      <c r="AY122" s="46"/>
      <c r="AZ122" s="46"/>
      <c r="BA122" s="46"/>
      <c r="BB122" s="46"/>
      <c r="BC122" s="46"/>
      <c r="BD122" s="46"/>
      <c r="BE122" s="46"/>
      <c r="BF122" s="46"/>
      <c r="BG122" s="46"/>
      <c r="BH122" s="46"/>
      <c r="BI122" s="46"/>
      <c r="BJ122" s="46"/>
      <c r="BK122" s="46"/>
      <c r="BL122" s="46"/>
      <c r="BM122" s="46"/>
      <c r="BN122" s="46"/>
      <c r="BO122" s="46"/>
      <c r="BP122" s="46"/>
      <c r="BQ122" s="46"/>
      <c r="BR122" s="46"/>
      <c r="BS122" s="46"/>
      <c r="BT122" s="46"/>
      <c r="BU122" s="46"/>
      <c r="BV122" s="46"/>
      <c r="BW122" s="46"/>
      <c r="BX122" s="46"/>
      <c r="BY122" s="46"/>
      <c r="BZ122" s="46"/>
      <c r="CA122" s="46"/>
      <c r="CB122" s="46"/>
      <c r="CC122" s="46"/>
      <c r="CD122" s="46"/>
      <c r="CE122" s="46"/>
      <c r="CF122" s="8"/>
      <c r="CM122" s="2">
        <f t="shared" si="71"/>
        <v>19.999999999999961</v>
      </c>
      <c r="CN122" s="1" t="str">
        <f t="shared" si="55"/>
        <v>0.0107986736111111+21.5973472222222i</v>
      </c>
      <c r="CO122" s="1" t="str">
        <f t="shared" si="56"/>
        <v>-0.0539933680555557i</v>
      </c>
      <c r="CP122" s="1" t="str">
        <f t="shared" si="57"/>
        <v>10.7986736111111</v>
      </c>
      <c r="CQ122" s="1" t="str">
        <f t="shared" si="58"/>
        <v>-1.29584083333334i</v>
      </c>
      <c r="CR122" s="1" t="str">
        <f t="shared" si="59"/>
        <v>0.0107986736111111+21.5433538541666i</v>
      </c>
      <c r="CS122" s="1" t="str">
        <f t="shared" si="60"/>
        <v>8.6289795379123+4.32421546057098i</v>
      </c>
      <c r="CT122" s="1" t="str">
        <f t="shared" si="61"/>
        <v>8.6289795379123+3.02837462723764i</v>
      </c>
      <c r="CU122" s="1" t="str">
        <f t="shared" si="62"/>
        <v>0.0191834803010191+9.59174015050957i</v>
      </c>
      <c r="CV122" s="1" t="str">
        <f t="shared" si="63"/>
        <v>3.39867172778008+4.61755830413403i</v>
      </c>
      <c r="CW122" s="2">
        <f t="shared" si="64"/>
        <v>19.999999999999961</v>
      </c>
      <c r="CX122" s="14">
        <f t="shared" si="65"/>
        <v>9.1449625886936197</v>
      </c>
      <c r="CY122" s="14">
        <f t="shared" si="54"/>
        <v>9.5917593339706837</v>
      </c>
      <c r="CZ122" s="14">
        <f t="shared" si="66"/>
        <v>5.7334818570645858</v>
      </c>
      <c r="DE122" s="14">
        <f t="shared" si="67"/>
        <v>19.999999999999961</v>
      </c>
      <c r="DF122" s="151">
        <f t="shared" si="68"/>
        <v>0.62695520090516044</v>
      </c>
      <c r="DH122" s="152">
        <f t="shared" si="69"/>
        <v>19.999999999999961</v>
      </c>
      <c r="DI122" s="1">
        <f t="shared" si="70"/>
        <v>0.59775080435541961</v>
      </c>
    </row>
    <row r="123" spans="2:113" ht="18" customHeight="1" x14ac:dyDescent="0.25">
      <c r="B123" s="6"/>
      <c r="D123" s="376">
        <f>AB24</f>
        <v>19</v>
      </c>
      <c r="E123" s="377"/>
      <c r="F123" s="377"/>
      <c r="G123" s="378"/>
      <c r="H123" s="312">
        <f t="shared" si="73"/>
        <v>6.9998536837320042</v>
      </c>
      <c r="I123" s="313"/>
      <c r="J123" s="313"/>
      <c r="K123" s="313"/>
      <c r="V123" s="35" t="s">
        <v>133</v>
      </c>
      <c r="W123" s="234" t="s">
        <v>134</v>
      </c>
      <c r="X123" s="234"/>
      <c r="Y123" s="234"/>
      <c r="AP123" s="8"/>
      <c r="AR123" s="6"/>
      <c r="CF123" s="8"/>
      <c r="CM123" s="2">
        <f t="shared" si="71"/>
        <v>20.19999999999996</v>
      </c>
      <c r="CN123" s="1" t="str">
        <f t="shared" si="55"/>
        <v>0.0107986736111111+21.8133206944444i</v>
      </c>
      <c r="CO123" s="1" t="str">
        <f t="shared" si="56"/>
        <v>-0.0534587802530254i</v>
      </c>
      <c r="CP123" s="1" t="str">
        <f t="shared" si="57"/>
        <v>10.7986736111111</v>
      </c>
      <c r="CQ123" s="1" t="str">
        <f t="shared" si="58"/>
        <v>-1.28301072607261i</v>
      </c>
      <c r="CR123" s="1" t="str">
        <f t="shared" si="59"/>
        <v>0.0107986736111111+21.7598619141914i</v>
      </c>
      <c r="CS123" s="1" t="str">
        <f t="shared" si="60"/>
        <v>8.66343779007653+4.29830757655171i</v>
      </c>
      <c r="CT123" s="1" t="str">
        <f t="shared" si="61"/>
        <v>8.66343779007653+3.0152968504791i</v>
      </c>
      <c r="CU123" s="1" t="str">
        <f t="shared" si="62"/>
        <v>0.0191834803010191+9.68765755201466i</v>
      </c>
      <c r="CV123" s="1" t="str">
        <f t="shared" si="63"/>
        <v>3.44108556103069+4.63849662333287i</v>
      </c>
      <c r="CW123" s="2">
        <f t="shared" si="64"/>
        <v>20.19999999999996</v>
      </c>
      <c r="CX123" s="14">
        <f t="shared" si="65"/>
        <v>9.1731766274849029</v>
      </c>
      <c r="CY123" s="14">
        <f t="shared" si="54"/>
        <v>9.6876765455408957</v>
      </c>
      <c r="CZ123" s="14">
        <f t="shared" si="66"/>
        <v>5.7755277475746176</v>
      </c>
      <c r="DE123" s="14">
        <f t="shared" si="67"/>
        <v>20.19999999999996</v>
      </c>
      <c r="DF123" s="151">
        <f t="shared" si="68"/>
        <v>0.6296104372687904</v>
      </c>
      <c r="DH123" s="152">
        <f t="shared" si="69"/>
        <v>20.19999999999996</v>
      </c>
      <c r="DI123" s="1">
        <f t="shared" si="70"/>
        <v>0.59617264474349219</v>
      </c>
    </row>
    <row r="124" spans="2:113" ht="18" customHeight="1" x14ac:dyDescent="0.3">
      <c r="B124" s="6"/>
      <c r="D124" s="310">
        <f>AD24</f>
        <v>23</v>
      </c>
      <c r="E124" s="311"/>
      <c r="F124" s="311"/>
      <c r="G124" s="372"/>
      <c r="H124" s="312">
        <f t="shared" si="73"/>
        <v>5.9894582933956526</v>
      </c>
      <c r="I124" s="313"/>
      <c r="J124" s="313"/>
      <c r="K124" s="313"/>
      <c r="V124" s="35" t="s">
        <v>136</v>
      </c>
      <c r="W124" s="234" t="s">
        <v>137</v>
      </c>
      <c r="X124" s="234"/>
      <c r="Y124" s="234"/>
      <c r="Z124" s="234"/>
      <c r="AA124" s="234"/>
      <c r="AB124" s="234"/>
      <c r="AC124" s="234"/>
      <c r="AD124" s="234"/>
      <c r="AE124" s="234"/>
      <c r="AP124" s="8"/>
      <c r="AR124" s="6"/>
      <c r="AS124" s="30" t="s">
        <v>135</v>
      </c>
      <c r="CF124" s="8"/>
      <c r="CM124" s="2">
        <f t="shared" si="71"/>
        <v>20.399999999999959</v>
      </c>
      <c r="CN124" s="1" t="str">
        <f t="shared" si="55"/>
        <v>0.0107986736111111+22.0292941666666i</v>
      </c>
      <c r="CO124" s="1" t="str">
        <f t="shared" si="56"/>
        <v>-0.0529346745642703i</v>
      </c>
      <c r="CP124" s="1" t="str">
        <f t="shared" si="57"/>
        <v>10.7986736111111</v>
      </c>
      <c r="CQ124" s="1" t="str">
        <f t="shared" si="58"/>
        <v>-1.27043218954249i</v>
      </c>
      <c r="CR124" s="1" t="str">
        <f t="shared" si="59"/>
        <v>0.0107986736111111+21.9763594921023i</v>
      </c>
      <c r="CS124" s="1" t="str">
        <f t="shared" si="60"/>
        <v>8.69714555972388+4.27254307366122i</v>
      </c>
      <c r="CT124" s="1" t="str">
        <f t="shared" si="61"/>
        <v>8.69714555972388+3.00211088411873i</v>
      </c>
      <c r="CU124" s="1" t="str">
        <f t="shared" si="62"/>
        <v>0.0191834803010191+9.78357495351976i</v>
      </c>
      <c r="CV124" s="1" t="str">
        <f t="shared" si="63"/>
        <v>3.48344078238454+4.65890935692977i</v>
      </c>
      <c r="CW124" s="2">
        <f t="shared" si="64"/>
        <v>20.399999999999959</v>
      </c>
      <c r="CX124" s="14">
        <f t="shared" si="65"/>
        <v>9.2007070732400198</v>
      </c>
      <c r="CY124" s="14">
        <f t="shared" si="54"/>
        <v>9.7835937608353092</v>
      </c>
      <c r="CZ124" s="14">
        <f t="shared" si="66"/>
        <v>5.8171983016283342</v>
      </c>
      <c r="DE124" s="14">
        <f t="shared" si="67"/>
        <v>20.399999999999959</v>
      </c>
      <c r="DF124" s="151">
        <f t="shared" si="68"/>
        <v>0.63225557072102456</v>
      </c>
      <c r="DH124" s="152">
        <f t="shared" si="69"/>
        <v>20.399999999999959</v>
      </c>
      <c r="DI124" s="1">
        <f t="shared" si="70"/>
        <v>0.59458706522700877</v>
      </c>
    </row>
    <row r="125" spans="2:113" ht="18" customHeight="1" x14ac:dyDescent="0.25">
      <c r="B125" s="6"/>
      <c r="D125" s="376">
        <f>AF24</f>
        <v>25</v>
      </c>
      <c r="E125" s="377"/>
      <c r="F125" s="377"/>
      <c r="G125" s="378"/>
      <c r="H125" s="312">
        <f t="shared" si="73"/>
        <v>5.5777820440282415</v>
      </c>
      <c r="I125" s="313"/>
      <c r="J125" s="313"/>
      <c r="K125" s="313"/>
      <c r="V125" s="35" t="s">
        <v>138</v>
      </c>
      <c r="W125" s="234" t="s">
        <v>139</v>
      </c>
      <c r="X125" s="234"/>
      <c r="Y125" s="234"/>
      <c r="Z125" s="234"/>
      <c r="AA125" s="234"/>
      <c r="AB125" s="234"/>
      <c r="AC125" s="234"/>
      <c r="AD125" s="234"/>
      <c r="AE125" s="234"/>
      <c r="AP125" s="8"/>
      <c r="AR125" s="6"/>
      <c r="CF125" s="8"/>
      <c r="CM125" s="2">
        <f t="shared" si="71"/>
        <v>20.599999999999959</v>
      </c>
      <c r="CN125" s="1" t="str">
        <f t="shared" si="55"/>
        <v>0.0107986736111111+22.2452676388889i</v>
      </c>
      <c r="CO125" s="1" t="str">
        <f t="shared" si="56"/>
        <v>-0.0524207456850055i</v>
      </c>
      <c r="CP125" s="1" t="str">
        <f t="shared" si="57"/>
        <v>10.7986736111111</v>
      </c>
      <c r="CQ125" s="1" t="str">
        <f t="shared" si="58"/>
        <v>-1.25809789644013i</v>
      </c>
      <c r="CR125" s="1" t="str">
        <f t="shared" si="59"/>
        <v>0.0107986736111111+22.1928468932039i</v>
      </c>
      <c r="CS125" s="1" t="str">
        <f t="shared" si="60"/>
        <v>8.7301223498259+4.24692716011032i</v>
      </c>
      <c r="CT125" s="1" t="str">
        <f t="shared" si="61"/>
        <v>8.7301223498259+2.98882926367019i</v>
      </c>
      <c r="CU125" s="1" t="str">
        <f t="shared" si="62"/>
        <v>0.0191834803010191+9.87949235502485i</v>
      </c>
      <c r="CV125" s="1" t="str">
        <f t="shared" si="63"/>
        <v>3.52573074541143+4.67880272821255i</v>
      </c>
      <c r="CW125" s="2">
        <f t="shared" si="64"/>
        <v>20.599999999999959</v>
      </c>
      <c r="CX125" s="14">
        <f t="shared" si="65"/>
        <v>9.2275747957034184</v>
      </c>
      <c r="CY125" s="14">
        <f t="shared" si="54"/>
        <v>9.8795109797454526</v>
      </c>
      <c r="CZ125" s="14">
        <f t="shared" si="66"/>
        <v>5.8584957334343635</v>
      </c>
      <c r="DE125" s="14">
        <f t="shared" si="67"/>
        <v>20.599999999999959</v>
      </c>
      <c r="DF125" s="151">
        <f t="shared" si="68"/>
        <v>0.63489008359620358</v>
      </c>
      <c r="DH125" s="152">
        <f t="shared" si="69"/>
        <v>20.599999999999959</v>
      </c>
      <c r="DI125" s="1">
        <f t="shared" si="70"/>
        <v>0.59299450604844639</v>
      </c>
    </row>
    <row r="126" spans="2:113" ht="18" customHeight="1" x14ac:dyDescent="0.25">
      <c r="B126" s="6"/>
      <c r="D126" s="310">
        <f>AH24</f>
        <v>29</v>
      </c>
      <c r="E126" s="311"/>
      <c r="F126" s="311"/>
      <c r="G126" s="372"/>
      <c r="H126" s="312">
        <f t="shared" si="73"/>
        <v>0</v>
      </c>
      <c r="I126" s="313"/>
      <c r="J126" s="313"/>
      <c r="K126" s="313"/>
      <c r="V126" s="35" t="s">
        <v>140</v>
      </c>
      <c r="W126" s="234" t="s">
        <v>141</v>
      </c>
      <c r="X126" s="234"/>
      <c r="Y126" s="234"/>
      <c r="Z126" s="234"/>
      <c r="AA126" s="234"/>
      <c r="AB126" s="234"/>
      <c r="AC126" s="234"/>
      <c r="AD126" s="234"/>
      <c r="AE126" s="234"/>
      <c r="AP126" s="8"/>
      <c r="AR126" s="6"/>
      <c r="CF126" s="8"/>
      <c r="CM126" s="2">
        <f t="shared" si="71"/>
        <v>20.799999999999958</v>
      </c>
      <c r="CN126" s="1" t="str">
        <f t="shared" si="55"/>
        <v>0.0107986736111111+22.4612411111111i</v>
      </c>
      <c r="CO126" s="1" t="str">
        <f t="shared" si="56"/>
        <v>-0.0519167000534189i</v>
      </c>
      <c r="CP126" s="1" t="str">
        <f t="shared" si="57"/>
        <v>10.7986736111111</v>
      </c>
      <c r="CQ126" s="1" t="str">
        <f t="shared" si="58"/>
        <v>-1.24600080128205i</v>
      </c>
      <c r="CR126" s="1" t="str">
        <f t="shared" si="59"/>
        <v>0.0107986736111111+22.4093244110577i</v>
      </c>
      <c r="CS126" s="1" t="str">
        <f t="shared" si="60"/>
        <v>8.76238712518266+4.22146458726929i</v>
      </c>
      <c r="CT126" s="1" t="str">
        <f t="shared" si="61"/>
        <v>8.76238712518266+2.97546378598724i</v>
      </c>
      <c r="CU126" s="1" t="str">
        <f t="shared" si="62"/>
        <v>0.0191834803010191+9.97540975652995i</v>
      </c>
      <c r="CV126" s="1" t="str">
        <f t="shared" si="63"/>
        <v>3.56794900208709+4.69818296649813i</v>
      </c>
      <c r="CW126" s="2">
        <f t="shared" si="64"/>
        <v>20.799999999999958</v>
      </c>
      <c r="CX126" s="14">
        <f t="shared" si="65"/>
        <v>9.253799915347658</v>
      </c>
      <c r="CY126" s="14">
        <f t="shared" si="54"/>
        <v>9.9754282021670306</v>
      </c>
      <c r="CZ126" s="14">
        <f t="shared" si="66"/>
        <v>5.899422282578815</v>
      </c>
      <c r="DE126" s="14">
        <f t="shared" si="67"/>
        <v>20.799999999999958</v>
      </c>
      <c r="DF126" s="151">
        <f t="shared" si="68"/>
        <v>0.63751349030082993</v>
      </c>
      <c r="DH126" s="152">
        <f t="shared" si="69"/>
        <v>20.799999999999958</v>
      </c>
      <c r="DI126" s="1">
        <f t="shared" si="70"/>
        <v>0.59139539306164712</v>
      </c>
    </row>
    <row r="127" spans="2:113" ht="18" customHeight="1" x14ac:dyDescent="0.25">
      <c r="B127" s="6"/>
      <c r="D127" s="376">
        <f>AJ24</f>
        <v>31</v>
      </c>
      <c r="E127" s="377"/>
      <c r="F127" s="377"/>
      <c r="G127" s="378"/>
      <c r="H127" s="312">
        <f t="shared" si="73"/>
        <v>0</v>
      </c>
      <c r="I127" s="313"/>
      <c r="J127" s="313"/>
      <c r="K127" s="313"/>
      <c r="V127" s="35" t="s">
        <v>142</v>
      </c>
      <c r="W127" s="234" t="s">
        <v>143</v>
      </c>
      <c r="X127" s="234"/>
      <c r="Y127" s="234"/>
      <c r="Z127" s="234"/>
      <c r="AA127" s="234"/>
      <c r="AB127" s="234"/>
      <c r="AC127" s="234"/>
      <c r="AD127" s="234"/>
      <c r="AE127" s="234"/>
      <c r="AP127" s="8"/>
      <c r="AR127" s="6"/>
      <c r="CF127" s="8"/>
      <c r="CM127" s="2">
        <f t="shared" si="71"/>
        <v>20.999999999999957</v>
      </c>
      <c r="CN127" s="1" t="str">
        <f t="shared" si="55"/>
        <v>0.0107986736111111+22.6772145833333i</v>
      </c>
      <c r="CO127" s="1" t="str">
        <f t="shared" si="56"/>
        <v>-0.0514222552910054i</v>
      </c>
      <c r="CP127" s="1" t="str">
        <f t="shared" si="57"/>
        <v>10.7986736111111</v>
      </c>
      <c r="CQ127" s="1" t="str">
        <f t="shared" si="58"/>
        <v>-1.23413412698413i</v>
      </c>
      <c r="CR127" s="1" t="str">
        <f t="shared" si="59"/>
        <v>0.0107986736111111+22.6257923280423i</v>
      </c>
      <c r="CS127" s="1" t="str">
        <f t="shared" si="60"/>
        <v>8.79395832520411+4.19615967746096i</v>
      </c>
      <c r="CT127" s="1" t="str">
        <f t="shared" si="61"/>
        <v>8.79395832520411+2.96202555047683i</v>
      </c>
      <c r="CU127" s="1" t="str">
        <f t="shared" si="62"/>
        <v>0.0191834803010191+10.071327158035i</v>
      </c>
      <c r="CV127" s="1" t="str">
        <f t="shared" si="63"/>
        <v>3.61008929924771+4.71705630491128i</v>
      </c>
      <c r="CW127" s="2">
        <f t="shared" si="64"/>
        <v>20.999999999999957</v>
      </c>
      <c r="CX127" s="14">
        <f t="shared" si="65"/>
        <v>9.279401833475271</v>
      </c>
      <c r="CY127" s="14">
        <f t="shared" si="54"/>
        <v>10.071345427999713</v>
      </c>
      <c r="CZ127" s="14">
        <f t="shared" si="66"/>
        <v>5.9399802131190702</v>
      </c>
      <c r="DE127" s="14">
        <f t="shared" si="67"/>
        <v>20.999999999999957</v>
      </c>
      <c r="DF127" s="151">
        <f t="shared" si="68"/>
        <v>0.64012533563216378</v>
      </c>
      <c r="DH127" s="152">
        <f t="shared" si="69"/>
        <v>20.999999999999957</v>
      </c>
      <c r="DI127" s="1">
        <f t="shared" si="70"/>
        <v>0.58979013832701499</v>
      </c>
    </row>
    <row r="128" spans="2:113" ht="18" customHeight="1" x14ac:dyDescent="0.25">
      <c r="B128" s="6"/>
      <c r="D128" s="310">
        <f>AL24</f>
        <v>35</v>
      </c>
      <c r="E128" s="311"/>
      <c r="F128" s="311"/>
      <c r="G128" s="372"/>
      <c r="H128" s="312">
        <f t="shared" si="73"/>
        <v>4.123617391186027</v>
      </c>
      <c r="I128" s="313"/>
      <c r="J128" s="313"/>
      <c r="K128" s="313"/>
      <c r="AP128" s="8"/>
      <c r="AR128" s="6"/>
      <c r="CF128" s="8"/>
      <c r="CM128" s="2">
        <f t="shared" si="71"/>
        <v>21.199999999999957</v>
      </c>
      <c r="CN128" s="1" t="str">
        <f t="shared" si="55"/>
        <v>0.0107986736111111+22.8931880555555i</v>
      </c>
      <c r="CO128" s="1" t="str">
        <f t="shared" si="56"/>
        <v>-0.0509371396750525i</v>
      </c>
      <c r="CP128" s="1" t="str">
        <f t="shared" si="57"/>
        <v>10.7986736111111</v>
      </c>
      <c r="CQ128" s="1" t="str">
        <f t="shared" si="58"/>
        <v>-1.22249135220126i</v>
      </c>
      <c r="CR128" s="1" t="str">
        <f t="shared" si="59"/>
        <v>0.0107986736111111+22.8422509158804i</v>
      </c>
      <c r="CS128" s="1" t="str">
        <f t="shared" si="60"/>
        <v>8.82485387668902+4.17101635017924i</v>
      </c>
      <c r="CT128" s="1" t="str">
        <f t="shared" si="61"/>
        <v>8.82485387668902+2.94852499797798i</v>
      </c>
      <c r="CU128" s="1" t="str">
        <f t="shared" si="62"/>
        <v>0.0191834803010191+10.1672445595401i</v>
      </c>
      <c r="CV128" s="1" t="str">
        <f t="shared" si="63"/>
        <v>3.65214557511058+4.73542897814175i</v>
      </c>
      <c r="CW128" s="2">
        <f t="shared" si="64"/>
        <v>21.199999999999957</v>
      </c>
      <c r="CX128" s="14">
        <f t="shared" si="65"/>
        <v>9.3043992610277773</v>
      </c>
      <c r="CY128" s="14">
        <f t="shared" si="54"/>
        <v>10.167262657146958</v>
      </c>
      <c r="CZ128" s="14">
        <f t="shared" si="66"/>
        <v>5.9801718126509051</v>
      </c>
      <c r="DE128" s="14">
        <f t="shared" si="67"/>
        <v>21.199999999999957</v>
      </c>
      <c r="DF128" s="151">
        <f t="shared" si="68"/>
        <v>0.64272519319966614</v>
      </c>
      <c r="DH128" s="152">
        <f t="shared" si="69"/>
        <v>21.199999999999957</v>
      </c>
      <c r="DI128" s="1">
        <f t="shared" si="70"/>
        <v>0.58817914067039834</v>
      </c>
    </row>
    <row r="129" spans="2:113" ht="18" customHeight="1" x14ac:dyDescent="0.25">
      <c r="B129" s="6"/>
      <c r="D129" s="373">
        <f>AN24</f>
        <v>37</v>
      </c>
      <c r="E129" s="374"/>
      <c r="F129" s="374"/>
      <c r="G129" s="374"/>
      <c r="H129" s="312">
        <f t="shared" si="73"/>
        <v>3.9160342090270852</v>
      </c>
      <c r="I129" s="313"/>
      <c r="J129" s="313"/>
      <c r="K129" s="313"/>
      <c r="AP129" s="8"/>
      <c r="AR129" s="6"/>
      <c r="CF129" s="8"/>
      <c r="CM129" s="2">
        <f t="shared" si="71"/>
        <v>21.399999999999956</v>
      </c>
      <c r="CN129" s="1" t="str">
        <f t="shared" si="55"/>
        <v>0.0107986736111111+23.1091615277777i</v>
      </c>
      <c r="CO129" s="1" t="str">
        <f t="shared" si="56"/>
        <v>-0.0504610916407062i</v>
      </c>
      <c r="CP129" s="1" t="str">
        <f t="shared" si="57"/>
        <v>10.7986736111111</v>
      </c>
      <c r="CQ129" s="1" t="str">
        <f t="shared" si="58"/>
        <v>-1.21106619937695i</v>
      </c>
      <c r="CR129" s="1" t="str">
        <f t="shared" si="59"/>
        <v>0.0107986736111111+23.058700436137i</v>
      </c>
      <c r="CS129" s="1" t="str">
        <f t="shared" si="60"/>
        <v>8.85509120656274+4.14603814681778i</v>
      </c>
      <c r="CT129" s="1" t="str">
        <f t="shared" si="61"/>
        <v>8.85509120656274+2.93497194744083i</v>
      </c>
      <c r="CU129" s="1" t="str">
        <f t="shared" si="62"/>
        <v>0.0191834803010191+10.2631619610452i</v>
      </c>
      <c r="CV129" s="1" t="str">
        <f t="shared" si="63"/>
        <v>3.69411195585327+4.75330722019099i</v>
      </c>
      <c r="CW129" s="2">
        <f t="shared" si="64"/>
        <v>21.399999999999956</v>
      </c>
      <c r="CX129" s="14">
        <f t="shared" si="65"/>
        <v>9.3288102461572979</v>
      </c>
      <c r="CY129" s="14">
        <f t="shared" si="54"/>
        <v>10.263179889515838</v>
      </c>
      <c r="CZ129" s="14">
        <f t="shared" si="66"/>
        <v>6.0199993913536129</v>
      </c>
      <c r="DE129" s="14">
        <f t="shared" si="67"/>
        <v>21.399999999999956</v>
      </c>
      <c r="DF129" s="151">
        <f t="shared" si="68"/>
        <v>0.64531266394161768</v>
      </c>
      <c r="DH129" s="152">
        <f t="shared" si="69"/>
        <v>21.399999999999956</v>
      </c>
      <c r="DI129" s="1">
        <f t="shared" si="70"/>
        <v>0.58656278620851865</v>
      </c>
    </row>
    <row r="130" spans="2:113" ht="18" customHeight="1" x14ac:dyDescent="0.25">
      <c r="B130" s="6"/>
      <c r="D130" s="314" t="s">
        <v>144</v>
      </c>
      <c r="E130" s="314"/>
      <c r="F130" s="314"/>
      <c r="G130" s="314"/>
      <c r="H130" s="375">
        <f>SQRT(SUM(H114^2,H115^2,H116^2,H117^2,H118^2,H119^2,H120^2,H121^2,H122^2,H123^2,H124^2,H125^2,H126^2,H127^2,H128^2,H129^2))</f>
        <v>454.49838187534272</v>
      </c>
      <c r="I130" s="375"/>
      <c r="J130" s="375"/>
      <c r="K130" s="375"/>
      <c r="AP130" s="8"/>
      <c r="AR130" s="6"/>
      <c r="CF130" s="8"/>
      <c r="CM130" s="2">
        <f t="shared" si="71"/>
        <v>21.599999999999955</v>
      </c>
      <c r="CN130" s="1" t="str">
        <f t="shared" si="55"/>
        <v>0.0107986736111111+23.325135i</v>
      </c>
      <c r="CO130" s="1" t="str">
        <f t="shared" si="56"/>
        <v>-0.0499938593106997i</v>
      </c>
      <c r="CP130" s="1" t="str">
        <f t="shared" si="57"/>
        <v>10.7986736111111</v>
      </c>
      <c r="CQ130" s="1" t="str">
        <f t="shared" si="58"/>
        <v>-1.19985262345679i</v>
      </c>
      <c r="CR130" s="1" t="str">
        <f t="shared" si="59"/>
        <v>0.0107986736111111+23.2751411406893i</v>
      </c>
      <c r="CS130" s="1" t="str">
        <f t="shared" si="60"/>
        <v>8.88468725454094+4.1212282539905i</v>
      </c>
      <c r="CT130" s="1" t="str">
        <f t="shared" si="61"/>
        <v>8.88468725454094+2.92137563053371i</v>
      </c>
      <c r="CU130" s="1" t="str">
        <f t="shared" si="62"/>
        <v>0.0191834803010191+10.3590793625503i</v>
      </c>
      <c r="CV130" s="1" t="str">
        <f t="shared" si="63"/>
        <v>3.73598275224517+4.77069726211753i</v>
      </c>
      <c r="CW130" s="2">
        <f t="shared" si="64"/>
        <v>21.599999999999955</v>
      </c>
      <c r="CX130" s="14">
        <f t="shared" si="65"/>
        <v>9.3526522006155286</v>
      </c>
      <c r="CY130" s="14">
        <f t="shared" si="54"/>
        <v>10.359097125016863</v>
      </c>
      <c r="CZ130" s="14">
        <f t="shared" si="66"/>
        <v>6.0594652810168892</v>
      </c>
      <c r="DE130" s="14">
        <f t="shared" si="67"/>
        <v>21.599999999999955</v>
      </c>
      <c r="DF130" s="151">
        <f t="shared" si="68"/>
        <v>0.64788737472971503</v>
      </c>
      <c r="DH130" s="152">
        <f t="shared" si="69"/>
        <v>21.599999999999955</v>
      </c>
      <c r="DI130" s="1">
        <f t="shared" si="70"/>
        <v>0.58494144884340438</v>
      </c>
    </row>
    <row r="131" spans="2:113" ht="18" customHeight="1" x14ac:dyDescent="0.25">
      <c r="B131" s="6"/>
      <c r="C131" s="178" t="s">
        <v>230</v>
      </c>
      <c r="D131" s="178"/>
      <c r="E131" s="178"/>
      <c r="F131" s="178"/>
      <c r="G131" s="178"/>
      <c r="H131" s="178"/>
      <c r="I131" s="178"/>
      <c r="J131" s="178"/>
      <c r="K131" s="178"/>
      <c r="L131" s="178"/>
      <c r="M131" s="178"/>
      <c r="N131" s="178"/>
      <c r="O131" s="178"/>
      <c r="P131" s="178"/>
      <c r="Q131" s="178"/>
      <c r="R131" s="178"/>
      <c r="S131" s="178"/>
      <c r="T131" s="178"/>
      <c r="U131" s="178"/>
      <c r="V131" s="178"/>
      <c r="W131" s="178"/>
      <c r="X131" s="178"/>
      <c r="Y131" s="178"/>
      <c r="Z131" s="178"/>
      <c r="AA131" s="178"/>
      <c r="AB131" s="178"/>
      <c r="AC131" s="178"/>
      <c r="AD131" s="178"/>
      <c r="AE131" s="178"/>
      <c r="AF131" s="178"/>
      <c r="AG131" s="178"/>
      <c r="AH131" s="178"/>
      <c r="AI131" s="178"/>
      <c r="AJ131" s="178"/>
      <c r="AK131" s="178"/>
      <c r="AL131" s="178"/>
      <c r="AM131" s="178"/>
      <c r="AN131" s="178"/>
      <c r="AO131" s="178"/>
      <c r="AP131" s="8"/>
      <c r="AR131" s="6"/>
      <c r="CF131" s="8"/>
      <c r="CM131" s="2">
        <f t="shared" si="71"/>
        <v>21.799999999999955</v>
      </c>
      <c r="CN131" s="1" t="str">
        <f t="shared" si="55"/>
        <v>0.0107986736111111+23.5411084722222i</v>
      </c>
      <c r="CO131" s="1" t="str">
        <f t="shared" si="56"/>
        <v>-0.0495352000509685i</v>
      </c>
      <c r="CP131" s="1" t="str">
        <f t="shared" si="57"/>
        <v>10.7986736111111</v>
      </c>
      <c r="CQ131" s="1" t="str">
        <f t="shared" si="58"/>
        <v>-1.18884480122324i</v>
      </c>
      <c r="CR131" s="1" t="str">
        <f t="shared" si="59"/>
        <v>0.0107986736111111+23.4915732721712i</v>
      </c>
      <c r="CS131" s="1" t="str">
        <f t="shared" si="60"/>
        <v>8.91365848568924+4.09658952552065i</v>
      </c>
      <c r="CT131" s="1" t="str">
        <f t="shared" si="61"/>
        <v>8.91365848568924+2.90774472429741i</v>
      </c>
      <c r="CU131" s="1" t="str">
        <f t="shared" si="62"/>
        <v>0.0191834803010191+10.4549967640554i</v>
      </c>
      <c r="CV131" s="1" t="str">
        <f t="shared" si="63"/>
        <v>3.77775245632547+4.78760532979012i</v>
      </c>
      <c r="CW131" s="2">
        <f t="shared" si="64"/>
        <v>21.799999999999955</v>
      </c>
      <c r="CX131" s="14">
        <f t="shared" si="65"/>
        <v>9.3759419250110128</v>
      </c>
      <c r="CY131" s="14">
        <f t="shared" si="54"/>
        <v>10.455014363563825</v>
      </c>
      <c r="CZ131" s="14">
        <f t="shared" si="66"/>
        <v>6.0985718340532715</v>
      </c>
      <c r="DE131" s="14">
        <f t="shared" si="67"/>
        <v>21.799999999999955</v>
      </c>
      <c r="DF131" s="151">
        <f t="shared" si="68"/>
        <v>0.65044897705529536</v>
      </c>
      <c r="DH131" s="152">
        <f t="shared" si="69"/>
        <v>21.799999999999955</v>
      </c>
      <c r="DI131" s="1">
        <f t="shared" si="70"/>
        <v>0.58331549072826394</v>
      </c>
    </row>
    <row r="132" spans="2:113" ht="18" customHeight="1" x14ac:dyDescent="0.25">
      <c r="B132" s="6"/>
      <c r="C132" s="233" t="str">
        <f xml:space="preserve"> "A quantity of " &amp; ROUND(3*S29,0) &amp; ", " &amp; ROUND(AJ28,0) &amp; " kvar, " &amp; W116 &amp; " kV BIL, " &amp; S20 &amp; _xlfn._LONGTEXT(" Hertz, all-film, low-loss, double-bushing capacitors designed, manufactured, and tested to applicable IEEE/ANSI and IEC standards, supplied by Cooper, GE, or Hitachi (no others), are required for the main capacitor group. The capacitors shall be connecte","d unground-wye and shall have applicable over-voltage and blown-fuse protection.")</f>
        <v>A quantity of 15, 766 kvar, 95 kV BIL, 60 Hertz, all-film, low-loss, double-bushing capacitors designed, manufactured, and tested to applicable IEEE/ANSI and IEC standards, supplied by Cooper, GE, or Hitachi (no others), are required for the main capacitor group. The capacitors shall be connected unground-wye and shall have applicable over-voltage and blown-fuse protection.</v>
      </c>
      <c r="D132" s="233"/>
      <c r="E132" s="233"/>
      <c r="F132" s="233"/>
      <c r="G132" s="233"/>
      <c r="H132" s="233"/>
      <c r="I132" s="233"/>
      <c r="J132" s="233"/>
      <c r="K132" s="233"/>
      <c r="L132" s="233"/>
      <c r="M132" s="233"/>
      <c r="N132" s="233"/>
      <c r="O132" s="233"/>
      <c r="P132" s="233"/>
      <c r="Q132" s="233"/>
      <c r="R132" s="233"/>
      <c r="S132" s="233"/>
      <c r="T132" s="233"/>
      <c r="U132" s="233"/>
      <c r="V132" s="233"/>
      <c r="W132" s="233"/>
      <c r="X132" s="233"/>
      <c r="Y132" s="233"/>
      <c r="Z132" s="233"/>
      <c r="AA132" s="233"/>
      <c r="AB132" s="233"/>
      <c r="AC132" s="233"/>
      <c r="AD132" s="233"/>
      <c r="AE132" s="233"/>
      <c r="AF132" s="233"/>
      <c r="AG132" s="233"/>
      <c r="AH132" s="233"/>
      <c r="AI132" s="233"/>
      <c r="AJ132" s="233"/>
      <c r="AK132" s="233"/>
      <c r="AL132" s="233"/>
      <c r="AM132" s="233"/>
      <c r="AN132" s="233"/>
      <c r="AO132" s="233"/>
      <c r="AP132" s="27"/>
      <c r="AR132" s="6"/>
      <c r="CF132" s="8"/>
      <c r="CM132" s="2">
        <f t="shared" si="71"/>
        <v>21.999999999999954</v>
      </c>
      <c r="CN132" s="1" t="str">
        <f t="shared" si="55"/>
        <v>0.0107986736111111+23.7570819444444i</v>
      </c>
      <c r="CO132" s="1" t="str">
        <f t="shared" si="56"/>
        <v>-0.0490848800505052i</v>
      </c>
      <c r="CP132" s="1" t="str">
        <f t="shared" si="57"/>
        <v>10.7986736111111</v>
      </c>
      <c r="CQ132" s="1" t="str">
        <f t="shared" si="58"/>
        <v>-1.17803712121212i</v>
      </c>
      <c r="CR132" s="1" t="str">
        <f t="shared" si="59"/>
        <v>0.0107986736111111+23.7079970643939i</v>
      </c>
      <c r="CS132" s="1" t="str">
        <f t="shared" si="60"/>
        <v>8.9420209028534+4.0721245031717i</v>
      </c>
      <c r="CT132" s="1" t="str">
        <f t="shared" si="61"/>
        <v>8.9420209028534+2.89408738195958i</v>
      </c>
      <c r="CU132" s="1" t="str">
        <f t="shared" si="62"/>
        <v>0.0191834803010191+10.5509141655605i</v>
      </c>
      <c r="CV132" s="1" t="str">
        <f t="shared" si="63"/>
        <v>3.81941573812336+4.80403764165572i</v>
      </c>
      <c r="CW132" s="2">
        <f t="shared" si="64"/>
        <v>21.999999999999954</v>
      </c>
      <c r="CX132" s="14">
        <f t="shared" si="65"/>
        <v>9.3986956329846532</v>
      </c>
      <c r="CY132" s="14">
        <f t="shared" si="54"/>
        <v>10.550931605073655</v>
      </c>
      <c r="CZ132" s="14">
        <f t="shared" si="66"/>
        <v>6.1373214224993511</v>
      </c>
      <c r="DE132" s="14">
        <f t="shared" si="67"/>
        <v>21.999999999999954</v>
      </c>
      <c r="DF132" s="151">
        <f t="shared" si="68"/>
        <v>0.65299714579121715</v>
      </c>
      <c r="DH132" s="152">
        <f t="shared" si="69"/>
        <v>21.999999999999954</v>
      </c>
      <c r="DI132" s="1">
        <f t="shared" si="70"/>
        <v>0.58168526270685861</v>
      </c>
    </row>
    <row r="133" spans="2:113" ht="18" customHeight="1" x14ac:dyDescent="0.25">
      <c r="B133" s="6"/>
      <c r="C133" s="153"/>
      <c r="D133" s="153"/>
      <c r="E133" s="153"/>
      <c r="F133" s="153"/>
      <c r="G133" s="153"/>
      <c r="H133" s="153"/>
      <c r="I133" s="153"/>
      <c r="J133" s="153"/>
      <c r="K133" s="153"/>
      <c r="L133" s="153"/>
      <c r="M133" s="153"/>
      <c r="N133" s="153"/>
      <c r="O133" s="153"/>
      <c r="P133" s="153"/>
      <c r="Q133" s="153"/>
      <c r="R133" s="153"/>
      <c r="S133" s="153"/>
      <c r="T133" s="153"/>
      <c r="U133" s="153"/>
      <c r="V133" s="153"/>
      <c r="W133" s="153"/>
      <c r="X133" s="153"/>
      <c r="Y133" s="153"/>
      <c r="Z133" s="153"/>
      <c r="AA133" s="153"/>
      <c r="AB133" s="153"/>
      <c r="AC133" s="153"/>
      <c r="AD133" s="153"/>
      <c r="AE133" s="153"/>
      <c r="AF133" s="153"/>
      <c r="AG133" s="153"/>
      <c r="AH133" s="153"/>
      <c r="AI133" s="153"/>
      <c r="AJ133" s="153"/>
      <c r="AK133" s="153"/>
      <c r="AL133" s="153"/>
      <c r="AM133" s="153"/>
      <c r="AN133" s="153"/>
      <c r="AO133" s="153"/>
      <c r="AP133" s="8"/>
      <c r="AR133" s="6"/>
      <c r="CF133" s="8"/>
      <c r="CM133" s="2">
        <f t="shared" si="71"/>
        <v>22.199999999999953</v>
      </c>
      <c r="CN133" s="1" t="str">
        <f t="shared" si="55"/>
        <v>0.0107986736111111+23.9730554166666i</v>
      </c>
      <c r="CO133" s="1" t="str">
        <f t="shared" si="56"/>
        <v>-0.048642673923924i</v>
      </c>
      <c r="CP133" s="1" t="str">
        <f t="shared" si="57"/>
        <v>10.7986736111111</v>
      </c>
      <c r="CQ133" s="1" t="str">
        <f t="shared" si="58"/>
        <v>-1.16742417417418i</v>
      </c>
      <c r="CR133" s="1" t="str">
        <f t="shared" si="59"/>
        <v>0.0107986736111111+23.9244127427427i</v>
      </c>
      <c r="CS133" s="1" t="str">
        <f t="shared" si="60"/>
        <v>8.96979005893771+4.04783543618979i</v>
      </c>
      <c r="CT133" s="1" t="str">
        <f t="shared" si="61"/>
        <v>8.96979005893771+2.88041126201561i</v>
      </c>
      <c r="CU133" s="1" t="str">
        <f t="shared" si="62"/>
        <v>0.0191834803010191+10.6468315670656i</v>
      </c>
      <c r="CV133" s="1" t="str">
        <f t="shared" si="63"/>
        <v>3.86096744241593+4.82000040652977i</v>
      </c>
      <c r="CW133" s="2">
        <f t="shared" si="64"/>
        <v>22.199999999999953</v>
      </c>
      <c r="CX133" s="14">
        <f t="shared" si="65"/>
        <v>9.4209289743508897</v>
      </c>
      <c r="CY133" s="14">
        <f t="shared" si="54"/>
        <v>10.646848849466277</v>
      </c>
      <c r="CZ133" s="14">
        <f t="shared" si="66"/>
        <v>6.1757164370089859</v>
      </c>
      <c r="DE133" s="14">
        <f t="shared" si="67"/>
        <v>22.199999999999953</v>
      </c>
      <c r="DF133" s="151">
        <f t="shared" si="68"/>
        <v>0.65553157802407658</v>
      </c>
      <c r="DH133" s="152">
        <f t="shared" si="69"/>
        <v>22.199999999999953</v>
      </c>
      <c r="DI133" s="1">
        <f t="shared" si="70"/>
        <v>0.58005110472837951</v>
      </c>
    </row>
    <row r="134" spans="2:113" ht="18" customHeight="1" x14ac:dyDescent="0.25">
      <c r="B134" s="6"/>
      <c r="C134" s="153"/>
      <c r="D134" s="153"/>
      <c r="E134" s="153"/>
      <c r="F134" s="153"/>
      <c r="G134" s="153"/>
      <c r="H134" s="153"/>
      <c r="I134" s="153"/>
      <c r="J134" s="153"/>
      <c r="K134" s="153"/>
      <c r="L134" s="153"/>
      <c r="M134" s="153"/>
      <c r="N134" s="153"/>
      <c r="O134" s="153"/>
      <c r="P134" s="153"/>
      <c r="Q134" s="153"/>
      <c r="R134" s="153"/>
      <c r="S134" s="153"/>
      <c r="T134" s="153"/>
      <c r="U134" s="153"/>
      <c r="V134" s="153"/>
      <c r="W134" s="153"/>
      <c r="X134" s="153"/>
      <c r="Y134" s="153"/>
      <c r="Z134" s="153"/>
      <c r="AA134" s="153"/>
      <c r="AB134" s="153"/>
      <c r="AC134" s="153"/>
      <c r="AD134" s="153"/>
      <c r="AE134" s="153"/>
      <c r="AF134" s="153"/>
      <c r="AG134" s="153"/>
      <c r="AH134" s="153"/>
      <c r="AI134" s="153"/>
      <c r="AJ134" s="153"/>
      <c r="AK134" s="153"/>
      <c r="AL134" s="153"/>
      <c r="AM134" s="153"/>
      <c r="AN134" s="153"/>
      <c r="AO134" s="153"/>
      <c r="AP134" s="8"/>
      <c r="AR134" s="6"/>
      <c r="CF134" s="8"/>
      <c r="CM134" s="2">
        <f t="shared" si="71"/>
        <v>22.399999999999952</v>
      </c>
      <c r="CN134" s="1" t="str">
        <f t="shared" si="55"/>
        <v>0.0107986736111111+24.1890288888888i</v>
      </c>
      <c r="CO134" s="1" t="str">
        <f t="shared" si="56"/>
        <v>-0.0482083643353176i</v>
      </c>
      <c r="CP134" s="1" t="str">
        <f t="shared" si="57"/>
        <v>10.7986736111111</v>
      </c>
      <c r="CQ134" s="1" t="str">
        <f t="shared" si="58"/>
        <v>-1.15700074404762i</v>
      </c>
      <c r="CR134" s="1" t="str">
        <f t="shared" si="59"/>
        <v>0.0107986736111111+24.1408205245535i</v>
      </c>
      <c r="CS134" s="1" t="str">
        <f t="shared" si="60"/>
        <v>8.99698106901277+4.02372429972329i</v>
      </c>
      <c r="CT134" s="1" t="str">
        <f t="shared" si="61"/>
        <v>8.99698106901277+2.86672355567567i</v>
      </c>
      <c r="CU134" s="1" t="str">
        <f t="shared" si="62"/>
        <v>0.0191834803010191+10.7427489685707i</v>
      </c>
      <c r="CV134" s="1" t="str">
        <f t="shared" si="63"/>
        <v>3.90240258552122+4.83549982141406i</v>
      </c>
      <c r="CW134" s="2">
        <f t="shared" si="64"/>
        <v>22.399999999999952</v>
      </c>
      <c r="CX134" s="14">
        <f t="shared" si="65"/>
        <v>9.4426570572503543</v>
      </c>
      <c r="CY134" s="14">
        <f t="shared" si="54"/>
        <v>10.74276609666447</v>
      </c>
      <c r="CZ134" s="14">
        <f t="shared" si="66"/>
        <v>6.2137592858412294</v>
      </c>
      <c r="DE134" s="14">
        <f t="shared" si="67"/>
        <v>22.399999999999952</v>
      </c>
      <c r="DF134" s="151">
        <f t="shared" si="68"/>
        <v>0.65805199195179087</v>
      </c>
      <c r="DH134" s="152">
        <f t="shared" si="69"/>
        <v>22.399999999999952</v>
      </c>
      <c r="DI134" s="1">
        <f t="shared" si="70"/>
        <v>0.57841334623962015</v>
      </c>
    </row>
    <row r="135" spans="2:113" ht="18" customHeight="1" x14ac:dyDescent="0.25">
      <c r="B135" s="6"/>
      <c r="C135" s="153"/>
      <c r="D135" s="153"/>
      <c r="E135" s="153"/>
      <c r="F135" s="153"/>
      <c r="G135" s="153"/>
      <c r="H135" s="153"/>
      <c r="I135" s="153"/>
      <c r="J135" s="153"/>
      <c r="K135" s="153"/>
      <c r="L135" s="153"/>
      <c r="M135" s="153"/>
      <c r="N135" s="153"/>
      <c r="O135" s="153"/>
      <c r="P135" s="153"/>
      <c r="Q135" s="153"/>
      <c r="R135" s="153"/>
      <c r="S135" s="153"/>
      <c r="T135" s="153"/>
      <c r="U135" s="153"/>
      <c r="V135" s="153"/>
      <c r="W135" s="153"/>
      <c r="X135" s="153"/>
      <c r="Y135" s="153"/>
      <c r="Z135" s="153"/>
      <c r="AA135" s="153"/>
      <c r="AB135" s="153"/>
      <c r="AC135" s="153"/>
      <c r="AD135" s="153"/>
      <c r="AE135" s="153"/>
      <c r="AF135" s="153"/>
      <c r="AG135" s="153"/>
      <c r="AH135" s="153"/>
      <c r="AI135" s="153"/>
      <c r="AJ135" s="153"/>
      <c r="AK135" s="153"/>
      <c r="AL135" s="153"/>
      <c r="AM135" s="153"/>
      <c r="AN135" s="153"/>
      <c r="AO135" s="153"/>
      <c r="AP135" s="8"/>
      <c r="AR135" s="6"/>
      <c r="CF135" s="8"/>
      <c r="CM135" s="2">
        <f t="shared" si="71"/>
        <v>22.599999999999952</v>
      </c>
      <c r="CN135" s="1" t="str">
        <f t="shared" si="55"/>
        <v>0.0107986736111111+24.4050023611111i</v>
      </c>
      <c r="CO135" s="1" t="str">
        <f t="shared" si="56"/>
        <v>-0.0477817416420847i</v>
      </c>
      <c r="CP135" s="1" t="str">
        <f t="shared" si="57"/>
        <v>10.7986736111111</v>
      </c>
      <c r="CQ135" s="1" t="str">
        <f t="shared" si="58"/>
        <v>-1.14676179941003i</v>
      </c>
      <c r="CR135" s="1" t="str">
        <f t="shared" si="59"/>
        <v>0.0107986736111111+24.357220619469i</v>
      </c>
      <c r="CS135" s="1" t="str">
        <f t="shared" si="60"/>
        <v>9.0236086222365+3.99979281218213i</v>
      </c>
      <c r="CT135" s="1" t="str">
        <f t="shared" si="61"/>
        <v>9.0236086222365+2.8530310127721i</v>
      </c>
      <c r="CU135" s="1" t="str">
        <f t="shared" si="62"/>
        <v>0.0191834803010191+10.8386663700758i</v>
      </c>
      <c r="CV135" s="1" t="str">
        <f t="shared" si="63"/>
        <v>3.94371635212322+4.85054206934871i</v>
      </c>
      <c r="CW135" s="2">
        <f t="shared" si="64"/>
        <v>22.599999999999952</v>
      </c>
      <c r="CX135" s="14">
        <f t="shared" si="65"/>
        <v>9.4638944693577542</v>
      </c>
      <c r="CY135" s="14">
        <f t="shared" si="54"/>
        <v>10.838683346593752</v>
      </c>
      <c r="CZ135" s="14">
        <f t="shared" si="66"/>
        <v>6.251452393846229</v>
      </c>
      <c r="DE135" s="14">
        <f t="shared" si="67"/>
        <v>22.599999999999952</v>
      </c>
      <c r="DF135" s="151">
        <f t="shared" si="68"/>
        <v>0.66055812584208451</v>
      </c>
      <c r="DH135" s="152">
        <f t="shared" si="69"/>
        <v>22.599999999999952</v>
      </c>
      <c r="DI135" s="1">
        <f t="shared" si="70"/>
        <v>0.57677230655611511</v>
      </c>
    </row>
    <row r="136" spans="2:113" ht="18" customHeight="1" x14ac:dyDescent="0.25">
      <c r="B136" s="6"/>
      <c r="C136" s="178" t="s">
        <v>276</v>
      </c>
      <c r="D136" s="178"/>
      <c r="E136" s="178"/>
      <c r="F136" s="178"/>
      <c r="G136" s="178"/>
      <c r="H136" s="178"/>
      <c r="I136" s="178"/>
      <c r="J136" s="178"/>
      <c r="K136" s="178"/>
      <c r="L136" s="178"/>
      <c r="M136" s="178"/>
      <c r="N136" s="178"/>
      <c r="O136" s="178"/>
      <c r="P136" s="178"/>
      <c r="Q136" s="178"/>
      <c r="R136" s="178"/>
      <c r="S136" s="178"/>
      <c r="T136" s="178"/>
      <c r="U136" s="178"/>
      <c r="V136" s="178"/>
      <c r="W136" s="178"/>
      <c r="X136" s="178"/>
      <c r="Y136" s="178"/>
      <c r="Z136" s="178"/>
      <c r="AA136" s="178"/>
      <c r="AB136" s="178"/>
      <c r="AC136" s="178"/>
      <c r="AD136" s="178"/>
      <c r="AE136" s="178"/>
      <c r="AF136" s="178"/>
      <c r="AG136" s="178"/>
      <c r="AH136" s="178"/>
      <c r="AI136" s="178"/>
      <c r="AJ136" s="178"/>
      <c r="AK136" s="178"/>
      <c r="AL136" s="178"/>
      <c r="AM136" s="178"/>
      <c r="AN136" s="178"/>
      <c r="AO136" s="178"/>
      <c r="AP136" s="8"/>
      <c r="AR136" s="6"/>
      <c r="CF136" s="8"/>
      <c r="CM136" s="2">
        <f t="shared" si="71"/>
        <v>22.799999999999951</v>
      </c>
      <c r="CN136" s="1" t="str">
        <f t="shared" si="55"/>
        <v>0.0107986736111111+24.6209758333333i</v>
      </c>
      <c r="CO136" s="1" t="str">
        <f t="shared" si="56"/>
        <v>-0.047362603557505i</v>
      </c>
      <c r="CP136" s="1" t="str">
        <f t="shared" si="57"/>
        <v>10.7986736111111</v>
      </c>
      <c r="CQ136" s="1" t="str">
        <f t="shared" si="58"/>
        <v>-1.13670248538012i</v>
      </c>
      <c r="CR136" s="1" t="str">
        <f t="shared" si="59"/>
        <v>0.0107986736111111+24.5736132297758i</v>
      </c>
      <c r="CS136" s="1" t="str">
        <f t="shared" si="60"/>
        <v>9.04968699357417+3.97604245159608i</v>
      </c>
      <c r="CT136" s="1" t="str">
        <f t="shared" si="61"/>
        <v>9.04968699357417+2.83933996621596i</v>
      </c>
      <c r="CU136" s="1" t="str">
        <f t="shared" si="62"/>
        <v>0.0191834803010191+10.9345837715809i</v>
      </c>
      <c r="CV136" s="1" t="str">
        <f t="shared" si="63"/>
        <v>3.9849040921268+4.86513331730164i</v>
      </c>
      <c r="CW136" s="2">
        <f t="shared" si="64"/>
        <v>22.799999999999951</v>
      </c>
      <c r="CX136" s="14">
        <f t="shared" si="65"/>
        <v>9.4846552981864747</v>
      </c>
      <c r="CY136" s="14">
        <f t="shared" si="54"/>
        <v>10.934600599182254</v>
      </c>
      <c r="CZ136" s="14">
        <f t="shared" si="66"/>
        <v>6.2887982014505273</v>
      </c>
      <c r="DE136" s="14">
        <f t="shared" si="67"/>
        <v>22.799999999999951</v>
      </c>
      <c r="DF136" s="151">
        <f t="shared" si="68"/>
        <v>0.66304973704769099</v>
      </c>
      <c r="DH136" s="152">
        <f t="shared" si="69"/>
        <v>22.799999999999951</v>
      </c>
      <c r="DI136" s="1">
        <f t="shared" si="70"/>
        <v>0.57512829521371234</v>
      </c>
    </row>
    <row r="137" spans="2:113" ht="18" customHeight="1" x14ac:dyDescent="0.25">
      <c r="B137" s="6"/>
      <c r="C137" s="233" t="str">
        <f xml:space="preserve"> "A quantity of " &amp; ROUND(3*S35,0) &amp; ", " &amp; ROUND(AJ34,0) &amp; " kvar, " &amp; W116 &amp; " kV BIL, " &amp; S20 &amp; _xlfn._LONGTEXT(" Hertz, all-film, low-loss, double-bushing capacitors designed, manufactured, and tested to applicable IEEE/ANSI and IEC standards, supplied by Cooper, GE, or Hitachi (no others), are required for the auxiliary capacitor group. The capacitors shall be con","nected in series with the reactor.")</f>
        <v>A quantity of 18, 154 kvar, 95 kV BIL, 60 Hertz, all-film, low-loss, double-bushing capacitors designed, manufactured, and tested to applicable IEEE/ANSI and IEC standards, supplied by Cooper, GE, or Hitachi (no others), are required for the auxiliary capacitor group. The capacitors shall be connected in series with the reactor.</v>
      </c>
      <c r="D137" s="233"/>
      <c r="E137" s="233"/>
      <c r="F137" s="233"/>
      <c r="G137" s="233"/>
      <c r="H137" s="233"/>
      <c r="I137" s="233"/>
      <c r="J137" s="233"/>
      <c r="K137" s="233"/>
      <c r="L137" s="233"/>
      <c r="M137" s="233"/>
      <c r="N137" s="233"/>
      <c r="O137" s="233"/>
      <c r="P137" s="233"/>
      <c r="Q137" s="233"/>
      <c r="R137" s="233"/>
      <c r="S137" s="233"/>
      <c r="T137" s="233"/>
      <c r="U137" s="233"/>
      <c r="V137" s="233"/>
      <c r="W137" s="233"/>
      <c r="X137" s="233"/>
      <c r="Y137" s="233"/>
      <c r="Z137" s="233"/>
      <c r="AA137" s="233"/>
      <c r="AB137" s="233"/>
      <c r="AC137" s="233"/>
      <c r="AD137" s="233"/>
      <c r="AE137" s="233"/>
      <c r="AF137" s="233"/>
      <c r="AG137" s="233"/>
      <c r="AH137" s="233"/>
      <c r="AI137" s="233"/>
      <c r="AJ137" s="233"/>
      <c r="AK137" s="233"/>
      <c r="AL137" s="233"/>
      <c r="AM137" s="233"/>
      <c r="AN137" s="233"/>
      <c r="AO137" s="233"/>
      <c r="AP137" s="8"/>
      <c r="AR137" s="6"/>
      <c r="CF137" s="8"/>
      <c r="CM137" s="2">
        <f t="shared" si="71"/>
        <v>22.99999999999995</v>
      </c>
      <c r="CN137" s="1" t="str">
        <f t="shared" si="55"/>
        <v>0.0107986736111111+24.8369493055555i</v>
      </c>
      <c r="CO137" s="1" t="str">
        <f t="shared" si="56"/>
        <v>-0.046950754830918i</v>
      </c>
      <c r="CP137" s="1" t="str">
        <f t="shared" si="57"/>
        <v>10.7986736111111</v>
      </c>
      <c r="CQ137" s="1" t="str">
        <f t="shared" si="58"/>
        <v>-1.12681811594203i</v>
      </c>
      <c r="CR137" s="1" t="str">
        <f t="shared" si="59"/>
        <v>0.0107986736111111+24.7899985507246i</v>
      </c>
      <c r="CS137" s="1" t="str">
        <f t="shared" si="60"/>
        <v>9.07523005530666+3.95247447102783i</v>
      </c>
      <c r="CT137" s="1" t="str">
        <f t="shared" si="61"/>
        <v>9.07523005530666+2.8256563550858i</v>
      </c>
      <c r="CU137" s="1" t="str">
        <f t="shared" si="62"/>
        <v>0.0191834803010191+11.030501173086i</v>
      </c>
      <c r="CV137" s="1" t="str">
        <f t="shared" si="63"/>
        <v>4.02596131754104+4.87927971410102i</v>
      </c>
      <c r="CW137" s="2">
        <f t="shared" si="64"/>
        <v>22.99999999999995</v>
      </c>
      <c r="CX137" s="14">
        <f t="shared" si="65"/>
        <v>9.504953150530417</v>
      </c>
      <c r="CY137" s="14">
        <f t="shared" si="54"/>
        <v>11.030517854360605</v>
      </c>
      <c r="CZ137" s="14">
        <f t="shared" si="66"/>
        <v>6.3257991636452164</v>
      </c>
      <c r="DE137" s="14">
        <f t="shared" si="67"/>
        <v>22.99999999999995</v>
      </c>
      <c r="DF137" s="151">
        <f t="shared" si="68"/>
        <v>0.66552660107453476</v>
      </c>
      <c r="DH137" s="152">
        <f t="shared" si="69"/>
        <v>22.99999999999995</v>
      </c>
      <c r="DI137" s="1">
        <f t="shared" si="70"/>
        <v>0.57348161230204331</v>
      </c>
    </row>
    <row r="138" spans="2:113" ht="18" customHeight="1" x14ac:dyDescent="0.25">
      <c r="B138" s="6"/>
      <c r="C138" s="153"/>
      <c r="D138" s="153"/>
      <c r="E138" s="153"/>
      <c r="F138" s="153"/>
      <c r="G138" s="153"/>
      <c r="H138" s="153"/>
      <c r="I138" s="153"/>
      <c r="J138" s="153"/>
      <c r="K138" s="153"/>
      <c r="L138" s="153"/>
      <c r="M138" s="153"/>
      <c r="N138" s="153"/>
      <c r="O138" s="153"/>
      <c r="P138" s="153"/>
      <c r="Q138" s="153"/>
      <c r="R138" s="153"/>
      <c r="S138" s="153"/>
      <c r="T138" s="153"/>
      <c r="U138" s="153"/>
      <c r="V138" s="153"/>
      <c r="W138" s="153"/>
      <c r="X138" s="153"/>
      <c r="Y138" s="153"/>
      <c r="Z138" s="153"/>
      <c r="AA138" s="153"/>
      <c r="AB138" s="153"/>
      <c r="AC138" s="153"/>
      <c r="AD138" s="153"/>
      <c r="AE138" s="153"/>
      <c r="AF138" s="153"/>
      <c r="AG138" s="153"/>
      <c r="AH138" s="153"/>
      <c r="AI138" s="153"/>
      <c r="AJ138" s="153"/>
      <c r="AK138" s="153"/>
      <c r="AL138" s="153"/>
      <c r="AM138" s="153"/>
      <c r="AN138" s="153"/>
      <c r="AO138" s="153"/>
      <c r="AP138" s="8"/>
      <c r="AR138" s="6"/>
      <c r="CF138" s="8"/>
      <c r="CM138" s="2">
        <f t="shared" si="71"/>
        <v>23.19999999999995</v>
      </c>
      <c r="CN138" s="1" t="str">
        <f t="shared" si="55"/>
        <v>0.0107986736111111+25.0529227777777i</v>
      </c>
      <c r="CO138" s="1" t="str">
        <f t="shared" si="56"/>
        <v>-0.0465460069444446i</v>
      </c>
      <c r="CP138" s="1" t="str">
        <f t="shared" si="57"/>
        <v>10.7986736111111</v>
      </c>
      <c r="CQ138" s="1" t="str">
        <f t="shared" si="58"/>
        <v>-1.11710416666667i</v>
      </c>
      <c r="CR138" s="1" t="str">
        <f t="shared" si="59"/>
        <v>0.0107986736111111+25.0063767708333i</v>
      </c>
      <c r="CS138" s="1" t="str">
        <f t="shared" si="60"/>
        <v>9.10025128831738+3.92908991309422i</v>
      </c>
      <c r="CT138" s="1" t="str">
        <f t="shared" si="61"/>
        <v>9.10025128831738+2.81198574642755i</v>
      </c>
      <c r="CU138" s="1" t="str">
        <f t="shared" si="62"/>
        <v>0.0191834803010191+11.1264185745911i</v>
      </c>
      <c r="CV138" s="1" t="str">
        <f t="shared" si="63"/>
        <v>4.06688369938916+4.89298738841334i</v>
      </c>
      <c r="CW138" s="2">
        <f t="shared" si="64"/>
        <v>23.19999999999995</v>
      </c>
      <c r="CX138" s="14">
        <f t="shared" si="65"/>
        <v>9.524801171081414</v>
      </c>
      <c r="CY138" s="14">
        <f t="shared" si="54"/>
        <v>11.126435112061824</v>
      </c>
      <c r="CZ138" s="14">
        <f t="shared" si="66"/>
        <v>6.3624577489779259</v>
      </c>
      <c r="DE138" s="14">
        <f t="shared" si="67"/>
        <v>23.19999999999995</v>
      </c>
      <c r="DF138" s="151">
        <f t="shared" si="68"/>
        <v>0.66798851069933496</v>
      </c>
      <c r="DH138" s="152">
        <f t="shared" si="69"/>
        <v>23.19999999999995</v>
      </c>
      <c r="DI138" s="1">
        <f t="shared" si="70"/>
        <v>0.57183254878111089</v>
      </c>
    </row>
    <row r="139" spans="2:113" ht="18" customHeight="1" x14ac:dyDescent="0.25">
      <c r="B139" s="6"/>
      <c r="C139" s="153"/>
      <c r="D139" s="153"/>
      <c r="E139" s="153"/>
      <c r="F139" s="153"/>
      <c r="G139" s="153"/>
      <c r="H139" s="153"/>
      <c r="I139" s="153"/>
      <c r="J139" s="153"/>
      <c r="K139" s="153"/>
      <c r="L139" s="153"/>
      <c r="M139" s="153"/>
      <c r="N139" s="153"/>
      <c r="O139" s="153"/>
      <c r="P139" s="153"/>
      <c r="Q139" s="153"/>
      <c r="R139" s="153"/>
      <c r="S139" s="153"/>
      <c r="T139" s="153"/>
      <c r="U139" s="153"/>
      <c r="V139" s="153"/>
      <c r="W139" s="153"/>
      <c r="X139" s="153"/>
      <c r="Y139" s="153"/>
      <c r="Z139" s="153"/>
      <c r="AA139" s="153"/>
      <c r="AB139" s="153"/>
      <c r="AC139" s="153"/>
      <c r="AD139" s="153"/>
      <c r="AE139" s="153"/>
      <c r="AF139" s="153"/>
      <c r="AG139" s="153"/>
      <c r="AH139" s="153"/>
      <c r="AI139" s="153"/>
      <c r="AJ139" s="153"/>
      <c r="AK139" s="153"/>
      <c r="AL139" s="153"/>
      <c r="AM139" s="153"/>
      <c r="AN139" s="153"/>
      <c r="AO139" s="153"/>
      <c r="AP139" s="8"/>
      <c r="AR139" s="6"/>
      <c r="CF139" s="8"/>
      <c r="CM139" s="2">
        <f t="shared" si="71"/>
        <v>23.399999999999949</v>
      </c>
      <c r="CN139" s="1" t="str">
        <f t="shared" si="55"/>
        <v>0.0107986736111111+25.26889625i</v>
      </c>
      <c r="CO139" s="1" t="str">
        <f t="shared" si="56"/>
        <v>-0.0461481778252613i</v>
      </c>
      <c r="CP139" s="1" t="str">
        <f t="shared" si="57"/>
        <v>10.7986736111111</v>
      </c>
      <c r="CQ139" s="1" t="str">
        <f t="shared" si="58"/>
        <v>-1.10755626780627i</v>
      </c>
      <c r="CR139" s="1" t="str">
        <f t="shared" si="59"/>
        <v>0.0107986736111111+25.2227480721747i</v>
      </c>
      <c r="CS139" s="1" t="str">
        <f t="shared" si="60"/>
        <v>9.12476379314973+3.90588962364541i</v>
      </c>
      <c r="CT139" s="1" t="str">
        <f t="shared" si="61"/>
        <v>9.12476379314973+2.79833335583914i</v>
      </c>
      <c r="CU139" s="1" t="str">
        <f t="shared" si="62"/>
        <v>0.0191834803010191+11.2223359760962i</v>
      </c>
      <c r="CV139" s="1" t="str">
        <f t="shared" si="63"/>
        <v>4.1076670646448+4.90626244677104i</v>
      </c>
      <c r="CW139" s="2">
        <f t="shared" si="64"/>
        <v>23.399999999999949</v>
      </c>
      <c r="CX139" s="14">
        <f t="shared" si="65"/>
        <v>9.5442120602582055</v>
      </c>
      <c r="CY139" s="14">
        <f t="shared" si="54"/>
        <v>11.222352372221222</v>
      </c>
      <c r="CZ139" s="14">
        <f t="shared" si="66"/>
        <v>6.3987764385516215</v>
      </c>
      <c r="DE139" s="14">
        <f t="shared" si="67"/>
        <v>23.399999999999949</v>
      </c>
      <c r="DF139" s="151">
        <f t="shared" si="68"/>
        <v>0.67043527513349233</v>
      </c>
      <c r="DH139" s="152">
        <f t="shared" si="69"/>
        <v>23.399999999999949</v>
      </c>
      <c r="DI139" s="1">
        <f t="shared" si="70"/>
        <v>0.57018138678219987</v>
      </c>
    </row>
    <row r="140" spans="2:113" ht="18" customHeight="1" x14ac:dyDescent="0.25">
      <c r="B140" s="6"/>
      <c r="AP140" s="8"/>
      <c r="AR140" s="6"/>
      <c r="CF140" s="8"/>
      <c r="CM140" s="2">
        <f t="shared" si="71"/>
        <v>23.599999999999948</v>
      </c>
      <c r="CN140" s="1" t="str">
        <f t="shared" si="55"/>
        <v>0.0107986736111111+25.4848697222222i</v>
      </c>
      <c r="CO140" s="1" t="str">
        <f t="shared" si="56"/>
        <v>-0.0457570915725048i</v>
      </c>
      <c r="CP140" s="1" t="str">
        <f t="shared" si="57"/>
        <v>10.7986736111111</v>
      </c>
      <c r="CQ140" s="1" t="str">
        <f t="shared" si="58"/>
        <v>-1.09817019774012i</v>
      </c>
      <c r="CR140" s="1" t="str">
        <f t="shared" si="59"/>
        <v>0.0107986736111111+25.4391126306497i</v>
      </c>
      <c r="CS140" s="1" t="str">
        <f t="shared" si="60"/>
        <v>9.14878030083014+3.88287426464977i</v>
      </c>
      <c r="CT140" s="1" t="str">
        <f t="shared" si="61"/>
        <v>9.14878030083014+2.78470406690965i</v>
      </c>
      <c r="CU140" s="1" t="str">
        <f t="shared" si="62"/>
        <v>0.0191834803010191+11.3182533776013i</v>
      </c>
      <c r="CV140" s="1" t="str">
        <f t="shared" si="63"/>
        <v>4.14830739319275+4.9191109716517i</v>
      </c>
      <c r="CW140" s="2">
        <f t="shared" si="64"/>
        <v>23.599999999999948</v>
      </c>
      <c r="CX140" s="14">
        <f t="shared" si="65"/>
        <v>9.5631980912831018</v>
      </c>
      <c r="CY140" s="14">
        <f t="shared" si="54"/>
        <v>11.318269634776307</v>
      </c>
      <c r="CZ140" s="14">
        <f t="shared" si="66"/>
        <v>6.4347577250306616</v>
      </c>
      <c r="DE140" s="14">
        <f t="shared" si="67"/>
        <v>23.599999999999948</v>
      </c>
      <c r="DF140" s="151">
        <f t="shared" si="68"/>
        <v>0.67286671923024999</v>
      </c>
      <c r="DH140" s="152">
        <f t="shared" si="69"/>
        <v>23.599999999999948</v>
      </c>
      <c r="DI140" s="1">
        <f t="shared" si="70"/>
        <v>0.56852839989421378</v>
      </c>
    </row>
    <row r="141" spans="2:113" ht="18" customHeight="1" x14ac:dyDescent="0.25">
      <c r="B141" s="6"/>
      <c r="C141" s="178" t="s">
        <v>289</v>
      </c>
      <c r="D141" s="178"/>
      <c r="E141" s="178"/>
      <c r="F141" s="178"/>
      <c r="G141" s="178"/>
      <c r="H141" s="178"/>
      <c r="I141" s="178"/>
      <c r="J141" s="178"/>
      <c r="K141" s="178"/>
      <c r="L141" s="178"/>
      <c r="M141" s="178"/>
      <c r="N141" s="178"/>
      <c r="O141" s="178"/>
      <c r="P141" s="178"/>
      <c r="Q141" s="178"/>
      <c r="R141" s="178"/>
      <c r="S141" s="178"/>
      <c r="T141" s="178"/>
      <c r="U141" s="178"/>
      <c r="V141" s="178"/>
      <c r="W141" s="178"/>
      <c r="X141" s="178"/>
      <c r="Y141" s="178"/>
      <c r="Z141" s="178"/>
      <c r="AA141" s="178"/>
      <c r="AB141" s="178"/>
      <c r="AC141" s="178"/>
      <c r="AD141" s="178"/>
      <c r="AE141" s="178"/>
      <c r="AF141" s="178"/>
      <c r="AG141" s="178"/>
      <c r="AH141" s="178"/>
      <c r="AI141" s="178"/>
      <c r="AJ141" s="178"/>
      <c r="AK141" s="178"/>
      <c r="AL141" s="178"/>
      <c r="AM141" s="178"/>
      <c r="AN141" s="178"/>
      <c r="AO141" s="178"/>
      <c r="AP141" s="8"/>
      <c r="AR141" s="6"/>
      <c r="CF141" s="8"/>
      <c r="CM141" s="2">
        <f t="shared" si="71"/>
        <v>23.799999999999947</v>
      </c>
      <c r="CN141" s="1" t="str">
        <f t="shared" si="55"/>
        <v>0.0107986736111111+25.7008431944444i</v>
      </c>
      <c r="CO141" s="1" t="str">
        <f t="shared" si="56"/>
        <v>-0.045372578197946i</v>
      </c>
      <c r="CP141" s="1" t="str">
        <f t="shared" si="57"/>
        <v>10.7986736111111</v>
      </c>
      <c r="CQ141" s="1" t="str">
        <f t="shared" si="58"/>
        <v>-1.0889418767507i</v>
      </c>
      <c r="CR141" s="1" t="str">
        <f t="shared" si="59"/>
        <v>0.0107986736111111+25.6554706162465i</v>
      </c>
      <c r="CS141" s="1" t="str">
        <f t="shared" si="60"/>
        <v>9.17231318345118+3.86004432632922i</v>
      </c>
      <c r="CT141" s="1" t="str">
        <f t="shared" si="61"/>
        <v>9.17231318345118+2.77110244957852i</v>
      </c>
      <c r="CU141" s="1" t="str">
        <f t="shared" si="62"/>
        <v>0.0191834803010191+11.4141707791064i</v>
      </c>
      <c r="CV141" s="1" t="str">
        <f t="shared" si="63"/>
        <v>4.18880081481498+4.93153901961179i</v>
      </c>
      <c r="CW141" s="2">
        <f t="shared" si="64"/>
        <v>23.799999999999947</v>
      </c>
      <c r="CX141" s="14">
        <f t="shared" si="65"/>
        <v>9.5817711265387882</v>
      </c>
      <c r="CY141" s="14">
        <f t="shared" si="54"/>
        <v>11.41418689966668</v>
      </c>
      <c r="CZ141" s="14">
        <f t="shared" si="66"/>
        <v>6.4704041116570341</v>
      </c>
      <c r="DE141" s="14">
        <f t="shared" si="67"/>
        <v>23.799999999999947</v>
      </c>
      <c r="DF141" s="151">
        <f t="shared" si="68"/>
        <v>0.67528268273241032</v>
      </c>
      <c r="DH141" s="152">
        <f t="shared" si="69"/>
        <v>23.799999999999947</v>
      </c>
      <c r="DI141" s="1">
        <f t="shared" si="70"/>
        <v>0.56687385343637597</v>
      </c>
    </row>
    <row r="142" spans="2:113" ht="18" customHeight="1" x14ac:dyDescent="0.25">
      <c r="B142" s="6"/>
      <c r="C142" s="233" t="str">
        <f>"A quantity of 3 stainless steel grid resistors shall be provided. Each resistor shall have an ohmic value per phase of "&amp;ROUND(AJ45,2)&amp;" ohms, a continuous power rating of "&amp;ROUND(AJ46,2)&amp;" kW, and an RMS current rating of "&amp;ROUND(AD77,2)&amp;" amps. The resistor element shall be divided into "&amp;ROUNDUP(S17/(1.73*5),0)&amp;" series groups to ensure adequate withstand voltage during switching transients, with the overall BIL rating coordinated to "&amp;W116&amp;" kV. "</f>
        <v xml:space="preserve">A quantity of 3 stainless steel grid resistors shall be provided. Each resistor shall have an ohmic value per phase of 10.8 ohms, a continuous power rating of 77.33 kW, and an RMS current rating of 84.62 amps. The resistor element shall be divided into 2 series groups to ensure adequate withstand voltage during switching transients, with the overall BIL rating coordinated to 95 kV. </v>
      </c>
      <c r="D142" s="233"/>
      <c r="E142" s="233"/>
      <c r="F142" s="233"/>
      <c r="G142" s="233"/>
      <c r="H142" s="233"/>
      <c r="I142" s="233"/>
      <c r="J142" s="233"/>
      <c r="K142" s="233"/>
      <c r="L142" s="233"/>
      <c r="M142" s="233"/>
      <c r="N142" s="233"/>
      <c r="O142" s="233"/>
      <c r="P142" s="233"/>
      <c r="Q142" s="233"/>
      <c r="R142" s="233"/>
      <c r="S142" s="233"/>
      <c r="T142" s="233"/>
      <c r="U142" s="233"/>
      <c r="V142" s="233"/>
      <c r="W142" s="233"/>
      <c r="X142" s="233"/>
      <c r="Y142" s="233"/>
      <c r="Z142" s="233"/>
      <c r="AA142" s="233"/>
      <c r="AB142" s="233"/>
      <c r="AC142" s="233"/>
      <c r="AD142" s="233"/>
      <c r="AE142" s="233"/>
      <c r="AF142" s="233"/>
      <c r="AG142" s="233"/>
      <c r="AH142" s="233"/>
      <c r="AI142" s="233"/>
      <c r="AJ142" s="233"/>
      <c r="AK142" s="233"/>
      <c r="AL142" s="233"/>
      <c r="AM142" s="233"/>
      <c r="AN142" s="233"/>
      <c r="AO142" s="233"/>
      <c r="AP142" s="8"/>
      <c r="AR142" s="6"/>
      <c r="CF142" s="8"/>
      <c r="CM142" s="2">
        <f t="shared" si="71"/>
        <v>23.999999999999947</v>
      </c>
      <c r="CN142" s="1" t="str">
        <f t="shared" si="55"/>
        <v>0.0107986736111111+25.9168166666666i</v>
      </c>
      <c r="CO142" s="1" t="str">
        <f t="shared" si="56"/>
        <v>-0.0449944733796297i</v>
      </c>
      <c r="CP142" s="1" t="str">
        <f t="shared" si="57"/>
        <v>10.7986736111111</v>
      </c>
      <c r="CQ142" s="1" t="str">
        <f t="shared" si="58"/>
        <v>-1.07986736111111i</v>
      </c>
      <c r="CR142" s="1" t="str">
        <f t="shared" si="59"/>
        <v>0.0107986736111111+25.871822193287i</v>
      </c>
      <c r="CS142" s="1" t="str">
        <f t="shared" si="60"/>
        <v>9.19537446451241+3.83740013858747i</v>
      </c>
      <c r="CT142" s="1" t="str">
        <f t="shared" si="61"/>
        <v>9.19537446451241+2.75753277747636i</v>
      </c>
      <c r="CU142" s="1" t="str">
        <f t="shared" si="62"/>
        <v>0.0191834803010191+11.5100881806115i</v>
      </c>
      <c r="CV142" s="1" t="str">
        <f t="shared" si="63"/>
        <v>4.22914360620092+4.9435526194766i</v>
      </c>
      <c r="CW142" s="2">
        <f t="shared" si="64"/>
        <v>23.999999999999947</v>
      </c>
      <c r="CX142" s="14">
        <f t="shared" si="65"/>
        <v>9.5999426332381468</v>
      </c>
      <c r="CY142" s="14">
        <f t="shared" si="54"/>
        <v>11.51010416683396</v>
      </c>
      <c r="CZ142" s="14">
        <f t="shared" si="66"/>
        <v>6.5057181112774991</v>
      </c>
      <c r="DE142" s="14">
        <f t="shared" si="67"/>
        <v>23.999999999999947</v>
      </c>
      <c r="DF142" s="151">
        <f t="shared" si="68"/>
        <v>0.67768301955811494</v>
      </c>
      <c r="DH142" s="152">
        <f t="shared" si="69"/>
        <v>23.999999999999947</v>
      </c>
      <c r="DI142" s="1">
        <f t="shared" si="70"/>
        <v>0.56521800471828398</v>
      </c>
    </row>
    <row r="143" spans="2:113" ht="18" customHeight="1" x14ac:dyDescent="0.25">
      <c r="B143" s="6"/>
      <c r="C143" s="153"/>
      <c r="D143" s="153"/>
      <c r="E143" s="153"/>
      <c r="F143" s="153"/>
      <c r="G143" s="153"/>
      <c r="H143" s="153"/>
      <c r="I143" s="153"/>
      <c r="J143" s="153"/>
      <c r="K143" s="153"/>
      <c r="L143" s="153"/>
      <c r="M143" s="153"/>
      <c r="N143" s="153"/>
      <c r="O143" s="153"/>
      <c r="P143" s="153"/>
      <c r="Q143" s="153"/>
      <c r="R143" s="153"/>
      <c r="S143" s="153"/>
      <c r="T143" s="153"/>
      <c r="U143" s="153"/>
      <c r="V143" s="153"/>
      <c r="W143" s="153"/>
      <c r="X143" s="153"/>
      <c r="Y143" s="153"/>
      <c r="Z143" s="153"/>
      <c r="AA143" s="153"/>
      <c r="AB143" s="153"/>
      <c r="AC143" s="153"/>
      <c r="AD143" s="153"/>
      <c r="AE143" s="153"/>
      <c r="AF143" s="153"/>
      <c r="AG143" s="153"/>
      <c r="AH143" s="153"/>
      <c r="AI143" s="153"/>
      <c r="AJ143" s="153"/>
      <c r="AK143" s="153"/>
      <c r="AL143" s="153"/>
      <c r="AM143" s="153"/>
      <c r="AN143" s="153"/>
      <c r="AO143" s="153"/>
      <c r="AP143" s="8"/>
      <c r="AR143" s="6"/>
      <c r="CF143" s="8"/>
      <c r="CM143" s="2">
        <f t="shared" si="71"/>
        <v>24.199999999999946</v>
      </c>
      <c r="CN143" s="1" t="str">
        <f t="shared" si="55"/>
        <v>0.0107986736111111+26.1327901388888i</v>
      </c>
      <c r="CO143" s="1" t="str">
        <f t="shared" si="56"/>
        <v>-0.044622618227732i</v>
      </c>
      <c r="CP143" s="1" t="str">
        <f t="shared" si="57"/>
        <v>10.7986736111111</v>
      </c>
      <c r="CQ143" s="1" t="str">
        <f t="shared" si="58"/>
        <v>-1.07094283746557i</v>
      </c>
      <c r="CR143" s="1" t="str">
        <f t="shared" si="59"/>
        <v>0.0107986736111111+26.0881675206611i</v>
      </c>
      <c r="CS143" s="1" t="str">
        <f t="shared" si="60"/>
        <v>9.21797582901616+3.81494188177108i</v>
      </c>
      <c r="CT143" s="1" t="str">
        <f t="shared" si="61"/>
        <v>9.21797582901616+2.74399904430551i</v>
      </c>
      <c r="CU143" s="1" t="str">
        <f t="shared" si="62"/>
        <v>0.0191834803010191+11.6060055821166i</v>
      </c>
      <c r="CV143" s="1" t="str">
        <f t="shared" si="63"/>
        <v>4.26933218798175+4.95515777058766i</v>
      </c>
      <c r="CW143" s="2">
        <f t="shared" si="64"/>
        <v>24.199999999999946</v>
      </c>
      <c r="CX143" s="14">
        <f t="shared" si="65"/>
        <v>9.617723698436949</v>
      </c>
      <c r="CY143" s="14">
        <f t="shared" si="54"/>
        <v>11.606021436221695</v>
      </c>
      <c r="CZ143" s="14">
        <f t="shared" si="66"/>
        <v>6.5407022453825485</v>
      </c>
      <c r="DE143" s="14">
        <f t="shared" si="67"/>
        <v>24.199999999999946</v>
      </c>
      <c r="DF143" s="151">
        <f t="shared" si="68"/>
        <v>0.68006759712233367</v>
      </c>
      <c r="DH143" s="152">
        <f t="shared" si="69"/>
        <v>24.199999999999946</v>
      </c>
      <c r="DI143" s="1">
        <f t="shared" si="70"/>
        <v>0.56356110328810738</v>
      </c>
    </row>
    <row r="144" spans="2:113" ht="18" customHeight="1" x14ac:dyDescent="0.25">
      <c r="B144" s="6"/>
      <c r="C144" s="153"/>
      <c r="D144" s="153"/>
      <c r="E144" s="153"/>
      <c r="F144" s="153"/>
      <c r="G144" s="153"/>
      <c r="H144" s="153"/>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c r="AK144" s="153"/>
      <c r="AL144" s="153"/>
      <c r="AM144" s="153"/>
      <c r="AN144" s="153"/>
      <c r="AO144" s="153"/>
      <c r="AP144" s="8"/>
      <c r="AR144" s="6"/>
      <c r="CF144" s="8"/>
      <c r="CM144" s="2">
        <f t="shared" si="71"/>
        <v>24.399999999999945</v>
      </c>
      <c r="CN144" s="1" t="str">
        <f t="shared" si="55"/>
        <v>0.0107986736111111+26.3487636111111i</v>
      </c>
      <c r="CO144" s="1" t="str">
        <f t="shared" si="56"/>
        <v>-0.0442568590619309i</v>
      </c>
      <c r="CP144" s="1" t="str">
        <f t="shared" si="57"/>
        <v>10.7986736111111</v>
      </c>
      <c r="CQ144" s="1" t="str">
        <f t="shared" si="58"/>
        <v>-1.06216461748634i</v>
      </c>
      <c r="CR144" s="1" t="str">
        <f t="shared" si="59"/>
        <v>0.0107986736111111+26.3045067520492i</v>
      </c>
      <c r="CS144" s="1" t="str">
        <f t="shared" si="60"/>
        <v>9.24012863331784+3.79266959680154i</v>
      </c>
      <c r="CT144" s="1" t="str">
        <f t="shared" si="61"/>
        <v>9.24012863331784+2.7305049793152i</v>
      </c>
      <c r="CU144" s="1" t="str">
        <f t="shared" si="62"/>
        <v>0.0191834803010191+11.7019229836217i</v>
      </c>
      <c r="CV144" s="1" t="str">
        <f t="shared" si="63"/>
        <v>4.30936312178943+4.96636044110955i</v>
      </c>
      <c r="CW144" s="2">
        <f t="shared" si="64"/>
        <v>24.399999999999945</v>
      </c>
      <c r="CX144" s="14">
        <f t="shared" si="65"/>
        <v>9.6351250434192774</v>
      </c>
      <c r="CY144" s="14">
        <f t="shared" si="54"/>
        <v>11.701938707775284</v>
      </c>
      <c r="CZ144" s="14">
        <f t="shared" si="66"/>
        <v>6.5753590431592839</v>
      </c>
      <c r="DE144" s="14">
        <f t="shared" si="67"/>
        <v>24.399999999999945</v>
      </c>
      <c r="DF144" s="151">
        <f t="shared" si="68"/>
        <v>0.68243629569189457</v>
      </c>
      <c r="DH144" s="152">
        <f t="shared" si="69"/>
        <v>24.399999999999945</v>
      </c>
      <c r="DI144" s="1">
        <f t="shared" si="70"/>
        <v>0.56190339116972854</v>
      </c>
    </row>
    <row r="145" spans="2:113" ht="18" customHeight="1" thickBot="1" x14ac:dyDescent="0.3">
      <c r="B145" s="6"/>
      <c r="C145" s="371"/>
      <c r="D145" s="371"/>
      <c r="E145" s="371"/>
      <c r="F145" s="371"/>
      <c r="G145" s="371"/>
      <c r="H145" s="371"/>
      <c r="I145" s="371"/>
      <c r="J145" s="371"/>
      <c r="K145" s="371"/>
      <c r="L145" s="371"/>
      <c r="M145" s="371"/>
      <c r="N145" s="371"/>
      <c r="O145" s="371"/>
      <c r="P145" s="371"/>
      <c r="Q145" s="371"/>
      <c r="R145" s="371"/>
      <c r="S145" s="371"/>
      <c r="T145" s="371"/>
      <c r="U145" s="371"/>
      <c r="V145" s="371"/>
      <c r="W145" s="371"/>
      <c r="X145" s="371"/>
      <c r="Y145" s="371"/>
      <c r="Z145" s="371"/>
      <c r="AA145" s="371"/>
      <c r="AB145" s="371"/>
      <c r="AC145" s="371"/>
      <c r="AD145" s="371"/>
      <c r="AE145" s="371"/>
      <c r="AF145" s="371"/>
      <c r="AG145" s="371"/>
      <c r="AH145" s="371"/>
      <c r="AI145" s="371"/>
      <c r="AJ145" s="371"/>
      <c r="AK145" s="371"/>
      <c r="AL145" s="371"/>
      <c r="AM145" s="371"/>
      <c r="AN145" s="371"/>
      <c r="AO145" s="371"/>
      <c r="AP145" s="8"/>
      <c r="AR145" s="6"/>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1"/>
      <c r="CE145" s="10"/>
      <c r="CF145" s="8"/>
      <c r="CM145" s="2">
        <f t="shared" si="71"/>
        <v>24.599999999999945</v>
      </c>
      <c r="CN145" s="1" t="str">
        <f t="shared" si="55"/>
        <v>0.0107986736111111+26.5647370833333i</v>
      </c>
      <c r="CO145" s="1" t="str">
        <f t="shared" si="56"/>
        <v>-0.0438970471996388i</v>
      </c>
      <c r="CP145" s="1" t="str">
        <f t="shared" si="57"/>
        <v>10.7986736111111</v>
      </c>
      <c r="CQ145" s="1" t="str">
        <f t="shared" si="58"/>
        <v>-1.05352913279133i</v>
      </c>
      <c r="CR145" s="1" t="str">
        <f t="shared" si="59"/>
        <v>0.0107986736111111+26.5208400361337i</v>
      </c>
      <c r="CS145" s="1" t="str">
        <f t="shared" si="60"/>
        <v>9.26184391473018+3.77058319471383i</v>
      </c>
      <c r="CT145" s="1" t="str">
        <f t="shared" si="61"/>
        <v>9.26184391473018+2.7170540619225i</v>
      </c>
      <c r="CU145" s="1" t="str">
        <f t="shared" si="62"/>
        <v>0.0191834803010191+11.7978403851268i</v>
      </c>
      <c r="CV145" s="1" t="str">
        <f t="shared" si="63"/>
        <v>4.34923310734019+4.97716656639689i</v>
      </c>
      <c r="CW145" s="2">
        <f t="shared" si="64"/>
        <v>24.599999999999945</v>
      </c>
      <c r="CX145" s="14">
        <f t="shared" si="65"/>
        <v>9.6521570374830752</v>
      </c>
      <c r="CY145" s="14">
        <f t="shared" si="54"/>
        <v>11.797855981441902</v>
      </c>
      <c r="CZ145" s="14">
        <f t="shared" si="66"/>
        <v>6.609691040558781</v>
      </c>
      <c r="DE145" s="14">
        <f t="shared" si="67"/>
        <v>24.599999999999945</v>
      </c>
      <c r="DF145" s="151">
        <f t="shared" si="68"/>
        <v>0.68478900777212803</v>
      </c>
      <c r="DH145" s="152">
        <f t="shared" si="69"/>
        <v>24.599999999999945</v>
      </c>
      <c r="DI145" s="1">
        <f t="shared" si="70"/>
        <v>0.56024510308956699</v>
      </c>
    </row>
    <row r="146" spans="2:113" ht="18" customHeight="1" x14ac:dyDescent="0.25">
      <c r="B146" s="6"/>
      <c r="D146" s="43" t="s">
        <v>84</v>
      </c>
      <c r="AO146" s="29" t="s">
        <v>148</v>
      </c>
      <c r="AP146" s="8"/>
      <c r="AR146" s="6"/>
      <c r="AT146" s="43" t="s">
        <v>84</v>
      </c>
      <c r="CE146" s="29" t="s">
        <v>149</v>
      </c>
      <c r="CF146" s="8"/>
      <c r="CM146" s="2">
        <f t="shared" si="71"/>
        <v>24.799999999999944</v>
      </c>
      <c r="CN146" s="1" t="str">
        <f t="shared" si="55"/>
        <v>0.0107986736111111+26.7807105555555i</v>
      </c>
      <c r="CO146" s="1" t="str">
        <f t="shared" si="56"/>
        <v>-0.0435430387544804i</v>
      </c>
      <c r="CP146" s="1" t="str">
        <f t="shared" si="57"/>
        <v>10.7986736111111</v>
      </c>
      <c r="CQ146" s="1" t="str">
        <f t="shared" si="58"/>
        <v>-1.04503293010753i</v>
      </c>
      <c r="CR146" s="1" t="str">
        <f t="shared" si="59"/>
        <v>0.0107986736111111+26.737167516801i</v>
      </c>
      <c r="CS146" s="1" t="str">
        <f t="shared" si="60"/>
        <v>9.28313240088212+3.74868246563519i</v>
      </c>
      <c r="CT146" s="1" t="str">
        <f t="shared" si="61"/>
        <v>9.28313240088212+2.70364953552766i</v>
      </c>
      <c r="CU146" s="1" t="str">
        <f t="shared" si="62"/>
        <v>0.0191834803010191+11.8937577866319i</v>
      </c>
      <c r="CV146" s="1" t="str">
        <f t="shared" si="63"/>
        <v>4.38893897954312+4.98758204742199i</v>
      </c>
      <c r="CW146" s="2">
        <f t="shared" si="64"/>
        <v>24.799999999999944</v>
      </c>
      <c r="CX146" s="14">
        <f t="shared" si="65"/>
        <v>9.6688297111525543</v>
      </c>
      <c r="CY146" s="14">
        <f t="shared" si="54"/>
        <v>11.893773257170428</v>
      </c>
      <c r="CZ146" s="14">
        <f t="shared" si="66"/>
        <v>6.6437007793788494</v>
      </c>
      <c r="DE146" s="14">
        <f t="shared" si="67"/>
        <v>24.799999999999944</v>
      </c>
      <c r="DF146" s="151">
        <f t="shared" si="68"/>
        <v>0.68712563752319034</v>
      </c>
      <c r="DH146" s="152">
        <f t="shared" si="69"/>
        <v>24.799999999999944</v>
      </c>
      <c r="DI146" s="1">
        <f t="shared" si="70"/>
        <v>0.55858646669369982</v>
      </c>
    </row>
    <row r="147" spans="2:113" ht="18" customHeight="1" x14ac:dyDescent="0.25">
      <c r="B147" s="45"/>
      <c r="C147" s="46"/>
      <c r="D147" s="46"/>
      <c r="E147" s="46"/>
      <c r="F147" s="46"/>
      <c r="G147" s="46"/>
      <c r="H147" s="46"/>
      <c r="I147" s="46"/>
      <c r="J147" s="46"/>
      <c r="K147" s="46"/>
      <c r="L147" s="46"/>
      <c r="M147" s="46"/>
      <c r="N147" s="46"/>
      <c r="O147" s="46"/>
      <c r="P147" s="46"/>
      <c r="Q147" s="46"/>
      <c r="R147" s="46"/>
      <c r="S147" s="46"/>
      <c r="T147" s="46"/>
      <c r="U147" s="46"/>
      <c r="V147" s="46"/>
      <c r="W147" s="46"/>
      <c r="X147" s="46"/>
      <c r="Y147" s="46"/>
      <c r="Z147" s="46"/>
      <c r="AA147" s="46"/>
      <c r="AB147" s="46"/>
      <c r="AC147" s="46"/>
      <c r="AD147" s="46"/>
      <c r="AE147" s="46"/>
      <c r="AF147" s="46"/>
      <c r="AG147" s="46"/>
      <c r="AH147" s="46"/>
      <c r="AI147" s="46"/>
      <c r="AJ147" s="46"/>
      <c r="AK147" s="46"/>
      <c r="AL147" s="46"/>
      <c r="AM147" s="46"/>
      <c r="AN147" s="46"/>
      <c r="AO147" s="46"/>
      <c r="AP147" s="47"/>
      <c r="AR147" s="45"/>
      <c r="AS147" s="46"/>
      <c r="AT147" s="46"/>
      <c r="AU147" s="46"/>
      <c r="AV147" s="46"/>
      <c r="AW147" s="46"/>
      <c r="AX147" s="46"/>
      <c r="AY147" s="46"/>
      <c r="AZ147" s="46"/>
      <c r="BA147" s="46"/>
      <c r="BB147" s="46"/>
      <c r="BC147" s="46"/>
      <c r="BD147" s="46"/>
      <c r="BE147" s="46"/>
      <c r="BF147" s="46"/>
      <c r="BG147" s="46"/>
      <c r="BH147" s="46"/>
      <c r="BI147" s="46"/>
      <c r="BJ147" s="46"/>
      <c r="BK147" s="46"/>
      <c r="BL147" s="46"/>
      <c r="BM147" s="46"/>
      <c r="BN147" s="46"/>
      <c r="BO147" s="46"/>
      <c r="BP147" s="46"/>
      <c r="BQ147" s="46"/>
      <c r="BR147" s="46"/>
      <c r="BS147" s="46"/>
      <c r="BT147" s="46"/>
      <c r="BU147" s="46"/>
      <c r="BV147" s="46"/>
      <c r="BW147" s="46"/>
      <c r="BX147" s="46"/>
      <c r="BY147" s="46"/>
      <c r="BZ147" s="46"/>
      <c r="CA147" s="46"/>
      <c r="CB147" s="46"/>
      <c r="CC147" s="46"/>
      <c r="CD147" s="46"/>
      <c r="CE147" s="46"/>
      <c r="CF147" s="47"/>
      <c r="CM147" s="2">
        <f t="shared" si="71"/>
        <v>24.999999999999943</v>
      </c>
      <c r="CN147" s="1" t="str">
        <f t="shared" si="55"/>
        <v>0.0107986736111111+26.9966840277777i</v>
      </c>
      <c r="CO147" s="1" t="str">
        <f t="shared" si="56"/>
        <v>-0.0431946944444446i</v>
      </c>
      <c r="CP147" s="1" t="str">
        <f t="shared" si="57"/>
        <v>10.7986736111111</v>
      </c>
      <c r="CQ147" s="1" t="str">
        <f t="shared" si="58"/>
        <v>-1.03667266666667i</v>
      </c>
      <c r="CR147" s="1" t="str">
        <f t="shared" si="59"/>
        <v>0.0107986736111111+26.9534893333333i</v>
      </c>
      <c r="CS147" s="1" t="str">
        <f t="shared" si="60"/>
        <v>9.30400451883406+3.72696708723629i</v>
      </c>
      <c r="CT147" s="1" t="str">
        <f t="shared" si="61"/>
        <v>9.30400451883406+2.69029442056962i</v>
      </c>
      <c r="CU147" s="1" t="str">
        <f t="shared" si="62"/>
        <v>0.0191834803010191+11.989675188137i</v>
      </c>
      <c r="CV147" s="1" t="str">
        <f t="shared" si="63"/>
        <v>4.42847770563368+4.99761274926402i</v>
      </c>
      <c r="CW147" s="2">
        <f t="shared" si="64"/>
        <v>24.999999999999943</v>
      </c>
      <c r="CX147" s="14">
        <f t="shared" si="65"/>
        <v>9.6851527688432775</v>
      </c>
      <c r="CY147" s="14">
        <f t="shared" si="54"/>
        <v>11.989690534911373</v>
      </c>
      <c r="CZ147" s="14">
        <f t="shared" si="66"/>
        <v>6.6773908063629772</v>
      </c>
      <c r="DE147" s="14">
        <f t="shared" si="67"/>
        <v>24.999999999999943</v>
      </c>
      <c r="DF147" s="151">
        <f t="shared" si="68"/>
        <v>0.68944610020441532</v>
      </c>
      <c r="DH147" s="152">
        <f t="shared" si="69"/>
        <v>24.999999999999943</v>
      </c>
      <c r="DI147" s="1">
        <f t="shared" si="70"/>
        <v>0.55692770275595149</v>
      </c>
    </row>
    <row r="148" spans="2:113" ht="18" customHeight="1" x14ac:dyDescent="0.25">
      <c r="CM148" s="2">
        <f t="shared" si="71"/>
        <v>25.199999999999942</v>
      </c>
      <c r="CN148" s="1" t="str">
        <f t="shared" si="55"/>
        <v>0.0107986736111111+27.2126574999999i</v>
      </c>
      <c r="CO148" s="1" t="str">
        <f t="shared" si="56"/>
        <v>-0.0428518794091712i</v>
      </c>
      <c r="CP148" s="1" t="str">
        <f t="shared" si="57"/>
        <v>10.7986736111111</v>
      </c>
      <c r="CQ148" s="1" t="str">
        <f t="shared" si="58"/>
        <v>-1.02844510582011i</v>
      </c>
      <c r="CR148" s="1" t="str">
        <f t="shared" si="59"/>
        <v>0.0107986736111111+27.1698056205907i</v>
      </c>
      <c r="CS148" s="1" t="str">
        <f t="shared" si="60"/>
        <v>9.32447040395072+3.70543663268466i</v>
      </c>
      <c r="CT148" s="1" t="str">
        <f t="shared" si="61"/>
        <v>9.32447040395072+2.67699152686455i</v>
      </c>
      <c r="CU148" s="1" t="str">
        <f t="shared" si="62"/>
        <v>0.0191834803010191+12.0855925896421i</v>
      </c>
      <c r="CV148" s="1" t="str">
        <f t="shared" si="63"/>
        <v>4.46784638233321+5.00726449965976i</v>
      </c>
      <c r="CW148" s="2">
        <f t="shared" si="64"/>
        <v>25.199999999999942</v>
      </c>
      <c r="CX148" s="14">
        <f t="shared" si="65"/>
        <v>9.7011356010034984</v>
      </c>
      <c r="CY148" s="14">
        <f t="shared" si="54"/>
        <v>12.085607814616827</v>
      </c>
      <c r="CZ148" s="14">
        <f t="shared" si="66"/>
        <v>6.7107636723163528</v>
      </c>
      <c r="DE148" s="14">
        <f t="shared" si="67"/>
        <v>25.199999999999942</v>
      </c>
      <c r="DF148" s="151">
        <f t="shared" si="68"/>
        <v>0.69175032164504069</v>
      </c>
      <c r="DH148" s="152">
        <f t="shared" si="69"/>
        <v>25.199999999999942</v>
      </c>
      <c r="DI148" s="1">
        <f t="shared" si="70"/>
        <v>0.55526902537744383</v>
      </c>
    </row>
    <row r="149" spans="2:113" ht="18" customHeight="1" x14ac:dyDescent="0.25">
      <c r="B149" s="3"/>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5"/>
      <c r="AR149" s="3"/>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5"/>
      <c r="CM149" s="2">
        <f t="shared" si="71"/>
        <v>25.399999999999942</v>
      </c>
      <c r="CN149" s="1" t="str">
        <f t="shared" si="55"/>
        <v>0.0107986736111111+27.4286309722222i</v>
      </c>
      <c r="CO149" s="1" t="str">
        <f t="shared" si="56"/>
        <v>-0.0425144630358706i</v>
      </c>
      <c r="CP149" s="1" t="str">
        <f t="shared" si="57"/>
        <v>10.7986736111111</v>
      </c>
      <c r="CQ149" s="1" t="str">
        <f t="shared" si="58"/>
        <v>-1.02034711286089i</v>
      </c>
      <c r="CR149" s="1" t="str">
        <f t="shared" si="59"/>
        <v>0.0107986736111111+27.3861165091863i</v>
      </c>
      <c r="CS149" s="1" t="str">
        <f t="shared" si="60"/>
        <v>9.34453990853481+3.68409057812871i</v>
      </c>
      <c r="CT149" s="1" t="str">
        <f t="shared" si="61"/>
        <v>9.34453990853481+2.66374346526782i</v>
      </c>
      <c r="CU149" s="1" t="str">
        <f t="shared" si="62"/>
        <v>0.0191834803010191+12.1815099911471i</v>
      </c>
      <c r="CV149" s="1" t="str">
        <f t="shared" si="63"/>
        <v>4.50704223303467+5.01654308761648i</v>
      </c>
      <c r="CW149" s="2">
        <f t="shared" si="64"/>
        <v>25.399999999999942</v>
      </c>
      <c r="CX149" s="14">
        <f t="shared" si="65"/>
        <v>9.7167872957555659</v>
      </c>
      <c r="CY149" s="14">
        <f t="shared" si="54"/>
        <v>12.18152509624038</v>
      </c>
      <c r="CZ149" s="14">
        <f t="shared" si="66"/>
        <v>6.7438219312397942</v>
      </c>
      <c r="DE149" s="14">
        <f t="shared" si="67"/>
        <v>25.399999999999942</v>
      </c>
      <c r="DF149" s="151">
        <f t="shared" si="68"/>
        <v>0.69403823773991313</v>
      </c>
      <c r="DH149" s="152">
        <f t="shared" si="69"/>
        <v>25.399999999999942</v>
      </c>
      <c r="DI149" s="1">
        <f t="shared" si="70"/>
        <v>0.55361064217822453</v>
      </c>
    </row>
    <row r="150" spans="2:113" ht="18" customHeight="1" x14ac:dyDescent="0.25">
      <c r="B150" s="6"/>
      <c r="AN150" s="7"/>
      <c r="AP150" s="8"/>
      <c r="AR150" s="6"/>
      <c r="CD150" s="7"/>
      <c r="CF150" s="8"/>
      <c r="CM150" s="2">
        <f t="shared" si="71"/>
        <v>25.599999999999941</v>
      </c>
      <c r="CN150" s="1" t="str">
        <f t="shared" si="55"/>
        <v>0.0107986736111111+27.6446044444444i</v>
      </c>
      <c r="CO150" s="1" t="str">
        <f t="shared" si="56"/>
        <v>-0.0421823187934029i</v>
      </c>
      <c r="CP150" s="1" t="str">
        <f t="shared" si="57"/>
        <v>10.7986736111111</v>
      </c>
      <c r="CQ150" s="1" t="str">
        <f t="shared" si="58"/>
        <v>-1.01237565104167i</v>
      </c>
      <c r="CR150" s="1" t="str">
        <f t="shared" si="59"/>
        <v>0.0107986736111111+27.602422125651i</v>
      </c>
      <c r="CS150" s="1" t="str">
        <f t="shared" si="60"/>
        <v>9.36422261022386+3.66292830973941i</v>
      </c>
      <c r="CT150" s="1" t="str">
        <f t="shared" si="61"/>
        <v>9.36422261022386+2.65055265869774i</v>
      </c>
      <c r="CU150" s="1" t="str">
        <f t="shared" si="62"/>
        <v>0.0191834803010191+12.2774273926522i</v>
      </c>
      <c r="CV150" s="1" t="str">
        <f t="shared" si="63"/>
        <v>4.54606260501533+5.02545426208615i</v>
      </c>
      <c r="CW150" s="2">
        <f t="shared" si="64"/>
        <v>25.599999999999941</v>
      </c>
      <c r="CX150" s="14">
        <f t="shared" si="65"/>
        <v>9.7321166500590923</v>
      </c>
      <c r="CY150" s="14">
        <f t="shared" si="54"/>
        <v>12.277442379737078</v>
      </c>
      <c r="CZ150" s="14">
        <f t="shared" si="66"/>
        <v>6.7765681394817117</v>
      </c>
      <c r="DE150" s="14">
        <f t="shared" si="67"/>
        <v>25.599999999999941</v>
      </c>
      <c r="DF150" s="151">
        <f t="shared" si="68"/>
        <v>0.69630979396867232</v>
      </c>
      <c r="DH150" s="152">
        <f t="shared" si="69"/>
        <v>25.599999999999941</v>
      </c>
      <c r="DI150" s="1">
        <f t="shared" si="70"/>
        <v>0.55195275448133507</v>
      </c>
    </row>
    <row r="151" spans="2:113" ht="18" customHeight="1" x14ac:dyDescent="0.25">
      <c r="B151" s="6"/>
      <c r="AN151" s="9"/>
      <c r="AP151" s="8"/>
      <c r="AR151" s="6"/>
      <c r="CD151" s="9"/>
      <c r="CF151" s="8"/>
      <c r="CM151" s="2">
        <f t="shared" si="71"/>
        <v>25.79999999999994</v>
      </c>
      <c r="CN151" s="1" t="str">
        <f t="shared" si="55"/>
        <v>0.0107986736111111+27.8605779166666i</v>
      </c>
      <c r="CO151" s="1" t="str">
        <f t="shared" si="56"/>
        <v>-0.0418553240740742i</v>
      </c>
      <c r="CP151" s="1" t="str">
        <f t="shared" si="57"/>
        <v>10.7986736111111</v>
      </c>
      <c r="CQ151" s="1" t="str">
        <f t="shared" si="58"/>
        <v>-1.00452777777778i</v>
      </c>
      <c r="CR151" s="1" t="str">
        <f t="shared" si="59"/>
        <v>0.0107986736111111+27.8187225925925i</v>
      </c>
      <c r="CS151" s="1" t="str">
        <f t="shared" si="60"/>
        <v>9.38352782015367+3.64194913033459i</v>
      </c>
      <c r="CT151" s="1" t="str">
        <f t="shared" si="61"/>
        <v>9.38352782015367+2.63742135255681i</v>
      </c>
      <c r="CU151" s="1" t="str">
        <f t="shared" si="62"/>
        <v>0.0191834803010191+12.3733447941573i</v>
      </c>
      <c r="CV151" s="1" t="str">
        <f t="shared" si="63"/>
        <v>4.58490496667671+5.0340037307016i</v>
      </c>
      <c r="CW151" s="2">
        <f t="shared" si="64"/>
        <v>25.79999999999994</v>
      </c>
      <c r="CX151" s="14">
        <f t="shared" si="65"/>
        <v>9.7471321804169904</v>
      </c>
      <c r="CY151" s="14">
        <f t="shared" si="54"/>
        <v>12.373359665063363</v>
      </c>
      <c r="CZ151" s="14">
        <f t="shared" si="66"/>
        <v>6.8090048549090048</v>
      </c>
      <c r="DE151" s="14">
        <f t="shared" si="67"/>
        <v>25.79999999999994</v>
      </c>
      <c r="DF151" s="151">
        <f t="shared" si="68"/>
        <v>0.69856494493723997</v>
      </c>
      <c r="DH151" s="152">
        <f t="shared" si="69"/>
        <v>25.79999999999994</v>
      </c>
      <c r="DI151" s="1">
        <f t="shared" si="70"/>
        <v>0.55029555748989456</v>
      </c>
    </row>
    <row r="152" spans="2:113" ht="18" customHeight="1" thickBot="1" x14ac:dyDescent="0.3">
      <c r="B152" s="6"/>
      <c r="C152" s="10" t="str">
        <f>"Harmonic Filter Design - C-HP | "&amp; H12 &amp; " | " &amp; AE13</f>
        <v>Harmonic Filter Design - C-HP | Enter Customer PO #  | Stage 1</v>
      </c>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1"/>
      <c r="AO152" s="10"/>
      <c r="AP152" s="8"/>
      <c r="AR152" s="6"/>
      <c r="AS152" s="10" t="str">
        <f>"Harmonic Filter Design - C-HP | "&amp; H12 &amp; " | " &amp; AE13</f>
        <v>Harmonic Filter Design - C-HP | Enter Customer PO #  | Stage 1</v>
      </c>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1"/>
      <c r="CE152" s="10"/>
      <c r="CF152" s="8"/>
      <c r="CM152" s="2">
        <f t="shared" si="71"/>
        <v>25.99999999999994</v>
      </c>
      <c r="CN152" s="1" t="str">
        <f t="shared" si="55"/>
        <v>0.0107986736111111+28.0765513888888i</v>
      </c>
      <c r="CO152" s="1" t="str">
        <f t="shared" si="56"/>
        <v>-0.0415333600427351i</v>
      </c>
      <c r="CP152" s="1" t="str">
        <f t="shared" si="57"/>
        <v>10.7986736111111</v>
      </c>
      <c r="CQ152" s="1" t="str">
        <f t="shared" si="58"/>
        <v>-0.996800641025644i</v>
      </c>
      <c r="CR152" s="1" t="str">
        <f t="shared" si="59"/>
        <v>0.0107986736111111+28.0350180288461i</v>
      </c>
      <c r="CS152" s="1" t="str">
        <f t="shared" si="60"/>
        <v>9.40246459089234+3.62115226561i</v>
      </c>
      <c r="CT152" s="1" t="str">
        <f t="shared" si="61"/>
        <v>9.40246459089234+2.62435162458436i</v>
      </c>
      <c r="CU152" s="1" t="str">
        <f t="shared" si="62"/>
        <v>0.0191834803010191+12.4692621956624i</v>
      </c>
      <c r="CV152" s="1" t="str">
        <f t="shared" si="63"/>
        <v>4.62356690481232+5.04219715857343i</v>
      </c>
      <c r="CW152" s="2">
        <f t="shared" si="64"/>
        <v>25.99999999999994</v>
      </c>
      <c r="CX152" s="14">
        <f t="shared" si="65"/>
        <v>9.7618421331448921</v>
      </c>
      <c r="CY152" s="14">
        <f t="shared" si="54"/>
        <v>12.46927695217701</v>
      </c>
      <c r="CZ152" s="14">
        <f t="shared" si="66"/>
        <v>6.8411346360966867</v>
      </c>
      <c r="DE152" s="14">
        <f t="shared" si="67"/>
        <v>25.99999999999994</v>
      </c>
      <c r="DF152" s="151">
        <f t="shared" si="68"/>
        <v>0.70080365394034017</v>
      </c>
      <c r="DH152" s="152">
        <f t="shared" si="69"/>
        <v>25.99999999999994</v>
      </c>
      <c r="DI152" s="1">
        <f t="shared" si="70"/>
        <v>0.54863924045750978</v>
      </c>
    </row>
    <row r="153" spans="2:113" ht="18" customHeight="1" x14ac:dyDescent="0.25">
      <c r="B153" s="6"/>
      <c r="AN153" s="9"/>
      <c r="AP153" s="8"/>
      <c r="AR153" s="6"/>
      <c r="CD153" s="9"/>
      <c r="CF153" s="8"/>
      <c r="CM153" s="2">
        <f t="shared" si="71"/>
        <v>26.199999999999939</v>
      </c>
      <c r="CN153" s="1" t="str">
        <f t="shared" si="55"/>
        <v>0.0107986736111111+28.2925248611111i</v>
      </c>
      <c r="CO153" s="1" t="str">
        <f t="shared" si="56"/>
        <v>-0.0412163114927906i</v>
      </c>
      <c r="CP153" s="1" t="str">
        <f t="shared" si="57"/>
        <v>10.7986736111111</v>
      </c>
      <c r="CQ153" s="1" t="str">
        <f t="shared" si="58"/>
        <v>-0.989191475826975i</v>
      </c>
      <c r="CR153" s="1" t="str">
        <f t="shared" si="59"/>
        <v>0.0107986736111111+28.2513085496183i</v>
      </c>
      <c r="CS153" s="1" t="str">
        <f t="shared" si="60"/>
        <v>9.42104172414828+3.6005368699995i</v>
      </c>
      <c r="CT153" s="1" t="str">
        <f t="shared" si="61"/>
        <v>9.42104172414828+2.61134539417252i</v>
      </c>
      <c r="CU153" s="1" t="str">
        <f t="shared" si="62"/>
        <v>0.0191834803010191+12.5651795971675i</v>
      </c>
      <c r="CV153" s="1" t="str">
        <f t="shared" si="63"/>
        <v>4.66204612190475+5.0500401671481i</v>
      </c>
      <c r="CW153" s="2">
        <f t="shared" si="64"/>
        <v>26.199999999999939</v>
      </c>
      <c r="CX153" s="14">
        <f t="shared" si="65"/>
        <v>9.7762544942226626</v>
      </c>
      <c r="CY153" s="14">
        <f t="shared" si="54"/>
        <v>12.565194241037089</v>
      </c>
      <c r="CZ153" s="14">
        <f t="shared" si="66"/>
        <v>6.8729600415378762</v>
      </c>
      <c r="DE153" s="14">
        <f t="shared" si="67"/>
        <v>26.199999999999939</v>
      </c>
      <c r="DF153" s="151">
        <f t="shared" si="68"/>
        <v>0.70302589254396841</v>
      </c>
      <c r="DH153" s="152">
        <f t="shared" si="69"/>
        <v>26.199999999999939</v>
      </c>
      <c r="DI153" s="1">
        <f t="shared" si="70"/>
        <v>0.54698398685244765</v>
      </c>
    </row>
    <row r="154" spans="2:113" ht="18" customHeight="1" x14ac:dyDescent="0.3">
      <c r="B154" s="6"/>
      <c r="AO154" s="17"/>
      <c r="AP154" s="8"/>
      <c r="AR154" s="6"/>
      <c r="AS154" s="154" t="s">
        <v>150</v>
      </c>
      <c r="AT154" s="154"/>
      <c r="AU154" s="154"/>
      <c r="AV154" s="154"/>
      <c r="AW154" s="154"/>
      <c r="AX154" s="154"/>
      <c r="AY154" s="154"/>
      <c r="AZ154" s="154"/>
      <c r="BA154" s="154"/>
      <c r="BB154" s="154"/>
      <c r="BC154" s="154"/>
      <c r="BD154" s="154"/>
      <c r="BE154" s="154"/>
      <c r="BF154" s="154"/>
      <c r="BG154" s="154"/>
      <c r="BH154" s="154"/>
      <c r="BI154" s="154"/>
      <c r="BJ154" s="154"/>
      <c r="BK154" s="154"/>
      <c r="BL154" s="154"/>
      <c r="BM154" s="154"/>
      <c r="BN154" s="154"/>
      <c r="BO154" s="154"/>
      <c r="BP154" s="154"/>
      <c r="BQ154" s="154"/>
      <c r="BR154" s="154"/>
      <c r="BS154" s="154"/>
      <c r="BT154" s="154"/>
      <c r="BU154" s="154"/>
      <c r="BV154" s="154"/>
      <c r="BW154" s="154"/>
      <c r="BX154" s="154"/>
      <c r="BY154" s="154"/>
      <c r="BZ154" s="154"/>
      <c r="CA154" s="154"/>
      <c r="CB154" s="154"/>
      <c r="CC154" s="154"/>
      <c r="CD154" s="154"/>
      <c r="CE154" s="154"/>
      <c r="CF154" s="8"/>
      <c r="CM154" s="2">
        <f t="shared" si="71"/>
        <v>26.399999999999938</v>
      </c>
      <c r="CN154" s="1" t="str">
        <f t="shared" si="55"/>
        <v>0.0107986736111111+28.5084983333333i</v>
      </c>
      <c r="CO154" s="1" t="str">
        <f t="shared" si="56"/>
        <v>-0.0409040667087543i</v>
      </c>
      <c r="CP154" s="1" t="str">
        <f t="shared" si="57"/>
        <v>10.7986736111111</v>
      </c>
      <c r="CQ154" s="1" t="str">
        <f t="shared" si="58"/>
        <v>-0.981697601010104i</v>
      </c>
      <c r="CR154" s="1" t="str">
        <f t="shared" si="59"/>
        <v>0.0107986736111111+28.4675942666245i</v>
      </c>
      <c r="CS154" s="1" t="str">
        <f t="shared" si="60"/>
        <v>9.43926777825652+3.58010203218554i</v>
      </c>
      <c r="CT154" s="1" t="str">
        <f t="shared" si="61"/>
        <v>9.43926777825652+2.59840443117544i</v>
      </c>
      <c r="CU154" s="1" t="str">
        <f t="shared" si="62"/>
        <v>0.0191834803010191+12.6610969986726i</v>
      </c>
      <c r="CV154" s="1" t="str">
        <f t="shared" si="63"/>
        <v>4.70034043345102+5.05753833312528i</v>
      </c>
      <c r="CW154" s="2">
        <f t="shared" si="64"/>
        <v>26.399999999999938</v>
      </c>
      <c r="CX154" s="14">
        <f t="shared" si="65"/>
        <v>9.7903769987464706</v>
      </c>
      <c r="CY154" s="14">
        <f t="shared" si="54"/>
        <v>12.661111531603904</v>
      </c>
      <c r="CZ154" s="14">
        <f t="shared" si="66"/>
        <v>6.9044836288723408</v>
      </c>
      <c r="DE154" s="14">
        <f t="shared" si="67"/>
        <v>26.399999999999938</v>
      </c>
      <c r="DF154" s="151">
        <f t="shared" si="68"/>
        <v>0.70523164018672424</v>
      </c>
      <c r="DH154" s="152">
        <f t="shared" si="69"/>
        <v>26.399999999999938</v>
      </c>
      <c r="DI154" s="1">
        <f t="shared" si="70"/>
        <v>0.54532997451588705</v>
      </c>
    </row>
    <row r="155" spans="2:113" ht="18" customHeight="1" x14ac:dyDescent="0.25">
      <c r="B155" s="6"/>
      <c r="AP155" s="8"/>
      <c r="AR155" s="6"/>
      <c r="AU155" s="177" t="s">
        <v>151</v>
      </c>
      <c r="AV155" s="177"/>
      <c r="AW155" s="177"/>
      <c r="AX155" s="177"/>
      <c r="AY155" s="177"/>
      <c r="AZ155" s="177"/>
      <c r="BA155" s="177"/>
      <c r="BB155" s="24" t="s">
        <v>152</v>
      </c>
      <c r="CF155" s="8"/>
      <c r="CM155" s="2">
        <f t="shared" si="71"/>
        <v>26.599999999999937</v>
      </c>
      <c r="CN155" s="1" t="str">
        <f t="shared" si="55"/>
        <v>0.0107986736111111+28.7244718055555i</v>
      </c>
      <c r="CO155" s="1" t="str">
        <f t="shared" si="56"/>
        <v>-0.0405965173350043i</v>
      </c>
      <c r="CP155" s="1" t="str">
        <f t="shared" si="57"/>
        <v>10.7986736111111</v>
      </c>
      <c r="CQ155" s="1" t="str">
        <f t="shared" si="58"/>
        <v>-0.974316416040103i</v>
      </c>
      <c r="CR155" s="1" t="str">
        <f t="shared" si="59"/>
        <v>0.0107986736111111+28.6838752882205i</v>
      </c>
      <c r="CS155" s="1" t="str">
        <f t="shared" si="60"/>
        <v>9.4571510754481+3.5598467802801i</v>
      </c>
      <c r="CT155" s="1" t="str">
        <f t="shared" si="61"/>
        <v>9.4571510754481+2.58553036424i</v>
      </c>
      <c r="CU155" s="1" t="str">
        <f t="shared" si="62"/>
        <v>0.0191834803010191+12.7570144001777i</v>
      </c>
      <c r="CV155" s="1" t="str">
        <f t="shared" si="63"/>
        <v>4.73844776531875+5.06469718743547i</v>
      </c>
      <c r="CW155" s="2">
        <f t="shared" si="64"/>
        <v>26.599999999999937</v>
      </c>
      <c r="CX155" s="14">
        <f t="shared" si="65"/>
        <v>9.8042171399993077</v>
      </c>
      <c r="CY155" s="14">
        <f t="shared" ref="CY155:CY218" si="74">SQRT(($DC$30^2)+(($DC$33*CW155)^2))</f>
        <v>12.757028823838963</v>
      </c>
      <c r="CZ155" s="14">
        <f t="shared" si="66"/>
        <v>6.9357079541364062</v>
      </c>
      <c r="DE155" s="14">
        <f t="shared" si="67"/>
        <v>26.599999999999937</v>
      </c>
      <c r="DF155" s="151">
        <f t="shared" si="68"/>
        <v>0.70742088379907808</v>
      </c>
      <c r="DH155" s="152">
        <f t="shared" si="69"/>
        <v>26.599999999999937</v>
      </c>
      <c r="DI155" s="1">
        <f t="shared" si="70"/>
        <v>0.54367737581463205</v>
      </c>
    </row>
    <row r="156" spans="2:113" ht="18" customHeight="1" x14ac:dyDescent="0.25">
      <c r="B156" s="6"/>
      <c r="AP156" s="8"/>
      <c r="AR156" s="6"/>
      <c r="AT156" s="24"/>
      <c r="AU156" s="177" t="s">
        <v>153</v>
      </c>
      <c r="AV156" s="177"/>
      <c r="AW156" s="177"/>
      <c r="AX156" s="177"/>
      <c r="AY156" s="177"/>
      <c r="AZ156" s="177"/>
      <c r="BA156" s="177"/>
      <c r="BB156" s="24" t="s">
        <v>154</v>
      </c>
      <c r="CF156" s="8"/>
      <c r="CM156" s="2">
        <f t="shared" si="71"/>
        <v>26.799999999999937</v>
      </c>
      <c r="CN156" s="1" t="str">
        <f t="shared" ref="CN156:CN219" si="75">COMPLEX($AJ$39/$S$39,$AJ$39*CM156)</f>
        <v>0.0107986736111111+28.9404452777777i</v>
      </c>
      <c r="CO156" s="1" t="str">
        <f t="shared" ref="CO156:CO219" si="76">COMPLEX("0",-$AJ$36/CM156)</f>
        <v>-0.0402935582504147i</v>
      </c>
      <c r="CP156" s="1" t="str">
        <f t="shared" ref="CP156:CP219" si="77">COMPLEX($AJ$45,"0")</f>
        <v>10.7986736111111</v>
      </c>
      <c r="CQ156" s="1" t="str">
        <f t="shared" ref="CQ156:CQ219" si="78">COMPLEX("0",-$AJ$30/CM156)</f>
        <v>-0.967045398009953i</v>
      </c>
      <c r="CR156" s="1" t="str">
        <f t="shared" ref="CR156:CR219" si="79">IMSUM(CN156,CO156)</f>
        <v>0.0107986736111111+28.9001517195273i</v>
      </c>
      <c r="CS156" s="1" t="str">
        <f t="shared" ref="CS156:CS219" si="80">IMDIV(IMPRODUCT(CR156,CP156),IMSUM(CP156,CR156))</f>
        <v>9.47469970890617+3.53977008669492i</v>
      </c>
      <c r="CT156" s="1" t="str">
        <f t="shared" ref="CT156:CT219" si="81">IMSUM(CS156,CQ156)</f>
        <v>9.47469970890617+2.57272468868497i</v>
      </c>
      <c r="CU156" s="1" t="str">
        <f t="shared" ref="CU156:CU219" si="82">COMPLEX($DC$30,$DC$33*CW156)</f>
        <v>0.0191834803010191+12.8529318016828i</v>
      </c>
      <c r="CV156" s="1" t="str">
        <f t="shared" ref="CV156:CV219" si="83">IMDIV(IMPRODUCT(CT156,CU156),IMSUM(CT156,CU156))</f>
        <v>4.77636615113193+5.07152221427525i</v>
      </c>
      <c r="CW156" s="2">
        <f t="shared" ref="CW156:CW219" si="84">CM156</f>
        <v>26.799999999999937</v>
      </c>
      <c r="CX156" s="14">
        <f t="shared" ref="CX156:CX219" si="85">IMABS(CT156)</f>
        <v>9.8177821781559125</v>
      </c>
      <c r="CY156" s="14">
        <f t="shared" si="74"/>
        <v>12.852946117704917</v>
      </c>
      <c r="CZ156" s="14">
        <f t="shared" ref="CZ156:CZ219" si="86">IMABS(CV156)</f>
        <v>6.9666355710318433</v>
      </c>
      <c r="DE156" s="14">
        <f t="shared" ref="DE156:DE219" si="87">CW156</f>
        <v>26.799999999999937</v>
      </c>
      <c r="DF156" s="151">
        <f t="shared" ref="DF156:DF219" si="88">IMABS(IMDIV(CU156,IMSUM(CT156,CU156)))</f>
        <v>0.70959361743961713</v>
      </c>
      <c r="DH156" s="152">
        <f t="shared" ref="DH156:DH219" si="89">DE156</f>
        <v>26.799999999999937</v>
      </c>
      <c r="DI156" s="1">
        <f t="shared" ref="DI156:DI219" si="90">IMABS(IMDIV(CT156,IMSUM(CT156,CU156)))</f>
        <v>0.54202635778853381</v>
      </c>
    </row>
    <row r="157" spans="2:113" ht="18" customHeight="1" x14ac:dyDescent="0.25">
      <c r="B157" s="6"/>
      <c r="AP157" s="8"/>
      <c r="AR157" s="6"/>
      <c r="AT157" s="24"/>
      <c r="AU157" s="177" t="s">
        <v>207</v>
      </c>
      <c r="AV157" s="177"/>
      <c r="AW157" s="177"/>
      <c r="AX157" s="177"/>
      <c r="AY157" s="177"/>
      <c r="AZ157" s="177"/>
      <c r="BA157" s="177"/>
      <c r="BB157" s="24" t="s">
        <v>156</v>
      </c>
      <c r="CF157" s="8"/>
      <c r="CM157" s="2">
        <f t="shared" ref="CM157:CM220" si="91">CM156+0.2</f>
        <v>26.999999999999936</v>
      </c>
      <c r="CN157" s="1" t="str">
        <f t="shared" si="75"/>
        <v>0.0107986736111111+29.1564187499999i</v>
      </c>
      <c r="CO157" s="1" t="str">
        <f t="shared" si="76"/>
        <v>-0.0399950874485598i</v>
      </c>
      <c r="CP157" s="1" t="str">
        <f t="shared" si="77"/>
        <v>10.7986736111111</v>
      </c>
      <c r="CQ157" s="1" t="str">
        <f t="shared" si="78"/>
        <v>-0.959882098765435i</v>
      </c>
      <c r="CR157" s="1" t="str">
        <f t="shared" si="79"/>
        <v>0.0107986736111111+29.1164236625513i</v>
      </c>
      <c r="CS157" s="1" t="str">
        <f t="shared" si="80"/>
        <v>9.49192154961427+3.51987087271876i</v>
      </c>
      <c r="CT157" s="1" t="str">
        <f t="shared" si="81"/>
        <v>9.49192154961427+2.55998877395333i</v>
      </c>
      <c r="CU157" s="1" t="str">
        <f t="shared" si="82"/>
        <v>0.0191834803010191+12.9488492031879i</v>
      </c>
      <c r="CV157" s="1" t="str">
        <f t="shared" si="83"/>
        <v>4.81409372968854+5.07801885020086i</v>
      </c>
      <c r="CW157" s="2">
        <f t="shared" si="84"/>
        <v>26.999999999999936</v>
      </c>
      <c r="CX157" s="14">
        <f t="shared" si="85"/>
        <v>9.831079148638711</v>
      </c>
      <c r="CY157" s="14">
        <f t="shared" si="74"/>
        <v>12.948863413165521</v>
      </c>
      <c r="CZ157" s="14">
        <f t="shared" si="86"/>
        <v>6.9972690302161302</v>
      </c>
      <c r="DE157" s="14">
        <f t="shared" si="87"/>
        <v>26.999999999999936</v>
      </c>
      <c r="DF157" s="151">
        <f t="shared" si="88"/>
        <v>0.71174984194741431</v>
      </c>
      <c r="DH157" s="152">
        <f t="shared" si="89"/>
        <v>26.999999999999936</v>
      </c>
      <c r="DI157" s="1">
        <f t="shared" si="90"/>
        <v>0.54037708229293546</v>
      </c>
    </row>
    <row r="158" spans="2:113" ht="18" customHeight="1" x14ac:dyDescent="0.25">
      <c r="B158" s="6"/>
      <c r="AP158" s="8"/>
      <c r="AR158" s="6"/>
      <c r="AT158" s="24"/>
      <c r="AU158" s="177" t="s">
        <v>157</v>
      </c>
      <c r="AV158" s="177"/>
      <c r="AW158" s="177"/>
      <c r="AX158" s="177"/>
      <c r="AY158" s="177"/>
      <c r="AZ158" s="177"/>
      <c r="BA158" s="177"/>
      <c r="BB158" s="24" t="s">
        <v>158</v>
      </c>
      <c r="CF158" s="8"/>
      <c r="CM158" s="2">
        <f t="shared" si="91"/>
        <v>27.199999999999935</v>
      </c>
      <c r="CN158" s="1" t="str">
        <f t="shared" si="75"/>
        <v>0.0107986736111111+29.3723922222222i</v>
      </c>
      <c r="CO158" s="1" t="str">
        <f t="shared" si="76"/>
        <v>-0.0397010059232027i</v>
      </c>
      <c r="CP158" s="1" t="str">
        <f t="shared" si="77"/>
        <v>10.7986736111111</v>
      </c>
      <c r="CQ158" s="1" t="str">
        <f t="shared" si="78"/>
        <v>-0.952824142156865i</v>
      </c>
      <c r="CR158" s="1" t="str">
        <f t="shared" si="79"/>
        <v>0.0107986736111111+29.332691216299i</v>
      </c>
      <c r="CS158" s="1" t="str">
        <f t="shared" si="80"/>
        <v>9.50882425300091+3.50014801281852i</v>
      </c>
      <c r="CT158" s="1" t="str">
        <f t="shared" si="81"/>
        <v>9.50882425300091+2.54732387066165i</v>
      </c>
      <c r="CU158" s="1" t="str">
        <f t="shared" si="82"/>
        <v>0.0191834803010191+13.044766604693i</v>
      </c>
      <c r="CV158" s="1" t="str">
        <f t="shared" si="83"/>
        <v>4.85162874240882+5.08419248327758i</v>
      </c>
      <c r="CW158" s="2">
        <f t="shared" si="84"/>
        <v>27.199999999999935</v>
      </c>
      <c r="CX158" s="14">
        <f t="shared" si="85"/>
        <v>9.8441148701394656</v>
      </c>
      <c r="CY158" s="14">
        <f t="shared" si="74"/>
        <v>13.044780710185602</v>
      </c>
      <c r="CZ158" s="14">
        <f t="shared" si="86"/>
        <v>7.027610878611851</v>
      </c>
      <c r="DE158" s="14">
        <f t="shared" si="87"/>
        <v>27.199999999999935</v>
      </c>
      <c r="DF158" s="151">
        <f t="shared" si="88"/>
        <v>0.7138895646097132</v>
      </c>
      <c r="DH158" s="152">
        <f t="shared" si="89"/>
        <v>27.199999999999935</v>
      </c>
      <c r="DI158" s="1">
        <f t="shared" si="90"/>
        <v>0.53872970613638504</v>
      </c>
    </row>
    <row r="159" spans="2:113" ht="18" customHeight="1" x14ac:dyDescent="0.25">
      <c r="B159" s="6"/>
      <c r="AP159" s="8"/>
      <c r="AR159" s="6"/>
      <c r="AT159" s="24"/>
      <c r="AU159" s="177" t="s">
        <v>65</v>
      </c>
      <c r="AV159" s="177"/>
      <c r="AW159" s="177"/>
      <c r="AX159" s="177"/>
      <c r="AY159" s="177"/>
      <c r="AZ159" s="177"/>
      <c r="BA159" s="177"/>
      <c r="BB159" s="24" t="s">
        <v>159</v>
      </c>
      <c r="CF159" s="8"/>
      <c r="CM159" s="2">
        <f t="shared" si="91"/>
        <v>27.399999999999935</v>
      </c>
      <c r="CN159" s="1" t="str">
        <f t="shared" si="75"/>
        <v>0.0107986736111111+29.5883656944444i</v>
      </c>
      <c r="CO159" s="1" t="str">
        <f t="shared" si="76"/>
        <v>-0.0394112175587998i</v>
      </c>
      <c r="CP159" s="1" t="str">
        <f t="shared" si="77"/>
        <v>10.7986736111111</v>
      </c>
      <c r="CQ159" s="1" t="str">
        <f t="shared" si="78"/>
        <v>-0.945869221411195i</v>
      </c>
      <c r="CR159" s="1" t="str">
        <f t="shared" si="79"/>
        <v>0.0107986736111111+29.5489544768856i</v>
      </c>
      <c r="CS159" s="1" t="str">
        <f t="shared" si="80"/>
        <v>9.52541526538556+3.48060033868026i</v>
      </c>
      <c r="CT159" s="1" t="str">
        <f t="shared" si="81"/>
        <v>9.52541526538556+2.53473111726907i</v>
      </c>
      <c r="CU159" s="1" t="str">
        <f t="shared" si="82"/>
        <v>0.0191834803010191+13.1406840061981i</v>
      </c>
      <c r="CV159" s="1" t="str">
        <f t="shared" si="83"/>
        <v>4.88896953081666+5.09004845228572i</v>
      </c>
      <c r="CW159" s="2">
        <f t="shared" si="84"/>
        <v>27.399999999999935</v>
      </c>
      <c r="CX159" s="14">
        <f t="shared" si="85"/>
        <v>9.8568959523215192</v>
      </c>
      <c r="CY159" s="14">
        <f t="shared" si="74"/>
        <v>13.140698008731006</v>
      </c>
      <c r="CZ159" s="14">
        <f t="shared" si="86"/>
        <v>7.05766365873792</v>
      </c>
      <c r="DE159" s="14">
        <f t="shared" si="87"/>
        <v>27.399999999999935</v>
      </c>
      <c r="DF159" s="151">
        <f t="shared" si="88"/>
        <v>0.71601279884421154</v>
      </c>
      <c r="DH159" s="152">
        <f t="shared" si="89"/>
        <v>27.399999999999935</v>
      </c>
      <c r="DI159" s="1">
        <f t="shared" si="90"/>
        <v>0.53708438121389124</v>
      </c>
    </row>
    <row r="160" spans="2:113" ht="18" customHeight="1" x14ac:dyDescent="0.25">
      <c r="B160" s="6"/>
      <c r="AP160" s="8"/>
      <c r="AR160" s="6"/>
      <c r="AT160" s="24"/>
      <c r="AU160" s="177" t="s">
        <v>160</v>
      </c>
      <c r="AV160" s="177"/>
      <c r="AW160" s="177"/>
      <c r="AX160" s="177"/>
      <c r="AY160" s="177"/>
      <c r="AZ160" s="177"/>
      <c r="BA160" s="177"/>
      <c r="BB160" s="24" t="s">
        <v>161</v>
      </c>
      <c r="CF160" s="8"/>
      <c r="CM160" s="2">
        <f t="shared" si="91"/>
        <v>27.599999999999934</v>
      </c>
      <c r="CN160" s="1" t="str">
        <f t="shared" si="75"/>
        <v>0.0107986736111111+29.8043391666666i</v>
      </c>
      <c r="CO160" s="1" t="str">
        <f t="shared" si="76"/>
        <v>-0.039125629025765i</v>
      </c>
      <c r="CP160" s="1" t="str">
        <f t="shared" si="77"/>
        <v>10.7986736111111</v>
      </c>
      <c r="CQ160" s="1" t="str">
        <f t="shared" si="78"/>
        <v>-0.93901509661836i</v>
      </c>
      <c r="CR160" s="1" t="str">
        <f t="shared" si="79"/>
        <v>0.0107986736111111+29.7652135376408i</v>
      </c>
      <c r="CS160" s="1" t="str">
        <f t="shared" si="80"/>
        <v>9.54170183023053+3.4612266430045i</v>
      </c>
      <c r="CT160" s="1" t="str">
        <f t="shared" si="81"/>
        <v>9.54170183023053+2.52221154638614i</v>
      </c>
      <c r="CU160" s="1" t="str">
        <f t="shared" si="82"/>
        <v>0.0191834803010191+13.2366014077032i</v>
      </c>
      <c r="CV160" s="1" t="str">
        <f t="shared" si="83"/>
        <v>4.92611453405276+5.09559204597991i</v>
      </c>
      <c r="CW160" s="2">
        <f t="shared" si="84"/>
        <v>27.599999999999934</v>
      </c>
      <c r="CX160" s="14">
        <f t="shared" si="85"/>
        <v>9.8694288032159285</v>
      </c>
      <c r="CY160" s="14">
        <f t="shared" si="74"/>
        <v>13.236615308768579</v>
      </c>
      <c r="CZ160" s="14">
        <f t="shared" si="86"/>
        <v>7.0874299080597316</v>
      </c>
      <c r="DE160" s="14">
        <f t="shared" si="87"/>
        <v>27.599999999999934</v>
      </c>
      <c r="DF160" s="151">
        <f t="shared" si="88"/>
        <v>0.71811956389515696</v>
      </c>
      <c r="DH160" s="152">
        <f t="shared" si="89"/>
        <v>27.599999999999934</v>
      </c>
      <c r="DI160" s="1">
        <f t="shared" si="90"/>
        <v>0.53544125463589287</v>
      </c>
    </row>
    <row r="161" spans="2:113" ht="18" customHeight="1" x14ac:dyDescent="0.25">
      <c r="B161" s="6"/>
      <c r="AP161" s="8"/>
      <c r="AR161" s="6"/>
      <c r="AT161" s="24"/>
      <c r="AU161" s="177" t="s">
        <v>162</v>
      </c>
      <c r="AV161" s="177"/>
      <c r="AW161" s="177"/>
      <c r="AX161" s="177"/>
      <c r="AY161" s="177"/>
      <c r="AZ161" s="177"/>
      <c r="BA161" s="177"/>
      <c r="BB161" s="24" t="s">
        <v>163</v>
      </c>
      <c r="CF161" s="8"/>
      <c r="CM161" s="2">
        <f t="shared" si="91"/>
        <v>27.799999999999933</v>
      </c>
      <c r="CN161" s="1" t="str">
        <f t="shared" si="75"/>
        <v>0.0107986736111111+30.0203126388888i</v>
      </c>
      <c r="CO161" s="1" t="str">
        <f t="shared" si="76"/>
        <v>-0.0388441496802559i</v>
      </c>
      <c r="CP161" s="1" t="str">
        <f t="shared" si="77"/>
        <v>10.7986736111111</v>
      </c>
      <c r="CQ161" s="1" t="str">
        <f t="shared" si="78"/>
        <v>-0.932259592326142i</v>
      </c>
      <c r="CR161" s="1" t="str">
        <f t="shared" si="79"/>
        <v>0.0107986736111111+29.9814684892085i</v>
      </c>
      <c r="CS161" s="1" t="str">
        <f t="shared" si="80"/>
        <v>9.55769099420407+3.44202568307063i</v>
      </c>
      <c r="CT161" s="1" t="str">
        <f t="shared" si="81"/>
        <v>9.55769099420407+2.50976609074449i</v>
      </c>
      <c r="CU161" s="1" t="str">
        <f t="shared" si="82"/>
        <v>0.0191834803010191+13.3325188092083i</v>
      </c>
      <c r="CV161" s="1" t="str">
        <f t="shared" si="83"/>
        <v>4.96306228642147+5.10082850240264i</v>
      </c>
      <c r="CW161" s="2">
        <f t="shared" si="84"/>
        <v>27.799999999999933</v>
      </c>
      <c r="CX161" s="14">
        <f t="shared" si="85"/>
        <v>9.8817196363254745</v>
      </c>
      <c r="CY161" s="14">
        <f t="shared" si="74"/>
        <v>13.332532610266114</v>
      </c>
      <c r="CZ161" s="14">
        <f t="shared" si="86"/>
        <v>7.1169121583606945</v>
      </c>
      <c r="DE161" s="14">
        <f t="shared" si="87"/>
        <v>27.799999999999933</v>
      </c>
      <c r="DF161" s="151">
        <f t="shared" si="88"/>
        <v>0.72020988454264201</v>
      </c>
      <c r="DH161" s="152">
        <f t="shared" si="89"/>
        <v>27.799999999999933</v>
      </c>
      <c r="DI161" s="1">
        <f t="shared" si="90"/>
        <v>0.53380046885320709</v>
      </c>
    </row>
    <row r="162" spans="2:113" ht="18" customHeight="1" x14ac:dyDescent="0.25">
      <c r="B162" s="6"/>
      <c r="AP162" s="8"/>
      <c r="AR162" s="6"/>
      <c r="AT162" s="24"/>
      <c r="AU162" s="177" t="s">
        <v>164</v>
      </c>
      <c r="AV162" s="177"/>
      <c r="AW162" s="177"/>
      <c r="AX162" s="177"/>
      <c r="AY162" s="177"/>
      <c r="AZ162" s="177"/>
      <c r="BA162" s="177"/>
      <c r="BB162" s="24" t="s">
        <v>165</v>
      </c>
      <c r="CF162" s="8"/>
      <c r="CM162" s="2">
        <f t="shared" si="91"/>
        <v>27.999999999999932</v>
      </c>
      <c r="CN162" s="1" t="str">
        <f t="shared" si="75"/>
        <v>0.0107986736111111+30.236286111111i</v>
      </c>
      <c r="CO162" s="1" t="str">
        <f t="shared" si="76"/>
        <v>-0.0385666914682541i</v>
      </c>
      <c r="CP162" s="1" t="str">
        <f t="shared" si="77"/>
        <v>10.7986736111111</v>
      </c>
      <c r="CQ162" s="1" t="str">
        <f t="shared" si="78"/>
        <v>-0.925600595238098i</v>
      </c>
      <c r="CR162" s="1" t="str">
        <f t="shared" si="79"/>
        <v>0.0107986736111111+30.1977194196427i</v>
      </c>
      <c r="CS162" s="1" t="str">
        <f t="shared" si="80"/>
        <v>9.57338961305898+3.4229961840831i</v>
      </c>
      <c r="CT162" s="1" t="str">
        <f t="shared" si="81"/>
        <v>9.57338961305898+2.497395588845i</v>
      </c>
      <c r="CU162" s="1" t="str">
        <f t="shared" si="82"/>
        <v>0.0191834803010191+13.4284362107134i</v>
      </c>
      <c r="CV162" s="1" t="str">
        <f t="shared" si="83"/>
        <v>4.99981141497112+5.10576300824971i</v>
      </c>
      <c r="CW162" s="2">
        <f t="shared" si="84"/>
        <v>27.999999999999932</v>
      </c>
      <c r="CX162" s="14">
        <f t="shared" si="85"/>
        <v>9.893774477448332</v>
      </c>
      <c r="CY162" s="14">
        <f t="shared" si="74"/>
        <v>13.428449913192326</v>
      </c>
      <c r="CZ162" s="14">
        <f t="shared" si="86"/>
        <v>7.146112935133802</v>
      </c>
      <c r="DE162" s="14">
        <f t="shared" si="87"/>
        <v>27.999999999999932</v>
      </c>
      <c r="DF162" s="151">
        <f t="shared" si="88"/>
        <v>0.72228379082447325</v>
      </c>
      <c r="DH162" s="152">
        <f t="shared" si="89"/>
        <v>27.999999999999932</v>
      </c>
      <c r="DI162" s="1">
        <f t="shared" si="90"/>
        <v>0.53216216177813269</v>
      </c>
    </row>
    <row r="163" spans="2:113" ht="18" customHeight="1" x14ac:dyDescent="0.25">
      <c r="B163" s="6"/>
      <c r="AP163" s="8"/>
      <c r="AR163" s="6"/>
      <c r="AT163" s="24"/>
      <c r="AU163" s="177" t="s">
        <v>166</v>
      </c>
      <c r="AV163" s="177"/>
      <c r="AW163" s="177"/>
      <c r="AX163" s="177"/>
      <c r="AY163" s="177"/>
      <c r="AZ163" s="177"/>
      <c r="BA163" s="177"/>
      <c r="BB163" s="24" t="s">
        <v>167</v>
      </c>
      <c r="CF163" s="8"/>
      <c r="CM163" s="2">
        <f t="shared" si="91"/>
        <v>28.199999999999932</v>
      </c>
      <c r="CN163" s="1" t="str">
        <f t="shared" si="75"/>
        <v>0.0107986736111111+30.4522595833333i</v>
      </c>
      <c r="CO163" s="1" t="str">
        <f t="shared" si="76"/>
        <v>-0.0382931688337274i</v>
      </c>
      <c r="CP163" s="1" t="str">
        <f t="shared" si="77"/>
        <v>10.7986736111111</v>
      </c>
      <c r="CQ163" s="1" t="str">
        <f t="shared" si="78"/>
        <v>-0.919036052009459i</v>
      </c>
      <c r="CR163" s="1" t="str">
        <f t="shared" si="79"/>
        <v>0.0107986736111111+30.4139664144996i</v>
      </c>
      <c r="CS163" s="1" t="str">
        <f t="shared" si="80"/>
        <v>9.58880435733193+3.40413684231219i</v>
      </c>
      <c r="CT163" s="1" t="str">
        <f t="shared" si="81"/>
        <v>9.58880435733193+2.48510079030273i</v>
      </c>
      <c r="CU163" s="1" t="str">
        <f t="shared" si="82"/>
        <v>0.0191834803010191+13.5243536122185i</v>
      </c>
      <c r="CV163" s="1" t="str">
        <f t="shared" si="83"/>
        <v>5.03636063710786+5.11040069828613i</v>
      </c>
      <c r="CW163" s="2">
        <f t="shared" si="84"/>
        <v>28.199999999999932</v>
      </c>
      <c r="CX163" s="14">
        <f t="shared" si="85"/>
        <v>9.9055991712339679</v>
      </c>
      <c r="CY163" s="14">
        <f t="shared" si="74"/>
        <v>13.524367217516819</v>
      </c>
      <c r="CZ163" s="14">
        <f t="shared" si="86"/>
        <v>7.1750347569926687</v>
      </c>
      <c r="DE163" s="14">
        <f t="shared" si="87"/>
        <v>28.199999999999932</v>
      </c>
      <c r="DF163" s="151">
        <f t="shared" si="88"/>
        <v>0.72434131776996513</v>
      </c>
      <c r="DH163" s="152">
        <f t="shared" si="89"/>
        <v>28.199999999999932</v>
      </c>
      <c r="DI163" s="1">
        <f t="shared" si="90"/>
        <v>0.53052646690187077</v>
      </c>
    </row>
    <row r="164" spans="2:113" ht="18" customHeight="1" x14ac:dyDescent="0.25">
      <c r="B164" s="6"/>
      <c r="AP164" s="8"/>
      <c r="AR164" s="6"/>
      <c r="AT164" s="24"/>
      <c r="AU164" s="177" t="s">
        <v>168</v>
      </c>
      <c r="AV164" s="177"/>
      <c r="AW164" s="177"/>
      <c r="AX164" s="177"/>
      <c r="AY164" s="177"/>
      <c r="AZ164" s="177"/>
      <c r="BA164" s="177"/>
      <c r="BB164" s="24" t="s">
        <v>291</v>
      </c>
      <c r="CF164" s="8"/>
      <c r="CM164" s="2">
        <f t="shared" si="91"/>
        <v>28.399999999999931</v>
      </c>
      <c r="CN164" s="1" t="str">
        <f t="shared" si="75"/>
        <v>0.0107986736111111+30.6682330555555i</v>
      </c>
      <c r="CO164" s="1" t="str">
        <f t="shared" si="76"/>
        <v>-0.038023498630673i</v>
      </c>
      <c r="CP164" s="1" t="str">
        <f t="shared" si="77"/>
        <v>10.7986736111111</v>
      </c>
      <c r="CQ164" s="1" t="str">
        <f t="shared" si="78"/>
        <v>-0.912563967136153i</v>
      </c>
      <c r="CR164" s="1" t="str">
        <f t="shared" si="79"/>
        <v>0.0107986736111111+30.6302095569248i</v>
      </c>
      <c r="CS164" s="1" t="str">
        <f t="shared" si="80"/>
        <v>9.60394171786807+3.38544632804118i</v>
      </c>
      <c r="CT164" s="1" t="str">
        <f t="shared" si="81"/>
        <v>9.60394171786807+2.47288236090503i</v>
      </c>
      <c r="CU164" s="1" t="str">
        <f t="shared" si="82"/>
        <v>0.0191834803010191+13.6202710137236i</v>
      </c>
      <c r="CV164" s="1" t="str">
        <f t="shared" si="83"/>
        <v>5.07270875824453+5.11474665481226i</v>
      </c>
      <c r="CW164" s="2">
        <f t="shared" si="84"/>
        <v>28.399999999999931</v>
      </c>
      <c r="CX164" s="14">
        <f t="shared" si="85"/>
        <v>9.9171993874824338</v>
      </c>
      <c r="CY164" s="14">
        <f t="shared" si="74"/>
        <v>13.620284523210049</v>
      </c>
      <c r="CZ164" s="14">
        <f t="shared" si="86"/>
        <v>7.2036801351034434</v>
      </c>
      <c r="DE164" s="14">
        <f t="shared" si="87"/>
        <v>28.399999999999931</v>
      </c>
      <c r="DF164" s="151">
        <f t="shared" si="88"/>
        <v>0.72638250514515346</v>
      </c>
      <c r="DH164" s="152">
        <f t="shared" si="89"/>
        <v>28.399999999999931</v>
      </c>
      <c r="DI164" s="1">
        <f t="shared" si="90"/>
        <v>0.52889351340846191</v>
      </c>
    </row>
    <row r="165" spans="2:113" ht="18" customHeight="1" x14ac:dyDescent="0.25">
      <c r="B165" s="6"/>
      <c r="AP165" s="8"/>
      <c r="AR165" s="6"/>
      <c r="AT165" s="24"/>
      <c r="AU165" s="177" t="s">
        <v>169</v>
      </c>
      <c r="AV165" s="177"/>
      <c r="AW165" s="177"/>
      <c r="AX165" s="177"/>
      <c r="AY165" s="177"/>
      <c r="AZ165" s="177"/>
      <c r="BA165" s="177"/>
      <c r="BB165" s="24" t="s">
        <v>170</v>
      </c>
      <c r="CF165" s="8"/>
      <c r="CM165" s="2">
        <f t="shared" si="91"/>
        <v>28.59999999999993</v>
      </c>
      <c r="CN165" s="1" t="str">
        <f t="shared" si="75"/>
        <v>0.0107986736111111+30.8842065277777i</v>
      </c>
      <c r="CO165" s="1" t="str">
        <f t="shared" si="76"/>
        <v>-0.0377576000388501i</v>
      </c>
      <c r="CP165" s="1" t="str">
        <f t="shared" si="77"/>
        <v>10.7986736111111</v>
      </c>
      <c r="CQ165" s="1" t="str">
        <f t="shared" si="78"/>
        <v>-0.906182400932403i</v>
      </c>
      <c r="CR165" s="1" t="str">
        <f t="shared" si="79"/>
        <v>0.0107986736111111+30.8464489277388i</v>
      </c>
      <c r="CS165" s="1" t="str">
        <f t="shared" si="80"/>
        <v>9.61880801117588+3.36692328833079i</v>
      </c>
      <c r="CT165" s="1" t="str">
        <f t="shared" si="81"/>
        <v>9.61880801117588+2.46074088739839i</v>
      </c>
      <c r="CU165" s="1" t="str">
        <f t="shared" si="82"/>
        <v>0.0191834803010191+13.7161884152287i</v>
      </c>
      <c r="CV165" s="1" t="str">
        <f t="shared" si="83"/>
        <v>5.1088546694838+5.118805907178i</v>
      </c>
      <c r="CW165" s="2">
        <f t="shared" si="84"/>
        <v>28.59999999999993</v>
      </c>
      <c r="CX165" s="14">
        <f t="shared" si="85"/>
        <v>9.9285806271982047</v>
      </c>
      <c r="CY165" s="14">
        <f t="shared" si="74"/>
        <v>13.716201830243303</v>
      </c>
      <c r="CZ165" s="14">
        <f t="shared" si="86"/>
        <v>7.2320515726359984</v>
      </c>
      <c r="DE165" s="14">
        <f t="shared" si="87"/>
        <v>28.59999999999993</v>
      </c>
      <c r="DF165" s="151">
        <f t="shared" si="88"/>
        <v>0.72840739720888437</v>
      </c>
      <c r="DH165" s="152">
        <f t="shared" si="89"/>
        <v>28.59999999999993</v>
      </c>
      <c r="DI165" s="1">
        <f t="shared" si="90"/>
        <v>0.5272634262853868</v>
      </c>
    </row>
    <row r="166" spans="2:113" ht="18" customHeight="1" x14ac:dyDescent="0.25">
      <c r="B166" s="6"/>
      <c r="AP166" s="8"/>
      <c r="AR166" s="6"/>
      <c r="AT166" s="177" t="s">
        <v>51</v>
      </c>
      <c r="AU166" s="177"/>
      <c r="AV166" s="177"/>
      <c r="AW166" s="177"/>
      <c r="AX166" s="177"/>
      <c r="AY166" s="177"/>
      <c r="AZ166" s="177"/>
      <c r="BA166" s="177"/>
      <c r="BB166" s="24" t="s">
        <v>171</v>
      </c>
      <c r="CF166" s="8"/>
      <c r="CM166" s="2">
        <f t="shared" si="91"/>
        <v>28.79999999999993</v>
      </c>
      <c r="CN166" s="1" t="str">
        <f t="shared" si="75"/>
        <v>0.0107986736111111+31.1001799999999i</v>
      </c>
      <c r="CO166" s="1" t="str">
        <f t="shared" si="76"/>
        <v>-0.0374953944830248i</v>
      </c>
      <c r="CP166" s="1" t="str">
        <f t="shared" si="77"/>
        <v>10.7986736111111</v>
      </c>
      <c r="CQ166" s="1" t="str">
        <f t="shared" si="78"/>
        <v>-0.899889467592595i</v>
      </c>
      <c r="CR166" s="1" t="str">
        <f t="shared" si="79"/>
        <v>0.0107986736111111+31.0626846055169i</v>
      </c>
      <c r="CS166" s="1" t="str">
        <f t="shared" si="80"/>
        <v>9.63340938461684+3.34856634961183i</v>
      </c>
      <c r="CT166" s="1" t="str">
        <f t="shared" si="81"/>
        <v>9.63340938461684+2.44867688201924i</v>
      </c>
      <c r="CU166" s="1" t="str">
        <f t="shared" si="82"/>
        <v>0.0191834803010191+13.8121058167338i</v>
      </c>
      <c r="CV166" s="1" t="str">
        <f t="shared" si="83"/>
        <v>5.14479734533631+5.12258343134415i</v>
      </c>
      <c r="CW166" s="2">
        <f t="shared" si="84"/>
        <v>28.79999999999993</v>
      </c>
      <c r="CX166" s="14">
        <f t="shared" si="85"/>
        <v>9.9397482284089715</v>
      </c>
      <c r="CY166" s="14">
        <f t="shared" si="74"/>
        <v>13.812119138588665</v>
      </c>
      <c r="CZ166" s="14">
        <f t="shared" si="86"/>
        <v>7.2601515642348096</v>
      </c>
      <c r="DE166" s="14">
        <f t="shared" si="87"/>
        <v>28.79999999999993</v>
      </c>
      <c r="DF166" s="151">
        <f t="shared" si="88"/>
        <v>0.73041604247926972</v>
      </c>
      <c r="DH166" s="152">
        <f t="shared" si="89"/>
        <v>28.79999999999993</v>
      </c>
      <c r="DI166" s="1">
        <f t="shared" si="90"/>
        <v>0.52563632643098057</v>
      </c>
    </row>
    <row r="167" spans="2:113" ht="18" customHeight="1" x14ac:dyDescent="0.25">
      <c r="B167" s="6"/>
      <c r="C167" s="46"/>
      <c r="D167" s="46"/>
      <c r="E167" s="46"/>
      <c r="F167" s="46"/>
      <c r="G167" s="46"/>
      <c r="H167" s="46"/>
      <c r="I167" s="46"/>
      <c r="J167" s="46"/>
      <c r="K167" s="46"/>
      <c r="L167" s="46"/>
      <c r="M167" s="46"/>
      <c r="N167" s="46"/>
      <c r="O167" s="46"/>
      <c r="P167" s="46"/>
      <c r="Q167" s="46"/>
      <c r="R167" s="46"/>
      <c r="S167" s="46"/>
      <c r="T167" s="46"/>
      <c r="U167" s="46"/>
      <c r="V167" s="46"/>
      <c r="W167" s="46"/>
      <c r="X167" s="46"/>
      <c r="Y167" s="46"/>
      <c r="Z167" s="46"/>
      <c r="AA167" s="46"/>
      <c r="AB167" s="46"/>
      <c r="AC167" s="46"/>
      <c r="AD167" s="46"/>
      <c r="AE167" s="46"/>
      <c r="AF167" s="46"/>
      <c r="AG167" s="46"/>
      <c r="AH167" s="46"/>
      <c r="AI167" s="46"/>
      <c r="AJ167" s="46"/>
      <c r="AK167" s="46"/>
      <c r="AL167" s="46"/>
      <c r="AM167" s="46"/>
      <c r="AN167" s="46"/>
      <c r="AO167" s="46"/>
      <c r="AP167" s="8"/>
      <c r="AR167" s="6"/>
      <c r="AT167" s="24"/>
      <c r="AU167" s="177" t="s">
        <v>172</v>
      </c>
      <c r="AV167" s="177"/>
      <c r="AW167" s="177"/>
      <c r="AX167" s="177"/>
      <c r="AY167" s="177"/>
      <c r="AZ167" s="177"/>
      <c r="BA167" s="177"/>
      <c r="BB167" s="24" t="s">
        <v>173</v>
      </c>
      <c r="CF167" s="8"/>
      <c r="CM167" s="2">
        <f t="shared" si="91"/>
        <v>28.999999999999929</v>
      </c>
      <c r="CN167" s="1" t="str">
        <f t="shared" si="75"/>
        <v>0.0107986736111111+31.3161534722222i</v>
      </c>
      <c r="CO167" s="1" t="str">
        <f t="shared" si="76"/>
        <v>-0.0372368055555557i</v>
      </c>
      <c r="CP167" s="1" t="str">
        <f t="shared" si="77"/>
        <v>10.7986736111111</v>
      </c>
      <c r="CQ167" s="1" t="str">
        <f t="shared" si="78"/>
        <v>-0.893683333333336i</v>
      </c>
      <c r="CR167" s="1" t="str">
        <f t="shared" si="79"/>
        <v>0.0107986736111111+31.2789166666666i</v>
      </c>
      <c r="CS167" s="1" t="str">
        <f t="shared" si="80"/>
        <v>9.64775182143453+3.33037412011549i</v>
      </c>
      <c r="CT167" s="1" t="str">
        <f t="shared" si="81"/>
        <v>9.64775182143453+2.43669078678215i</v>
      </c>
      <c r="CU167" s="1" t="str">
        <f t="shared" si="82"/>
        <v>0.0191834803010191+13.9080232182389i</v>
      </c>
      <c r="CV167" s="1" t="str">
        <f t="shared" si="83"/>
        <v>5.18053584147443+5.12608414948935i</v>
      </c>
      <c r="CW167" s="2">
        <f t="shared" si="84"/>
        <v>28.999999999999929</v>
      </c>
      <c r="CX167" s="14">
        <f t="shared" si="85"/>
        <v>9.9507073717591705</v>
      </c>
      <c r="CY167" s="14">
        <f t="shared" si="74"/>
        <v>13.908036448218988</v>
      </c>
      <c r="CZ167" s="14">
        <f t="shared" si="86"/>
        <v>7.2879825955093454</v>
      </c>
      <c r="DE167" s="14">
        <f t="shared" si="87"/>
        <v>28.999999999999929</v>
      </c>
      <c r="DF167" s="151">
        <f t="shared" si="88"/>
        <v>0.73240849351003634</v>
      </c>
      <c r="DH167" s="152">
        <f t="shared" si="89"/>
        <v>28.999999999999929</v>
      </c>
      <c r="DI167" s="1">
        <f t="shared" si="90"/>
        <v>0.52401233075878184</v>
      </c>
    </row>
    <row r="168" spans="2:113" ht="18" customHeight="1" x14ac:dyDescent="0.3">
      <c r="B168" s="6"/>
      <c r="C168" s="30" t="s">
        <v>174</v>
      </c>
      <c r="AP168" s="8"/>
      <c r="AR168" s="6"/>
      <c r="AT168" s="24"/>
      <c r="AU168" s="177" t="s">
        <v>178</v>
      </c>
      <c r="AV168" s="177"/>
      <c r="AW168" s="177"/>
      <c r="AX168" s="177"/>
      <c r="AY168" s="177"/>
      <c r="AZ168" s="177"/>
      <c r="BA168" s="177"/>
      <c r="BB168" s="24" t="s">
        <v>231</v>
      </c>
      <c r="CF168" s="8"/>
      <c r="CM168" s="2">
        <f t="shared" si="91"/>
        <v>29.199999999999928</v>
      </c>
      <c r="CN168" s="1" t="str">
        <f t="shared" si="75"/>
        <v>0.0107986736111111+31.5321269444444i</v>
      </c>
      <c r="CO168" s="1" t="str">
        <f t="shared" si="76"/>
        <v>-0.0369817589421614i</v>
      </c>
      <c r="CP168" s="1" t="str">
        <f t="shared" si="77"/>
        <v>10.7986736111111</v>
      </c>
      <c r="CQ168" s="1" t="str">
        <f t="shared" si="78"/>
        <v>-0.887562214611875i</v>
      </c>
      <c r="CR168" s="1" t="str">
        <f t="shared" si="79"/>
        <v>0.0107986736111111+31.4951451855022i</v>
      </c>
      <c r="CS168" s="1" t="str">
        <f t="shared" si="80"/>
        <v>9.66184114562781+3.31234519215091i</v>
      </c>
      <c r="CT168" s="1" t="str">
        <f t="shared" si="81"/>
        <v>9.66184114562781+2.42478297753904i</v>
      </c>
      <c r="CU168" s="1" t="str">
        <f t="shared" si="82"/>
        <v>0.0191834803010191+14.003940619744i</v>
      </c>
      <c r="CV168" s="1" t="str">
        <f t="shared" si="83"/>
        <v>5.21606929252111+5.12931292966171i</v>
      </c>
      <c r="CW168" s="2">
        <f t="shared" si="84"/>
        <v>29.199999999999928</v>
      </c>
      <c r="CX168" s="14">
        <f t="shared" si="85"/>
        <v>9.9614630858880169</v>
      </c>
      <c r="CY168" s="14">
        <f t="shared" si="74"/>
        <v>14.003953759107866</v>
      </c>
      <c r="CZ168" s="14">
        <f t="shared" si="86"/>
        <v>7.3155471425435064</v>
      </c>
      <c r="DE168" s="14">
        <f t="shared" si="87"/>
        <v>29.199999999999928</v>
      </c>
      <c r="DF168" s="151">
        <f t="shared" si="88"/>
        <v>0.73438480667635397</v>
      </c>
      <c r="DH168" s="152">
        <f t="shared" si="89"/>
        <v>29.199999999999928</v>
      </c>
      <c r="DI168" s="1">
        <f t="shared" si="90"/>
        <v>0.52239155229897971</v>
      </c>
    </row>
    <row r="169" spans="2:113" ht="18" customHeight="1" x14ac:dyDescent="0.25">
      <c r="B169" s="6"/>
      <c r="AP169" s="8"/>
      <c r="AR169" s="6"/>
      <c r="AT169" s="24"/>
      <c r="AU169" s="177" t="s">
        <v>176</v>
      </c>
      <c r="AV169" s="177"/>
      <c r="AW169" s="177"/>
      <c r="AX169" s="177"/>
      <c r="AY169" s="177"/>
      <c r="AZ169" s="177"/>
      <c r="BA169" s="177"/>
      <c r="BB169" s="24" t="s">
        <v>177</v>
      </c>
      <c r="CF169" s="8"/>
      <c r="CM169" s="2">
        <f t="shared" si="91"/>
        <v>29.399999999999928</v>
      </c>
      <c r="CN169" s="1" t="str">
        <f t="shared" si="75"/>
        <v>0.0107986736111111+31.7481004166666i</v>
      </c>
      <c r="CO169" s="1" t="str">
        <f t="shared" si="76"/>
        <v>-0.0367301823507182i</v>
      </c>
      <c r="CP169" s="1" t="str">
        <f t="shared" si="77"/>
        <v>10.7986736111111</v>
      </c>
      <c r="CQ169" s="1" t="str">
        <f t="shared" si="78"/>
        <v>-0.881524376417236i</v>
      </c>
      <c r="CR169" s="1" t="str">
        <f t="shared" si="79"/>
        <v>0.0107986736111111+31.7113702343159i</v>
      </c>
      <c r="CS169" s="1" t="str">
        <f t="shared" si="80"/>
        <v>9.67568302667285+3.29447814423878i</v>
      </c>
      <c r="CT169" s="1" t="str">
        <f t="shared" si="81"/>
        <v>9.67568302667285+2.41295376782154i</v>
      </c>
      <c r="CU169" s="1" t="str">
        <f t="shared" si="82"/>
        <v>0.0191834803010191+14.0998580212491i</v>
      </c>
      <c r="CV169" s="1" t="str">
        <f t="shared" si="83"/>
        <v>5.25139690987483+5.13227458547338i</v>
      </c>
      <c r="CW169" s="2">
        <f t="shared" si="84"/>
        <v>29.399999999999928</v>
      </c>
      <c r="CX169" s="14">
        <f t="shared" si="85"/>
        <v>9.9720202526012365</v>
      </c>
      <c r="CY169" s="14">
        <f t="shared" si="74"/>
        <v>14.099871071229618</v>
      </c>
      <c r="CZ169" s="14">
        <f t="shared" si="86"/>
        <v>7.3428476714241366</v>
      </c>
      <c r="DE169" s="14">
        <f t="shared" si="87"/>
        <v>29.399999999999928</v>
      </c>
      <c r="DF169" s="151">
        <f t="shared" si="88"/>
        <v>0.73634504196967887</v>
      </c>
      <c r="DH169" s="152">
        <f t="shared" si="89"/>
        <v>29.399999999999928</v>
      </c>
      <c r="DI169" s="1">
        <f t="shared" si="90"/>
        <v>0.52077410029705862</v>
      </c>
    </row>
    <row r="170" spans="2:113" ht="18" customHeight="1" x14ac:dyDescent="0.25">
      <c r="B170" s="6"/>
      <c r="C170" s="163" t="s">
        <v>294</v>
      </c>
      <c r="D170" s="163"/>
      <c r="E170" s="163"/>
      <c r="F170" s="163"/>
      <c r="G170" s="163"/>
      <c r="H170" s="163"/>
      <c r="I170" s="163"/>
      <c r="J170" s="163"/>
      <c r="K170" s="163"/>
      <c r="L170" s="163"/>
      <c r="M170" s="163"/>
      <c r="N170" s="163"/>
      <c r="O170" s="163"/>
      <c r="P170" s="163"/>
      <c r="Q170" s="163"/>
      <c r="R170" s="163"/>
      <c r="S170" s="163"/>
      <c r="T170" s="163"/>
      <c r="U170" s="163"/>
      <c r="V170" s="163"/>
      <c r="W170" s="163"/>
      <c r="X170" s="163"/>
      <c r="Y170" s="163"/>
      <c r="Z170" s="163"/>
      <c r="AA170" s="163"/>
      <c r="AB170" s="163"/>
      <c r="AC170" s="163"/>
      <c r="AD170" s="163"/>
      <c r="AE170" s="163"/>
      <c r="AF170" s="163"/>
      <c r="AG170" s="163"/>
      <c r="AH170" s="163"/>
      <c r="AI170" s="163"/>
      <c r="AJ170" s="163"/>
      <c r="AK170" s="163"/>
      <c r="AL170" s="163"/>
      <c r="AM170" s="163"/>
      <c r="AN170" s="163"/>
      <c r="AP170" s="8"/>
      <c r="AR170" s="6"/>
      <c r="AT170" s="24"/>
      <c r="BA170" s="32" t="s">
        <v>178</v>
      </c>
      <c r="BB170" s="24" t="s">
        <v>287</v>
      </c>
      <c r="BC170" s="23"/>
      <c r="BD170" s="23"/>
      <c r="BE170" s="23"/>
      <c r="BF170" s="23"/>
      <c r="BH170" s="23"/>
      <c r="BI170" s="23"/>
      <c r="BJ170" s="23"/>
      <c r="BK170" s="23"/>
      <c r="BL170" s="23"/>
      <c r="BM170" s="23"/>
      <c r="BN170" s="23"/>
      <c r="BO170" s="23"/>
      <c r="BP170" s="23"/>
      <c r="BQ170" s="23"/>
      <c r="CF170" s="8"/>
      <c r="CM170" s="2">
        <f t="shared" si="91"/>
        <v>29.599999999999927</v>
      </c>
      <c r="CN170" s="1" t="str">
        <f t="shared" si="75"/>
        <v>0.0107986736111111+31.9640738888888i</v>
      </c>
      <c r="CO170" s="1" t="str">
        <f t="shared" si="76"/>
        <v>-0.036482005442943i</v>
      </c>
      <c r="CP170" s="1" t="str">
        <f t="shared" si="77"/>
        <v>10.7986736111111</v>
      </c>
      <c r="CQ170" s="1" t="str">
        <f t="shared" si="78"/>
        <v>-0.875568130630633i</v>
      </c>
      <c r="CR170" s="1" t="str">
        <f t="shared" si="79"/>
        <v>0.0107986736111111+31.9275918834459i</v>
      </c>
      <c r="CS170" s="1" t="str">
        <f t="shared" si="80"/>
        <v>9.6892829840977+3.27677154310906i</v>
      </c>
      <c r="CT170" s="1" t="str">
        <f t="shared" si="81"/>
        <v>9.6892829840977+2.40120341247843i</v>
      </c>
      <c r="CU170" s="1" t="str">
        <f t="shared" si="82"/>
        <v>0.0191834803010191+14.1957754227542i</v>
      </c>
      <c r="CV170" s="1" t="str">
        <f t="shared" si="83"/>
        <v>5.28651797957012+5.1349738758368i</v>
      </c>
      <c r="CW170" s="2">
        <f t="shared" si="84"/>
        <v>29.599999999999927</v>
      </c>
      <c r="CX170" s="14">
        <f t="shared" si="85"/>
        <v>9.9823836118445808</v>
      </c>
      <c r="CY170" s="14">
        <f t="shared" si="74"/>
        <v>14.195788384559247</v>
      </c>
      <c r="CZ170" s="14">
        <f t="shared" si="86"/>
        <v>7.3698866377878938</v>
      </c>
      <c r="DE170" s="14">
        <f t="shared" si="87"/>
        <v>29.599999999999927</v>
      </c>
      <c r="DF170" s="151">
        <f t="shared" si="88"/>
        <v>0.73828926280123619</v>
      </c>
      <c r="DH170" s="152">
        <f t="shared" si="89"/>
        <v>29.599999999999927</v>
      </c>
      <c r="DI170" s="1">
        <f t="shared" si="90"/>
        <v>0.51916008030973937</v>
      </c>
    </row>
    <row r="171" spans="2:113" ht="18" customHeight="1" x14ac:dyDescent="0.25">
      <c r="B171" s="6"/>
      <c r="C171" s="163"/>
      <c r="D171" s="163"/>
      <c r="E171" s="163"/>
      <c r="F171" s="163"/>
      <c r="G171" s="163"/>
      <c r="H171" s="163"/>
      <c r="I171" s="163"/>
      <c r="J171" s="163"/>
      <c r="K171" s="163"/>
      <c r="L171" s="163"/>
      <c r="M171" s="163"/>
      <c r="N171" s="163"/>
      <c r="O171" s="163"/>
      <c r="P171" s="163"/>
      <c r="Q171" s="163"/>
      <c r="R171" s="163"/>
      <c r="S171" s="163"/>
      <c r="T171" s="163"/>
      <c r="U171" s="163"/>
      <c r="V171" s="163"/>
      <c r="W171" s="163"/>
      <c r="X171" s="163"/>
      <c r="Y171" s="163"/>
      <c r="Z171" s="163"/>
      <c r="AA171" s="163"/>
      <c r="AB171" s="163"/>
      <c r="AC171" s="163"/>
      <c r="AD171" s="163"/>
      <c r="AE171" s="163"/>
      <c r="AF171" s="163"/>
      <c r="AG171" s="163"/>
      <c r="AH171" s="163"/>
      <c r="AI171" s="163"/>
      <c r="AJ171" s="163"/>
      <c r="AK171" s="163"/>
      <c r="AL171" s="163"/>
      <c r="AM171" s="163"/>
      <c r="AN171" s="163"/>
      <c r="AP171" s="8"/>
      <c r="AR171" s="6"/>
      <c r="AT171" s="24"/>
      <c r="BA171" s="32" t="s">
        <v>179</v>
      </c>
      <c r="BB171" s="24" t="s">
        <v>288</v>
      </c>
      <c r="BC171" s="23"/>
      <c r="BD171" s="23"/>
      <c r="BE171" s="23"/>
      <c r="BF171" s="23"/>
      <c r="BG171" s="23"/>
      <c r="BH171" s="23"/>
      <c r="BI171" s="23"/>
      <c r="BJ171" s="23"/>
      <c r="BK171" s="23"/>
      <c r="BL171" s="23"/>
      <c r="BM171" s="23"/>
      <c r="BN171" s="23"/>
      <c r="BO171" s="23"/>
      <c r="BP171" s="23"/>
      <c r="BQ171" s="23"/>
      <c r="CF171" s="8"/>
      <c r="CM171" s="2">
        <f t="shared" si="91"/>
        <v>29.799999999999926</v>
      </c>
      <c r="CN171" s="1" t="str">
        <f t="shared" si="75"/>
        <v>0.0107986736111111+32.180047361111i</v>
      </c>
      <c r="CO171" s="1" t="str">
        <f t="shared" si="76"/>
        <v>-0.0362371597688293i</v>
      </c>
      <c r="CP171" s="1" t="str">
        <f t="shared" si="77"/>
        <v>10.7986736111111</v>
      </c>
      <c r="CQ171" s="1" t="str">
        <f t="shared" si="78"/>
        <v>-0.869691834451904i</v>
      </c>
      <c r="CR171" s="1" t="str">
        <f t="shared" si="79"/>
        <v>0.0107986736111111+32.1438102013422i</v>
      </c>
      <c r="CS171" s="1" t="str">
        <f t="shared" si="80"/>
        <v>9.70264639191476+3.25922394557098i</v>
      </c>
      <c r="CT171" s="1" t="str">
        <f t="shared" si="81"/>
        <v>9.70264639191476+2.38953211111908i</v>
      </c>
      <c r="CU171" s="1" t="str">
        <f t="shared" si="82"/>
        <v>0.0191834803010191+14.2916928242592i</v>
      </c>
      <c r="CV171" s="1" t="str">
        <f t="shared" si="83"/>
        <v>5.32143186017421+5.13741550474149i</v>
      </c>
      <c r="CW171" s="2">
        <f t="shared" si="84"/>
        <v>29.799999999999926</v>
      </c>
      <c r="CX171" s="14">
        <f t="shared" si="85"/>
        <v>9.9925577664883036</v>
      </c>
      <c r="CY171" s="14">
        <f t="shared" si="74"/>
        <v>14.291705699072443</v>
      </c>
      <c r="CZ171" s="14">
        <f t="shared" si="86"/>
        <v>7.3966664863866489</v>
      </c>
      <c r="DE171" s="14">
        <f t="shared" si="87"/>
        <v>29.799999999999926</v>
      </c>
      <c r="DF171" s="151">
        <f t="shared" si="88"/>
        <v>0.74021753581376304</v>
      </c>
      <c r="DH171" s="152">
        <f t="shared" si="89"/>
        <v>29.799999999999926</v>
      </c>
      <c r="DI171" s="1">
        <f t="shared" si="90"/>
        <v>0.51754959429837144</v>
      </c>
    </row>
    <row r="172" spans="2:113" ht="18" customHeight="1" x14ac:dyDescent="0.25">
      <c r="B172" s="6"/>
      <c r="AP172" s="8"/>
      <c r="AR172" s="6"/>
      <c r="AT172" s="24"/>
      <c r="AU172" s="177" t="s">
        <v>180</v>
      </c>
      <c r="AV172" s="177"/>
      <c r="AW172" s="177"/>
      <c r="AX172" s="177"/>
      <c r="AY172" s="177"/>
      <c r="AZ172" s="177"/>
      <c r="BA172" s="177"/>
      <c r="BB172" s="24" t="s">
        <v>181</v>
      </c>
      <c r="CF172" s="8"/>
      <c r="CM172" s="2">
        <f t="shared" si="91"/>
        <v>29.999999999999925</v>
      </c>
      <c r="CN172" s="1" t="str">
        <f t="shared" si="75"/>
        <v>0.0107986736111111+32.3960208333333i</v>
      </c>
      <c r="CO172" s="1" t="str">
        <f t="shared" si="76"/>
        <v>-0.0359955787037038i</v>
      </c>
      <c r="CP172" s="1" t="str">
        <f t="shared" si="77"/>
        <v>10.7986736111111</v>
      </c>
      <c r="CQ172" s="1" t="str">
        <f t="shared" si="78"/>
        <v>-0.863893888888891i</v>
      </c>
      <c r="CR172" s="1" t="str">
        <f t="shared" si="79"/>
        <v>0.0107986736111111+32.3600252546296i</v>
      </c>
      <c r="CS172" s="1" t="str">
        <f t="shared" si="80"/>
        <v>9.71577848291444+3.24183390026237i</v>
      </c>
      <c r="CT172" s="1" t="str">
        <f t="shared" si="81"/>
        <v>9.71577848291444+2.37794001137348i</v>
      </c>
      <c r="CU172" s="1" t="str">
        <f t="shared" si="82"/>
        <v>0.0191834803010191+14.3876102257643i</v>
      </c>
      <c r="CV172" s="1" t="str">
        <f t="shared" si="83"/>
        <v>5.35613798072009+5.13960412106996i</v>
      </c>
      <c r="CW172" s="2">
        <f t="shared" si="84"/>
        <v>29.999999999999925</v>
      </c>
      <c r="CX172" s="14">
        <f t="shared" si="85"/>
        <v>10.002547186929643</v>
      </c>
      <c r="CY172" s="14">
        <f t="shared" si="74"/>
        <v>14.387623014745527</v>
      </c>
      <c r="CZ172" s="14">
        <f t="shared" si="86"/>
        <v>7.4231896506711728</v>
      </c>
      <c r="DE172" s="14">
        <f t="shared" si="87"/>
        <v>29.999999999999925</v>
      </c>
      <c r="DF172" s="151">
        <f t="shared" si="88"/>
        <v>0.74212993070115851</v>
      </c>
      <c r="DH172" s="152">
        <f t="shared" si="89"/>
        <v>29.999999999999925</v>
      </c>
      <c r="DI172" s="1">
        <f t="shared" si="90"/>
        <v>0.51594274071980739</v>
      </c>
    </row>
    <row r="173" spans="2:113" ht="18" customHeight="1" x14ac:dyDescent="0.25">
      <c r="B173" s="6"/>
      <c r="AP173" s="8"/>
      <c r="AR173" s="6"/>
      <c r="AT173" s="24"/>
      <c r="AU173" s="177" t="s">
        <v>182</v>
      </c>
      <c r="AV173" s="177"/>
      <c r="AW173" s="177"/>
      <c r="AX173" s="177"/>
      <c r="AY173" s="177"/>
      <c r="AZ173" s="177"/>
      <c r="BA173" s="177"/>
      <c r="BB173" s="24" t="s">
        <v>183</v>
      </c>
      <c r="CF173" s="8"/>
      <c r="CM173" s="2">
        <f t="shared" si="91"/>
        <v>30.199999999999925</v>
      </c>
      <c r="CN173" s="1" t="str">
        <f t="shared" si="75"/>
        <v>0.0107986736111111+32.6119943055555i</v>
      </c>
      <c r="CO173" s="1" t="str">
        <f t="shared" si="76"/>
        <v>-0.0357571973877852i</v>
      </c>
      <c r="CP173" s="1" t="str">
        <f t="shared" si="77"/>
        <v>10.7986736111111</v>
      </c>
      <c r="CQ173" s="1" t="str">
        <f t="shared" si="78"/>
        <v>-0.858172737306846i</v>
      </c>
      <c r="CR173" s="1" t="str">
        <f t="shared" si="79"/>
        <v>0.0107986736111111+32.5762371081677i</v>
      </c>
      <c r="CS173" s="1" t="str">
        <f t="shared" si="80"/>
        <v>9.72868435282504+3.22459994928561i</v>
      </c>
      <c r="CT173" s="1" t="str">
        <f t="shared" si="81"/>
        <v>9.72868435282504+2.36642721197876i</v>
      </c>
      <c r="CU173" s="1" t="str">
        <f t="shared" si="82"/>
        <v>0.0191834803010191+14.4835276272694i</v>
      </c>
      <c r="CV173" s="1" t="str">
        <f t="shared" si="83"/>
        <v>5.39063583867504+5.14154431845122i</v>
      </c>
      <c r="CW173" s="2">
        <f t="shared" si="84"/>
        <v>30.199999999999925</v>
      </c>
      <c r="CX173" s="14">
        <f t="shared" si="85"/>
        <v>10.012356215521717</v>
      </c>
      <c r="CY173" s="14">
        <f t="shared" si="74"/>
        <v>14.483540331555457</v>
      </c>
      <c r="CZ173" s="14">
        <f t="shared" si="86"/>
        <v>7.4494585523919641</v>
      </c>
      <c r="DE173" s="14">
        <f t="shared" si="87"/>
        <v>30.199999999999925</v>
      </c>
      <c r="DF173" s="151">
        <f t="shared" si="88"/>
        <v>0.74402652003565228</v>
      </c>
      <c r="DH173" s="152">
        <f t="shared" si="89"/>
        <v>30.199999999999925</v>
      </c>
      <c r="DI173" s="1">
        <f t="shared" si="90"/>
        <v>0.51433961461492617</v>
      </c>
    </row>
    <row r="174" spans="2:113" ht="18" customHeight="1" x14ac:dyDescent="0.25">
      <c r="B174" s="6"/>
      <c r="AP174" s="8"/>
      <c r="AR174" s="6"/>
      <c r="AT174" s="24"/>
      <c r="AU174" s="177" t="s">
        <v>56</v>
      </c>
      <c r="AV174" s="177"/>
      <c r="AW174" s="177"/>
      <c r="AX174" s="177"/>
      <c r="AY174" s="177"/>
      <c r="AZ174" s="177"/>
      <c r="BA174" s="177"/>
      <c r="BB174" s="24" t="s">
        <v>184</v>
      </c>
      <c r="CF174" s="8"/>
      <c r="CM174" s="2">
        <f t="shared" si="91"/>
        <v>30.399999999999924</v>
      </c>
      <c r="CN174" s="1" t="str">
        <f t="shared" si="75"/>
        <v>0.0107986736111111+32.8279677777777i</v>
      </c>
      <c r="CO174" s="1" t="str">
        <f t="shared" si="76"/>
        <v>-0.0355219526681287i</v>
      </c>
      <c r="CP174" s="1" t="str">
        <f t="shared" si="77"/>
        <v>10.7986736111111</v>
      </c>
      <c r="CQ174" s="1" t="str">
        <f t="shared" si="78"/>
        <v>-0.85252686403509i</v>
      </c>
      <c r="CR174" s="1" t="str">
        <f t="shared" si="79"/>
        <v>0.0107986736111111+32.7924458251096i</v>
      </c>
      <c r="CS174" s="1" t="str">
        <f t="shared" si="80"/>
        <v>9.74136896434208+3.20752062973631i</v>
      </c>
      <c r="CT174" s="1" t="str">
        <f t="shared" si="81"/>
        <v>9.74136896434208+2.35499376570122i</v>
      </c>
      <c r="CU174" s="1" t="str">
        <f t="shared" si="82"/>
        <v>0.0191834803010191+14.5794450287745i</v>
      </c>
      <c r="CV174" s="1" t="str">
        <f t="shared" si="83"/>
        <v>5.42492499794608+5.1432406351509i</v>
      </c>
      <c r="CW174" s="2">
        <f t="shared" si="84"/>
        <v>30.399999999999924</v>
      </c>
      <c r="CX174" s="14">
        <f t="shared" si="85"/>
        <v>10.021989070835124</v>
      </c>
      <c r="CY174" s="14">
        <f t="shared" si="74"/>
        <v>14.579457649479796</v>
      </c>
      <c r="CZ174" s="14">
        <f t="shared" si="86"/>
        <v>7.4754756012181405</v>
      </c>
      <c r="DE174" s="14">
        <f t="shared" si="87"/>
        <v>30.399999999999924</v>
      </c>
      <c r="DF174" s="151">
        <f t="shared" si="88"/>
        <v>0.74590737910226101</v>
      </c>
      <c r="DH174" s="152">
        <f t="shared" si="89"/>
        <v>30.399999999999924</v>
      </c>
      <c r="DI174" s="1">
        <f t="shared" si="90"/>
        <v>0.5127403076948388</v>
      </c>
    </row>
    <row r="175" spans="2:113" ht="18" customHeight="1" x14ac:dyDescent="0.25">
      <c r="B175" s="6"/>
      <c r="AP175" s="8"/>
      <c r="AR175" s="6"/>
      <c r="AU175" s="177" t="s">
        <v>52</v>
      </c>
      <c r="AV175" s="177"/>
      <c r="AW175" s="177"/>
      <c r="AX175" s="177"/>
      <c r="AY175" s="177"/>
      <c r="AZ175" s="177"/>
      <c r="BA175" s="177"/>
      <c r="BB175" s="24" t="s">
        <v>185</v>
      </c>
      <c r="CF175" s="8"/>
      <c r="CM175" s="2">
        <f t="shared" si="91"/>
        <v>30.599999999999923</v>
      </c>
      <c r="CN175" s="1" t="str">
        <f t="shared" si="75"/>
        <v>0.0107986736111111+33.0439412499999i</v>
      </c>
      <c r="CO175" s="1" t="str">
        <f t="shared" si="76"/>
        <v>-0.0352897830428469i</v>
      </c>
      <c r="CP175" s="1" t="str">
        <f t="shared" si="77"/>
        <v>10.7986736111111</v>
      </c>
      <c r="CQ175" s="1" t="str">
        <f t="shared" si="78"/>
        <v>-0.846954793028325i</v>
      </c>
      <c r="CR175" s="1" t="str">
        <f t="shared" si="79"/>
        <v>0.0107986736111111+33.008651466957i</v>
      </c>
      <c r="CS175" s="1" t="str">
        <f t="shared" si="80"/>
        <v>9.75383715103195+3.1905944751315i</v>
      </c>
      <c r="CT175" s="1" t="str">
        <f t="shared" si="81"/>
        <v>9.75383715103195+2.34363968210317i</v>
      </c>
      <c r="CU175" s="1" t="str">
        <f t="shared" si="82"/>
        <v>0.0191834803010191+14.6753624302796i</v>
      </c>
      <c r="CV175" s="1" t="str">
        <f t="shared" si="83"/>
        <v>5.45900508692113+5.14469755399638i</v>
      </c>
      <c r="CW175" s="2">
        <f t="shared" si="84"/>
        <v>30.599999999999923</v>
      </c>
      <c r="CX175" s="14">
        <f t="shared" si="85"/>
        <v>10.031449851760199</v>
      </c>
      <c r="CY175" s="14">
        <f t="shared" si="74"/>
        <v>14.675374968496692</v>
      </c>
      <c r="CZ175" s="14">
        <f t="shared" si="86"/>
        <v>7.5012431943729911</v>
      </c>
      <c r="DE175" s="14">
        <f t="shared" si="87"/>
        <v>30.599999999999923</v>
      </c>
      <c r="DF175" s="151">
        <f t="shared" si="88"/>
        <v>0.74777258574011163</v>
      </c>
      <c r="DH175" s="152">
        <f t="shared" si="89"/>
        <v>30.599999999999923</v>
      </c>
      <c r="DI175" s="1">
        <f t="shared" si="90"/>
        <v>0.51114490842487914</v>
      </c>
    </row>
    <row r="176" spans="2:113" ht="18" customHeight="1" x14ac:dyDescent="0.25">
      <c r="B176" s="6"/>
      <c r="AP176" s="8"/>
      <c r="AR176" s="6"/>
      <c r="AU176" s="177" t="s">
        <v>195</v>
      </c>
      <c r="AV176" s="177"/>
      <c r="AW176" s="177"/>
      <c r="AX176" s="177"/>
      <c r="AY176" s="177"/>
      <c r="AZ176" s="177"/>
      <c r="BA176" s="177"/>
      <c r="BB176" s="24" t="s">
        <v>259</v>
      </c>
      <c r="CF176" s="8"/>
      <c r="CM176" s="2">
        <f t="shared" si="91"/>
        <v>30.799999999999923</v>
      </c>
      <c r="CN176" s="1" t="str">
        <f t="shared" si="75"/>
        <v>0.0107986736111111+33.2599147222221i</v>
      </c>
      <c r="CO176" s="1" t="str">
        <f t="shared" si="76"/>
        <v>-0.0350606286075037i</v>
      </c>
      <c r="CP176" s="1" t="str">
        <f t="shared" si="77"/>
        <v>10.7986736111111</v>
      </c>
      <c r="CQ176" s="1" t="str">
        <f t="shared" si="78"/>
        <v>-0.841455086580089i</v>
      </c>
      <c r="CR176" s="1" t="str">
        <f t="shared" si="79"/>
        <v>0.0107986736111111+33.2248540936146i</v>
      </c>
      <c r="CS176" s="1" t="str">
        <f t="shared" si="80"/>
        <v>9.76609362111296+3.17382001674251i</v>
      </c>
      <c r="CT176" s="1" t="str">
        <f t="shared" si="81"/>
        <v>9.76609362111296+2.33236493016242i</v>
      </c>
      <c r="CU176" s="1" t="str">
        <f t="shared" si="82"/>
        <v>0.0191834803010191+14.7712798317847i</v>
      </c>
      <c r="CV176" s="1" t="str">
        <f t="shared" si="83"/>
        <v>5.49287579654669+5.14591950233602i</v>
      </c>
      <c r="CW176" s="2">
        <f t="shared" si="84"/>
        <v>30.799999999999923</v>
      </c>
      <c r="CX176" s="14">
        <f t="shared" si="85"/>
        <v>10.040742541455526</v>
      </c>
      <c r="CY176" s="14">
        <f t="shared" si="74"/>
        <v>14.771292288584863</v>
      </c>
      <c r="CZ176" s="14">
        <f t="shared" si="86"/>
        <v>7.5267637162867436</v>
      </c>
      <c r="DE176" s="14">
        <f t="shared" si="87"/>
        <v>30.799999999999923</v>
      </c>
      <c r="DF176" s="151">
        <f t="shared" si="88"/>
        <v>0.74962222019046276</v>
      </c>
      <c r="DH176" s="152">
        <f t="shared" si="89"/>
        <v>30.799999999999923</v>
      </c>
      <c r="DI176" s="1">
        <f t="shared" si="90"/>
        <v>0.50955350210647221</v>
      </c>
    </row>
    <row r="177" spans="2:113" ht="18" customHeight="1" x14ac:dyDescent="0.35">
      <c r="B177" s="6"/>
      <c r="AP177" s="8"/>
      <c r="AR177" s="6"/>
      <c r="BA177" s="35" t="s">
        <v>232</v>
      </c>
      <c r="BB177" s="1" t="s">
        <v>277</v>
      </c>
      <c r="CF177" s="8"/>
      <c r="CM177" s="2">
        <f t="shared" si="91"/>
        <v>30.999999999999922</v>
      </c>
      <c r="CN177" s="1" t="str">
        <f t="shared" si="75"/>
        <v>0.0107986736111111+33.4758881944444i</v>
      </c>
      <c r="CO177" s="1" t="str">
        <f t="shared" si="76"/>
        <v>-0.0348344310035843i</v>
      </c>
      <c r="CP177" s="1" t="str">
        <f t="shared" si="77"/>
        <v>10.7986736111111</v>
      </c>
      <c r="CQ177" s="1" t="str">
        <f t="shared" si="78"/>
        <v>-0.836026344086024i</v>
      </c>
      <c r="CR177" s="1" t="str">
        <f t="shared" si="79"/>
        <v>0.0107986736111111+33.4410537634408i</v>
      </c>
      <c r="CS177" s="1" t="str">
        <f t="shared" si="80"/>
        <v>9.7781429611181+3.15719578483866i</v>
      </c>
      <c r="CT177" s="1" t="str">
        <f t="shared" si="81"/>
        <v>9.7781429611181+2.32116944075264i</v>
      </c>
      <c r="CU177" s="1" t="str">
        <f t="shared" si="82"/>
        <v>0.0191834803010191+14.8671972332898i</v>
      </c>
      <c r="CV177" s="1" t="str">
        <f t="shared" si="83"/>
        <v>5.52653687844111+5.1469108520305i</v>
      </c>
      <c r="CW177" s="2">
        <f t="shared" si="84"/>
        <v>30.999999999999922</v>
      </c>
      <c r="CX177" s="14">
        <f t="shared" si="85"/>
        <v>10.049871011149714</v>
      </c>
      <c r="CY177" s="14">
        <f t="shared" si="74"/>
        <v>14.867209609723574</v>
      </c>
      <c r="CZ177" s="14">
        <f t="shared" si="86"/>
        <v>7.5520395382650731</v>
      </c>
      <c r="DE177" s="14">
        <f t="shared" si="87"/>
        <v>30.999999999999922</v>
      </c>
      <c r="DF177" s="151">
        <f t="shared" si="88"/>
        <v>0.7514563649510092</v>
      </c>
      <c r="DH177" s="152">
        <f t="shared" si="89"/>
        <v>30.999999999999922</v>
      </c>
      <c r="DI177" s="1">
        <f t="shared" si="90"/>
        <v>0.50796617095691232</v>
      </c>
    </row>
    <row r="178" spans="2:113" ht="18" customHeight="1" x14ac:dyDescent="0.35">
      <c r="B178" s="6"/>
      <c r="AP178" s="8"/>
      <c r="AR178" s="6"/>
      <c r="BA178" s="35" t="s">
        <v>233</v>
      </c>
      <c r="BB178" s="1" t="s">
        <v>234</v>
      </c>
      <c r="CF178" s="8"/>
      <c r="CM178" s="2">
        <f t="shared" si="91"/>
        <v>31.199999999999921</v>
      </c>
      <c r="CN178" s="1" t="str">
        <f t="shared" si="75"/>
        <v>0.0107986736111111+33.6918616666666i</v>
      </c>
      <c r="CO178" s="1" t="str">
        <f t="shared" si="76"/>
        <v>-0.034611133368946i</v>
      </c>
      <c r="CP178" s="1" t="str">
        <f t="shared" si="77"/>
        <v>10.7986736111111</v>
      </c>
      <c r="CQ178" s="1" t="str">
        <f t="shared" si="78"/>
        <v>-0.830667200854703i</v>
      </c>
      <c r="CR178" s="1" t="str">
        <f t="shared" si="79"/>
        <v>0.0107986736111111+33.6572505332976i</v>
      </c>
      <c r="CS178" s="1" t="str">
        <f t="shared" si="80"/>
        <v>9.78998963944316+3.14072030984648i</v>
      </c>
      <c r="CT178" s="1" t="str">
        <f t="shared" si="81"/>
        <v>9.78998963944316+2.31005310899178i</v>
      </c>
      <c r="CU178" s="1" t="str">
        <f t="shared" si="82"/>
        <v>0.0191834803010191+14.9631146347949i</v>
      </c>
      <c r="CV178" s="1" t="str">
        <f t="shared" si="83"/>
        <v>5.55998814304456+5.14767591947609i</v>
      </c>
      <c r="CW178" s="2">
        <f t="shared" si="84"/>
        <v>31.199999999999921</v>
      </c>
      <c r="CX178" s="14">
        <f t="shared" si="85"/>
        <v>10.058839023802252</v>
      </c>
      <c r="CY178" s="14">
        <f t="shared" si="74"/>
        <v>14.963126931892621</v>
      </c>
      <c r="CZ178" s="14">
        <f t="shared" si="86"/>
        <v>7.5770730181746373</v>
      </c>
      <c r="DE178" s="14">
        <f t="shared" si="87"/>
        <v>31.199999999999921</v>
      </c>
      <c r="DF178" s="151">
        <f t="shared" si="88"/>
        <v>0.75327510463632996</v>
      </c>
      <c r="DH178" s="152">
        <f t="shared" si="89"/>
        <v>31.199999999999921</v>
      </c>
      <c r="DI178" s="1">
        <f t="shared" si="90"/>
        <v>0.50638299418718158</v>
      </c>
    </row>
    <row r="179" spans="2:113" ht="18" customHeight="1" x14ac:dyDescent="0.25">
      <c r="B179" s="6"/>
      <c r="AP179" s="8"/>
      <c r="AR179" s="6"/>
      <c r="BA179" s="35" t="s">
        <v>196</v>
      </c>
      <c r="BB179" s="1" t="s">
        <v>197</v>
      </c>
      <c r="CF179" s="8"/>
      <c r="CM179" s="2">
        <f t="shared" si="91"/>
        <v>31.39999999999992</v>
      </c>
      <c r="CN179" s="1" t="str">
        <f t="shared" si="75"/>
        <v>0.0107986736111111+33.9078351388888i</v>
      </c>
      <c r="CO179" s="1" t="str">
        <f t="shared" si="76"/>
        <v>-0.0343906802901629i</v>
      </c>
      <c r="CP179" s="1" t="str">
        <f t="shared" si="77"/>
        <v>10.7986736111111</v>
      </c>
      <c r="CQ179" s="1" t="str">
        <f t="shared" si="78"/>
        <v>-0.825376326963909i</v>
      </c>
      <c r="CR179" s="1" t="str">
        <f t="shared" si="79"/>
        <v>0.0107986736111111+33.8734444585986i</v>
      </c>
      <c r="CS179" s="1" t="str">
        <f t="shared" si="80"/>
        <v>9.80163800978348+3.12439212342958i</v>
      </c>
      <c r="CT179" s="1" t="str">
        <f t="shared" si="81"/>
        <v>9.80163800978348+2.29901579646567i</v>
      </c>
      <c r="CU179" s="1" t="str">
        <f t="shared" si="82"/>
        <v>0.0191834803010191+15.0590320363i</v>
      </c>
      <c r="CV179" s="1" t="str">
        <f t="shared" si="83"/>
        <v>5.59322945780413+5.1482189656575i</v>
      </c>
      <c r="CW179" s="2">
        <f t="shared" si="84"/>
        <v>31.39999999999992</v>
      </c>
      <c r="CX179" s="14">
        <f t="shared" si="85"/>
        <v>10.067650237628984</v>
      </c>
      <c r="CY179" s="14">
        <f t="shared" si="74"/>
        <v>15.059044255072317</v>
      </c>
      <c r="CZ179" s="14">
        <f t="shared" si="86"/>
        <v>7.6018665001434655</v>
      </c>
      <c r="DE179" s="14">
        <f t="shared" si="87"/>
        <v>31.39999999999992</v>
      </c>
      <c r="DF179" s="151">
        <f t="shared" si="88"/>
        <v>0.75507852584415791</v>
      </c>
      <c r="DH179" s="152">
        <f t="shared" si="89"/>
        <v>31.39999999999992</v>
      </c>
      <c r="DI179" s="1">
        <f t="shared" si="90"/>
        <v>0.50480404807781609</v>
      </c>
    </row>
    <row r="180" spans="2:113" ht="18" customHeight="1" x14ac:dyDescent="0.35">
      <c r="B180" s="6"/>
      <c r="AP180" s="8"/>
      <c r="AR180" s="6"/>
      <c r="BA180" s="35" t="s">
        <v>186</v>
      </c>
      <c r="BB180" s="1" t="s">
        <v>187</v>
      </c>
      <c r="CF180" s="8"/>
      <c r="CM180" s="2">
        <f t="shared" si="91"/>
        <v>31.59999999999992</v>
      </c>
      <c r="CN180" s="1" t="str">
        <f t="shared" si="75"/>
        <v>0.0107986736111111+34.123808611111i</v>
      </c>
      <c r="CO180" s="1" t="str">
        <f t="shared" si="76"/>
        <v>-0.0341730177566808i</v>
      </c>
      <c r="CP180" s="1" t="str">
        <f t="shared" si="77"/>
        <v>10.7986736111111</v>
      </c>
      <c r="CQ180" s="1" t="str">
        <f t="shared" si="78"/>
        <v>-0.82015242616034i</v>
      </c>
      <c r="CR180" s="1" t="str">
        <f t="shared" si="79"/>
        <v>0.0107986736111111+34.0896355933543i</v>
      </c>
      <c r="CS180" s="1" t="str">
        <f t="shared" si="80"/>
        <v>9.81309231446324+3.10820975949381i</v>
      </c>
      <c r="CT180" s="1" t="str">
        <f t="shared" si="81"/>
        <v>9.81309231446324+2.28805733333347i</v>
      </c>
      <c r="CU180" s="1" t="str">
        <f t="shared" si="82"/>
        <v>0.0191834803010191+15.1549494378051i</v>
      </c>
      <c r="CV180" s="1" t="str">
        <f t="shared" si="83"/>
        <v>5.62626074539528+5.14854419622985i</v>
      </c>
      <c r="CW180" s="2">
        <f t="shared" si="84"/>
        <v>31.59999999999992</v>
      </c>
      <c r="CX180" s="14">
        <f t="shared" si="85"/>
        <v>10.076308209498089</v>
      </c>
      <c r="CY180" s="14">
        <f t="shared" si="74"/>
        <v>15.154961579243471</v>
      </c>
      <c r="CZ180" s="14">
        <f t="shared" si="86"/>
        <v>7.6264223142773782</v>
      </c>
      <c r="DE180" s="14">
        <f t="shared" si="87"/>
        <v>31.59999999999992</v>
      </c>
      <c r="DF180" s="151">
        <f t="shared" si="88"/>
        <v>0.75686671702723307</v>
      </c>
      <c r="DH180" s="152">
        <f t="shared" si="89"/>
        <v>31.59999999999992</v>
      </c>
      <c r="DI180" s="1">
        <f t="shared" si="90"/>
        <v>0.50322940605291111</v>
      </c>
    </row>
    <row r="181" spans="2:113" ht="18" customHeight="1" x14ac:dyDescent="0.25">
      <c r="B181" s="6"/>
      <c r="AP181" s="8"/>
      <c r="AR181" s="6"/>
      <c r="CF181" s="8"/>
      <c r="CM181" s="2">
        <f t="shared" si="91"/>
        <v>31.799999999999919</v>
      </c>
      <c r="CN181" s="1" t="str">
        <f t="shared" si="75"/>
        <v>0.0107986736111111+34.3397820833333i</v>
      </c>
      <c r="CO181" s="1" t="str">
        <f t="shared" si="76"/>
        <v>-0.0339580931167017i</v>
      </c>
      <c r="CP181" s="1" t="str">
        <f t="shared" si="77"/>
        <v>10.7986736111111</v>
      </c>
      <c r="CQ181" s="1" t="str">
        <f t="shared" si="78"/>
        <v>-0.814994234800841i</v>
      </c>
      <c r="CR181" s="1" t="str">
        <f t="shared" si="79"/>
        <v>0.0107986736111111+34.3058239902166i</v>
      </c>
      <c r="CS181" s="1" t="str">
        <f t="shared" si="80"/>
        <v>9.82435668766035+3.09217175512188i</v>
      </c>
      <c r="CT181" s="1" t="str">
        <f t="shared" si="81"/>
        <v>9.82435668766035+2.27717752032104i</v>
      </c>
      <c r="CU181" s="1" t="str">
        <f t="shared" si="82"/>
        <v>0.0191834803010191+15.2508668393102i</v>
      </c>
      <c r="CV181" s="1" t="str">
        <f t="shared" si="83"/>
        <v>5.65908198197832+5.14865576162815i</v>
      </c>
      <c r="CW181" s="2">
        <f t="shared" si="84"/>
        <v>31.799999999999919</v>
      </c>
      <c r="CX181" s="14">
        <f t="shared" si="85"/>
        <v>10.084816398201413</v>
      </c>
      <c r="CY181" s="14">
        <f t="shared" si="74"/>
        <v>15.250878904387381</v>
      </c>
      <c r="CZ181" s="14">
        <f t="shared" si="86"/>
        <v>7.650742776390957</v>
      </c>
      <c r="DE181" s="14">
        <f t="shared" si="87"/>
        <v>31.799999999999919</v>
      </c>
      <c r="DF181" s="151">
        <f t="shared" si="88"/>
        <v>0.75863976837053904</v>
      </c>
      <c r="DH181" s="152">
        <f t="shared" si="89"/>
        <v>31.799999999999919</v>
      </c>
      <c r="DI181" s="1">
        <f t="shared" si="90"/>
        <v>0.50165913875232226</v>
      </c>
    </row>
    <row r="182" spans="2:113" ht="18" customHeight="1" x14ac:dyDescent="0.25">
      <c r="B182" s="6"/>
      <c r="AP182" s="8"/>
      <c r="AR182" s="6"/>
      <c r="AS182" s="215" t="s">
        <v>265</v>
      </c>
      <c r="AT182" s="288"/>
      <c r="AU182" s="288"/>
      <c r="AV182" s="288"/>
      <c r="AW182" s="288"/>
      <c r="AX182" s="288"/>
      <c r="AY182" s="288"/>
      <c r="AZ182" s="288"/>
      <c r="BA182" s="288"/>
      <c r="BB182" s="288"/>
      <c r="BC182" s="288"/>
      <c r="BD182" s="288"/>
      <c r="BE182" s="288"/>
      <c r="BF182" s="288"/>
      <c r="BG182" s="288"/>
      <c r="BH182" s="288"/>
      <c r="BI182" s="288"/>
      <c r="BJ182" s="288"/>
      <c r="BK182" s="288"/>
      <c r="BL182" s="288"/>
      <c r="BM182" s="288"/>
      <c r="BN182" s="288"/>
      <c r="BO182" s="288"/>
      <c r="BP182" s="288"/>
      <c r="BQ182" s="288"/>
      <c r="BR182" s="288"/>
      <c r="BS182" s="288"/>
      <c r="BT182" s="288"/>
      <c r="BU182" s="288"/>
      <c r="BV182" s="288"/>
      <c r="BW182" s="288"/>
      <c r="BX182" s="288"/>
      <c r="BY182" s="288"/>
      <c r="BZ182" s="288"/>
      <c r="CA182" s="288"/>
      <c r="CB182" s="288"/>
      <c r="CC182" s="288"/>
      <c r="CD182" s="288"/>
      <c r="CE182" s="288"/>
      <c r="CF182" s="8"/>
      <c r="CM182" s="2">
        <f t="shared" si="91"/>
        <v>31.999999999999918</v>
      </c>
      <c r="CN182" s="1" t="str">
        <f t="shared" si="75"/>
        <v>0.0107986736111111+34.5557555555555i</v>
      </c>
      <c r="CO182" s="1" t="str">
        <f t="shared" si="76"/>
        <v>-0.0337458550347223i</v>
      </c>
      <c r="CP182" s="1" t="str">
        <f t="shared" si="77"/>
        <v>10.7986736111111</v>
      </c>
      <c r="CQ182" s="1" t="str">
        <f t="shared" si="78"/>
        <v>-0.809900520833336i</v>
      </c>
      <c r="CR182" s="1" t="str">
        <f t="shared" si="79"/>
        <v>0.0107986736111111+34.5220097005208i</v>
      </c>
      <c r="CS182" s="1" t="str">
        <f t="shared" si="80"/>
        <v>9.8354351585306+3.0762766514418i</v>
      </c>
      <c r="CT182" s="1" t="str">
        <f t="shared" si="81"/>
        <v>9.8354351585306+2.26637613060846i</v>
      </c>
      <c r="CU182" s="1" t="str">
        <f t="shared" si="82"/>
        <v>0.0191834803010191+15.3467842408153i</v>
      </c>
      <c r="CV182" s="1" t="str">
        <f t="shared" si="83"/>
        <v>5.6916931954906+5.14855775720326i</v>
      </c>
      <c r="CW182" s="2">
        <f t="shared" si="84"/>
        <v>31.999999999999918</v>
      </c>
      <c r="CX182" s="14">
        <f t="shared" si="85"/>
        <v>10.093178167606654</v>
      </c>
      <c r="CY182" s="14">
        <f t="shared" si="74"/>
        <v>15.346796230485802</v>
      </c>
      <c r="CZ182" s="14">
        <f t="shared" si="86"/>
        <v>7.6748301877534635</v>
      </c>
      <c r="DE182" s="14">
        <f t="shared" si="87"/>
        <v>31.999999999999918</v>
      </c>
      <c r="DF182" s="151">
        <f t="shared" si="88"/>
        <v>0.76039777167367506</v>
      </c>
      <c r="DH182" s="152">
        <f t="shared" si="89"/>
        <v>31.999999999999918</v>
      </c>
      <c r="DI182" s="1">
        <f t="shared" si="90"/>
        <v>0.50009331410211477</v>
      </c>
    </row>
    <row r="183" spans="2:113" ht="18" customHeight="1" x14ac:dyDescent="0.25">
      <c r="B183" s="6"/>
      <c r="AP183" s="8"/>
      <c r="AR183" s="6"/>
      <c r="AS183" s="289" t="s">
        <v>266</v>
      </c>
      <c r="AT183" s="289"/>
      <c r="AU183" s="289"/>
      <c r="AV183" s="289"/>
      <c r="AW183" s="289"/>
      <c r="AX183" s="289"/>
      <c r="AY183" s="289"/>
      <c r="AZ183" s="289"/>
      <c r="BA183" s="289"/>
      <c r="BB183" s="289"/>
      <c r="BC183" s="289"/>
      <c r="BD183" s="289"/>
      <c r="BE183" s="289"/>
      <c r="BF183" s="289"/>
      <c r="BG183" s="289"/>
      <c r="BH183" s="289"/>
      <c r="BI183" s="289"/>
      <c r="BJ183" s="289"/>
      <c r="BK183" s="289"/>
      <c r="BL183" s="289"/>
      <c r="BM183" s="289"/>
      <c r="BN183" s="289"/>
      <c r="BO183" s="289"/>
      <c r="BP183" s="289"/>
      <c r="BQ183" s="289"/>
      <c r="BR183" s="289"/>
      <c r="BS183" s="289"/>
      <c r="BT183" s="289"/>
      <c r="BU183" s="289"/>
      <c r="BV183" s="289"/>
      <c r="BW183" s="289"/>
      <c r="BX183" s="289"/>
      <c r="BY183" s="289"/>
      <c r="BZ183" s="289"/>
      <c r="CA183" s="289"/>
      <c r="CB183" s="289"/>
      <c r="CC183" s="289"/>
      <c r="CD183" s="289"/>
      <c r="CE183" s="289"/>
      <c r="CF183" s="8"/>
      <c r="CM183" s="2">
        <f t="shared" si="91"/>
        <v>32.199999999999918</v>
      </c>
      <c r="CN183" s="1" t="str">
        <f t="shared" si="75"/>
        <v>0.0107986736111111+34.7717290277777i</v>
      </c>
      <c r="CO183" s="1" t="str">
        <f t="shared" si="76"/>
        <v>-0.0335362534506557i</v>
      </c>
      <c r="CP183" s="1" t="str">
        <f t="shared" si="77"/>
        <v>10.7986736111111</v>
      </c>
      <c r="CQ183" s="1" t="str">
        <f t="shared" si="78"/>
        <v>-0.804870082815737i</v>
      </c>
      <c r="CR183" s="1" t="str">
        <f t="shared" si="79"/>
        <v>0.0107986736111111+34.738192774327i</v>
      </c>
      <c r="CS183" s="1" t="str">
        <f t="shared" si="80"/>
        <v>9.84633165423401+3.06052299443277i</v>
      </c>
      <c r="CT183" s="1" t="str">
        <f t="shared" si="81"/>
        <v>9.84633165423401+2.25565291161703i</v>
      </c>
      <c r="CU183" s="1" t="str">
        <f t="shared" si="82"/>
        <v>0.0191834803010191+15.4427016423204i</v>
      </c>
      <c r="CV183" s="1" t="str">
        <f t="shared" si="83"/>
        <v>5.72409446397396+5.14825422338368i</v>
      </c>
      <c r="CW183" s="2">
        <f t="shared" si="84"/>
        <v>32.199999999999918</v>
      </c>
      <c r="CX183" s="14">
        <f t="shared" si="85"/>
        <v>10.101396789694832</v>
      </c>
      <c r="CY183" s="14">
        <f t="shared" si="74"/>
        <v>15.442713557520953</v>
      </c>
      <c r="CZ183" s="14">
        <f t="shared" si="86"/>
        <v>7.6986868348495143</v>
      </c>
      <c r="DE183" s="14">
        <f t="shared" si="87"/>
        <v>32.199999999999918</v>
      </c>
      <c r="DF183" s="151">
        <f t="shared" si="88"/>
        <v>0.76214082023819685</v>
      </c>
      <c r="DH183" s="152">
        <f t="shared" si="89"/>
        <v>32.199999999999918</v>
      </c>
      <c r="DI183" s="1">
        <f t="shared" si="90"/>
        <v>0.49853199738332693</v>
      </c>
    </row>
    <row r="184" spans="2:113" ht="18" customHeight="1" x14ac:dyDescent="0.25">
      <c r="B184" s="6"/>
      <c r="AP184" s="8"/>
      <c r="AR184" s="6"/>
      <c r="AS184" s="289"/>
      <c r="AT184" s="289"/>
      <c r="AU184" s="289"/>
      <c r="AV184" s="289"/>
      <c r="AW184" s="289"/>
      <c r="AX184" s="289"/>
      <c r="AY184" s="289"/>
      <c r="AZ184" s="289"/>
      <c r="BA184" s="289"/>
      <c r="BB184" s="289"/>
      <c r="BC184" s="289"/>
      <c r="BD184" s="289"/>
      <c r="BE184" s="289"/>
      <c r="BF184" s="289"/>
      <c r="BG184" s="289"/>
      <c r="BH184" s="289"/>
      <c r="BI184" s="289"/>
      <c r="BJ184" s="289"/>
      <c r="BK184" s="289"/>
      <c r="BL184" s="289"/>
      <c r="BM184" s="289"/>
      <c r="BN184" s="289"/>
      <c r="BO184" s="289"/>
      <c r="BP184" s="289"/>
      <c r="BQ184" s="289"/>
      <c r="BR184" s="289"/>
      <c r="BS184" s="289"/>
      <c r="BT184" s="289"/>
      <c r="BU184" s="289"/>
      <c r="BV184" s="289"/>
      <c r="BW184" s="289"/>
      <c r="BX184" s="289"/>
      <c r="BY184" s="289"/>
      <c r="BZ184" s="289"/>
      <c r="CA184" s="289"/>
      <c r="CB184" s="289"/>
      <c r="CC184" s="289"/>
      <c r="CD184" s="289"/>
      <c r="CE184" s="289"/>
      <c r="CF184" s="8"/>
      <c r="CM184" s="2">
        <f t="shared" si="91"/>
        <v>32.39999999999992</v>
      </c>
      <c r="CN184" s="1" t="str">
        <f t="shared" si="75"/>
        <v>0.0107986736111111+34.9877024999999i</v>
      </c>
      <c r="CO184" s="1" t="str">
        <f t="shared" si="76"/>
        <v>-0.0333292395404665i</v>
      </c>
      <c r="CP184" s="1" t="str">
        <f t="shared" si="77"/>
        <v>10.7986736111111</v>
      </c>
      <c r="CQ184" s="1" t="str">
        <f t="shared" si="78"/>
        <v>-0.799901748971196i</v>
      </c>
      <c r="CR184" s="1" t="str">
        <f t="shared" si="79"/>
        <v>0.0107986736111111+34.9543732604594i</v>
      </c>
      <c r="CS184" s="1" t="str">
        <f t="shared" si="80"/>
        <v>9.85705000286651+3.0449093356723i</v>
      </c>
      <c r="CT184" s="1" t="str">
        <f t="shared" si="81"/>
        <v>9.85705000286651+2.2450075867011i</v>
      </c>
      <c r="CU184" s="1" t="str">
        <f t="shared" si="82"/>
        <v>0.0191834803010191+15.5386190438255i</v>
      </c>
      <c r="CV184" s="1" t="str">
        <f t="shared" si="83"/>
        <v>5.75628591393633+5.14774914586042i</v>
      </c>
      <c r="CW184" s="2">
        <f t="shared" si="84"/>
        <v>32.39999999999992</v>
      </c>
      <c r="CX184" s="14">
        <f t="shared" si="85"/>
        <v>10.109475447487675</v>
      </c>
      <c r="CY184" s="14">
        <f t="shared" si="74"/>
        <v>15.538630885475486</v>
      </c>
      <c r="CZ184" s="14">
        <f t="shared" si="86"/>
        <v>7.7223149891524434</v>
      </c>
      <c r="DE184" s="14">
        <f t="shared" si="87"/>
        <v>32.39999999999992</v>
      </c>
      <c r="DF184" s="151">
        <f t="shared" si="88"/>
        <v>0.76386900875965025</v>
      </c>
      <c r="DH184" s="152">
        <f t="shared" si="89"/>
        <v>32.39999999999992</v>
      </c>
      <c r="DI184" s="1">
        <f t="shared" si="90"/>
        <v>0.49697525129905479</v>
      </c>
    </row>
    <row r="185" spans="2:113" ht="18" customHeight="1" x14ac:dyDescent="0.25">
      <c r="B185" s="6"/>
      <c r="AP185" s="8"/>
      <c r="AR185" s="6"/>
      <c r="AS185" s="289"/>
      <c r="AT185" s="289"/>
      <c r="AU185" s="289"/>
      <c r="AV185" s="289"/>
      <c r="AW185" s="289"/>
      <c r="AX185" s="289"/>
      <c r="AY185" s="289"/>
      <c r="AZ185" s="289"/>
      <c r="BA185" s="289"/>
      <c r="BB185" s="289"/>
      <c r="BC185" s="289"/>
      <c r="BD185" s="289"/>
      <c r="BE185" s="289"/>
      <c r="BF185" s="289"/>
      <c r="BG185" s="289"/>
      <c r="BH185" s="289"/>
      <c r="BI185" s="289"/>
      <c r="BJ185" s="289"/>
      <c r="BK185" s="289"/>
      <c r="BL185" s="289"/>
      <c r="BM185" s="289"/>
      <c r="BN185" s="289"/>
      <c r="BO185" s="289"/>
      <c r="BP185" s="289"/>
      <c r="BQ185" s="289"/>
      <c r="BR185" s="289"/>
      <c r="BS185" s="289"/>
      <c r="BT185" s="289"/>
      <c r="BU185" s="289"/>
      <c r="BV185" s="289"/>
      <c r="BW185" s="289"/>
      <c r="BX185" s="289"/>
      <c r="BY185" s="289"/>
      <c r="BZ185" s="289"/>
      <c r="CA185" s="289"/>
      <c r="CB185" s="289"/>
      <c r="CC185" s="289"/>
      <c r="CD185" s="289"/>
      <c r="CE185" s="289"/>
      <c r="CF185" s="8"/>
      <c r="CM185" s="2">
        <f t="shared" si="91"/>
        <v>32.599999999999923</v>
      </c>
      <c r="CN185" s="1" t="str">
        <f t="shared" si="75"/>
        <v>0.0107986736111111+35.2036759722222i</v>
      </c>
      <c r="CO185" s="1" t="str">
        <f t="shared" si="76"/>
        <v>-0.033124765678255i</v>
      </c>
      <c r="CP185" s="1" t="str">
        <f t="shared" si="77"/>
        <v>10.7986736111111</v>
      </c>
      <c r="CQ185" s="1" t="str">
        <f t="shared" si="78"/>
        <v>-0.794994376278121i</v>
      </c>
      <c r="CR185" s="1" t="str">
        <f t="shared" si="79"/>
        <v>0.0107986736111111+35.1705512065439i</v>
      </c>
      <c r="CS185" s="1" t="str">
        <f t="shared" si="80"/>
        <v>9.86759393630028+3.02943423302809i</v>
      </c>
      <c r="CT185" s="1" t="str">
        <f t="shared" si="81"/>
        <v>9.86759393630028+2.23443985674997i</v>
      </c>
      <c r="CU185" s="1" t="str">
        <f t="shared" si="82"/>
        <v>0.0191834803010191+15.6345364453306i</v>
      </c>
      <c r="CV185" s="1" t="str">
        <f t="shared" si="83"/>
        <v>5.78826771874891+5.1470464557962i</v>
      </c>
      <c r="CW185" s="2">
        <f t="shared" si="84"/>
        <v>32.599999999999923</v>
      </c>
      <c r="CX185" s="14">
        <f t="shared" si="85"/>
        <v>10.117417237869695</v>
      </c>
      <c r="CY185" s="14">
        <f t="shared" si="74"/>
        <v>15.634548214332478</v>
      </c>
      <c r="CZ185" s="14">
        <f t="shared" si="86"/>
        <v>7.7457169069128087</v>
      </c>
      <c r="DE185" s="14">
        <f t="shared" si="87"/>
        <v>32.599999999999923</v>
      </c>
      <c r="DF185" s="151">
        <f t="shared" si="88"/>
        <v>0.76558243322420483</v>
      </c>
      <c r="DH185" s="152">
        <f t="shared" si="89"/>
        <v>32.599999999999923</v>
      </c>
      <c r="DI185" s="1">
        <f t="shared" si="90"/>
        <v>0.49542313603997551</v>
      </c>
    </row>
    <row r="186" spans="2:113" ht="18" customHeight="1" x14ac:dyDescent="0.25">
      <c r="B186" s="6"/>
      <c r="C186" s="176" t="s">
        <v>235</v>
      </c>
      <c r="D186" s="176"/>
      <c r="E186" s="176"/>
      <c r="F186" s="176"/>
      <c r="G186" s="176"/>
      <c r="H186" s="176"/>
      <c r="I186" s="176"/>
      <c r="J186" s="176"/>
      <c r="K186" s="176"/>
      <c r="L186" s="176"/>
      <c r="AP186" s="8"/>
      <c r="AR186" s="6"/>
      <c r="AS186" s="289"/>
      <c r="AT186" s="289"/>
      <c r="AU186" s="289"/>
      <c r="AV186" s="289"/>
      <c r="AW186" s="289"/>
      <c r="AX186" s="289"/>
      <c r="AY186" s="289"/>
      <c r="AZ186" s="289"/>
      <c r="BA186" s="289"/>
      <c r="BB186" s="289"/>
      <c r="BC186" s="289"/>
      <c r="BD186" s="289"/>
      <c r="BE186" s="289"/>
      <c r="BF186" s="289"/>
      <c r="BG186" s="289"/>
      <c r="BH186" s="289"/>
      <c r="BI186" s="289"/>
      <c r="BJ186" s="289"/>
      <c r="BK186" s="289"/>
      <c r="BL186" s="289"/>
      <c r="BM186" s="289"/>
      <c r="BN186" s="289"/>
      <c r="BO186" s="289"/>
      <c r="BP186" s="289"/>
      <c r="BQ186" s="289"/>
      <c r="BR186" s="289"/>
      <c r="BS186" s="289"/>
      <c r="BT186" s="289"/>
      <c r="BU186" s="289"/>
      <c r="BV186" s="289"/>
      <c r="BW186" s="289"/>
      <c r="BX186" s="289"/>
      <c r="BY186" s="289"/>
      <c r="BZ186" s="289"/>
      <c r="CA186" s="289"/>
      <c r="CB186" s="289"/>
      <c r="CC186" s="289"/>
      <c r="CD186" s="289"/>
      <c r="CE186" s="289"/>
      <c r="CF186" s="8"/>
      <c r="CM186" s="2">
        <f t="shared" si="91"/>
        <v>32.799999999999926</v>
      </c>
      <c r="CN186" s="1" t="str">
        <f t="shared" si="75"/>
        <v>0.0107986736111111+35.4196494444444i</v>
      </c>
      <c r="CO186" s="1" t="str">
        <f t="shared" si="76"/>
        <v>-0.0329227853997291i</v>
      </c>
      <c r="CP186" s="1" t="str">
        <f t="shared" si="77"/>
        <v>10.7986736111111</v>
      </c>
      <c r="CQ186" s="1" t="str">
        <f t="shared" si="78"/>
        <v>-0.790146849593498i</v>
      </c>
      <c r="CR186" s="1" t="str">
        <f t="shared" si="79"/>
        <v>0.0107986736111111+35.3867266590447i</v>
      </c>
      <c r="CS186" s="1" t="str">
        <f t="shared" si="80"/>
        <v>9.87796709293532+3.0140962512977i</v>
      </c>
      <c r="CT186" s="1" t="str">
        <f t="shared" si="81"/>
        <v>9.87796709293532+2.2239494017042i</v>
      </c>
      <c r="CU186" s="1" t="str">
        <f t="shared" si="82"/>
        <v>0.0191834803010191+15.7304538468357i</v>
      </c>
      <c r="CV186" s="1" t="str">
        <f t="shared" si="83"/>
        <v>5.82004009707699+5.14615003005584i</v>
      </c>
      <c r="CW186" s="2">
        <f t="shared" si="84"/>
        <v>32.799999999999926</v>
      </c>
      <c r="CX186" s="14">
        <f t="shared" si="85"/>
        <v>10.125225174308646</v>
      </c>
      <c r="CY186" s="14">
        <f t="shared" si="74"/>
        <v>15.730465544075422</v>
      </c>
      <c r="CZ186" s="14">
        <f t="shared" si="86"/>
        <v>7.7688948289591133</v>
      </c>
      <c r="DE186" s="14">
        <f t="shared" si="87"/>
        <v>32.799999999999926</v>
      </c>
      <c r="DF186" s="151">
        <f t="shared" si="88"/>
        <v>0.76728119080962331</v>
      </c>
      <c r="DH186" s="152">
        <f t="shared" si="89"/>
        <v>32.799999999999926</v>
      </c>
      <c r="DI186" s="1">
        <f t="shared" si="90"/>
        <v>0.49387570934829117</v>
      </c>
    </row>
    <row r="187" spans="2:113" ht="18" customHeight="1" x14ac:dyDescent="0.25">
      <c r="B187" s="6"/>
      <c r="C187" s="176"/>
      <c r="D187" s="176"/>
      <c r="E187" s="176"/>
      <c r="F187" s="176"/>
      <c r="G187" s="176"/>
      <c r="H187" s="176"/>
      <c r="I187" s="176"/>
      <c r="J187" s="176"/>
      <c r="K187" s="176"/>
      <c r="L187" s="176"/>
      <c r="AP187" s="8"/>
      <c r="AR187" s="6"/>
      <c r="AS187" s="289"/>
      <c r="AT187" s="289"/>
      <c r="AU187" s="289"/>
      <c r="AV187" s="289"/>
      <c r="AW187" s="289"/>
      <c r="AX187" s="289"/>
      <c r="AY187" s="289"/>
      <c r="AZ187" s="289"/>
      <c r="BA187" s="289"/>
      <c r="BB187" s="289"/>
      <c r="BC187" s="289"/>
      <c r="BD187" s="289"/>
      <c r="BE187" s="289"/>
      <c r="BF187" s="289"/>
      <c r="BG187" s="289"/>
      <c r="BH187" s="289"/>
      <c r="BI187" s="289"/>
      <c r="BJ187" s="289"/>
      <c r="BK187" s="289"/>
      <c r="BL187" s="289"/>
      <c r="BM187" s="289"/>
      <c r="BN187" s="289"/>
      <c r="BO187" s="289"/>
      <c r="BP187" s="289"/>
      <c r="BQ187" s="289"/>
      <c r="BR187" s="289"/>
      <c r="BS187" s="289"/>
      <c r="BT187" s="289"/>
      <c r="BU187" s="289"/>
      <c r="BV187" s="289"/>
      <c r="BW187" s="289"/>
      <c r="BX187" s="289"/>
      <c r="BY187" s="289"/>
      <c r="BZ187" s="289"/>
      <c r="CA187" s="289"/>
      <c r="CB187" s="289"/>
      <c r="CC187" s="289"/>
      <c r="CD187" s="289"/>
      <c r="CE187" s="289"/>
      <c r="CF187" s="8"/>
      <c r="CM187" s="2">
        <f t="shared" si="91"/>
        <v>32.999999999999929</v>
      </c>
      <c r="CN187" s="1" t="str">
        <f t="shared" si="75"/>
        <v>0.0107986736111111+35.6356229166666i</v>
      </c>
      <c r="CO187" s="1" t="str">
        <f t="shared" si="76"/>
        <v>-0.0327232533670034i</v>
      </c>
      <c r="CP187" s="1" t="str">
        <f t="shared" si="77"/>
        <v>10.7986736111111</v>
      </c>
      <c r="CQ187" s="1" t="str">
        <f t="shared" si="78"/>
        <v>-0.785358080808083i</v>
      </c>
      <c r="CR187" s="1" t="str">
        <f t="shared" si="79"/>
        <v>0.0107986736111111+35.6028996632996i</v>
      </c>
      <c r="CS187" s="1" t="str">
        <f t="shared" si="80"/>
        <v>9.88817302036527+2.99889396279926i</v>
      </c>
      <c r="CT187" s="1" t="str">
        <f t="shared" si="81"/>
        <v>9.88817302036527+2.21353588199118i</v>
      </c>
      <c r="CU187" s="1" t="str">
        <f t="shared" si="82"/>
        <v>0.0191834803010191+15.8263712483408i</v>
      </c>
      <c r="CV187" s="1" t="str">
        <f t="shared" si="83"/>
        <v>5.85160331134512+5.14506369145782i</v>
      </c>
      <c r="CW187" s="2">
        <f t="shared" si="84"/>
        <v>32.999999999999929</v>
      </c>
      <c r="CX187" s="14">
        <f t="shared" si="85"/>
        <v>10.132902189478694</v>
      </c>
      <c r="CY187" s="14">
        <f t="shared" si="74"/>
        <v>15.82638287468821</v>
      </c>
      <c r="CZ187" s="14">
        <f t="shared" si="86"/>
        <v>7.7918509805118035</v>
      </c>
      <c r="DE187" s="14">
        <f t="shared" si="87"/>
        <v>32.999999999999929</v>
      </c>
      <c r="DF187" s="151">
        <f t="shared" si="88"/>
        <v>0.76896537979043333</v>
      </c>
      <c r="DH187" s="152">
        <f t="shared" si="89"/>
        <v>32.999999999999929</v>
      </c>
      <c r="DI187" s="1">
        <f t="shared" si="90"/>
        <v>0.49233302658016892</v>
      </c>
    </row>
    <row r="188" spans="2:113" ht="18" customHeight="1" x14ac:dyDescent="0.25">
      <c r="B188" s="6"/>
      <c r="C188" s="176"/>
      <c r="D188" s="176"/>
      <c r="E188" s="176"/>
      <c r="F188" s="176"/>
      <c r="G188" s="176"/>
      <c r="H188" s="176"/>
      <c r="I188" s="176"/>
      <c r="J188" s="176"/>
      <c r="K188" s="176"/>
      <c r="L188" s="176"/>
      <c r="AP188" s="8"/>
      <c r="AR188" s="6"/>
      <c r="CF188" s="8"/>
      <c r="CM188" s="2">
        <f t="shared" si="91"/>
        <v>33.199999999999932</v>
      </c>
      <c r="CN188" s="1" t="str">
        <f t="shared" si="75"/>
        <v>0.0107986736111111+35.8515963888888i</v>
      </c>
      <c r="CO188" s="1" t="str">
        <f t="shared" si="76"/>
        <v>-0.0325261253346721i</v>
      </c>
      <c r="CP188" s="1" t="str">
        <f t="shared" si="77"/>
        <v>10.7986736111111</v>
      </c>
      <c r="CQ188" s="1" t="str">
        <f t="shared" si="78"/>
        <v>-0.78062700803213i</v>
      </c>
      <c r="CR188" s="1" t="str">
        <f t="shared" si="79"/>
        <v>0.0107986736111111+35.8190702635541i</v>
      </c>
      <c r="CS188" s="1" t="str">
        <f t="shared" si="80"/>
        <v>9.89821517796044+2.98382594791604i</v>
      </c>
      <c r="CT188" s="1" t="str">
        <f t="shared" si="81"/>
        <v>9.89821517796044+2.20319893988391i</v>
      </c>
      <c r="CU188" s="1" t="str">
        <f t="shared" si="82"/>
        <v>0.0191834803010191+15.9222886498459i</v>
      </c>
      <c r="CV188" s="1" t="str">
        <f t="shared" si="83"/>
        <v>5.88295766623595+5.14379120904585i</v>
      </c>
      <c r="CW188" s="2">
        <f t="shared" si="84"/>
        <v>33.199999999999932</v>
      </c>
      <c r="CX188" s="14">
        <f t="shared" si="85"/>
        <v>10.140451137790272</v>
      </c>
      <c r="CY188" s="14">
        <f t="shared" si="74"/>
        <v>15.922300206155121</v>
      </c>
      <c r="CZ188" s="14">
        <f t="shared" si="86"/>
        <v>7.8145875710098558</v>
      </c>
      <c r="DE188" s="14">
        <f t="shared" si="87"/>
        <v>33.199999999999932</v>
      </c>
      <c r="DF188" s="151">
        <f t="shared" si="88"/>
        <v>0.77063509944714048</v>
      </c>
      <c r="DH188" s="152">
        <f t="shared" si="89"/>
        <v>33.199999999999932</v>
      </c>
      <c r="DI188" s="1">
        <f t="shared" si="90"/>
        <v>0.49079514076671976</v>
      </c>
    </row>
    <row r="189" spans="2:113" ht="18" customHeight="1" x14ac:dyDescent="0.25">
      <c r="B189" s="6"/>
      <c r="AP189" s="8"/>
      <c r="AR189" s="6"/>
      <c r="CF189" s="8"/>
      <c r="CM189" s="2">
        <f t="shared" si="91"/>
        <v>33.399999999999935</v>
      </c>
      <c r="CN189" s="1" t="str">
        <f t="shared" si="75"/>
        <v>0.0107986736111111+36.067569861111i</v>
      </c>
      <c r="CO189" s="1" t="str">
        <f t="shared" si="76"/>
        <v>-0.0323313581170992i</v>
      </c>
      <c r="CP189" s="1" t="str">
        <f t="shared" si="77"/>
        <v>10.7986736111111</v>
      </c>
      <c r="CQ189" s="1" t="str">
        <f t="shared" si="78"/>
        <v>-0.775952594810381i</v>
      </c>
      <c r="CR189" s="1" t="str">
        <f t="shared" si="79"/>
        <v>0.0107986736111111+36.0352385029939i</v>
      </c>
      <c r="CS189" s="1" t="str">
        <f t="shared" si="80"/>
        <v>9.90809693937037+2.96889079559768i</v>
      </c>
      <c r="CT189" s="1" t="str">
        <f t="shared" si="81"/>
        <v>9.90809693937037+2.1929382007873i</v>
      </c>
      <c r="CU189" s="1" t="str">
        <f t="shared" si="82"/>
        <v>0.0191834803010191+16.018206051351i</v>
      </c>
      <c r="CV189" s="1" t="str">
        <f t="shared" si="83"/>
        <v>5.91410350722244+5.14233629837929i</v>
      </c>
      <c r="CW189" s="2">
        <f t="shared" si="84"/>
        <v>33.399999999999935</v>
      </c>
      <c r="CX189" s="14">
        <f t="shared" si="85"/>
        <v>10.147874797829974</v>
      </c>
      <c r="CY189" s="14">
        <f t="shared" si="74"/>
        <v>16.01821753846081</v>
      </c>
      <c r="CZ189" s="14">
        <f t="shared" si="86"/>
        <v>7.8371067939495376</v>
      </c>
      <c r="DE189" s="14">
        <f t="shared" si="87"/>
        <v>33.399999999999935</v>
      </c>
      <c r="DF189" s="151">
        <f t="shared" si="88"/>
        <v>0.77229044997928242</v>
      </c>
      <c r="DH189" s="152">
        <f t="shared" si="89"/>
        <v>33.399999999999935</v>
      </c>
      <c r="DI189" s="1">
        <f t="shared" si="90"/>
        <v>0.4892621026735402</v>
      </c>
    </row>
    <row r="190" spans="2:113" ht="18" customHeight="1" x14ac:dyDescent="0.25">
      <c r="B190" s="6"/>
      <c r="AP190" s="8"/>
      <c r="AR190" s="6"/>
      <c r="CF190" s="8"/>
      <c r="CM190" s="2">
        <f t="shared" si="91"/>
        <v>33.599999999999937</v>
      </c>
      <c r="CN190" s="1" t="str">
        <f t="shared" si="75"/>
        <v>0.0107986736111111+36.2835433333333i</v>
      </c>
      <c r="CO190" s="1" t="str">
        <f t="shared" si="76"/>
        <v>-0.0321389095568784i</v>
      </c>
      <c r="CP190" s="1" t="str">
        <f t="shared" si="77"/>
        <v>10.7986736111111</v>
      </c>
      <c r="CQ190" s="1" t="str">
        <f t="shared" si="78"/>
        <v>-0.771333829365081i</v>
      </c>
      <c r="CR190" s="1" t="str">
        <f t="shared" si="79"/>
        <v>0.0107986736111111+36.2514044237764i</v>
      </c>
      <c r="CS190" s="1" t="str">
        <f t="shared" si="80"/>
        <v>9.91782159494868+2.95408710382046i</v>
      </c>
      <c r="CT190" s="1" t="str">
        <f t="shared" si="81"/>
        <v>9.91782159494868+2.18275327445538i</v>
      </c>
      <c r="CU190" s="1" t="str">
        <f t="shared" si="82"/>
        <v>0.0191834803010191+16.1141234528561i</v>
      </c>
      <c r="CV190" s="1" t="str">
        <f t="shared" si="83"/>
        <v>5.94504121913297+5.14070262184129i</v>
      </c>
      <c r="CW190" s="2">
        <f t="shared" si="84"/>
        <v>33.599999999999937</v>
      </c>
      <c r="CX190" s="14">
        <f t="shared" si="85"/>
        <v>10.155175874714137</v>
      </c>
      <c r="CY190" s="14">
        <f t="shared" si="74"/>
        <v>16.114134871590302</v>
      </c>
      <c r="CZ190" s="14">
        <f t="shared" si="86"/>
        <v>7.8594108267347833</v>
      </c>
      <c r="DE190" s="14">
        <f t="shared" si="87"/>
        <v>33.599999999999937</v>
      </c>
      <c r="DF190" s="151">
        <f t="shared" si="88"/>
        <v>0.77393153242222978</v>
      </c>
      <c r="DH190" s="152">
        <f t="shared" si="89"/>
        <v>33.599999999999937</v>
      </c>
      <c r="DI190" s="1">
        <f t="shared" si="90"/>
        <v>0.48773396085886916</v>
      </c>
    </row>
    <row r="191" spans="2:113" ht="18" customHeight="1" x14ac:dyDescent="0.25">
      <c r="B191" s="6"/>
      <c r="AP191" s="8"/>
      <c r="AR191" s="6"/>
      <c r="CF191" s="8"/>
      <c r="CM191" s="2">
        <f t="shared" si="91"/>
        <v>33.79999999999994</v>
      </c>
      <c r="CN191" s="1" t="str">
        <f t="shared" si="75"/>
        <v>0.0107986736111111+36.4995168055555i</v>
      </c>
      <c r="CO191" s="1" t="str">
        <f t="shared" si="76"/>
        <v>-0.0319487384944116i</v>
      </c>
      <c r="CP191" s="1" t="str">
        <f t="shared" si="77"/>
        <v>10.7986736111111</v>
      </c>
      <c r="CQ191" s="1" t="str">
        <f t="shared" si="78"/>
        <v>-0.766769723865879i</v>
      </c>
      <c r="CR191" s="1" t="str">
        <f t="shared" si="79"/>
        <v>0.0107986736111111+36.4675680670611i</v>
      </c>
      <c r="CS191" s="1" t="str">
        <f t="shared" si="80"/>
        <v>9.92739235410293+2.93941348000939i</v>
      </c>
      <c r="CT191" s="1" t="str">
        <f t="shared" si="81"/>
        <v>9.92739235410293+2.17264375614351i</v>
      </c>
      <c r="CU191" s="1" t="str">
        <f t="shared" si="82"/>
        <v>0.0191834803010191+16.2100408543612i</v>
      </c>
      <c r="CV191" s="1" t="str">
        <f t="shared" si="83"/>
        <v>5.97577122474942+5.13889378896432i</v>
      </c>
      <c r="CW191" s="2">
        <f t="shared" si="84"/>
        <v>33.79999999999994</v>
      </c>
      <c r="CX191" s="14">
        <f t="shared" si="85"/>
        <v>10.162357002359773</v>
      </c>
      <c r="CY191" s="14">
        <f t="shared" si="74"/>
        <v>16.210052205528974</v>
      </c>
      <c r="CZ191" s="14">
        <f t="shared" si="86"/>
        <v>7.8815018305396114</v>
      </c>
      <c r="DE191" s="14">
        <f t="shared" si="87"/>
        <v>33.79999999999994</v>
      </c>
      <c r="DF191" s="151">
        <f t="shared" si="88"/>
        <v>0.77555844856753708</v>
      </c>
      <c r="DH191" s="152">
        <f t="shared" si="89"/>
        <v>33.79999999999994</v>
      </c>
      <c r="DI191" s="1">
        <f t="shared" si="90"/>
        <v>0.48621076173038691</v>
      </c>
    </row>
    <row r="192" spans="2:113" ht="18" customHeight="1" x14ac:dyDescent="0.25">
      <c r="B192" s="6"/>
      <c r="AP192" s="8"/>
      <c r="AR192" s="6"/>
      <c r="CF192" s="8"/>
      <c r="CM192" s="2">
        <f t="shared" si="91"/>
        <v>33.999999999999943</v>
      </c>
      <c r="CN192" s="1" t="str">
        <f t="shared" si="75"/>
        <v>0.0107986736111111+36.7154902777777i</v>
      </c>
      <c r="CO192" s="1" t="str">
        <f t="shared" si="76"/>
        <v>-0.0317608047385622i</v>
      </c>
      <c r="CP192" s="1" t="str">
        <f t="shared" si="77"/>
        <v>10.7986736111111</v>
      </c>
      <c r="CQ192" s="1" t="str">
        <f t="shared" si="78"/>
        <v>-0.762259313725492i</v>
      </c>
      <c r="CR192" s="1" t="str">
        <f t="shared" si="79"/>
        <v>0.0107986736111111+36.6837294730391i</v>
      </c>
      <c r="CS192" s="1" t="str">
        <f t="shared" si="80"/>
        <v>9.9368123475715+2.92486854142399i</v>
      </c>
      <c r="CT192" s="1" t="str">
        <f t="shared" si="81"/>
        <v>9.9368123475715+2.1626092276985i</v>
      </c>
      <c r="CU192" s="1" t="str">
        <f t="shared" si="82"/>
        <v>0.0191834803010191+16.3059582558663i</v>
      </c>
      <c r="CV192" s="1" t="str">
        <f t="shared" si="83"/>
        <v>6.00629398343719+5.13691335677123i</v>
      </c>
      <c r="CW192" s="2">
        <f t="shared" si="84"/>
        <v>33.999999999999943</v>
      </c>
      <c r="CX192" s="14">
        <f t="shared" si="85"/>
        <v>10.169420745675543</v>
      </c>
      <c r="CY192" s="14">
        <f t="shared" si="74"/>
        <v>16.305969540262542</v>
      </c>
      <c r="CZ192" s="14">
        <f t="shared" si="86"/>
        <v>7.9033819501811022</v>
      </c>
      <c r="DE192" s="14">
        <f t="shared" si="87"/>
        <v>33.999999999999943</v>
      </c>
      <c r="DF192" s="151">
        <f t="shared" si="88"/>
        <v>0.77717130088672459</v>
      </c>
      <c r="DH192" s="152">
        <f t="shared" si="89"/>
        <v>33.999999999999943</v>
      </c>
      <c r="DI192" s="1">
        <f t="shared" si="90"/>
        <v>0.48469254960069258</v>
      </c>
    </row>
    <row r="193" spans="2:113" ht="18" customHeight="1" x14ac:dyDescent="0.25">
      <c r="B193" s="6"/>
      <c r="AP193" s="8"/>
      <c r="AR193" s="6"/>
      <c r="CF193" s="8"/>
      <c r="CM193" s="2">
        <f t="shared" si="91"/>
        <v>34.199999999999946</v>
      </c>
      <c r="CN193" s="1" t="str">
        <f t="shared" si="75"/>
        <v>0.0107986736111111+36.9314637499999i</v>
      </c>
      <c r="CO193" s="1" t="str">
        <f t="shared" si="76"/>
        <v>-0.0315750690383366i</v>
      </c>
      <c r="CP193" s="1" t="str">
        <f t="shared" si="77"/>
        <v>10.7986736111111</v>
      </c>
      <c r="CQ193" s="1" t="str">
        <f t="shared" si="78"/>
        <v>-0.757801656920079i</v>
      </c>
      <c r="CR193" s="1" t="str">
        <f t="shared" si="79"/>
        <v>0.0107986736111111+36.8998886809616i</v>
      </c>
      <c r="CS193" s="1" t="str">
        <f t="shared" si="80"/>
        <v>9.94608462963038+2.91045091551027i</v>
      </c>
      <c r="CT193" s="1" t="str">
        <f t="shared" si="81"/>
        <v>9.94608462963038+2.15264925859019i</v>
      </c>
      <c r="CU193" s="1" t="str">
        <f t="shared" si="82"/>
        <v>0.0191834803010191+16.4018756573714i</v>
      </c>
      <c r="CV193" s="1" t="str">
        <f t="shared" si="83"/>
        <v>6.03660998980754+5.13476483013195i</v>
      </c>
      <c r="CW193" s="2">
        <f t="shared" si="84"/>
        <v>34.199999999999946</v>
      </c>
      <c r="CX193" s="14">
        <f t="shared" si="85"/>
        <v>10.176369602676516</v>
      </c>
      <c r="CY193" s="14">
        <f t="shared" si="74"/>
        <v>16.401886875777063</v>
      </c>
      <c r="CZ193" s="14">
        <f t="shared" si="86"/>
        <v>7.9250533140038986</v>
      </c>
      <c r="DE193" s="14">
        <f t="shared" si="87"/>
        <v>34.199999999999946</v>
      </c>
      <c r="DF193" s="151">
        <f t="shared" si="88"/>
        <v>0.7787701924583682</v>
      </c>
      <c r="DH193" s="152">
        <f t="shared" si="89"/>
        <v>34.199999999999946</v>
      </c>
      <c r="DI193" s="1">
        <f t="shared" si="90"/>
        <v>0.48317936674151057</v>
      </c>
    </row>
    <row r="194" spans="2:113" ht="18" customHeight="1" thickBot="1" x14ac:dyDescent="0.3">
      <c r="B194" s="6"/>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1"/>
      <c r="AO194" s="10"/>
      <c r="AP194" s="8"/>
      <c r="AR194" s="6"/>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1"/>
      <c r="CE194" s="10"/>
      <c r="CF194" s="8"/>
      <c r="CM194" s="2">
        <f t="shared" si="91"/>
        <v>34.399999999999949</v>
      </c>
      <c r="CN194" s="1" t="str">
        <f t="shared" si="75"/>
        <v>0.0107986736111111+37.1474372222222i</v>
      </c>
      <c r="CO194" s="1" t="str">
        <f t="shared" si="76"/>
        <v>-0.0313914930555556i</v>
      </c>
      <c r="CP194" s="1" t="str">
        <f t="shared" si="77"/>
        <v>10.7986736111111</v>
      </c>
      <c r="CQ194" s="1" t="str">
        <f t="shared" si="78"/>
        <v>-0.753395833333335i</v>
      </c>
      <c r="CR194" s="1" t="str">
        <f t="shared" si="79"/>
        <v>0.0107986736111111+37.1160457291666i</v>
      </c>
      <c r="CS194" s="1" t="str">
        <f t="shared" si="80"/>
        <v>9.95521218023167+2.89615924022081i</v>
      </c>
      <c r="CT194" s="1" t="str">
        <f t="shared" si="81"/>
        <v>9.95521218023167+2.14276340688747i</v>
      </c>
      <c r="CU194" s="1" t="str">
        <f t="shared" si="82"/>
        <v>0.0191834803010191+16.4977930588765i</v>
      </c>
      <c r="CV194" s="1" t="str">
        <f t="shared" si="83"/>
        <v>6.06671977241086+5.13245166213402i</v>
      </c>
      <c r="CW194" s="2">
        <f t="shared" si="84"/>
        <v>34.399999999999949</v>
      </c>
      <c r="CX194" s="14">
        <f t="shared" si="85"/>
        <v>10.183206006525108</v>
      </c>
      <c r="CY194" s="14">
        <f t="shared" si="74"/>
        <v>16.497804212058917</v>
      </c>
      <c r="CZ194" s="14">
        <f t="shared" si="86"/>
        <v>7.9465180337744865</v>
      </c>
      <c r="DE194" s="14">
        <f t="shared" si="87"/>
        <v>34.399999999999949</v>
      </c>
      <c r="DF194" s="151">
        <f t="shared" si="88"/>
        <v>0.78035522689834302</v>
      </c>
      <c r="DH194" s="152">
        <f t="shared" si="89"/>
        <v>34.399999999999949</v>
      </c>
      <c r="DI194" s="1">
        <f t="shared" si="90"/>
        <v>0.48167125343662492</v>
      </c>
    </row>
    <row r="195" spans="2:113" ht="18" customHeight="1" x14ac:dyDescent="0.25">
      <c r="B195" s="6"/>
      <c r="D195" s="43" t="s">
        <v>84</v>
      </c>
      <c r="AO195" s="29" t="s">
        <v>189</v>
      </c>
      <c r="AP195" s="8"/>
      <c r="AR195" s="6"/>
      <c r="AT195" s="43" t="s">
        <v>84</v>
      </c>
      <c r="CE195" s="29" t="s">
        <v>190</v>
      </c>
      <c r="CF195" s="8"/>
      <c r="CM195" s="2">
        <f t="shared" si="91"/>
        <v>34.599999999999952</v>
      </c>
      <c r="CN195" s="1" t="str">
        <f t="shared" si="75"/>
        <v>0.0107986736111111+37.3634106944444i</v>
      </c>
      <c r="CO195" s="1" t="str">
        <f t="shared" si="76"/>
        <v>-0.0312100393384715i</v>
      </c>
      <c r="CP195" s="1" t="str">
        <f t="shared" si="77"/>
        <v>10.7986736111111</v>
      </c>
      <c r="CQ195" s="1" t="str">
        <f t="shared" si="78"/>
        <v>-0.749040944123315i</v>
      </c>
      <c r="CR195" s="1" t="str">
        <f t="shared" si="79"/>
        <v>0.0107986736111111+37.3322006551059i</v>
      </c>
      <c r="CS195" s="1" t="str">
        <f t="shared" si="80"/>
        <v>9.96419790707628+2.88199216430477i</v>
      </c>
      <c r="CT195" s="1" t="str">
        <f t="shared" si="81"/>
        <v>9.96419790707628+2.13295122018146i</v>
      </c>
      <c r="CU195" s="1" t="str">
        <f t="shared" si="82"/>
        <v>0.0191834803010191+16.5937104603816i</v>
      </c>
      <c r="CV195" s="1" t="str">
        <f t="shared" si="83"/>
        <v>6.09662389246165+5.12997725446683i</v>
      </c>
      <c r="CW195" s="2">
        <f t="shared" si="84"/>
        <v>34.599999999999952</v>
      </c>
      <c r="CX195" s="14">
        <f t="shared" si="85"/>
        <v>10.18993232750134</v>
      </c>
      <c r="CY195" s="14">
        <f t="shared" si="74"/>
        <v>16.593721549094791</v>
      </c>
      <c r="CZ195" s="14">
        <f t="shared" si="86"/>
        <v>7.9677782045863497</v>
      </c>
      <c r="DE195" s="14">
        <f t="shared" si="87"/>
        <v>34.599999999999952</v>
      </c>
      <c r="DF195" s="151">
        <f t="shared" si="88"/>
        <v>0.78192650829312149</v>
      </c>
      <c r="DH195" s="152">
        <f t="shared" si="89"/>
        <v>34.599999999999952</v>
      </c>
      <c r="DI195" s="1">
        <f t="shared" si="90"/>
        <v>0.48016824803360375</v>
      </c>
    </row>
    <row r="196" spans="2:113" ht="18" customHeight="1" x14ac:dyDescent="0.25">
      <c r="B196" s="45"/>
      <c r="C196" s="46"/>
      <c r="D196" s="46"/>
      <c r="E196" s="46"/>
      <c r="F196" s="46"/>
      <c r="G196" s="46"/>
      <c r="H196" s="46"/>
      <c r="I196" s="46"/>
      <c r="J196" s="46"/>
      <c r="K196" s="46"/>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7"/>
      <c r="AR196" s="45"/>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46"/>
      <c r="BO196" s="46"/>
      <c r="BP196" s="46"/>
      <c r="BQ196" s="46"/>
      <c r="BR196" s="46"/>
      <c r="BS196" s="46"/>
      <c r="BT196" s="46"/>
      <c r="BU196" s="46"/>
      <c r="BV196" s="46"/>
      <c r="BW196" s="46"/>
      <c r="BX196" s="46"/>
      <c r="BY196" s="46"/>
      <c r="BZ196" s="46"/>
      <c r="CA196" s="46"/>
      <c r="CB196" s="46"/>
      <c r="CC196" s="46"/>
      <c r="CD196" s="46"/>
      <c r="CE196" s="46"/>
      <c r="CF196" s="47"/>
      <c r="CM196" s="2">
        <f t="shared" si="91"/>
        <v>34.799999999999955</v>
      </c>
      <c r="CN196" s="1" t="str">
        <f t="shared" si="75"/>
        <v>0.0107986736111111+37.5793841666666i</v>
      </c>
      <c r="CO196" s="1" t="str">
        <f t="shared" si="76"/>
        <v>-0.0310306712962963i</v>
      </c>
      <c r="CP196" s="1" t="str">
        <f t="shared" si="77"/>
        <v>10.7986736111111</v>
      </c>
      <c r="CQ196" s="1" t="str">
        <f t="shared" si="78"/>
        <v>-0.744736111111112i</v>
      </c>
      <c r="CR196" s="1" t="str">
        <f t="shared" si="79"/>
        <v>0.0107986736111111+37.5483534953703i</v>
      </c>
      <c r="CS196" s="1" t="str">
        <f t="shared" si="80"/>
        <v>9.9730446476229+2.86794834756989i</v>
      </c>
      <c r="CT196" s="1" t="str">
        <f t="shared" si="81"/>
        <v>9.9730446476229+2.12321223645878i</v>
      </c>
      <c r="CU196" s="1" t="str">
        <f t="shared" si="82"/>
        <v>0.0191834803010191+16.6896278618867i</v>
      </c>
      <c r="CV196" s="1" t="str">
        <f t="shared" si="83"/>
        <v>6.12632294259365+5.12734495781822i</v>
      </c>
      <c r="CW196" s="2">
        <f t="shared" si="84"/>
        <v>34.799999999999955</v>
      </c>
      <c r="CX196" s="14">
        <f t="shared" si="85"/>
        <v>10.196550874905107</v>
      </c>
      <c r="CY196" s="14">
        <f t="shared" si="74"/>
        <v>16.689638886871695</v>
      </c>
      <c r="CZ196" s="14">
        <f t="shared" si="86"/>
        <v>7.9888359047744402</v>
      </c>
      <c r="DE196" s="14">
        <f t="shared" si="87"/>
        <v>34.799999999999955</v>
      </c>
      <c r="DF196" s="151">
        <f t="shared" si="88"/>
        <v>0.78348414113598985</v>
      </c>
      <c r="DH196" s="152">
        <f t="shared" si="89"/>
        <v>34.799999999999955</v>
      </c>
      <c r="DI196" s="1">
        <f t="shared" si="90"/>
        <v>0.47867038699432679</v>
      </c>
    </row>
    <row r="197" spans="2:113" ht="18" customHeight="1" x14ac:dyDescent="0.25">
      <c r="CM197" s="2">
        <f t="shared" si="91"/>
        <v>34.999999999999957</v>
      </c>
      <c r="CN197" s="1" t="str">
        <f t="shared" si="75"/>
        <v>0.0107986736111111+37.7953576388889i</v>
      </c>
      <c r="CO197" s="1" t="str">
        <f t="shared" si="76"/>
        <v>-0.0308533531746032i</v>
      </c>
      <c r="CP197" s="1" t="str">
        <f t="shared" si="77"/>
        <v>10.7986736111111</v>
      </c>
      <c r="CQ197" s="1" t="str">
        <f t="shared" si="78"/>
        <v>-0.740480476190477i</v>
      </c>
      <c r="CR197" s="1" t="str">
        <f t="shared" si="79"/>
        <v>0.0107986736111111+37.7645042857143i</v>
      </c>
      <c r="CS197" s="1" t="str">
        <f t="shared" si="80"/>
        <v>9.98175517103539+2.85402646111793i</v>
      </c>
      <c r="CT197" s="1" t="str">
        <f t="shared" si="81"/>
        <v>9.98175517103539+2.11354598492745i</v>
      </c>
      <c r="CU197" s="1" t="str">
        <f t="shared" si="82"/>
        <v>0.0191834803010191+16.7855452633918i</v>
      </c>
      <c r="CV197" s="1" t="str">
        <f t="shared" si="83"/>
        <v>6.1558175456457+5.12455807228309i</v>
      </c>
      <c r="CW197" s="2">
        <f t="shared" si="84"/>
        <v>34.999999999999957</v>
      </c>
      <c r="CX197" s="14">
        <f t="shared" si="85"/>
        <v>10.203063898893053</v>
      </c>
      <c r="CY197" s="14">
        <f t="shared" si="74"/>
        <v>16.785556225376919</v>
      </c>
      <c r="CZ197" s="14">
        <f t="shared" si="86"/>
        <v>8.0096931958397288</v>
      </c>
      <c r="DE197" s="14">
        <f t="shared" si="87"/>
        <v>34.999999999999957</v>
      </c>
      <c r="DF197" s="151">
        <f t="shared" si="88"/>
        <v>0.78502823026607849</v>
      </c>
      <c r="DH197" s="152">
        <f t="shared" si="89"/>
        <v>34.999999999999957</v>
      </c>
      <c r="DI197" s="1">
        <f t="shared" si="90"/>
        <v>0.47717770494434958</v>
      </c>
    </row>
    <row r="198" spans="2:113" ht="18" customHeight="1" x14ac:dyDescent="0.25">
      <c r="B198" s="3"/>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5"/>
      <c r="AR198" s="3"/>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5"/>
      <c r="CM198" s="2">
        <f t="shared" si="91"/>
        <v>35.19999999999996</v>
      </c>
      <c r="CN198" s="1" t="str">
        <f t="shared" si="75"/>
        <v>0.0107986736111111+38.0113311111111i</v>
      </c>
      <c r="CO198" s="1" t="str">
        <f t="shared" si="76"/>
        <v>-0.0306780500315657i</v>
      </c>
      <c r="CP198" s="1" t="str">
        <f t="shared" si="77"/>
        <v>10.7986736111111</v>
      </c>
      <c r="CQ198" s="1" t="str">
        <f t="shared" si="78"/>
        <v>-0.736273200757577i</v>
      </c>
      <c r="CR198" s="1" t="str">
        <f t="shared" si="79"/>
        <v>0.0107986736111111+37.9806530610795i</v>
      </c>
      <c r="CS198" s="1" t="str">
        <f t="shared" si="80"/>
        <v>9.99033218007048+2.84022518755539i</v>
      </c>
      <c r="CT198" s="1" t="str">
        <f t="shared" si="81"/>
        <v>9.99033218007048+2.10395198679781i</v>
      </c>
      <c r="CU198" s="1" t="str">
        <f t="shared" si="82"/>
        <v>0.0191834803010191+16.8814626648969i</v>
      </c>
      <c r="CV198" s="1" t="str">
        <f t="shared" si="83"/>
        <v>6.18510835347686+5.12161984778286i</v>
      </c>
      <c r="CW198" s="2">
        <f t="shared" si="84"/>
        <v>35.19999999999996</v>
      </c>
      <c r="CX198" s="14">
        <f t="shared" si="85"/>
        <v>10.209473592252554</v>
      </c>
      <c r="CY198" s="14">
        <f t="shared" si="74"/>
        <v>16.88147356459805</v>
      </c>
      <c r="CZ198" s="14">
        <f t="shared" si="86"/>
        <v>8.0303521223824639</v>
      </c>
      <c r="DE198" s="14">
        <f t="shared" si="87"/>
        <v>35.19999999999996</v>
      </c>
      <c r="DF198" s="151">
        <f t="shared" si="88"/>
        <v>0.78655888081010283</v>
      </c>
      <c r="DH198" s="152">
        <f t="shared" si="89"/>
        <v>35.19999999999996</v>
      </c>
      <c r="DI198" s="1">
        <f t="shared" si="90"/>
        <v>0.47569023472114486</v>
      </c>
    </row>
    <row r="199" spans="2:113" ht="18" customHeight="1" x14ac:dyDescent="0.25">
      <c r="B199" s="6"/>
      <c r="AN199" s="7"/>
      <c r="AP199" s="8"/>
      <c r="AR199" s="6"/>
      <c r="CD199" s="7"/>
      <c r="CF199" s="8"/>
      <c r="CM199" s="2">
        <f t="shared" si="91"/>
        <v>35.399999999999963</v>
      </c>
      <c r="CN199" s="1" t="str">
        <f t="shared" si="75"/>
        <v>0.0107986736111111+38.2273045833333i</v>
      </c>
      <c r="CO199" s="1" t="str">
        <f t="shared" si="76"/>
        <v>-0.0305047277150032i</v>
      </c>
      <c r="CP199" s="1" t="str">
        <f t="shared" si="77"/>
        <v>10.7986736111111</v>
      </c>
      <c r="CQ199" s="1" t="str">
        <f t="shared" si="78"/>
        <v>-0.732113465160076i</v>
      </c>
      <c r="CR199" s="1" t="str">
        <f t="shared" si="79"/>
        <v>0.0107986736111111+38.1967998556183i</v>
      </c>
      <c r="CS199" s="1" t="str">
        <f t="shared" si="80"/>
        <v>9.99877831290776+2.82654322118082i</v>
      </c>
      <c r="CT199" s="1" t="str">
        <f t="shared" si="81"/>
        <v>9.99877831290776+2.09442975602074i</v>
      </c>
      <c r="CU199" s="1" t="str">
        <f t="shared" si="82"/>
        <v>0.0191834803010191+16.9773800664019i</v>
      </c>
      <c r="CV199" s="1" t="str">
        <f t="shared" si="83"/>
        <v>6.21419604581141+5.11853348449515i</v>
      </c>
      <c r="CW199" s="2">
        <f t="shared" si="84"/>
        <v>35.399999999999963</v>
      </c>
      <c r="CX199" s="14">
        <f t="shared" si="85"/>
        <v>10.215782092115104</v>
      </c>
      <c r="CY199" s="14">
        <f t="shared" si="74"/>
        <v>16.977390904522952</v>
      </c>
      <c r="CZ199" s="14">
        <f t="shared" si="86"/>
        <v>8.0508147120447529</v>
      </c>
      <c r="DE199" s="14">
        <f t="shared" si="87"/>
        <v>35.399999999999963</v>
      </c>
      <c r="DF199" s="151">
        <f t="shared" si="88"/>
        <v>0.78807619812668717</v>
      </c>
      <c r="DH199" s="152">
        <f t="shared" si="89"/>
        <v>35.399999999999963</v>
      </c>
      <c r="DI199" s="1">
        <f t="shared" si="90"/>
        <v>0.4742080074212095</v>
      </c>
    </row>
    <row r="200" spans="2:113" ht="18" customHeight="1" x14ac:dyDescent="0.25">
      <c r="B200" s="6"/>
      <c r="AN200" s="9"/>
      <c r="AP200" s="8"/>
      <c r="AR200" s="6"/>
      <c r="CD200" s="9"/>
      <c r="CF200" s="8"/>
      <c r="CM200" s="2">
        <f t="shared" si="91"/>
        <v>35.599999999999966</v>
      </c>
      <c r="CN200" s="1" t="str">
        <f t="shared" si="75"/>
        <v>0.0107986736111111+38.4432780555555i</v>
      </c>
      <c r="CO200" s="1" t="str">
        <f t="shared" si="76"/>
        <v>-0.0303333528401998i</v>
      </c>
      <c r="CP200" s="1" t="str">
        <f t="shared" si="77"/>
        <v>10.7986736111111</v>
      </c>
      <c r="CQ200" s="1" t="str">
        <f t="shared" si="78"/>
        <v>-0.728000468164795i</v>
      </c>
      <c r="CR200" s="1" t="str">
        <f t="shared" si="79"/>
        <v>0.0107986736111111+38.4129447027153i</v>
      </c>
      <c r="CS200" s="1" t="str">
        <f t="shared" si="80"/>
        <v>10.0070961449238+2.81297926815037i</v>
      </c>
      <c r="CT200" s="1" t="str">
        <f t="shared" si="81"/>
        <v>10.0070961449238+2.08497879998557i</v>
      </c>
      <c r="CU200" s="1" t="str">
        <f t="shared" si="82"/>
        <v>0.0191834803010191+17.073297467907i</v>
      </c>
      <c r="CV200" s="1" t="str">
        <f t="shared" si="83"/>
        <v>6.2430813291126+5.11530213329312i</v>
      </c>
      <c r="CW200" s="2">
        <f t="shared" si="84"/>
        <v>35.599999999999966</v>
      </c>
      <c r="CX200" s="14">
        <f t="shared" si="85"/>
        <v>10.2219914816115</v>
      </c>
      <c r="CY200" s="14">
        <f t="shared" si="74"/>
        <v>17.073308245139771</v>
      </c>
      <c r="CZ200" s="14">
        <f t="shared" si="86"/>
        <v>8.0710829754616888</v>
      </c>
      <c r="DE200" s="14">
        <f t="shared" si="87"/>
        <v>35.599999999999966</v>
      </c>
      <c r="DF200" s="151">
        <f t="shared" si="88"/>
        <v>0.78958028775321198</v>
      </c>
      <c r="DH200" s="152">
        <f t="shared" si="89"/>
        <v>35.599999999999966</v>
      </c>
      <c r="DI200" s="1">
        <f t="shared" si="90"/>
        <v>0.47273105244610597</v>
      </c>
    </row>
    <row r="201" spans="2:113" ht="18" customHeight="1" thickBot="1" x14ac:dyDescent="0.3">
      <c r="B201" s="6"/>
      <c r="C201" s="10" t="str">
        <f>"Harmonic Filter Design - C-HP | "&amp; H12 &amp; " | " &amp; AE13</f>
        <v>Harmonic Filter Design - C-HP | Enter Customer PO #  | Stage 1</v>
      </c>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1"/>
      <c r="AO201" s="10"/>
      <c r="AP201" s="8"/>
      <c r="AR201" s="6"/>
      <c r="AS201" s="10" t="str">
        <f>"Harmonic Filter Design - C-HP | "&amp; H12 &amp; " | " &amp; AE13</f>
        <v>Harmonic Filter Design - C-HP | Enter Customer PO #  | Stage 1</v>
      </c>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1"/>
      <c r="CE201" s="10"/>
      <c r="CF201" s="8"/>
      <c r="CM201" s="2">
        <f t="shared" si="91"/>
        <v>35.799999999999969</v>
      </c>
      <c r="CN201" s="1" t="str">
        <f t="shared" si="75"/>
        <v>0.0107986736111111+38.6592515277778i</v>
      </c>
      <c r="CO201" s="1" t="str">
        <f t="shared" si="76"/>
        <v>-0.0301638927684668i</v>
      </c>
      <c r="CP201" s="1" t="str">
        <f t="shared" si="77"/>
        <v>10.7986736111111</v>
      </c>
      <c r="CQ201" s="1" t="str">
        <f t="shared" si="78"/>
        <v>-0.723933426443204i</v>
      </c>
      <c r="CR201" s="1" t="str">
        <f t="shared" si="79"/>
        <v>0.0107986736111111+38.6290876350093i</v>
      </c>
      <c r="CS201" s="1" t="str">
        <f t="shared" si="80"/>
        <v>10.0152881904123+2.79953204662279i</v>
      </c>
      <c r="CT201" s="1" t="str">
        <f t="shared" si="81"/>
        <v>10.0152881904123+2.07559862017959i</v>
      </c>
      <c r="CU201" s="1" t="str">
        <f t="shared" si="82"/>
        <v>0.0191834803010191+17.1692148694121i</v>
      </c>
      <c r="CV201" s="1" t="str">
        <f t="shared" si="83"/>
        <v>6.27176493548453+5.11192889619367i</v>
      </c>
      <c r="CW201" s="2">
        <f t="shared" si="84"/>
        <v>35.799999999999969</v>
      </c>
      <c r="CX201" s="14">
        <f t="shared" si="85"/>
        <v>10.228103791471003</v>
      </c>
      <c r="CY201" s="14">
        <f t="shared" si="74"/>
        <v>17.169225586436902</v>
      </c>
      <c r="CZ201" s="14">
        <f t="shared" si="86"/>
        <v>8.0911589062206097</v>
      </c>
      <c r="DE201" s="14">
        <f t="shared" si="87"/>
        <v>35.799999999999969</v>
      </c>
      <c r="DF201" s="151">
        <f t="shared" si="88"/>
        <v>0.79107125535504175</v>
      </c>
      <c r="DH201" s="152">
        <f t="shared" si="89"/>
        <v>35.799999999999969</v>
      </c>
      <c r="DI201" s="1">
        <f t="shared" si="90"/>
        <v>0.47125939754745744</v>
      </c>
    </row>
    <row r="202" spans="2:113" ht="18" customHeight="1" x14ac:dyDescent="0.25">
      <c r="B202" s="6"/>
      <c r="AN202" s="9"/>
      <c r="AP202" s="8"/>
      <c r="AR202" s="6"/>
      <c r="CD202" s="9"/>
      <c r="CF202" s="8"/>
      <c r="CM202" s="2">
        <f t="shared" si="91"/>
        <v>35.999999999999972</v>
      </c>
      <c r="CN202" s="1" t="str">
        <f t="shared" si="75"/>
        <v>0.0107986736111111+38.875225i</v>
      </c>
      <c r="CO202" s="1" t="str">
        <f t="shared" si="76"/>
        <v>-0.0299963155864198i</v>
      </c>
      <c r="CP202" s="1" t="str">
        <f t="shared" si="77"/>
        <v>10.7986736111111</v>
      </c>
      <c r="CQ202" s="1" t="str">
        <f t="shared" si="78"/>
        <v>-0.719911574074075i</v>
      </c>
      <c r="CR202" s="1" t="str">
        <f t="shared" si="79"/>
        <v>0.0107986736111111+38.8452286844136i</v>
      </c>
      <c r="CS202" s="1" t="str">
        <f t="shared" si="80"/>
        <v>10.0233569042524+2.78620028688525i</v>
      </c>
      <c r="CT202" s="1" t="str">
        <f t="shared" si="81"/>
        <v>10.0233569042524+2.06628871281117i</v>
      </c>
      <c r="CU202" s="1" t="str">
        <f t="shared" si="82"/>
        <v>0.0191834803010191+17.2651322709172i</v>
      </c>
      <c r="CV202" s="1" t="str">
        <f t="shared" si="83"/>
        <v>6.30024762160283+5.10841682681373i</v>
      </c>
      <c r="CW202" s="2">
        <f t="shared" si="84"/>
        <v>35.999999999999972</v>
      </c>
      <c r="CX202" s="14">
        <f t="shared" si="85"/>
        <v>10.234121001567019</v>
      </c>
      <c r="CY202" s="14">
        <f t="shared" si="74"/>
        <v>17.265142928403009</v>
      </c>
      <c r="CZ202" s="14">
        <f t="shared" si="86"/>
        <v>8.1110444808289515</v>
      </c>
      <c r="DE202" s="14">
        <f t="shared" si="87"/>
        <v>35.999999999999972</v>
      </c>
      <c r="DF202" s="151">
        <f t="shared" si="88"/>
        <v>0.79254920667705886</v>
      </c>
      <c r="DH202" s="152">
        <f t="shared" si="89"/>
        <v>35.999999999999972</v>
      </c>
      <c r="DI202" s="1">
        <f t="shared" si="90"/>
        <v>0.4697930688708889</v>
      </c>
    </row>
    <row r="203" spans="2:113" ht="18" customHeight="1" x14ac:dyDescent="0.3">
      <c r="B203" s="6"/>
      <c r="C203" s="154" t="s">
        <v>470</v>
      </c>
      <c r="D203" s="154"/>
      <c r="E203" s="154"/>
      <c r="F203" s="154"/>
      <c r="G203" s="154"/>
      <c r="H203" s="154"/>
      <c r="I203" s="154"/>
      <c r="J203" s="154"/>
      <c r="K203" s="154"/>
      <c r="L203" s="154"/>
      <c r="M203" s="154"/>
      <c r="N203" s="154"/>
      <c r="O203" s="154"/>
      <c r="P203" s="154"/>
      <c r="Q203" s="154"/>
      <c r="R203" s="154"/>
      <c r="S203" s="154"/>
      <c r="T203" s="154"/>
      <c r="U203" s="154"/>
      <c r="V203" s="154"/>
      <c r="W203" s="154"/>
      <c r="X203" s="154"/>
      <c r="Y203" s="154"/>
      <c r="Z203" s="154"/>
      <c r="AA203" s="154"/>
      <c r="AB203" s="154"/>
      <c r="AC203" s="154"/>
      <c r="AD203" s="154"/>
      <c r="AE203" s="154"/>
      <c r="AF203" s="154"/>
      <c r="AG203" s="154"/>
      <c r="AH203" s="154"/>
      <c r="AI203" s="154"/>
      <c r="AJ203" s="154"/>
      <c r="AK203" s="154"/>
      <c r="AL203" s="154"/>
      <c r="AM203" s="154"/>
      <c r="AN203" s="154"/>
      <c r="AO203" s="154"/>
      <c r="AP203" s="8"/>
      <c r="AR203" s="6"/>
      <c r="CF203" s="8"/>
      <c r="CM203" s="2">
        <f t="shared" si="91"/>
        <v>36.199999999999974</v>
      </c>
      <c r="CN203" s="1" t="str">
        <f t="shared" si="75"/>
        <v>0.0107986736111111+39.0911984722222i</v>
      </c>
      <c r="CO203" s="1" t="str">
        <f t="shared" si="76"/>
        <v>-0.0298305900859423i</v>
      </c>
      <c r="CP203" s="1" t="str">
        <f t="shared" si="77"/>
        <v>10.7986736111111</v>
      </c>
      <c r="CQ203" s="1" t="str">
        <f t="shared" si="78"/>
        <v>-0.715934162062616i</v>
      </c>
      <c r="CR203" s="1" t="str">
        <f t="shared" si="79"/>
        <v>0.0107986736111111+39.0613678821363i</v>
      </c>
      <c r="CS203" s="1" t="str">
        <f t="shared" si="80"/>
        <v>10.0313046835255+2.77298273146111i</v>
      </c>
      <c r="CT203" s="1" t="str">
        <f t="shared" si="81"/>
        <v>10.0313046835255+2.05704856939849i</v>
      </c>
      <c r="CU203" s="1" t="str">
        <f t="shared" si="82"/>
        <v>0.0191834803010191+17.3610496724223i</v>
      </c>
      <c r="CV203" s="1" t="str">
        <f t="shared" si="83"/>
        <v>6.32853016767201+5.10476893083399i</v>
      </c>
      <c r="CW203" s="2">
        <f t="shared" si="84"/>
        <v>36.199999999999974</v>
      </c>
      <c r="CX203" s="14">
        <f t="shared" si="85"/>
        <v>10.240045042409971</v>
      </c>
      <c r="CY203" s="14">
        <f t="shared" si="74"/>
        <v>17.361060271027004</v>
      </c>
      <c r="CZ203" s="14">
        <f t="shared" si="86"/>
        <v>8.1307416586891215</v>
      </c>
      <c r="DE203" s="14">
        <f t="shared" si="87"/>
        <v>36.199999999999974</v>
      </c>
      <c r="DF203" s="151">
        <f t="shared" si="88"/>
        <v>0.79401424749744787</v>
      </c>
      <c r="DH203" s="152">
        <f t="shared" si="89"/>
        <v>36.199999999999974</v>
      </c>
      <c r="DI203" s="1">
        <f t="shared" si="90"/>
        <v>0.46833209099896522</v>
      </c>
    </row>
    <row r="204" spans="2:113" ht="18" customHeight="1" x14ac:dyDescent="0.25">
      <c r="B204" s="6"/>
      <c r="AP204" s="8"/>
      <c r="AR204" s="6"/>
      <c r="CF204" s="8"/>
      <c r="CM204" s="2">
        <f t="shared" si="91"/>
        <v>36.399999999999977</v>
      </c>
      <c r="CN204" s="1" t="str">
        <f t="shared" si="75"/>
        <v>0.0107986736111111+39.3071719444444i</v>
      </c>
      <c r="CO204" s="1" t="str">
        <f t="shared" si="76"/>
        <v>-0.0296666857448108i</v>
      </c>
      <c r="CP204" s="1" t="str">
        <f t="shared" si="77"/>
        <v>10.7986736111111</v>
      </c>
      <c r="CQ204" s="1" t="str">
        <f t="shared" si="78"/>
        <v>-0.712000457875459i</v>
      </c>
      <c r="CR204" s="1" t="str">
        <f t="shared" si="79"/>
        <v>0.0107986736111111+39.2775052586996i</v>
      </c>
      <c r="CS204" s="1" t="str">
        <f t="shared" si="80"/>
        <v>10.0391338690839+2.7598781352008i</v>
      </c>
      <c r="CT204" s="1" t="str">
        <f t="shared" si="81"/>
        <v>10.0391338690839+2.04787767732534i</v>
      </c>
      <c r="CU204" s="1" t="str">
        <f t="shared" si="82"/>
        <v>0.0191834803010191+17.4569670739274i</v>
      </c>
      <c r="CV204" s="1" t="str">
        <f t="shared" si="83"/>
        <v>6.35661337641046+5.10098816646946i</v>
      </c>
      <c r="CW204" s="2">
        <f t="shared" si="84"/>
        <v>36.399999999999977</v>
      </c>
      <c r="CX204" s="14">
        <f t="shared" si="85"/>
        <v>10.245877796590925</v>
      </c>
      <c r="CY204" s="14">
        <f t="shared" si="74"/>
        <v>17.456977614298044</v>
      </c>
      <c r="CZ204" s="14">
        <f t="shared" si="86"/>
        <v>8.1502523820812964</v>
      </c>
      <c r="DE204" s="14">
        <f t="shared" si="87"/>
        <v>36.399999999999977</v>
      </c>
      <c r="DF204" s="151">
        <f t="shared" si="88"/>
        <v>0.7954664835835823</v>
      </c>
      <c r="DH204" s="152">
        <f t="shared" si="89"/>
        <v>36.399999999999977</v>
      </c>
      <c r="DI204" s="1">
        <f t="shared" si="90"/>
        <v>0.466876486993137</v>
      </c>
    </row>
    <row r="205" spans="2:113" ht="18" customHeight="1" x14ac:dyDescent="0.3">
      <c r="B205" s="6"/>
      <c r="C205" s="30" t="s">
        <v>479</v>
      </c>
      <c r="AP205" s="8"/>
      <c r="AR205" s="6"/>
      <c r="CF205" s="8"/>
      <c r="CM205" s="2">
        <f t="shared" si="91"/>
        <v>36.59999999999998</v>
      </c>
      <c r="CN205" s="1" t="str">
        <f t="shared" si="75"/>
        <v>0.0107986736111111+39.5231454166667i</v>
      </c>
      <c r="CO205" s="1" t="str">
        <f t="shared" si="76"/>
        <v>-0.0295045727079539i</v>
      </c>
      <c r="CP205" s="1" t="str">
        <f t="shared" si="77"/>
        <v>10.7986736111111</v>
      </c>
      <c r="CQ205" s="1" t="str">
        <f t="shared" si="78"/>
        <v>-0.708109744990893i</v>
      </c>
      <c r="CR205" s="1" t="str">
        <f t="shared" si="79"/>
        <v>0.0107986736111111+39.4936408439587i</v>
      </c>
      <c r="CS205" s="1" t="str">
        <f t="shared" si="80"/>
        <v>10.0468467470723+2.74688526535696i</v>
      </c>
      <c r="CT205" s="1" t="str">
        <f t="shared" si="81"/>
        <v>10.0468467470723+2.03877552036607i</v>
      </c>
      <c r="CU205" s="1" t="str">
        <f t="shared" si="82"/>
        <v>0.0191834803010191+17.5528844754325i</v>
      </c>
      <c r="CV205" s="1" t="str">
        <f t="shared" si="83"/>
        <v>6.38449807206209+5.09707744494668i</v>
      </c>
      <c r="CW205" s="2">
        <f t="shared" si="84"/>
        <v>36.59999999999998</v>
      </c>
      <c r="CX205" s="14">
        <f t="shared" si="85"/>
        <v>10.251621100177337</v>
      </c>
      <c r="CY205" s="14">
        <f t="shared" si="74"/>
        <v>17.552894958205524</v>
      </c>
      <c r="CZ205" s="14">
        <f t="shared" si="86"/>
        <v>8.1695785761536523</v>
      </c>
      <c r="DE205" s="14">
        <f t="shared" si="87"/>
        <v>36.59999999999998</v>
      </c>
      <c r="DF205" s="151">
        <f t="shared" si="88"/>
        <v>0.79690602064997562</v>
      </c>
      <c r="DH205" s="152">
        <f t="shared" si="89"/>
        <v>36.59999999999998</v>
      </c>
      <c r="DI205" s="1">
        <f t="shared" si="90"/>
        <v>0.46542627843474876</v>
      </c>
    </row>
    <row r="206" spans="2:113" ht="18" customHeight="1" x14ac:dyDescent="0.25">
      <c r="B206" s="6"/>
      <c r="AP206" s="8"/>
      <c r="AR206" s="6"/>
      <c r="CF206" s="8"/>
      <c r="CM206" s="2">
        <f t="shared" si="91"/>
        <v>36.799999999999983</v>
      </c>
      <c r="CN206" s="1" t="str">
        <f t="shared" si="75"/>
        <v>0.0107986736111111+39.7391188888889i</v>
      </c>
      <c r="CO206" s="1" t="str">
        <f t="shared" si="76"/>
        <v>-0.0293442217693237i</v>
      </c>
      <c r="CP206" s="1" t="str">
        <f t="shared" si="77"/>
        <v>10.7986736111111</v>
      </c>
      <c r="CQ206" s="1" t="str">
        <f t="shared" si="78"/>
        <v>-0.704261322463769i</v>
      </c>
      <c r="CR206" s="1" t="str">
        <f t="shared" si="79"/>
        <v>0.0107986736111111+39.7097746671196i</v>
      </c>
      <c r="CS206" s="1" t="str">
        <f t="shared" si="80"/>
        <v>10.0544455504027+2.73400290164482i</v>
      </c>
      <c r="CT206" s="1" t="str">
        <f t="shared" si="81"/>
        <v>10.0544455504027+2.02974157918105i</v>
      </c>
      <c r="CU206" s="1" t="str">
        <f t="shared" si="82"/>
        <v>0.0191834803010191+17.6488018769376i</v>
      </c>
      <c r="CV206" s="1" t="str">
        <f t="shared" si="83"/>
        <v>6.41218509943389+5.09303963098629i</v>
      </c>
      <c r="CW206" s="2">
        <f t="shared" si="84"/>
        <v>36.799999999999983</v>
      </c>
      <c r="CX206" s="14">
        <f t="shared" si="85"/>
        <v>10.257276744061704</v>
      </c>
      <c r="CY206" s="14">
        <f t="shared" si="74"/>
        <v>17.648812302739064</v>
      </c>
      <c r="CZ206" s="14">
        <f t="shared" si="86"/>
        <v>8.188722148919144</v>
      </c>
      <c r="DE206" s="14">
        <f t="shared" si="87"/>
        <v>36.799999999999983</v>
      </c>
      <c r="DF206" s="151">
        <f t="shared" si="88"/>
        <v>0.79833296431822465</v>
      </c>
      <c r="DH206" s="152">
        <f t="shared" si="89"/>
        <v>36.799999999999983</v>
      </c>
      <c r="DI206" s="1">
        <f t="shared" si="90"/>
        <v>0.46398148546507617</v>
      </c>
    </row>
    <row r="207" spans="2:113" ht="18" customHeight="1" x14ac:dyDescent="0.25">
      <c r="B207" s="6"/>
      <c r="C207" s="153" t="s">
        <v>476</v>
      </c>
      <c r="D207" s="153"/>
      <c r="E207" s="153"/>
      <c r="F207" s="153"/>
      <c r="G207" s="153"/>
      <c r="H207" s="153"/>
      <c r="I207" s="153"/>
      <c r="J207" s="153"/>
      <c r="K207" s="153"/>
      <c r="L207" s="153"/>
      <c r="M207" s="153"/>
      <c r="N207" s="153"/>
      <c r="O207" s="153"/>
      <c r="P207" s="153"/>
      <c r="Q207" s="153"/>
      <c r="R207" s="153"/>
      <c r="S207" s="153"/>
      <c r="T207" s="153"/>
      <c r="U207" s="153"/>
      <c r="V207" s="153"/>
      <c r="W207" s="153"/>
      <c r="X207" s="153"/>
      <c r="Y207" s="153"/>
      <c r="Z207" s="153"/>
      <c r="AA207" s="153"/>
      <c r="AB207" s="153"/>
      <c r="AC207" s="153"/>
      <c r="AD207" s="153"/>
      <c r="AE207" s="153"/>
      <c r="AF207" s="153"/>
      <c r="AG207" s="153"/>
      <c r="AH207" s="153"/>
      <c r="AI207" s="153"/>
      <c r="AJ207" s="153"/>
      <c r="AK207" s="153"/>
      <c r="AL207" s="153"/>
      <c r="AM207" s="153"/>
      <c r="AN207" s="153"/>
      <c r="AO207" s="153"/>
      <c r="AP207" s="8"/>
      <c r="AR207" s="6"/>
      <c r="CF207" s="8"/>
      <c r="CM207" s="2">
        <f t="shared" si="91"/>
        <v>36.999999999999986</v>
      </c>
      <c r="CN207" s="1" t="str">
        <f t="shared" si="75"/>
        <v>0.0107986736111111+39.9550923611111i</v>
      </c>
      <c r="CO207" s="1" t="str">
        <f t="shared" si="76"/>
        <v>-0.0291856043543544i</v>
      </c>
      <c r="CP207" s="1" t="str">
        <f t="shared" si="77"/>
        <v>10.7986736111111</v>
      </c>
      <c r="CQ207" s="1" t="str">
        <f t="shared" si="78"/>
        <v>-0.700454504504505i</v>
      </c>
      <c r="CR207" s="1" t="str">
        <f t="shared" si="79"/>
        <v>0.0107986736111111+39.9259067567567i</v>
      </c>
      <c r="CS207" s="1" t="str">
        <f t="shared" si="80"/>
        <v>10.0619324601855+2.72122983628859i</v>
      </c>
      <c r="CT207" s="1" t="str">
        <f t="shared" si="81"/>
        <v>10.0619324601855+2.02077533178409i</v>
      </c>
      <c r="CU207" s="1" t="str">
        <f t="shared" si="82"/>
        <v>0.0191834803010191+17.7447192784427i</v>
      </c>
      <c r="CV207" s="1" t="str">
        <f t="shared" si="83"/>
        <v>6.43967532295928+5.08887754329051i</v>
      </c>
      <c r="CW207" s="2">
        <f t="shared" si="84"/>
        <v>36.999999999999986</v>
      </c>
      <c r="CX207" s="14">
        <f t="shared" si="85"/>
        <v>10.262846475266095</v>
      </c>
      <c r="CY207" s="14">
        <f t="shared" si="74"/>
        <v>17.744729647888509</v>
      </c>
      <c r="CZ207" s="14">
        <f t="shared" si="86"/>
        <v>8.2076849912589349</v>
      </c>
      <c r="DE207" s="14">
        <f t="shared" si="87"/>
        <v>36.999999999999986</v>
      </c>
      <c r="DF207" s="151">
        <f t="shared" si="88"/>
        <v>0.79974742007880728</v>
      </c>
      <c r="DH207" s="152">
        <f t="shared" si="89"/>
        <v>36.999999999999986</v>
      </c>
      <c r="DI207" s="1">
        <f t="shared" si="90"/>
        <v>0.46254212682443441</v>
      </c>
    </row>
    <row r="208" spans="2:113" ht="18" customHeight="1" x14ac:dyDescent="0.25">
      <c r="B208" s="6"/>
      <c r="C208" s="153"/>
      <c r="D208" s="153"/>
      <c r="E208" s="153"/>
      <c r="F208" s="153"/>
      <c r="G208" s="153"/>
      <c r="H208" s="153"/>
      <c r="I208" s="153"/>
      <c r="J208" s="153"/>
      <c r="K208" s="153"/>
      <c r="L208" s="153"/>
      <c r="M208" s="153"/>
      <c r="N208" s="153"/>
      <c r="O208" s="153"/>
      <c r="P208" s="153"/>
      <c r="Q208" s="153"/>
      <c r="R208" s="153"/>
      <c r="S208" s="153"/>
      <c r="T208" s="153"/>
      <c r="U208" s="153"/>
      <c r="V208" s="153"/>
      <c r="W208" s="153"/>
      <c r="X208" s="153"/>
      <c r="Y208" s="153"/>
      <c r="Z208" s="153"/>
      <c r="AA208" s="153"/>
      <c r="AB208" s="153"/>
      <c r="AC208" s="153"/>
      <c r="AD208" s="153"/>
      <c r="AE208" s="153"/>
      <c r="AF208" s="153"/>
      <c r="AG208" s="153"/>
      <c r="AH208" s="153"/>
      <c r="AI208" s="153"/>
      <c r="AJ208" s="153"/>
      <c r="AK208" s="153"/>
      <c r="AL208" s="153"/>
      <c r="AM208" s="153"/>
      <c r="AN208" s="153"/>
      <c r="AO208" s="153"/>
      <c r="AP208" s="8"/>
      <c r="AR208" s="6"/>
      <c r="CF208" s="8"/>
      <c r="CM208" s="2">
        <f t="shared" si="91"/>
        <v>37.199999999999989</v>
      </c>
      <c r="CN208" s="1" t="str">
        <f t="shared" si="75"/>
        <v>0.0107986736111111+40.1710658333333i</v>
      </c>
      <c r="CO208" s="1" t="str">
        <f t="shared" si="76"/>
        <v>-0.0290286925029869i</v>
      </c>
      <c r="CP208" s="1" t="str">
        <f t="shared" si="77"/>
        <v>10.7986736111111</v>
      </c>
      <c r="CQ208" s="1" t="str">
        <f t="shared" si="78"/>
        <v>-0.696688620071685i</v>
      </c>
      <c r="CR208" s="1" t="str">
        <f t="shared" si="79"/>
        <v>0.0107986736111111+40.1420371408303i</v>
      </c>
      <c r="CS208" s="1" t="str">
        <f t="shared" si="80"/>
        <v>10.0693096071181+2.70856487405517i</v>
      </c>
      <c r="CT208" s="1" t="str">
        <f t="shared" si="81"/>
        <v>10.0693096071181+2.01187625398348i</v>
      </c>
      <c r="CU208" s="1" t="str">
        <f t="shared" si="82"/>
        <v>0.0191834803010191+17.8406366799478i</v>
      </c>
      <c r="CV208" s="1" t="str">
        <f t="shared" si="83"/>
        <v>6.46696962578686+5.08459395503598i</v>
      </c>
      <c r="CW208" s="2">
        <f t="shared" si="84"/>
        <v>37.199999999999989</v>
      </c>
      <c r="CX208" s="14">
        <f t="shared" si="85"/>
        <v>10.268331998204161</v>
      </c>
      <c r="CY208" s="14">
        <f t="shared" si="74"/>
        <v>17.840646993643929</v>
      </c>
      <c r="CZ208" s="14">
        <f t="shared" si="86"/>
        <v>8.2264689769328285</v>
      </c>
      <c r="DE208" s="14">
        <f t="shared" si="87"/>
        <v>37.199999999999989</v>
      </c>
      <c r="DF208" s="151">
        <f t="shared" si="88"/>
        <v>0.80114949325475493</v>
      </c>
      <c r="DH208" s="152">
        <f t="shared" si="89"/>
        <v>37.199999999999989</v>
      </c>
      <c r="DI208" s="1">
        <f t="shared" si="90"/>
        <v>0.46110821989043882</v>
      </c>
    </row>
    <row r="209" spans="2:113" ht="18" customHeight="1" x14ac:dyDescent="0.25">
      <c r="B209" s="6"/>
      <c r="C209" s="153"/>
      <c r="D209" s="153"/>
      <c r="E209" s="153"/>
      <c r="F209" s="153"/>
      <c r="G209" s="153"/>
      <c r="H209" s="153"/>
      <c r="I209" s="153"/>
      <c r="J209" s="153"/>
      <c r="K209" s="153"/>
      <c r="L209" s="153"/>
      <c r="M209" s="153"/>
      <c r="N209" s="153"/>
      <c r="O209" s="153"/>
      <c r="P209" s="153"/>
      <c r="Q209" s="153"/>
      <c r="R209" s="153"/>
      <c r="S209" s="153"/>
      <c r="T209" s="153"/>
      <c r="U209" s="153"/>
      <c r="V209" s="153"/>
      <c r="W209" s="153"/>
      <c r="X209" s="153"/>
      <c r="Y209" s="153"/>
      <c r="Z209" s="153"/>
      <c r="AA209" s="153"/>
      <c r="AB209" s="153"/>
      <c r="AC209" s="153"/>
      <c r="AD209" s="153"/>
      <c r="AE209" s="153"/>
      <c r="AF209" s="153"/>
      <c r="AG209" s="153"/>
      <c r="AH209" s="153"/>
      <c r="AI209" s="153"/>
      <c r="AJ209" s="153"/>
      <c r="AK209" s="153"/>
      <c r="AL209" s="153"/>
      <c r="AM209" s="153"/>
      <c r="AN209" s="153"/>
      <c r="AO209" s="153"/>
      <c r="AP209" s="8"/>
      <c r="AR209" s="6"/>
      <c r="CF209" s="8"/>
      <c r="CM209" s="2">
        <f t="shared" si="91"/>
        <v>37.399999999999991</v>
      </c>
      <c r="CN209" s="1" t="str">
        <f t="shared" si="75"/>
        <v>0.0107986736111111+40.3870393055556i</v>
      </c>
      <c r="CO209" s="1" t="str">
        <f t="shared" si="76"/>
        <v>-0.0288734588532383i</v>
      </c>
      <c r="CP209" s="1" t="str">
        <f t="shared" si="77"/>
        <v>10.7986736111111</v>
      </c>
      <c r="CQ209" s="1" t="str">
        <f t="shared" si="78"/>
        <v>-0.692963012477719i</v>
      </c>
      <c r="CR209" s="1" t="str">
        <f t="shared" si="79"/>
        <v>0.0107986736111111+40.3581658467024i</v>
      </c>
      <c r="CS209" s="1" t="str">
        <f t="shared" si="80"/>
        <v>10.076579072831+2.69600683227555i</v>
      </c>
      <c r="CT209" s="1" t="str">
        <f t="shared" si="81"/>
        <v>10.076579072831+2.00304381979783i</v>
      </c>
      <c r="CU209" s="1" t="str">
        <f t="shared" si="82"/>
        <v>0.0191834803010191+17.9365540814529i</v>
      </c>
      <c r="CV209" s="1" t="str">
        <f t="shared" si="83"/>
        <v>6.49406890889373+5.08019159436976i</v>
      </c>
      <c r="CW209" s="2">
        <f t="shared" si="84"/>
        <v>37.399999999999991</v>
      </c>
      <c r="CX209" s="14">
        <f t="shared" si="85"/>
        <v>10.273734975900727</v>
      </c>
      <c r="CY209" s="14">
        <f t="shared" si="74"/>
        <v>17.936564339995602</v>
      </c>
      <c r="CZ209" s="14">
        <f t="shared" si="86"/>
        <v>8.2450759625952106</v>
      </c>
      <c r="DE209" s="14">
        <f t="shared" si="87"/>
        <v>37.399999999999991</v>
      </c>
      <c r="DF209" s="151">
        <f t="shared" si="88"/>
        <v>0.80253928896704252</v>
      </c>
      <c r="DH209" s="152">
        <f t="shared" si="89"/>
        <v>37.399999999999991</v>
      </c>
      <c r="DI209" s="1">
        <f t="shared" si="90"/>
        <v>0.45967978071530929</v>
      </c>
    </row>
    <row r="210" spans="2:113" ht="18" customHeight="1" x14ac:dyDescent="0.25">
      <c r="B210" s="6"/>
      <c r="C210" s="153"/>
      <c r="D210" s="153"/>
      <c r="E210" s="153"/>
      <c r="F210" s="153"/>
      <c r="G210" s="153"/>
      <c r="H210" s="153"/>
      <c r="I210" s="153"/>
      <c r="J210" s="153"/>
      <c r="K210" s="153"/>
      <c r="L210" s="153"/>
      <c r="M210" s="153"/>
      <c r="N210" s="153"/>
      <c r="O210" s="153"/>
      <c r="P210" s="153"/>
      <c r="Q210" s="153"/>
      <c r="R210" s="153"/>
      <c r="S210" s="153"/>
      <c r="T210" s="153"/>
      <c r="U210" s="153"/>
      <c r="V210" s="153"/>
      <c r="W210" s="153"/>
      <c r="X210" s="153"/>
      <c r="Y210" s="153"/>
      <c r="Z210" s="153"/>
      <c r="AA210" s="153"/>
      <c r="AB210" s="153"/>
      <c r="AC210" s="153"/>
      <c r="AD210" s="153"/>
      <c r="AE210" s="153"/>
      <c r="AF210" s="153"/>
      <c r="AG210" s="153"/>
      <c r="AH210" s="153"/>
      <c r="AI210" s="153"/>
      <c r="AJ210" s="153"/>
      <c r="AK210" s="153"/>
      <c r="AL210" s="153"/>
      <c r="AM210" s="153"/>
      <c r="AN210" s="153"/>
      <c r="AO210" s="153"/>
      <c r="AP210" s="8"/>
      <c r="AR210" s="6"/>
      <c r="CF210" s="8"/>
      <c r="CM210" s="2">
        <f t="shared" si="91"/>
        <v>37.599999999999994</v>
      </c>
      <c r="CN210" s="1" t="str">
        <f t="shared" si="75"/>
        <v>0.0107986736111111+40.6030127777778i</v>
      </c>
      <c r="CO210" s="1" t="str">
        <f t="shared" si="76"/>
        <v>-0.0287198766252955i</v>
      </c>
      <c r="CP210" s="1" t="str">
        <f t="shared" si="77"/>
        <v>10.7986736111111</v>
      </c>
      <c r="CQ210" s="1" t="str">
        <f t="shared" si="78"/>
        <v>-0.689277039007092i</v>
      </c>
      <c r="CR210" s="1" t="str">
        <f t="shared" si="79"/>
        <v>0.0107986736111111+40.5742929011525i</v>
      </c>
      <c r="CS210" s="1" t="str">
        <f t="shared" si="80"/>
        <v>10.0837428911948+2.68355454085518i</v>
      </c>
      <c r="CT210" s="1" t="str">
        <f t="shared" si="81"/>
        <v>10.0837428911948+1.99427750184809i</v>
      </c>
      <c r="CU210" s="1" t="str">
        <f t="shared" si="82"/>
        <v>0.0191834803010191+18.032471482958i</v>
      </c>
      <c r="CV210" s="1" t="str">
        <f t="shared" si="83"/>
        <v>6.52097409022315+5.07567314490945i</v>
      </c>
      <c r="CW210" s="2">
        <f t="shared" si="84"/>
        <v>37.599999999999994</v>
      </c>
      <c r="CX210" s="14">
        <f t="shared" si="85"/>
        <v>10.279057031172613</v>
      </c>
      <c r="CY210" s="14">
        <f t="shared" si="74"/>
        <v>18.032481686934016</v>
      </c>
      <c r="CZ210" s="14">
        <f t="shared" si="86"/>
        <v>8.263507787817268</v>
      </c>
      <c r="DE210" s="14">
        <f t="shared" si="87"/>
        <v>37.599999999999994</v>
      </c>
      <c r="DF210" s="151">
        <f t="shared" si="88"/>
        <v>0.80391691210167215</v>
      </c>
      <c r="DH210" s="152">
        <f t="shared" si="89"/>
        <v>37.599999999999994</v>
      </c>
      <c r="DI210" s="1">
        <f t="shared" si="90"/>
        <v>0.45825682406237261</v>
      </c>
    </row>
    <row r="211" spans="2:113" ht="18" customHeight="1" x14ac:dyDescent="0.25">
      <c r="B211" s="6"/>
      <c r="C211" s="153"/>
      <c r="D211" s="153"/>
      <c r="E211" s="153"/>
      <c r="F211" s="153"/>
      <c r="G211" s="153"/>
      <c r="H211" s="153"/>
      <c r="I211" s="153"/>
      <c r="J211" s="153"/>
      <c r="K211" s="153"/>
      <c r="L211" s="153"/>
      <c r="M211" s="153"/>
      <c r="N211" s="153"/>
      <c r="O211" s="153"/>
      <c r="P211" s="153"/>
      <c r="Q211" s="153"/>
      <c r="R211" s="153"/>
      <c r="S211" s="153"/>
      <c r="T211" s="153"/>
      <c r="U211" s="153"/>
      <c r="V211" s="153"/>
      <c r="W211" s="153"/>
      <c r="X211" s="153"/>
      <c r="Y211" s="153"/>
      <c r="Z211" s="153"/>
      <c r="AA211" s="153"/>
      <c r="AB211" s="153"/>
      <c r="AC211" s="153"/>
      <c r="AD211" s="153"/>
      <c r="AE211" s="153"/>
      <c r="AF211" s="153"/>
      <c r="AG211" s="153"/>
      <c r="AH211" s="153"/>
      <c r="AI211" s="153"/>
      <c r="AJ211" s="153"/>
      <c r="AK211" s="153"/>
      <c r="AL211" s="153"/>
      <c r="AM211" s="153"/>
      <c r="AN211" s="153"/>
      <c r="AO211" s="153"/>
      <c r="AP211" s="8"/>
      <c r="AR211" s="6"/>
      <c r="CF211" s="8"/>
      <c r="CM211" s="2">
        <f t="shared" si="91"/>
        <v>37.799999999999997</v>
      </c>
      <c r="CN211" s="1" t="str">
        <f t="shared" si="75"/>
        <v>0.0107986736111111+40.81898625i</v>
      </c>
      <c r="CO211" s="1" t="str">
        <f t="shared" si="76"/>
        <v>-0.0285679196061141i</v>
      </c>
      <c r="CP211" s="1" t="str">
        <f t="shared" si="77"/>
        <v>10.7986736111111</v>
      </c>
      <c r="CQ211" s="1" t="str">
        <f t="shared" si="78"/>
        <v>-0.685630070546737i</v>
      </c>
      <c r="CR211" s="1" t="str">
        <f t="shared" si="79"/>
        <v>0.0107986736111111+40.7904183303939i</v>
      </c>
      <c r="CS211" s="1" t="str">
        <f t="shared" si="80"/>
        <v>10.0908030495876+2.67120684227353i</v>
      </c>
      <c r="CT211" s="1" t="str">
        <f t="shared" si="81"/>
        <v>10.0908030495876+1.98557677172679i</v>
      </c>
      <c r="CU211" s="1" t="str">
        <f t="shared" si="82"/>
        <v>0.0191834803010191+18.1283888844631i</v>
      </c>
      <c r="CV211" s="1" t="str">
        <f t="shared" si="83"/>
        <v>6.54768610384632+5.07104124624637i</v>
      </c>
      <c r="CW211" s="2">
        <f t="shared" si="84"/>
        <v>37.799999999999997</v>
      </c>
      <c r="CX211" s="14">
        <f t="shared" si="85"/>
        <v>10.284299747770259</v>
      </c>
      <c r="CY211" s="14">
        <f t="shared" si="74"/>
        <v>18.128399034449853</v>
      </c>
      <c r="CZ211" s="14">
        <f t="shared" si="86"/>
        <v>8.2817662751151193</v>
      </c>
      <c r="DE211" s="14">
        <f t="shared" si="87"/>
        <v>37.799999999999997</v>
      </c>
      <c r="DF211" s="151">
        <f t="shared" si="88"/>
        <v>0.80528246727840458</v>
      </c>
      <c r="DH211" s="152">
        <f t="shared" si="89"/>
        <v>37.799999999999997</v>
      </c>
      <c r="DI211" s="1">
        <f t="shared" si="90"/>
        <v>0.45683936344169529</v>
      </c>
    </row>
    <row r="212" spans="2:113" ht="18" customHeight="1" x14ac:dyDescent="0.25">
      <c r="B212" s="6"/>
      <c r="C212" s="153"/>
      <c r="D212" s="153"/>
      <c r="E212" s="153"/>
      <c r="F212" s="153"/>
      <c r="G212" s="153"/>
      <c r="H212" s="153"/>
      <c r="I212" s="153"/>
      <c r="J212" s="153"/>
      <c r="K212" s="153"/>
      <c r="L212" s="153"/>
      <c r="M212" s="153"/>
      <c r="N212" s="153"/>
      <c r="O212" s="153"/>
      <c r="P212" s="153"/>
      <c r="Q212" s="153"/>
      <c r="R212" s="153"/>
      <c r="S212" s="153"/>
      <c r="T212" s="153"/>
      <c r="U212" s="153"/>
      <c r="V212" s="153"/>
      <c r="W212" s="153"/>
      <c r="X212" s="153"/>
      <c r="Y212" s="153"/>
      <c r="Z212" s="153"/>
      <c r="AA212" s="153"/>
      <c r="AB212" s="153"/>
      <c r="AC212" s="153"/>
      <c r="AD212" s="153"/>
      <c r="AE212" s="153"/>
      <c r="AF212" s="153"/>
      <c r="AG212" s="153"/>
      <c r="AH212" s="153"/>
      <c r="AI212" s="153"/>
      <c r="AJ212" s="153"/>
      <c r="AK212" s="153"/>
      <c r="AL212" s="153"/>
      <c r="AM212" s="153"/>
      <c r="AN212" s="153"/>
      <c r="AO212" s="153"/>
      <c r="AP212" s="8"/>
      <c r="AR212" s="6"/>
      <c r="CF212" s="8"/>
      <c r="CM212" s="2">
        <f t="shared" si="91"/>
        <v>38</v>
      </c>
      <c r="CN212" s="1" t="str">
        <f t="shared" si="75"/>
        <v>0.0107986736111111+41.0349597222222i</v>
      </c>
      <c r="CO212" s="1" t="str">
        <f t="shared" si="76"/>
        <v>-0.0284175621345029i</v>
      </c>
      <c r="CP212" s="1" t="str">
        <f t="shared" si="77"/>
        <v>10.7986736111111</v>
      </c>
      <c r="CQ212" s="1" t="str">
        <f t="shared" si="78"/>
        <v>-0.68202149122807i</v>
      </c>
      <c r="CR212" s="1" t="str">
        <f t="shared" si="79"/>
        <v>0.0107986736111111+41.0065421600877i</v>
      </c>
      <c r="CS212" s="1" t="str">
        <f t="shared" si="80"/>
        <v>10.097761490125+2.65896259157416i</v>
      </c>
      <c r="CT212" s="1" t="str">
        <f t="shared" si="81"/>
        <v>10.097761490125+1.97694110034609i</v>
      </c>
      <c r="CU212" s="1" t="str">
        <f t="shared" si="82"/>
        <v>0.0191834803010191+18.2243062859682i</v>
      </c>
      <c r="CV212" s="1" t="str">
        <f t="shared" si="83"/>
        <v>6.57420589914696+5.06629849445097i</v>
      </c>
      <c r="CW212" s="2">
        <f t="shared" si="84"/>
        <v>38</v>
      </c>
      <c r="CX212" s="14">
        <f t="shared" si="85"/>
        <v>10.289464671482627</v>
      </c>
      <c r="CY212" s="14">
        <f t="shared" si="74"/>
        <v>18.224316382533992</v>
      </c>
      <c r="CZ212" s="14">
        <f t="shared" si="86"/>
        <v>8.2998532299827357</v>
      </c>
      <c r="DE212" s="14">
        <f t="shared" si="87"/>
        <v>38</v>
      </c>
      <c r="DF212" s="151">
        <f t="shared" si="88"/>
        <v>0.80663605882100908</v>
      </c>
      <c r="DH212" s="152">
        <f t="shared" si="89"/>
        <v>38</v>
      </c>
      <c r="DI212" s="1">
        <f t="shared" si="90"/>
        <v>0.45542741114488389</v>
      </c>
    </row>
    <row r="213" spans="2:113" ht="18" customHeight="1" x14ac:dyDescent="0.25">
      <c r="B213" s="6"/>
      <c r="C213" s="153"/>
      <c r="D213" s="153"/>
      <c r="E213" s="153"/>
      <c r="F213" s="153"/>
      <c r="G213" s="153"/>
      <c r="H213" s="153"/>
      <c r="I213" s="153"/>
      <c r="J213" s="153"/>
      <c r="K213" s="153"/>
      <c r="L213" s="153"/>
      <c r="M213" s="153"/>
      <c r="N213" s="153"/>
      <c r="O213" s="153"/>
      <c r="P213" s="153"/>
      <c r="Q213" s="153"/>
      <c r="R213" s="153"/>
      <c r="S213" s="153"/>
      <c r="T213" s="153"/>
      <c r="U213" s="153"/>
      <c r="V213" s="153"/>
      <c r="W213" s="153"/>
      <c r="X213" s="153"/>
      <c r="Y213" s="153"/>
      <c r="Z213" s="153"/>
      <c r="AA213" s="153"/>
      <c r="AB213" s="153"/>
      <c r="AC213" s="153"/>
      <c r="AD213" s="153"/>
      <c r="AE213" s="153"/>
      <c r="AF213" s="153"/>
      <c r="AG213" s="153"/>
      <c r="AH213" s="153"/>
      <c r="AI213" s="153"/>
      <c r="AJ213" s="153"/>
      <c r="AK213" s="153"/>
      <c r="AL213" s="153"/>
      <c r="AM213" s="153"/>
      <c r="AN213" s="153"/>
      <c r="AO213" s="153"/>
      <c r="AP213" s="8"/>
      <c r="AR213" s="6"/>
      <c r="CF213" s="8"/>
      <c r="CM213" s="2">
        <f t="shared" si="91"/>
        <v>38.200000000000003</v>
      </c>
      <c r="CN213" s="1" t="str">
        <f t="shared" si="75"/>
        <v>0.0107986736111111+41.2509331944445i</v>
      </c>
      <c r="CO213" s="1" t="str">
        <f t="shared" si="76"/>
        <v>-0.0282687790866783i</v>
      </c>
      <c r="CP213" s="1" t="str">
        <f t="shared" si="77"/>
        <v>10.7986736111111</v>
      </c>
      <c r="CQ213" s="1" t="str">
        <f t="shared" si="78"/>
        <v>-0.678450698080279i</v>
      </c>
      <c r="CR213" s="1" t="str">
        <f t="shared" si="79"/>
        <v>0.0107986736111111+41.2226644153578i</v>
      </c>
      <c r="CS213" s="1" t="str">
        <f t="shared" si="80"/>
        <v>10.1046201108542+2.64682065634545i</v>
      </c>
      <c r="CT213" s="1" t="str">
        <f t="shared" si="81"/>
        <v>10.1046201108542+1.96836995826517i</v>
      </c>
      <c r="CU213" s="1" t="str">
        <f t="shared" si="82"/>
        <v>0.0191834803010191+18.3202236874733i</v>
      </c>
      <c r="CV213" s="1" t="str">
        <f t="shared" si="83"/>
        <v>6.60053444002967+5.06144744258111i</v>
      </c>
      <c r="CW213" s="2">
        <f t="shared" si="84"/>
        <v>38.200000000000003</v>
      </c>
      <c r="CX213" s="14">
        <f t="shared" si="85"/>
        <v>10.294553311206853</v>
      </c>
      <c r="CY213" s="14">
        <f t="shared" si="74"/>
        <v>18.32023373117752</v>
      </c>
      <c r="CZ213" s="14">
        <f t="shared" si="86"/>
        <v>8.3177704409311897</v>
      </c>
      <c r="DE213" s="14">
        <f t="shared" si="87"/>
        <v>38.200000000000003</v>
      </c>
      <c r="DF213" s="151">
        <f t="shared" si="88"/>
        <v>0.80797779072903408</v>
      </c>
      <c r="DH213" s="152">
        <f t="shared" si="89"/>
        <v>38.200000000000003</v>
      </c>
      <c r="DI213" s="1">
        <f t="shared" si="90"/>
        <v>0.45402097827911075</v>
      </c>
    </row>
    <row r="214" spans="2:113" ht="18" customHeight="1" x14ac:dyDescent="0.25">
      <c r="B214" s="6"/>
      <c r="C214" s="153"/>
      <c r="D214" s="153"/>
      <c r="E214" s="153"/>
      <c r="F214" s="153"/>
      <c r="G214" s="153"/>
      <c r="H214" s="153"/>
      <c r="I214" s="153"/>
      <c r="J214" s="153"/>
      <c r="K214" s="153"/>
      <c r="L214" s="153"/>
      <c r="M214" s="153"/>
      <c r="N214" s="153"/>
      <c r="O214" s="153"/>
      <c r="P214" s="153"/>
      <c r="Q214" s="153"/>
      <c r="R214" s="153"/>
      <c r="S214" s="153"/>
      <c r="T214" s="153"/>
      <c r="U214" s="153"/>
      <c r="V214" s="153"/>
      <c r="W214" s="153"/>
      <c r="X214" s="153"/>
      <c r="Y214" s="153"/>
      <c r="Z214" s="153"/>
      <c r="AA214" s="153"/>
      <c r="AB214" s="153"/>
      <c r="AC214" s="153"/>
      <c r="AD214" s="153"/>
      <c r="AE214" s="153"/>
      <c r="AF214" s="153"/>
      <c r="AG214" s="153"/>
      <c r="AH214" s="153"/>
      <c r="AI214" s="153"/>
      <c r="AJ214" s="153"/>
      <c r="AK214" s="153"/>
      <c r="AL214" s="153"/>
      <c r="AM214" s="153"/>
      <c r="AN214" s="153"/>
      <c r="AO214" s="153"/>
      <c r="AP214" s="8"/>
      <c r="AR214" s="6"/>
      <c r="CF214" s="8"/>
      <c r="CM214" s="2">
        <f t="shared" si="91"/>
        <v>38.400000000000006</v>
      </c>
      <c r="CN214" s="1" t="str">
        <f t="shared" si="75"/>
        <v>0.0107986736111111+41.4669066666667i</v>
      </c>
      <c r="CO214" s="1" t="str">
        <f t="shared" si="76"/>
        <v>-0.0281215458622685i</v>
      </c>
      <c r="CP214" s="1" t="str">
        <f t="shared" si="77"/>
        <v>10.7986736111111</v>
      </c>
      <c r="CQ214" s="1" t="str">
        <f t="shared" si="78"/>
        <v>-0.674917100694445i</v>
      </c>
      <c r="CR214" s="1" t="str">
        <f t="shared" si="79"/>
        <v>0.0107986736111111+41.4387851208044i</v>
      </c>
      <c r="CS214" s="1" t="str">
        <f t="shared" si="80"/>
        <v>10.111380766912+2.63477991669292i</v>
      </c>
      <c r="CT214" s="1" t="str">
        <f t="shared" si="81"/>
        <v>10.111380766912+1.95986281599848i</v>
      </c>
      <c r="CU214" s="1" t="str">
        <f t="shared" si="82"/>
        <v>0.0191834803010191+18.4161410889784i</v>
      </c>
      <c r="CV214" s="1" t="str">
        <f t="shared" si="83"/>
        <v>6.62667270414975+5.05649060119136i</v>
      </c>
      <c r="CW214" s="2">
        <f t="shared" si="84"/>
        <v>38.400000000000006</v>
      </c>
      <c r="CX214" s="14">
        <f t="shared" si="85"/>
        <v>10.299567139982699</v>
      </c>
      <c r="CY214" s="14">
        <f t="shared" si="74"/>
        <v>18.416151080371687</v>
      </c>
      <c r="CZ214" s="14">
        <f t="shared" si="86"/>
        <v>8.3355196795316804</v>
      </c>
      <c r="DE214" s="14">
        <f t="shared" si="87"/>
        <v>38.400000000000006</v>
      </c>
      <c r="DF214" s="151">
        <f t="shared" si="88"/>
        <v>0.80930776665102688</v>
      </c>
      <c r="DH214" s="152">
        <f t="shared" si="89"/>
        <v>38.400000000000006</v>
      </c>
      <c r="DI214" s="1">
        <f t="shared" si="90"/>
        <v>0.45262007480031319</v>
      </c>
    </row>
    <row r="215" spans="2:113" ht="18" customHeight="1" x14ac:dyDescent="0.25">
      <c r="B215" s="6"/>
      <c r="C215" s="153"/>
      <c r="D215" s="153"/>
      <c r="E215" s="153"/>
      <c r="F215" s="153"/>
      <c r="G215" s="153"/>
      <c r="H215" s="153"/>
      <c r="I215" s="153"/>
      <c r="J215" s="153"/>
      <c r="K215" s="153"/>
      <c r="L215" s="153"/>
      <c r="M215" s="153"/>
      <c r="N215" s="153"/>
      <c r="O215" s="153"/>
      <c r="P215" s="153"/>
      <c r="Q215" s="153"/>
      <c r="R215" s="153"/>
      <c r="S215" s="153"/>
      <c r="T215" s="153"/>
      <c r="U215" s="153"/>
      <c r="V215" s="153"/>
      <c r="W215" s="153"/>
      <c r="X215" s="153"/>
      <c r="Y215" s="153"/>
      <c r="Z215" s="153"/>
      <c r="AA215" s="153"/>
      <c r="AB215" s="153"/>
      <c r="AC215" s="153"/>
      <c r="AD215" s="153"/>
      <c r="AE215" s="153"/>
      <c r="AF215" s="153"/>
      <c r="AG215" s="153"/>
      <c r="AH215" s="153"/>
      <c r="AI215" s="153"/>
      <c r="AJ215" s="153"/>
      <c r="AK215" s="153"/>
      <c r="AL215" s="153"/>
      <c r="AM215" s="153"/>
      <c r="AN215" s="153"/>
      <c r="AO215" s="153"/>
      <c r="AP215" s="8"/>
      <c r="AR215" s="6"/>
      <c r="CF215" s="8"/>
      <c r="CM215" s="2">
        <f t="shared" si="91"/>
        <v>38.600000000000009</v>
      </c>
      <c r="CN215" s="1" t="str">
        <f t="shared" si="75"/>
        <v>0.0107986736111111+41.6828801388889i</v>
      </c>
      <c r="CO215" s="1" t="str">
        <f t="shared" si="76"/>
        <v>-0.0279758383707542i</v>
      </c>
      <c r="CP215" s="1" t="str">
        <f t="shared" si="77"/>
        <v>10.7986736111111</v>
      </c>
      <c r="CQ215" s="1" t="str">
        <f t="shared" si="78"/>
        <v>-0.6714201208981i</v>
      </c>
      <c r="CR215" s="1" t="str">
        <f t="shared" si="79"/>
        <v>0.0107986736111111+41.6549043005181i</v>
      </c>
      <c r="CS215" s="1" t="str">
        <f t="shared" si="80"/>
        <v>10.1180452716493+2.62283926520364i</v>
      </c>
      <c r="CT215" s="1" t="str">
        <f t="shared" si="81"/>
        <v>10.1180452716493+1.95141914430554i</v>
      </c>
      <c r="CU215" s="1" t="str">
        <f t="shared" si="82"/>
        <v>0.0191834803010191+18.5120584904835i</v>
      </c>
      <c r="CV215" s="1" t="str">
        <f t="shared" si="83"/>
        <v>6.65262168216605+5.05143043884424i</v>
      </c>
      <c r="CW215" s="2">
        <f t="shared" si="84"/>
        <v>38.600000000000009</v>
      </c>
      <c r="CX215" s="14">
        <f t="shared" si="85"/>
        <v>10.304507595994432</v>
      </c>
      <c r="CY215" s="14">
        <f t="shared" si="74"/>
        <v>18.512068430107934</v>
      </c>
      <c r="CZ215" s="14">
        <f t="shared" si="86"/>
        <v>8.3531027004645377</v>
      </c>
      <c r="DE215" s="14">
        <f t="shared" si="87"/>
        <v>38.600000000000009</v>
      </c>
      <c r="DF215" s="151">
        <f t="shared" si="88"/>
        <v>0.81062608985911566</v>
      </c>
      <c r="DH215" s="152">
        <f t="shared" si="89"/>
        <v>38.600000000000009</v>
      </c>
      <c r="DI215" s="1">
        <f t="shared" si="90"/>
        <v>0.45122470954564337</v>
      </c>
    </row>
    <row r="216" spans="2:113" ht="18" customHeight="1" x14ac:dyDescent="0.25">
      <c r="B216" s="6"/>
      <c r="C216" s="153"/>
      <c r="D216" s="153"/>
      <c r="E216" s="153"/>
      <c r="F216" s="153"/>
      <c r="G216" s="153"/>
      <c r="H216" s="153"/>
      <c r="I216" s="153"/>
      <c r="J216" s="153"/>
      <c r="K216" s="153"/>
      <c r="L216" s="153"/>
      <c r="M216" s="153"/>
      <c r="N216" s="153"/>
      <c r="O216" s="153"/>
      <c r="P216" s="153"/>
      <c r="Q216" s="153"/>
      <c r="R216" s="153"/>
      <c r="S216" s="153"/>
      <c r="T216" s="153"/>
      <c r="U216" s="153"/>
      <c r="V216" s="153"/>
      <c r="W216" s="153"/>
      <c r="X216" s="153"/>
      <c r="Y216" s="153"/>
      <c r="Z216" s="153"/>
      <c r="AA216" s="153"/>
      <c r="AB216" s="153"/>
      <c r="AC216" s="153"/>
      <c r="AD216" s="153"/>
      <c r="AE216" s="153"/>
      <c r="AF216" s="153"/>
      <c r="AG216" s="153"/>
      <c r="AH216" s="153"/>
      <c r="AI216" s="153"/>
      <c r="AJ216" s="153"/>
      <c r="AK216" s="153"/>
      <c r="AL216" s="153"/>
      <c r="AM216" s="153"/>
      <c r="AN216" s="153"/>
      <c r="AO216" s="153"/>
      <c r="AP216" s="8"/>
      <c r="AR216" s="6"/>
      <c r="CF216" s="8"/>
      <c r="CM216" s="2">
        <f t="shared" si="91"/>
        <v>38.800000000000011</v>
      </c>
      <c r="CN216" s="1" t="str">
        <f t="shared" si="75"/>
        <v>0.0107986736111111+41.8988536111111i</v>
      </c>
      <c r="CO216" s="1" t="str">
        <f t="shared" si="76"/>
        <v>-0.0278316330183276i</v>
      </c>
      <c r="CP216" s="1" t="str">
        <f t="shared" si="77"/>
        <v>10.7986736111111</v>
      </c>
      <c r="CQ216" s="1" t="str">
        <f t="shared" si="78"/>
        <v>-0.667959192439862i</v>
      </c>
      <c r="CR216" s="1" t="str">
        <f t="shared" si="79"/>
        <v>0.0107986736111111+41.8710219780928i</v>
      </c>
      <c r="CS216" s="1" t="str">
        <f t="shared" si="80"/>
        <v>10.1246153977228+2.61099760690332i</v>
      </c>
      <c r="CT216" s="1" t="str">
        <f t="shared" si="81"/>
        <v>10.1246153977228+1.94303841446346i</v>
      </c>
      <c r="CU216" s="1" t="str">
        <f t="shared" si="82"/>
        <v>0.0191834803010191+18.6079758919886i</v>
      </c>
      <c r="CV216" s="1" t="str">
        <f t="shared" si="83"/>
        <v>6.67838237701445+5.04626938262216i</v>
      </c>
      <c r="CW216" s="2">
        <f t="shared" si="84"/>
        <v>38.800000000000011</v>
      </c>
      <c r="CX216" s="14">
        <f t="shared" si="85"/>
        <v>10.309376083540959</v>
      </c>
      <c r="CY216" s="14">
        <f t="shared" si="74"/>
        <v>18.607985780377884</v>
      </c>
      <c r="CZ216" s="14">
        <f t="shared" si="86"/>
        <v>8.3705212415719377</v>
      </c>
      <c r="DE216" s="14">
        <f t="shared" si="87"/>
        <v>38.800000000000011</v>
      </c>
      <c r="DF216" s="151">
        <f t="shared" si="88"/>
        <v>0.81193286322492275</v>
      </c>
      <c r="DH216" s="152">
        <f t="shared" si="89"/>
        <v>38.800000000000011</v>
      </c>
      <c r="DI216" s="1">
        <f t="shared" si="90"/>
        <v>0.44983489026516044</v>
      </c>
    </row>
    <row r="217" spans="2:113" ht="18" customHeight="1" x14ac:dyDescent="0.25">
      <c r="B217" s="6"/>
      <c r="C217" s="153"/>
      <c r="D217" s="153"/>
      <c r="E217" s="153"/>
      <c r="F217" s="153"/>
      <c r="G217" s="153"/>
      <c r="H217" s="153"/>
      <c r="I217" s="153"/>
      <c r="J217" s="153"/>
      <c r="K217" s="153"/>
      <c r="L217" s="153"/>
      <c r="M217" s="153"/>
      <c r="N217" s="153"/>
      <c r="O217" s="153"/>
      <c r="P217" s="153"/>
      <c r="Q217" s="153"/>
      <c r="R217" s="153"/>
      <c r="S217" s="153"/>
      <c r="T217" s="153"/>
      <c r="U217" s="153"/>
      <c r="V217" s="153"/>
      <c r="W217" s="153"/>
      <c r="X217" s="153"/>
      <c r="Y217" s="153"/>
      <c r="Z217" s="153"/>
      <c r="AA217" s="153"/>
      <c r="AB217" s="153"/>
      <c r="AC217" s="153"/>
      <c r="AD217" s="153"/>
      <c r="AE217" s="153"/>
      <c r="AF217" s="153"/>
      <c r="AG217" s="153"/>
      <c r="AH217" s="153"/>
      <c r="AI217" s="153"/>
      <c r="AJ217" s="153"/>
      <c r="AK217" s="153"/>
      <c r="AL217" s="153"/>
      <c r="AM217" s="153"/>
      <c r="AN217" s="153"/>
      <c r="AO217" s="153"/>
      <c r="AP217" s="8"/>
      <c r="AR217" s="6"/>
      <c r="CF217" s="8"/>
      <c r="CM217" s="2">
        <f t="shared" si="91"/>
        <v>39.000000000000014</v>
      </c>
      <c r="CN217" s="1" t="str">
        <f t="shared" si="75"/>
        <v>0.0107986736111111+42.1148270833334i</v>
      </c>
      <c r="CO217" s="1" t="str">
        <f t="shared" si="76"/>
        <v>-0.0276889066951567i</v>
      </c>
      <c r="CP217" s="1" t="str">
        <f t="shared" si="77"/>
        <v>10.7986736111111</v>
      </c>
      <c r="CQ217" s="1" t="str">
        <f t="shared" si="78"/>
        <v>-0.664533760683761i</v>
      </c>
      <c r="CR217" s="1" t="str">
        <f t="shared" si="79"/>
        <v>0.0107986736111111+42.0871381766382i</v>
      </c>
      <c r="CS217" s="1" t="str">
        <f t="shared" si="80"/>
        <v>10.1310928781534+2.59925385920656i</v>
      </c>
      <c r="CT217" s="1" t="str">
        <f t="shared" si="81"/>
        <v>10.1310928781534+1.9347200985228i</v>
      </c>
      <c r="CU217" s="1" t="str">
        <f t="shared" si="82"/>
        <v>0.0191834803010191+18.7038932934937i</v>
      </c>
      <c r="CV217" s="1" t="str">
        <f t="shared" si="83"/>
        <v>6.70395580320317+5.04100981863992i</v>
      </c>
      <c r="CW217" s="2">
        <f t="shared" si="84"/>
        <v>39.000000000000014</v>
      </c>
      <c r="CX217" s="14">
        <f t="shared" si="85"/>
        <v>10.314173973973807</v>
      </c>
      <c r="CY217" s="14">
        <f t="shared" si="74"/>
        <v>18.703903131173316</v>
      </c>
      <c r="CZ217" s="14">
        <f t="shared" si="86"/>
        <v>8.3877770239155467</v>
      </c>
      <c r="DE217" s="14">
        <f t="shared" si="87"/>
        <v>39.000000000000014</v>
      </c>
      <c r="DF217" s="151">
        <f t="shared" si="88"/>
        <v>0.81322818919680717</v>
      </c>
      <c r="DH217" s="152">
        <f t="shared" si="89"/>
        <v>39.000000000000014</v>
      </c>
      <c r="DI217" s="1">
        <f t="shared" si="90"/>
        <v>0.44845062365276367</v>
      </c>
    </row>
    <row r="218" spans="2:113" ht="18" customHeight="1" x14ac:dyDescent="0.25">
      <c r="B218" s="6"/>
      <c r="C218" s="153"/>
      <c r="D218" s="153"/>
      <c r="E218" s="153"/>
      <c r="F218" s="153"/>
      <c r="G218" s="153"/>
      <c r="H218" s="153"/>
      <c r="I218" s="153"/>
      <c r="J218" s="153"/>
      <c r="K218" s="153"/>
      <c r="L218" s="153"/>
      <c r="M218" s="153"/>
      <c r="N218" s="153"/>
      <c r="O218" s="153"/>
      <c r="P218" s="153"/>
      <c r="Q218" s="153"/>
      <c r="R218" s="153"/>
      <c r="S218" s="153"/>
      <c r="T218" s="153"/>
      <c r="U218" s="153"/>
      <c r="V218" s="153"/>
      <c r="W218" s="153"/>
      <c r="X218" s="153"/>
      <c r="Y218" s="153"/>
      <c r="Z218" s="153"/>
      <c r="AA218" s="153"/>
      <c r="AB218" s="153"/>
      <c r="AC218" s="153"/>
      <c r="AD218" s="153"/>
      <c r="AE218" s="153"/>
      <c r="AF218" s="153"/>
      <c r="AG218" s="153"/>
      <c r="AH218" s="153"/>
      <c r="AI218" s="153"/>
      <c r="AJ218" s="153"/>
      <c r="AK218" s="153"/>
      <c r="AL218" s="153"/>
      <c r="AM218" s="153"/>
      <c r="AN218" s="153"/>
      <c r="AO218" s="153"/>
      <c r="AP218" s="8"/>
      <c r="AR218" s="6"/>
      <c r="CF218" s="8"/>
      <c r="CM218" s="2">
        <f t="shared" si="91"/>
        <v>39.200000000000017</v>
      </c>
      <c r="CN218" s="1" t="str">
        <f t="shared" si="75"/>
        <v>0.0107986736111111+42.3308005555556i</v>
      </c>
      <c r="CO218" s="1" t="str">
        <f t="shared" si="76"/>
        <v>-0.0275476367630385i</v>
      </c>
      <c r="CP218" s="1" t="str">
        <f t="shared" si="77"/>
        <v>10.7986736111111</v>
      </c>
      <c r="CQ218" s="1" t="str">
        <f t="shared" si="78"/>
        <v>-0.661143282312925i</v>
      </c>
      <c r="CR218" s="1" t="str">
        <f t="shared" si="79"/>
        <v>0.0107986736111111+42.3032529187926i</v>
      </c>
      <c r="CS218" s="1" t="str">
        <f t="shared" si="80"/>
        <v>10.1374794073559+2.58760695186088i</v>
      </c>
      <c r="CT218" s="1" t="str">
        <f t="shared" si="81"/>
        <v>10.1374794073559+1.92646366954795i</v>
      </c>
      <c r="CU218" s="1" t="str">
        <f t="shared" si="82"/>
        <v>0.0191834803010191+18.7998106949988i</v>
      </c>
      <c r="CV218" s="1" t="str">
        <f t="shared" si="83"/>
        <v>6.72934298612839+5.03565409255779i</v>
      </c>
      <c r="CW218" s="2">
        <f t="shared" si="84"/>
        <v>39.200000000000017</v>
      </c>
      <c r="CX218" s="14">
        <f t="shared" si="85"/>
        <v>10.318902606607598</v>
      </c>
      <c r="CY218" s="14">
        <f t="shared" si="74"/>
        <v>18.799820482486201</v>
      </c>
      <c r="CZ218" s="14">
        <f t="shared" si="86"/>
        <v>8.4048717518382983</v>
      </c>
      <c r="DE218" s="14">
        <f t="shared" si="87"/>
        <v>39.200000000000017</v>
      </c>
      <c r="DF218" s="151">
        <f t="shared" si="88"/>
        <v>0.81451216977824037</v>
      </c>
      <c r="DH218" s="152">
        <f t="shared" si="89"/>
        <v>39.200000000000017</v>
      </c>
      <c r="DI218" s="1">
        <f t="shared" si="90"/>
        <v>0.44707191537643842</v>
      </c>
    </row>
    <row r="219" spans="2:113" ht="18" customHeight="1" x14ac:dyDescent="0.25">
      <c r="B219" s="6"/>
      <c r="C219" s="153"/>
      <c r="D219" s="153"/>
      <c r="E219" s="153"/>
      <c r="F219" s="153"/>
      <c r="G219" s="153"/>
      <c r="H219" s="153"/>
      <c r="I219" s="153"/>
      <c r="J219" s="153"/>
      <c r="K219" s="153"/>
      <c r="L219" s="153"/>
      <c r="M219" s="153"/>
      <c r="N219" s="153"/>
      <c r="O219" s="153"/>
      <c r="P219" s="153"/>
      <c r="Q219" s="153"/>
      <c r="R219" s="153"/>
      <c r="S219" s="153"/>
      <c r="T219" s="153"/>
      <c r="U219" s="153"/>
      <c r="V219" s="153"/>
      <c r="W219" s="153"/>
      <c r="X219" s="153"/>
      <c r="Y219" s="153"/>
      <c r="Z219" s="153"/>
      <c r="AA219" s="153"/>
      <c r="AB219" s="153"/>
      <c r="AC219" s="153"/>
      <c r="AD219" s="153"/>
      <c r="AE219" s="153"/>
      <c r="AF219" s="153"/>
      <c r="AG219" s="153"/>
      <c r="AH219" s="153"/>
      <c r="AI219" s="153"/>
      <c r="AJ219" s="153"/>
      <c r="AK219" s="153"/>
      <c r="AL219" s="153"/>
      <c r="AM219" s="153"/>
      <c r="AN219" s="153"/>
      <c r="AO219" s="153"/>
      <c r="AP219" s="8"/>
      <c r="AR219" s="6"/>
      <c r="CF219" s="8"/>
      <c r="CM219" s="2">
        <f t="shared" si="91"/>
        <v>39.40000000000002</v>
      </c>
      <c r="CN219" s="1" t="str">
        <f t="shared" si="75"/>
        <v>0.0107986736111111+42.5467740277778i</v>
      </c>
      <c r="CO219" s="1" t="str">
        <f t="shared" si="76"/>
        <v>-0.0274078010434292i</v>
      </c>
      <c r="CP219" s="1" t="str">
        <f t="shared" si="77"/>
        <v>10.7986736111111</v>
      </c>
      <c r="CQ219" s="1" t="str">
        <f t="shared" si="78"/>
        <v>-0.657787225042301i</v>
      </c>
      <c r="CR219" s="1" t="str">
        <f t="shared" si="79"/>
        <v>0.0107986736111111+42.5193662267344i</v>
      </c>
      <c r="CS219" s="1" t="str">
        <f t="shared" si="80"/>
        <v>10.1437766421365+2.5760558268848i</v>
      </c>
      <c r="CT219" s="1" t="str">
        <f t="shared" si="81"/>
        <v>10.1437766421365+1.9182686018425i</v>
      </c>
      <c r="CU219" s="1" t="str">
        <f t="shared" si="82"/>
        <v>0.0191834803010191+18.8957280965039i</v>
      </c>
      <c r="CV219" s="1" t="str">
        <f t="shared" si="83"/>
        <v>6.7545449614101+5.03020451009412i</v>
      </c>
      <c r="CW219" s="2">
        <f t="shared" si="84"/>
        <v>39.40000000000002</v>
      </c>
      <c r="CX219" s="14">
        <f t="shared" si="85"/>
        <v>10.323563289599614</v>
      </c>
      <c r="CY219" s="14">
        <f t="shared" ref="CY219:CY272" si="92">SQRT(($DC$30^2)+(($DC$33*CW219)^2))</f>
        <v>18.895737834308644</v>
      </c>
      <c r="CZ219" s="14">
        <f t="shared" si="86"/>
        <v>8.4218071130299474</v>
      </c>
      <c r="DE219" s="14">
        <f t="shared" si="87"/>
        <v>39.40000000000002</v>
      </c>
      <c r="DF219" s="151">
        <f t="shared" si="88"/>
        <v>0.8157849065074686</v>
      </c>
      <c r="DH219" s="152">
        <f t="shared" si="89"/>
        <v>39.40000000000002</v>
      </c>
      <c r="DI219" s="1">
        <f t="shared" si="90"/>
        <v>0.4456987701077561</v>
      </c>
    </row>
    <row r="220" spans="2:113" ht="18" customHeight="1" x14ac:dyDescent="0.25">
      <c r="B220" s="6"/>
      <c r="C220" s="153"/>
      <c r="D220" s="153"/>
      <c r="E220" s="153"/>
      <c r="F220" s="153"/>
      <c r="G220" s="153"/>
      <c r="H220" s="153"/>
      <c r="I220" s="153"/>
      <c r="J220" s="153"/>
      <c r="K220" s="153"/>
      <c r="L220" s="153"/>
      <c r="M220" s="153"/>
      <c r="N220" s="153"/>
      <c r="O220" s="153"/>
      <c r="P220" s="153"/>
      <c r="Q220" s="153"/>
      <c r="R220" s="153"/>
      <c r="S220" s="153"/>
      <c r="T220" s="153"/>
      <c r="U220" s="153"/>
      <c r="V220" s="153"/>
      <c r="W220" s="153"/>
      <c r="X220" s="153"/>
      <c r="Y220" s="153"/>
      <c r="Z220" s="153"/>
      <c r="AA220" s="153"/>
      <c r="AB220" s="153"/>
      <c r="AC220" s="153"/>
      <c r="AD220" s="153"/>
      <c r="AE220" s="153"/>
      <c r="AF220" s="153"/>
      <c r="AG220" s="153"/>
      <c r="AH220" s="153"/>
      <c r="AI220" s="153"/>
      <c r="AJ220" s="153"/>
      <c r="AK220" s="153"/>
      <c r="AL220" s="153"/>
      <c r="AM220" s="153"/>
      <c r="AN220" s="153"/>
      <c r="AO220" s="153"/>
      <c r="AP220" s="8"/>
      <c r="AR220" s="6"/>
      <c r="CF220" s="8"/>
      <c r="CM220" s="2">
        <f t="shared" si="91"/>
        <v>39.600000000000023</v>
      </c>
      <c r="CN220" s="1" t="str">
        <f t="shared" ref="CN220:CN272" si="93">COMPLEX($AJ$39/$S$39,$AJ$39*CM220)</f>
        <v>0.0107986736111111+42.7627475i</v>
      </c>
      <c r="CO220" s="1" t="str">
        <f t="shared" ref="CO220:CO272" si="94">COMPLEX("0",-$AJ$36/CM220)</f>
        <v>-0.0272693778058361i</v>
      </c>
      <c r="CP220" s="1" t="str">
        <f t="shared" ref="CP220:CP272" si="95">COMPLEX($AJ$45,"0")</f>
        <v>10.7986736111111</v>
      </c>
      <c r="CQ220" s="1" t="str">
        <f t="shared" ref="CQ220:CQ272" si="96">COMPLEX("0",-$AJ$30/CM220)</f>
        <v>-0.654465067340067i</v>
      </c>
      <c r="CR220" s="1" t="str">
        <f t="shared" ref="CR220:CR272" si="97">IMSUM(CN220,CO220)</f>
        <v>0.0107986736111111+42.7354781221942i</v>
      </c>
      <c r="CS220" s="1" t="str">
        <f t="shared" ref="CS220:CS272" si="98">IMDIV(IMPRODUCT(CR220,CP220),IMSUM(CP220,CR220))</f>
        <v>10.1499862026628+2.56459943850066i</v>
      </c>
      <c r="CT220" s="1" t="str">
        <f t="shared" ref="CT220:CT272" si="99">IMSUM(CS220,CQ220)</f>
        <v>10.1499862026628+1.91013437116059i</v>
      </c>
      <c r="CU220" s="1" t="str">
        <f t="shared" ref="CU220:CU272" si="100">COMPLEX($DC$30,$DC$33*CW220)</f>
        <v>0.0191834803010191+18.991645498009i</v>
      </c>
      <c r="CV220" s="1" t="str">
        <f t="shared" ref="CV220:CV272" si="101">IMDIV(IMPRODUCT(CT220,CU220),IMSUM(CT220,CU220))</f>
        <v>6.77956277424793+5.02466333753779i</v>
      </c>
      <c r="CW220" s="2">
        <f t="shared" ref="CW220:CW272" si="102">CM220</f>
        <v>39.600000000000023</v>
      </c>
      <c r="CX220" s="14">
        <f t="shared" ref="CX220:CX272" si="103">IMABS(CT220)</f>
        <v>10.328157300803193</v>
      </c>
      <c r="CY220" s="14">
        <f t="shared" si="92"/>
        <v>18.991655186632933</v>
      </c>
      <c r="CZ220" s="14">
        <f t="shared" ref="CZ220:CZ272" si="104">IMABS(CV220)</f>
        <v>8.4385847785967449</v>
      </c>
      <c r="DE220" s="14">
        <f t="shared" ref="DE220:DE272" si="105">CW220</f>
        <v>39.600000000000023</v>
      </c>
      <c r="DF220" s="151">
        <f t="shared" ref="DF220:DF272" si="106">IMABS(IMDIV(CU220,IMSUM(CT220,CU220)))</f>
        <v>0.8170465004382238</v>
      </c>
      <c r="DH220" s="152">
        <f t="shared" ref="DH220:DH272" si="107">DE220</f>
        <v>39.600000000000023</v>
      </c>
      <c r="DI220" s="1">
        <f t="shared" ref="DI220:DI272" si="108">IMABS(IMDIV(CT220,IMSUM(CT220,CU220)))</f>
        <v>0.44433119155070477</v>
      </c>
    </row>
    <row r="221" spans="2:113" ht="18" customHeight="1" x14ac:dyDescent="0.25">
      <c r="B221" s="6"/>
      <c r="C221" s="153"/>
      <c r="D221" s="153"/>
      <c r="E221" s="153"/>
      <c r="F221" s="153"/>
      <c r="G221" s="153"/>
      <c r="H221" s="153"/>
      <c r="I221" s="153"/>
      <c r="J221" s="153"/>
      <c r="K221" s="153"/>
      <c r="L221" s="153"/>
      <c r="M221" s="153"/>
      <c r="N221" s="153"/>
      <c r="O221" s="153"/>
      <c r="P221" s="153"/>
      <c r="Q221" s="153"/>
      <c r="R221" s="153"/>
      <c r="S221" s="153"/>
      <c r="T221" s="153"/>
      <c r="U221" s="153"/>
      <c r="V221" s="153"/>
      <c r="W221" s="153"/>
      <c r="X221" s="153"/>
      <c r="Y221" s="153"/>
      <c r="Z221" s="153"/>
      <c r="AA221" s="153"/>
      <c r="AB221" s="153"/>
      <c r="AC221" s="153"/>
      <c r="AD221" s="153"/>
      <c r="AE221" s="153"/>
      <c r="AF221" s="153"/>
      <c r="AG221" s="153"/>
      <c r="AH221" s="153"/>
      <c r="AI221" s="153"/>
      <c r="AJ221" s="153"/>
      <c r="AK221" s="153"/>
      <c r="AL221" s="153"/>
      <c r="AM221" s="153"/>
      <c r="AN221" s="153"/>
      <c r="AO221" s="153"/>
      <c r="AP221" s="8"/>
      <c r="AR221" s="6"/>
      <c r="CF221" s="8"/>
      <c r="CM221" s="2">
        <f t="shared" ref="CM221:CM272" si="109">CM220+0.2</f>
        <v>39.800000000000026</v>
      </c>
      <c r="CN221" s="1" t="str">
        <f t="shared" si="93"/>
        <v>0.0107986736111111+42.9787209722223i</v>
      </c>
      <c r="CO221" s="1" t="str">
        <f t="shared" si="94"/>
        <v>-0.0271323457565606i</v>
      </c>
      <c r="CP221" s="1" t="str">
        <f t="shared" si="95"/>
        <v>10.7986736111111</v>
      </c>
      <c r="CQ221" s="1" t="str">
        <f t="shared" si="96"/>
        <v>-0.651176298157454i</v>
      </c>
      <c r="CR221" s="1" t="str">
        <f t="shared" si="97"/>
        <v>0.0107986736111111+42.9515886264657i</v>
      </c>
      <c r="CS221" s="1" t="str">
        <f t="shared" si="98"/>
        <v>10.1561096734048+2.5532367530624i</v>
      </c>
      <c r="CT221" s="1" t="str">
        <f t="shared" si="99"/>
        <v>10.1561096734048+1.90206045490495i</v>
      </c>
      <c r="CU221" s="1" t="str">
        <f t="shared" si="100"/>
        <v>0.0191834803010191+19.0875628995141i</v>
      </c>
      <c r="CV221" s="1" t="str">
        <f t="shared" si="101"/>
        <v>6.804397478796+5.0190328022598i</v>
      </c>
      <c r="CW221" s="2">
        <f t="shared" si="102"/>
        <v>39.800000000000026</v>
      </c>
      <c r="CX221" s="14">
        <f t="shared" si="103"/>
        <v>10.332685888593526</v>
      </c>
      <c r="CY221" s="14">
        <f t="shared" si="92"/>
        <v>19.087572539451504</v>
      </c>
      <c r="CZ221" s="14">
        <f t="shared" si="104"/>
        <v>8.455206403134417</v>
      </c>
      <c r="DE221" s="14">
        <f t="shared" si="105"/>
        <v>39.800000000000026</v>
      </c>
      <c r="DF221" s="151">
        <f t="shared" si="106"/>
        <v>0.81829705212158776</v>
      </c>
      <c r="DH221" s="152">
        <f t="shared" si="107"/>
        <v>39.800000000000026</v>
      </c>
      <c r="DI221" s="1">
        <f t="shared" si="108"/>
        <v>0.44296918246982997</v>
      </c>
    </row>
    <row r="222" spans="2:113" ht="18" customHeight="1" x14ac:dyDescent="0.25">
      <c r="B222" s="6"/>
      <c r="C222" s="153"/>
      <c r="D222" s="153"/>
      <c r="E222" s="153"/>
      <c r="F222" s="153"/>
      <c r="G222" s="153"/>
      <c r="H222" s="153"/>
      <c r="I222" s="153"/>
      <c r="J222" s="153"/>
      <c r="K222" s="153"/>
      <c r="L222" s="153"/>
      <c r="M222" s="153"/>
      <c r="N222" s="153"/>
      <c r="O222" s="153"/>
      <c r="P222" s="153"/>
      <c r="Q222" s="153"/>
      <c r="R222" s="153"/>
      <c r="S222" s="153"/>
      <c r="T222" s="153"/>
      <c r="U222" s="153"/>
      <c r="V222" s="153"/>
      <c r="W222" s="153"/>
      <c r="X222" s="153"/>
      <c r="Y222" s="153"/>
      <c r="Z222" s="153"/>
      <c r="AA222" s="153"/>
      <c r="AB222" s="153"/>
      <c r="AC222" s="153"/>
      <c r="AD222" s="153"/>
      <c r="AE222" s="153"/>
      <c r="AF222" s="153"/>
      <c r="AG222" s="153"/>
      <c r="AH222" s="153"/>
      <c r="AI222" s="153"/>
      <c r="AJ222" s="153"/>
      <c r="AK222" s="153"/>
      <c r="AL222" s="153"/>
      <c r="AM222" s="153"/>
      <c r="AN222" s="153"/>
      <c r="AO222" s="153"/>
      <c r="AP222" s="8"/>
      <c r="AR222" s="6"/>
      <c r="CF222" s="8"/>
      <c r="CM222" s="2">
        <f t="shared" si="109"/>
        <v>40.000000000000028</v>
      </c>
      <c r="CN222" s="1" t="str">
        <f t="shared" si="93"/>
        <v>0.0107986736111111+43.1946944444445i</v>
      </c>
      <c r="CO222" s="1" t="str">
        <f t="shared" si="94"/>
        <v>-0.0269966840277778i</v>
      </c>
      <c r="CP222" s="1" t="str">
        <f t="shared" si="95"/>
        <v>10.7986736111111</v>
      </c>
      <c r="CQ222" s="1" t="str">
        <f t="shared" si="96"/>
        <v>-0.647920416666666i</v>
      </c>
      <c r="CR222" s="1" t="str">
        <f t="shared" si="97"/>
        <v>0.0107986736111111+43.1676977604167i</v>
      </c>
      <c r="CS222" s="1" t="str">
        <f t="shared" si="98"/>
        <v>10.1621486040498+2.54196674897878i</v>
      </c>
      <c r="CT222" s="1" t="str">
        <f t="shared" si="99"/>
        <v>10.1621486040498+1.89404633231211i</v>
      </c>
      <c r="CU222" s="1" t="str">
        <f t="shared" si="100"/>
        <v>0.0191834803010191+19.1834803010192i</v>
      </c>
      <c r="CV222" s="1" t="str">
        <f t="shared" si="101"/>
        <v>6.82905013755731+5.01331509322433i</v>
      </c>
      <c r="CW222" s="2">
        <f t="shared" si="102"/>
        <v>40.000000000000028</v>
      </c>
      <c r="CX222" s="14">
        <f t="shared" si="103"/>
        <v>10.337150272668783</v>
      </c>
      <c r="CY222" s="14">
        <f t="shared" si="92"/>
        <v>19.183489892756938</v>
      </c>
      <c r="CZ222" s="14">
        <f t="shared" si="104"/>
        <v>8.4716736248053373</v>
      </c>
      <c r="DE222" s="14">
        <f t="shared" si="105"/>
        <v>40.000000000000028</v>
      </c>
      <c r="DF222" s="151">
        <f t="shared" si="106"/>
        <v>0.81953666158886007</v>
      </c>
      <c r="DH222" s="152">
        <f t="shared" si="107"/>
        <v>40.000000000000028</v>
      </c>
      <c r="DI222" s="1">
        <f t="shared" si="108"/>
        <v>0.44161274471773621</v>
      </c>
    </row>
    <row r="223" spans="2:113" ht="18" customHeight="1" x14ac:dyDescent="0.25">
      <c r="B223" s="6"/>
      <c r="C223" s="153"/>
      <c r="D223" s="153"/>
      <c r="E223" s="153"/>
      <c r="F223" s="153"/>
      <c r="G223" s="153"/>
      <c r="H223" s="153"/>
      <c r="I223" s="153"/>
      <c r="J223" s="153"/>
      <c r="K223" s="153"/>
      <c r="L223" s="153"/>
      <c r="M223" s="153"/>
      <c r="N223" s="153"/>
      <c r="O223" s="153"/>
      <c r="P223" s="153"/>
      <c r="Q223" s="153"/>
      <c r="R223" s="153"/>
      <c r="S223" s="153"/>
      <c r="T223" s="153"/>
      <c r="U223" s="153"/>
      <c r="V223" s="153"/>
      <c r="W223" s="153"/>
      <c r="X223" s="153"/>
      <c r="Y223" s="153"/>
      <c r="Z223" s="153"/>
      <c r="AA223" s="153"/>
      <c r="AB223" s="153"/>
      <c r="AC223" s="153"/>
      <c r="AD223" s="153"/>
      <c r="AE223" s="153"/>
      <c r="AF223" s="153"/>
      <c r="AG223" s="153"/>
      <c r="AH223" s="153"/>
      <c r="AI223" s="153"/>
      <c r="AJ223" s="153"/>
      <c r="AK223" s="153"/>
      <c r="AL223" s="153"/>
      <c r="AM223" s="153"/>
      <c r="AN223" s="153"/>
      <c r="AO223" s="153"/>
      <c r="AP223" s="8"/>
      <c r="AR223" s="6"/>
      <c r="CF223" s="8"/>
      <c r="CM223" s="2">
        <f t="shared" si="109"/>
        <v>40.200000000000031</v>
      </c>
      <c r="CN223" s="1" t="str">
        <f t="shared" si="93"/>
        <v>0.0107986736111111+43.4106679166667i</v>
      </c>
      <c r="CO223" s="1" t="str">
        <f t="shared" si="94"/>
        <v>-0.026862372166943i</v>
      </c>
      <c r="CP223" s="1" t="str">
        <f t="shared" si="95"/>
        <v>10.7986736111111</v>
      </c>
      <c r="CQ223" s="1" t="str">
        <f t="shared" si="96"/>
        <v>-0.644696932006633i</v>
      </c>
      <c r="CR223" s="1" t="str">
        <f t="shared" si="97"/>
        <v>0.0107986736111111+43.3838055444998i</v>
      </c>
      <c r="CS223" s="1" t="str">
        <f t="shared" si="98"/>
        <v>10.1681045103893+2.5307884166324i</v>
      </c>
      <c r="CT223" s="1" t="str">
        <f t="shared" si="99"/>
        <v>10.1681045103893+1.88609148462577i</v>
      </c>
      <c r="CU223" s="1" t="str">
        <f t="shared" si="100"/>
        <v>0.0191834803010191+19.2793977025243i</v>
      </c>
      <c r="CV223" s="1" t="str">
        <f t="shared" si="101"/>
        <v>6.85352182079578+5.00751236149759i</v>
      </c>
      <c r="CW223" s="2">
        <f t="shared" si="102"/>
        <v>40.200000000000031</v>
      </c>
      <c r="CX223" s="14">
        <f t="shared" si="103"/>
        <v>10.341551644824731</v>
      </c>
      <c r="CY223" s="14">
        <f t="shared" si="92"/>
        <v>19.279407246541968</v>
      </c>
      <c r="CZ223" s="14">
        <f t="shared" si="104"/>
        <v>8.4879880654178042</v>
      </c>
      <c r="DE223" s="14">
        <f t="shared" si="105"/>
        <v>40.200000000000031</v>
      </c>
      <c r="DF223" s="151">
        <f t="shared" si="106"/>
        <v>0.82076542833545463</v>
      </c>
      <c r="DH223" s="152">
        <f t="shared" si="107"/>
        <v>40.200000000000031</v>
      </c>
      <c r="DI223" s="1">
        <f t="shared" si="108"/>
        <v>0.4402618792618862</v>
      </c>
    </row>
    <row r="224" spans="2:113" ht="18" customHeight="1" x14ac:dyDescent="0.25">
      <c r="B224" s="6"/>
      <c r="C224" s="153"/>
      <c r="D224" s="153"/>
      <c r="E224" s="153"/>
      <c r="F224" s="153"/>
      <c r="G224" s="153"/>
      <c r="H224" s="153"/>
      <c r="I224" s="153"/>
      <c r="J224" s="153"/>
      <c r="K224" s="153"/>
      <c r="L224" s="153"/>
      <c r="M224" s="153"/>
      <c r="N224" s="153"/>
      <c r="O224" s="153"/>
      <c r="P224" s="153"/>
      <c r="Q224" s="153"/>
      <c r="R224" s="153"/>
      <c r="S224" s="153"/>
      <c r="T224" s="153"/>
      <c r="U224" s="153"/>
      <c r="V224" s="153"/>
      <c r="W224" s="153"/>
      <c r="X224" s="153"/>
      <c r="Y224" s="153"/>
      <c r="Z224" s="153"/>
      <c r="AA224" s="153"/>
      <c r="AB224" s="153"/>
      <c r="AC224" s="153"/>
      <c r="AD224" s="153"/>
      <c r="AE224" s="153"/>
      <c r="AF224" s="153"/>
      <c r="AG224" s="153"/>
      <c r="AH224" s="153"/>
      <c r="AI224" s="153"/>
      <c r="AJ224" s="153"/>
      <c r="AK224" s="153"/>
      <c r="AL224" s="153"/>
      <c r="AM224" s="153"/>
      <c r="AN224" s="153"/>
      <c r="AO224" s="153"/>
      <c r="AP224" s="8"/>
      <c r="AR224" s="6"/>
      <c r="CF224" s="8"/>
      <c r="CM224" s="2">
        <f t="shared" si="109"/>
        <v>40.400000000000034</v>
      </c>
      <c r="CN224" s="1" t="str">
        <f t="shared" si="93"/>
        <v>0.0107986736111111+43.6266413888889i</v>
      </c>
      <c r="CO224" s="1" t="str">
        <f t="shared" si="94"/>
        <v>-0.0267293901265126i</v>
      </c>
      <c r="CP224" s="1" t="str">
        <f t="shared" si="95"/>
        <v>10.7986736111111</v>
      </c>
      <c r="CQ224" s="1" t="str">
        <f t="shared" si="96"/>
        <v>-0.641505363036303i</v>
      </c>
      <c r="CR224" s="1" t="str">
        <f t="shared" si="97"/>
        <v>0.0107986736111111+43.5999119987624i</v>
      </c>
      <c r="CS224" s="1" t="str">
        <f t="shared" si="98"/>
        <v>10.1739788751824+2.51970075829493i</v>
      </c>
      <c r="CT224" s="1" t="str">
        <f t="shared" si="99"/>
        <v>10.1739788751824+1.87819539525863i</v>
      </c>
      <c r="CU224" s="1" t="str">
        <f t="shared" si="100"/>
        <v>0.0191834803010191+19.3753151040294i</v>
      </c>
      <c r="CV224" s="1" t="str">
        <f t="shared" si="101"/>
        <v>6.87781360596723+5.00162672075636i</v>
      </c>
      <c r="CW224" s="2">
        <f t="shared" si="102"/>
        <v>40.400000000000034</v>
      </c>
      <c r="CX224" s="14">
        <f t="shared" si="103"/>
        <v>10.345891169707345</v>
      </c>
      <c r="CY224" s="14">
        <f t="shared" si="92"/>
        <v>19.375324600799477</v>
      </c>
      <c r="CZ224" s="14">
        <f t="shared" si="104"/>
        <v>8.5041513305098206</v>
      </c>
      <c r="DE224" s="14">
        <f t="shared" si="105"/>
        <v>40.400000000000034</v>
      </c>
      <c r="DF224" s="151">
        <f t="shared" si="106"/>
        <v>0.82198345130575889</v>
      </c>
      <c r="DH224" s="152">
        <f t="shared" si="107"/>
        <v>40.400000000000034</v>
      </c>
      <c r="DI224" s="1">
        <f t="shared" si="108"/>
        <v>0.43891658621083968</v>
      </c>
    </row>
    <row r="225" spans="2:113" ht="18" customHeight="1" x14ac:dyDescent="0.25">
      <c r="B225" s="6"/>
      <c r="C225" s="153"/>
      <c r="D225" s="153"/>
      <c r="E225" s="153"/>
      <c r="F225" s="153"/>
      <c r="G225" s="153"/>
      <c r="H225" s="153"/>
      <c r="I225" s="153"/>
      <c r="J225" s="153"/>
      <c r="K225" s="153"/>
      <c r="L225" s="153"/>
      <c r="M225" s="153"/>
      <c r="N225" s="153"/>
      <c r="O225" s="153"/>
      <c r="P225" s="153"/>
      <c r="Q225" s="153"/>
      <c r="R225" s="153"/>
      <c r="S225" s="153"/>
      <c r="T225" s="153"/>
      <c r="U225" s="153"/>
      <c r="V225" s="153"/>
      <c r="W225" s="153"/>
      <c r="X225" s="153"/>
      <c r="Y225" s="153"/>
      <c r="Z225" s="153"/>
      <c r="AA225" s="153"/>
      <c r="AB225" s="153"/>
      <c r="AC225" s="153"/>
      <c r="AD225" s="153"/>
      <c r="AE225" s="153"/>
      <c r="AF225" s="153"/>
      <c r="AG225" s="153"/>
      <c r="AH225" s="153"/>
      <c r="AI225" s="153"/>
      <c r="AJ225" s="153"/>
      <c r="AK225" s="153"/>
      <c r="AL225" s="153"/>
      <c r="AM225" s="153"/>
      <c r="AN225" s="153"/>
      <c r="AO225" s="153"/>
      <c r="AP225" s="8"/>
      <c r="AR225" s="6"/>
      <c r="AS225" s="153" t="s">
        <v>477</v>
      </c>
      <c r="AT225" s="179"/>
      <c r="AU225" s="179"/>
      <c r="AV225" s="179"/>
      <c r="AW225" s="179"/>
      <c r="AX225" s="179"/>
      <c r="AY225" s="179"/>
      <c r="AZ225" s="179"/>
      <c r="BA225" s="179"/>
      <c r="BB225" s="179"/>
      <c r="BC225" s="179"/>
      <c r="BD225" s="179"/>
      <c r="BE225" s="179"/>
      <c r="BF225" s="179"/>
      <c r="BG225" s="179"/>
      <c r="BH225" s="179"/>
      <c r="BI225" s="179"/>
      <c r="BJ225" s="179"/>
      <c r="BK225" s="179"/>
      <c r="BL225" s="179"/>
      <c r="BM225" s="179"/>
      <c r="BN225" s="179"/>
      <c r="BO225" s="179"/>
      <c r="BP225" s="179"/>
      <c r="BQ225" s="179"/>
      <c r="BR225" s="179"/>
      <c r="BS225" s="179"/>
      <c r="BT225" s="179"/>
      <c r="BU225" s="179"/>
      <c r="BV225" s="179"/>
      <c r="BW225" s="179"/>
      <c r="BX225" s="179"/>
      <c r="BY225" s="179"/>
      <c r="BZ225" s="179"/>
      <c r="CA225" s="179"/>
      <c r="CB225" s="179"/>
      <c r="CC225" s="179"/>
      <c r="CD225" s="179"/>
      <c r="CE225" s="179"/>
      <c r="CF225" s="8"/>
      <c r="CM225" s="2">
        <f t="shared" si="109"/>
        <v>40.600000000000037</v>
      </c>
      <c r="CN225" s="1" t="str">
        <f t="shared" si="93"/>
        <v>0.0107986736111111+43.8426148611112i</v>
      </c>
      <c r="CO225" s="1" t="str">
        <f t="shared" si="94"/>
        <v>-0.0265977182539682i</v>
      </c>
      <c r="CP225" s="1" t="str">
        <f t="shared" si="95"/>
        <v>10.7986736111111</v>
      </c>
      <c r="CQ225" s="1" t="str">
        <f t="shared" si="96"/>
        <v>-0.638345238095238i</v>
      </c>
      <c r="CR225" s="1" t="str">
        <f t="shared" si="97"/>
        <v>0.0107986736111111+43.8160171428572i</v>
      </c>
      <c r="CS225" s="1" t="str">
        <f t="shared" si="98"/>
        <v>10.1797731489926+2.50870278803864i</v>
      </c>
      <c r="CT225" s="1" t="str">
        <f t="shared" si="99"/>
        <v>10.1797731489926+1.8703575499434i</v>
      </c>
      <c r="CU225" s="1" t="str">
        <f t="shared" si="100"/>
        <v>0.0191834803010191+19.4712325055345i</v>
      </c>
      <c r="CV225" s="1" t="str">
        <f t="shared" si="101"/>
        <v>6.90192657716741+4.99566024779353i</v>
      </c>
      <c r="CW225" s="2">
        <f t="shared" si="102"/>
        <v>40.600000000000037</v>
      </c>
      <c r="CX225" s="14">
        <f t="shared" si="103"/>
        <v>10.350169985540381</v>
      </c>
      <c r="CY225" s="14">
        <f t="shared" si="92"/>
        <v>19.47124195552248</v>
      </c>
      <c r="CZ225" s="14">
        <f t="shared" si="104"/>
        <v>8.5201650094346384</v>
      </c>
      <c r="DE225" s="14">
        <f t="shared" si="105"/>
        <v>40.600000000000037</v>
      </c>
      <c r="DF225" s="151">
        <f t="shared" si="106"/>
        <v>0.82319082887891371</v>
      </c>
      <c r="DH225" s="152">
        <f t="shared" si="107"/>
        <v>40.600000000000037</v>
      </c>
      <c r="DI225" s="1">
        <f t="shared" si="108"/>
        <v>0.43757686483979663</v>
      </c>
    </row>
    <row r="226" spans="2:113" ht="18" customHeight="1" x14ac:dyDescent="0.25">
      <c r="B226" s="6"/>
      <c r="C226" s="153"/>
      <c r="D226" s="153"/>
      <c r="E226" s="153"/>
      <c r="F226" s="153"/>
      <c r="G226" s="153"/>
      <c r="H226" s="153"/>
      <c r="I226" s="153"/>
      <c r="J226" s="153"/>
      <c r="K226" s="153"/>
      <c r="L226" s="153"/>
      <c r="M226" s="153"/>
      <c r="N226" s="153"/>
      <c r="O226" s="153"/>
      <c r="P226" s="153"/>
      <c r="Q226" s="153"/>
      <c r="R226" s="153"/>
      <c r="S226" s="153"/>
      <c r="T226" s="153"/>
      <c r="U226" s="153"/>
      <c r="V226" s="153"/>
      <c r="W226" s="153"/>
      <c r="X226" s="153"/>
      <c r="Y226" s="153"/>
      <c r="Z226" s="153"/>
      <c r="AA226" s="153"/>
      <c r="AB226" s="153"/>
      <c r="AC226" s="153"/>
      <c r="AD226" s="153"/>
      <c r="AE226" s="153"/>
      <c r="AF226" s="153"/>
      <c r="AG226" s="153"/>
      <c r="AH226" s="153"/>
      <c r="AI226" s="153"/>
      <c r="AJ226" s="153"/>
      <c r="AK226" s="153"/>
      <c r="AL226" s="153"/>
      <c r="AM226" s="153"/>
      <c r="AN226" s="153"/>
      <c r="AO226" s="153"/>
      <c r="AP226" s="8"/>
      <c r="AR226" s="6"/>
      <c r="AS226" s="179"/>
      <c r="AT226" s="179"/>
      <c r="AU226" s="179"/>
      <c r="AV226" s="179"/>
      <c r="AW226" s="179"/>
      <c r="AX226" s="179"/>
      <c r="AY226" s="179"/>
      <c r="AZ226" s="179"/>
      <c r="BA226" s="179"/>
      <c r="BB226" s="179"/>
      <c r="BC226" s="179"/>
      <c r="BD226" s="179"/>
      <c r="BE226" s="179"/>
      <c r="BF226" s="179"/>
      <c r="BG226" s="179"/>
      <c r="BH226" s="179"/>
      <c r="BI226" s="179"/>
      <c r="BJ226" s="179"/>
      <c r="BK226" s="179"/>
      <c r="BL226" s="179"/>
      <c r="BM226" s="179"/>
      <c r="BN226" s="179"/>
      <c r="BO226" s="179"/>
      <c r="BP226" s="179"/>
      <c r="BQ226" s="179"/>
      <c r="BR226" s="179"/>
      <c r="BS226" s="179"/>
      <c r="BT226" s="179"/>
      <c r="BU226" s="179"/>
      <c r="BV226" s="179"/>
      <c r="BW226" s="179"/>
      <c r="BX226" s="179"/>
      <c r="BY226" s="179"/>
      <c r="BZ226" s="179"/>
      <c r="CA226" s="179"/>
      <c r="CB226" s="179"/>
      <c r="CC226" s="179"/>
      <c r="CD226" s="179"/>
      <c r="CE226" s="179"/>
      <c r="CF226" s="8"/>
      <c r="CM226" s="2">
        <f t="shared" si="109"/>
        <v>40.80000000000004</v>
      </c>
      <c r="CN226" s="1" t="str">
        <f t="shared" si="93"/>
        <v>0.0107986736111111+44.0585883333334i</v>
      </c>
      <c r="CO226" s="1" t="str">
        <f t="shared" si="94"/>
        <v>-0.0264673372821351i</v>
      </c>
      <c r="CP226" s="1" t="str">
        <f t="shared" si="95"/>
        <v>10.7986736111111</v>
      </c>
      <c r="CQ226" s="1" t="str">
        <f t="shared" si="96"/>
        <v>-0.635216094771241i</v>
      </c>
      <c r="CR226" s="1" t="str">
        <f t="shared" si="97"/>
        <v>0.0107986736111111+44.0321209960513i</v>
      </c>
      <c r="CS226" s="1" t="str">
        <f t="shared" si="98"/>
        <v>10.1854887510019+2.49779353164497i</v>
      </c>
      <c r="CT226" s="1" t="str">
        <f t="shared" si="99"/>
        <v>10.1854887510019+1.86257743687373i</v>
      </c>
      <c r="CU226" s="1" t="str">
        <f t="shared" si="100"/>
        <v>0.0191834803010191+19.5671499070396i</v>
      </c>
      <c r="CV226" s="1" t="str">
        <f t="shared" si="101"/>
        <v>6.92586182459764+4.98961498302261i</v>
      </c>
      <c r="CW226" s="2">
        <f t="shared" si="102"/>
        <v>40.80000000000004</v>
      </c>
      <c r="CX226" s="14">
        <f t="shared" si="103"/>
        <v>10.354389204831802</v>
      </c>
      <c r="CY226" s="14">
        <f t="shared" si="92"/>
        <v>19.567159310704131</v>
      </c>
      <c r="CZ226" s="14">
        <f t="shared" si="104"/>
        <v>8.5360306754499593</v>
      </c>
      <c r="DE226" s="14">
        <f t="shared" si="105"/>
        <v>40.80000000000004</v>
      </c>
      <c r="DF226" s="151">
        <f t="shared" si="106"/>
        <v>0.82438765885550069</v>
      </c>
      <c r="DH226" s="152">
        <f t="shared" si="107"/>
        <v>40.80000000000004</v>
      </c>
      <c r="DI226" s="1">
        <f t="shared" si="108"/>
        <v>0.43624271361558109</v>
      </c>
    </row>
    <row r="227" spans="2:113" ht="18" customHeight="1" x14ac:dyDescent="0.25">
      <c r="B227" s="6"/>
      <c r="C227" s="153"/>
      <c r="D227" s="153"/>
      <c r="E227" s="153"/>
      <c r="F227" s="153"/>
      <c r="G227" s="153"/>
      <c r="H227" s="153"/>
      <c r="I227" s="153"/>
      <c r="J227" s="153"/>
      <c r="K227" s="153"/>
      <c r="L227" s="153"/>
      <c r="M227" s="153"/>
      <c r="N227" s="153"/>
      <c r="O227" s="153"/>
      <c r="P227" s="153"/>
      <c r="Q227" s="153"/>
      <c r="R227" s="153"/>
      <c r="S227" s="153"/>
      <c r="T227" s="153"/>
      <c r="U227" s="153"/>
      <c r="V227" s="153"/>
      <c r="W227" s="153"/>
      <c r="X227" s="153"/>
      <c r="Y227" s="153"/>
      <c r="Z227" s="153"/>
      <c r="AA227" s="153"/>
      <c r="AB227" s="153"/>
      <c r="AC227" s="153"/>
      <c r="AD227" s="153"/>
      <c r="AE227" s="153"/>
      <c r="AF227" s="153"/>
      <c r="AG227" s="153"/>
      <c r="AH227" s="153"/>
      <c r="AI227" s="153"/>
      <c r="AJ227" s="153"/>
      <c r="AK227" s="153"/>
      <c r="AL227" s="153"/>
      <c r="AM227" s="153"/>
      <c r="AN227" s="153"/>
      <c r="AO227" s="153"/>
      <c r="AP227" s="8"/>
      <c r="AR227" s="6"/>
      <c r="AS227" s="179"/>
      <c r="AT227" s="179"/>
      <c r="AU227" s="179"/>
      <c r="AV227" s="179"/>
      <c r="AW227" s="179"/>
      <c r="AX227" s="179"/>
      <c r="AY227" s="179"/>
      <c r="AZ227" s="179"/>
      <c r="BA227" s="179"/>
      <c r="BB227" s="179"/>
      <c r="BC227" s="179"/>
      <c r="BD227" s="179"/>
      <c r="BE227" s="179"/>
      <c r="BF227" s="179"/>
      <c r="BG227" s="179"/>
      <c r="BH227" s="179"/>
      <c r="BI227" s="179"/>
      <c r="BJ227" s="179"/>
      <c r="BK227" s="179"/>
      <c r="BL227" s="179"/>
      <c r="BM227" s="179"/>
      <c r="BN227" s="179"/>
      <c r="BO227" s="179"/>
      <c r="BP227" s="179"/>
      <c r="BQ227" s="179"/>
      <c r="BR227" s="179"/>
      <c r="BS227" s="179"/>
      <c r="BT227" s="179"/>
      <c r="BU227" s="179"/>
      <c r="BV227" s="179"/>
      <c r="BW227" s="179"/>
      <c r="BX227" s="179"/>
      <c r="BY227" s="179"/>
      <c r="BZ227" s="179"/>
      <c r="CA227" s="179"/>
      <c r="CB227" s="179"/>
      <c r="CC227" s="179"/>
      <c r="CD227" s="179"/>
      <c r="CE227" s="179"/>
      <c r="CF227" s="8"/>
      <c r="CM227" s="2">
        <f t="shared" si="109"/>
        <v>41.000000000000043</v>
      </c>
      <c r="CN227" s="1" t="str">
        <f t="shared" si="93"/>
        <v>0.0107986736111111+44.2745618055556i</v>
      </c>
      <c r="CO227" s="1" t="str">
        <f t="shared" si="94"/>
        <v>-0.0263382283197832i</v>
      </c>
      <c r="CP227" s="1" t="str">
        <f t="shared" si="95"/>
        <v>10.7986736111111</v>
      </c>
      <c r="CQ227" s="1" t="str">
        <f t="shared" si="96"/>
        <v>-0.632117479674796i</v>
      </c>
      <c r="CR227" s="1" t="str">
        <f t="shared" si="97"/>
        <v>0.0107986736111111+44.2482235772358i</v>
      </c>
      <c r="CS227" s="1" t="str">
        <f t="shared" si="98"/>
        <v>10.1911270698016+2.48697202650995i</v>
      </c>
      <c r="CT227" s="1" t="str">
        <f t="shared" si="99"/>
        <v>10.1911270698016+1.85485454683515i</v>
      </c>
      <c r="CU227" s="1" t="str">
        <f t="shared" si="100"/>
        <v>0.0191834803010191+19.6630673085447i</v>
      </c>
      <c r="CV227" s="1" t="str">
        <f t="shared" si="101"/>
        <v>6.94962044404726+4.98349293097954i</v>
      </c>
      <c r="CW227" s="2">
        <f t="shared" si="102"/>
        <v>41.000000000000043</v>
      </c>
      <c r="CX227" s="14">
        <f t="shared" si="103"/>
        <v>10.358549915058477</v>
      </c>
      <c r="CY227" s="14">
        <f t="shared" si="92"/>
        <v>19.663076666337712</v>
      </c>
      <c r="CZ227" s="14">
        <f t="shared" si="104"/>
        <v>8.5517498858094925</v>
      </c>
      <c r="DE227" s="14">
        <f t="shared" si="105"/>
        <v>41.000000000000043</v>
      </c>
      <c r="DF227" s="151">
        <f t="shared" si="106"/>
        <v>0.82557403844505506</v>
      </c>
      <c r="DH227" s="152">
        <f t="shared" si="107"/>
        <v>41.000000000000043</v>
      </c>
      <c r="DI227" s="1">
        <f t="shared" si="108"/>
        <v>0.43491413022101999</v>
      </c>
    </row>
    <row r="228" spans="2:113" ht="18" customHeight="1" x14ac:dyDescent="0.25">
      <c r="B228" s="6"/>
      <c r="C228" s="153"/>
      <c r="D228" s="153"/>
      <c r="E228" s="153"/>
      <c r="F228" s="153"/>
      <c r="G228" s="153"/>
      <c r="H228" s="153"/>
      <c r="I228" s="153"/>
      <c r="J228" s="153"/>
      <c r="K228" s="153"/>
      <c r="L228" s="153"/>
      <c r="M228" s="153"/>
      <c r="N228" s="153"/>
      <c r="O228" s="153"/>
      <c r="P228" s="153"/>
      <c r="Q228" s="153"/>
      <c r="R228" s="153"/>
      <c r="S228" s="153"/>
      <c r="T228" s="153"/>
      <c r="U228" s="153"/>
      <c r="V228" s="153"/>
      <c r="W228" s="153"/>
      <c r="X228" s="153"/>
      <c r="Y228" s="153"/>
      <c r="Z228" s="153"/>
      <c r="AA228" s="153"/>
      <c r="AB228" s="153"/>
      <c r="AC228" s="153"/>
      <c r="AD228" s="153"/>
      <c r="AE228" s="153"/>
      <c r="AF228" s="153"/>
      <c r="AG228" s="153"/>
      <c r="AH228" s="153"/>
      <c r="AI228" s="153"/>
      <c r="AJ228" s="153"/>
      <c r="AK228" s="153"/>
      <c r="AL228" s="153"/>
      <c r="AM228" s="153"/>
      <c r="AN228" s="153"/>
      <c r="AO228" s="153"/>
      <c r="AP228" s="8"/>
      <c r="AR228" s="6"/>
      <c r="AS228" s="179"/>
      <c r="AT228" s="179"/>
      <c r="AU228" s="179"/>
      <c r="AV228" s="179"/>
      <c r="AW228" s="179"/>
      <c r="AX228" s="179"/>
      <c r="AY228" s="179"/>
      <c r="AZ228" s="179"/>
      <c r="BA228" s="179"/>
      <c r="BB228" s="179"/>
      <c r="BC228" s="179"/>
      <c r="BD228" s="179"/>
      <c r="BE228" s="179"/>
      <c r="BF228" s="179"/>
      <c r="BG228" s="179"/>
      <c r="BH228" s="179"/>
      <c r="BI228" s="179"/>
      <c r="BJ228" s="179"/>
      <c r="BK228" s="179"/>
      <c r="BL228" s="179"/>
      <c r="BM228" s="179"/>
      <c r="BN228" s="179"/>
      <c r="BO228" s="179"/>
      <c r="BP228" s="179"/>
      <c r="BQ228" s="179"/>
      <c r="BR228" s="179"/>
      <c r="BS228" s="179"/>
      <c r="BT228" s="179"/>
      <c r="BU228" s="179"/>
      <c r="BV228" s="179"/>
      <c r="BW228" s="179"/>
      <c r="BX228" s="179"/>
      <c r="BY228" s="179"/>
      <c r="BZ228" s="179"/>
      <c r="CA228" s="179"/>
      <c r="CB228" s="179"/>
      <c r="CC228" s="179"/>
      <c r="CD228" s="179"/>
      <c r="CE228" s="179"/>
      <c r="CF228" s="8"/>
      <c r="CM228" s="2">
        <f t="shared" si="109"/>
        <v>41.200000000000045</v>
      </c>
      <c r="CN228" s="1" t="str">
        <f t="shared" si="93"/>
        <v>0.0107986736111111+44.4905352777778i</v>
      </c>
      <c r="CO228" s="1" t="str">
        <f t="shared" si="94"/>
        <v>-0.0262103728425027i</v>
      </c>
      <c r="CP228" s="1" t="str">
        <f t="shared" si="95"/>
        <v>10.7986736111111</v>
      </c>
      <c r="CQ228" s="1" t="str">
        <f t="shared" si="96"/>
        <v>-0.629048948220064i</v>
      </c>
      <c r="CR228" s="1" t="str">
        <f t="shared" si="97"/>
        <v>0.0107986736111111+44.4643249049353i</v>
      </c>
      <c r="CS228" s="1" t="str">
        <f t="shared" si="98"/>
        <v>10.1966894641599+2.47623732154708i</v>
      </c>
      <c r="CT228" s="1" t="str">
        <f t="shared" si="99"/>
        <v>10.1966894641599+1.84718837332702i</v>
      </c>
      <c r="CU228" s="1" t="str">
        <f t="shared" si="100"/>
        <v>0.0191834803010191+19.7589847100498i</v>
      </c>
      <c r="CV228" s="1" t="str">
        <f t="shared" si="101"/>
        <v>6.97320353639242+4.97729606082199i</v>
      </c>
      <c r="CW228" s="2">
        <f t="shared" si="102"/>
        <v>41.200000000000045</v>
      </c>
      <c r="CX228" s="14">
        <f t="shared" si="103"/>
        <v>10.362653179329319</v>
      </c>
      <c r="CY228" s="14">
        <f t="shared" si="92"/>
        <v>19.758994022416651</v>
      </c>
      <c r="CZ228" s="14">
        <f t="shared" si="104"/>
        <v>8.5673241818568915</v>
      </c>
      <c r="DE228" s="14">
        <f t="shared" si="105"/>
        <v>41.200000000000045</v>
      </c>
      <c r="DF228" s="151">
        <f t="shared" si="106"/>
        <v>0.82675006425443132</v>
      </c>
      <c r="DH228" s="152">
        <f t="shared" si="107"/>
        <v>41.200000000000045</v>
      </c>
      <c r="DI228" s="1">
        <f t="shared" si="108"/>
        <v>0.43359111157871877</v>
      </c>
    </row>
    <row r="229" spans="2:113" ht="18" customHeight="1" x14ac:dyDescent="0.25">
      <c r="B229" s="6"/>
      <c r="C229" s="153"/>
      <c r="D229" s="153"/>
      <c r="E229" s="153"/>
      <c r="F229" s="153"/>
      <c r="G229" s="153"/>
      <c r="H229" s="153"/>
      <c r="I229" s="153"/>
      <c r="J229" s="153"/>
      <c r="K229" s="153"/>
      <c r="L229" s="153"/>
      <c r="M229" s="153"/>
      <c r="N229" s="153"/>
      <c r="O229" s="153"/>
      <c r="P229" s="153"/>
      <c r="Q229" s="153"/>
      <c r="R229" s="153"/>
      <c r="S229" s="153"/>
      <c r="T229" s="153"/>
      <c r="U229" s="153"/>
      <c r="V229" s="153"/>
      <c r="W229" s="153"/>
      <c r="X229" s="153"/>
      <c r="Y229" s="153"/>
      <c r="Z229" s="153"/>
      <c r="AA229" s="153"/>
      <c r="AB229" s="153"/>
      <c r="AC229" s="153"/>
      <c r="AD229" s="153"/>
      <c r="AE229" s="153"/>
      <c r="AF229" s="153"/>
      <c r="AG229" s="153"/>
      <c r="AH229" s="153"/>
      <c r="AI229" s="153"/>
      <c r="AJ229" s="153"/>
      <c r="AK229" s="153"/>
      <c r="AL229" s="153"/>
      <c r="AM229" s="153"/>
      <c r="AN229" s="153"/>
      <c r="AO229" s="153"/>
      <c r="AP229" s="8"/>
      <c r="AR229" s="6"/>
      <c r="AS229" s="179"/>
      <c r="AT229" s="179"/>
      <c r="AU229" s="179"/>
      <c r="AV229" s="179"/>
      <c r="AW229" s="179"/>
      <c r="AX229" s="179"/>
      <c r="AY229" s="179"/>
      <c r="AZ229" s="179"/>
      <c r="BA229" s="179"/>
      <c r="BB229" s="179"/>
      <c r="BC229" s="179"/>
      <c r="BD229" s="179"/>
      <c r="BE229" s="179"/>
      <c r="BF229" s="179"/>
      <c r="BG229" s="179"/>
      <c r="BH229" s="179"/>
      <c r="BI229" s="179"/>
      <c r="BJ229" s="179"/>
      <c r="BK229" s="179"/>
      <c r="BL229" s="179"/>
      <c r="BM229" s="179"/>
      <c r="BN229" s="179"/>
      <c r="BO229" s="179"/>
      <c r="BP229" s="179"/>
      <c r="BQ229" s="179"/>
      <c r="BR229" s="179"/>
      <c r="BS229" s="179"/>
      <c r="BT229" s="179"/>
      <c r="BU229" s="179"/>
      <c r="BV229" s="179"/>
      <c r="BW229" s="179"/>
      <c r="BX229" s="179"/>
      <c r="BY229" s="179"/>
      <c r="BZ229" s="179"/>
      <c r="CA229" s="179"/>
      <c r="CB229" s="179"/>
      <c r="CC229" s="179"/>
      <c r="CD229" s="179"/>
      <c r="CE229" s="179"/>
      <c r="CF229" s="8"/>
      <c r="CM229" s="2">
        <f t="shared" si="109"/>
        <v>41.400000000000048</v>
      </c>
      <c r="CN229" s="1" t="str">
        <f t="shared" si="93"/>
        <v>0.0107986736111111+44.7065087500001i</v>
      </c>
      <c r="CO229" s="1" t="str">
        <f t="shared" si="94"/>
        <v>-0.0260837526838432i</v>
      </c>
      <c r="CP229" s="1" t="str">
        <f t="shared" si="95"/>
        <v>10.7986736111111</v>
      </c>
      <c r="CQ229" s="1" t="str">
        <f t="shared" si="96"/>
        <v>-0.626010064412238i</v>
      </c>
      <c r="CR229" s="1" t="str">
        <f t="shared" si="97"/>
        <v>0.0107986736111111+44.6804249973163i</v>
      </c>
      <c r="CS229" s="1" t="str">
        <f t="shared" si="98"/>
        <v>10.2021772637686+2.46558847708783i</v>
      </c>
      <c r="CT229" s="1" t="str">
        <f t="shared" si="99"/>
        <v>10.2021772637686+1.83957841267559i</v>
      </c>
      <c r="CU229" s="1" t="str">
        <f t="shared" si="100"/>
        <v>0.0191834803010191+19.8549021115549i</v>
      </c>
      <c r="CV229" s="1" t="str">
        <f t="shared" si="101"/>
        <v>6.99661220711116+4.9710263068263i</v>
      </c>
      <c r="CW229" s="2">
        <f t="shared" si="102"/>
        <v>41.400000000000048</v>
      </c>
      <c r="CX229" s="14">
        <f t="shared" si="103"/>
        <v>10.366700037029094</v>
      </c>
      <c r="CY229" s="14">
        <f t="shared" si="92"/>
        <v>19.854911378934489</v>
      </c>
      <c r="CZ229" s="14">
        <f t="shared" si="104"/>
        <v>8.5827550891223741</v>
      </c>
      <c r="DE229" s="14">
        <f t="shared" si="105"/>
        <v>41.400000000000048</v>
      </c>
      <c r="DF229" s="151">
        <f t="shared" si="106"/>
        <v>0.82791583227694532</v>
      </c>
      <c r="DH229" s="152">
        <f t="shared" si="107"/>
        <v>41.400000000000048</v>
      </c>
      <c r="DI229" s="1">
        <f t="shared" si="108"/>
        <v>0.43227365387429728</v>
      </c>
    </row>
    <row r="230" spans="2:113" ht="18" customHeight="1" x14ac:dyDescent="0.25">
      <c r="B230" s="6"/>
      <c r="C230" s="153"/>
      <c r="D230" s="153"/>
      <c r="E230" s="153"/>
      <c r="F230" s="153"/>
      <c r="G230" s="153"/>
      <c r="H230" s="153"/>
      <c r="I230" s="153"/>
      <c r="J230" s="153"/>
      <c r="K230" s="153"/>
      <c r="L230" s="153"/>
      <c r="M230" s="153"/>
      <c r="N230" s="153"/>
      <c r="O230" s="153"/>
      <c r="P230" s="153"/>
      <c r="Q230" s="153"/>
      <c r="R230" s="153"/>
      <c r="S230" s="153"/>
      <c r="T230" s="153"/>
      <c r="U230" s="153"/>
      <c r="V230" s="153"/>
      <c r="W230" s="153"/>
      <c r="X230" s="153"/>
      <c r="Y230" s="153"/>
      <c r="Z230" s="153"/>
      <c r="AA230" s="153"/>
      <c r="AB230" s="153"/>
      <c r="AC230" s="153"/>
      <c r="AD230" s="153"/>
      <c r="AE230" s="153"/>
      <c r="AF230" s="153"/>
      <c r="AG230" s="153"/>
      <c r="AH230" s="153"/>
      <c r="AI230" s="153"/>
      <c r="AJ230" s="153"/>
      <c r="AK230" s="153"/>
      <c r="AL230" s="153"/>
      <c r="AM230" s="153"/>
      <c r="AN230" s="153"/>
      <c r="AO230" s="153"/>
      <c r="AP230" s="8"/>
      <c r="AR230" s="6"/>
      <c r="AS230" s="179"/>
      <c r="AT230" s="179"/>
      <c r="AU230" s="179"/>
      <c r="AV230" s="179"/>
      <c r="AW230" s="179"/>
      <c r="AX230" s="179"/>
      <c r="AY230" s="179"/>
      <c r="AZ230" s="179"/>
      <c r="BA230" s="179"/>
      <c r="BB230" s="179"/>
      <c r="BC230" s="179"/>
      <c r="BD230" s="179"/>
      <c r="BE230" s="179"/>
      <c r="BF230" s="179"/>
      <c r="BG230" s="179"/>
      <c r="BH230" s="179"/>
      <c r="BI230" s="179"/>
      <c r="BJ230" s="179"/>
      <c r="BK230" s="179"/>
      <c r="BL230" s="179"/>
      <c r="BM230" s="179"/>
      <c r="BN230" s="179"/>
      <c r="BO230" s="179"/>
      <c r="BP230" s="179"/>
      <c r="BQ230" s="179"/>
      <c r="BR230" s="179"/>
      <c r="BS230" s="179"/>
      <c r="BT230" s="179"/>
      <c r="BU230" s="179"/>
      <c r="BV230" s="179"/>
      <c r="BW230" s="179"/>
      <c r="BX230" s="179"/>
      <c r="BY230" s="179"/>
      <c r="BZ230" s="179"/>
      <c r="CA230" s="179"/>
      <c r="CB230" s="179"/>
      <c r="CC230" s="179"/>
      <c r="CD230" s="179"/>
      <c r="CE230" s="179"/>
      <c r="CF230" s="8"/>
      <c r="CM230" s="2">
        <f t="shared" si="109"/>
        <v>41.600000000000051</v>
      </c>
      <c r="CN230" s="1" t="str">
        <f t="shared" si="93"/>
        <v>0.0107986736111111+44.9224822222223i</v>
      </c>
      <c r="CO230" s="1" t="str">
        <f t="shared" si="94"/>
        <v>-0.0259583500267094i</v>
      </c>
      <c r="CP230" s="1" t="str">
        <f t="shared" si="95"/>
        <v>10.7986736111111</v>
      </c>
      <c r="CQ230" s="1" t="str">
        <f t="shared" si="96"/>
        <v>-0.623000400641025i</v>
      </c>
      <c r="CR230" s="1" t="str">
        <f t="shared" si="97"/>
        <v>0.0107986736111111+44.8965238721956i</v>
      </c>
      <c r="CS230" s="1" t="str">
        <f t="shared" si="98"/>
        <v>10.207591769968+2.45502456477993i</v>
      </c>
      <c r="CT230" s="1" t="str">
        <f t="shared" si="99"/>
        <v>10.207591769968+1.8320241641389i</v>
      </c>
      <c r="CU230" s="1" t="str">
        <f t="shared" si="100"/>
        <v>0.0191834803010191+19.95081951306i</v>
      </c>
      <c r="CV230" s="1" t="str">
        <f t="shared" si="101"/>
        <v>7.01984756581389+4.96468556888129i</v>
      </c>
      <c r="CW230" s="2">
        <f t="shared" si="102"/>
        <v>41.600000000000051</v>
      </c>
      <c r="CX230" s="14">
        <f t="shared" si="103"/>
        <v>10.370691504442087</v>
      </c>
      <c r="CY230" s="14">
        <f t="shared" si="92"/>
        <v>19.950828735884897</v>
      </c>
      <c r="CZ230" s="14">
        <f t="shared" si="104"/>
        <v>8.5980441174212032</v>
      </c>
      <c r="DE230" s="14">
        <f t="shared" si="105"/>
        <v>41.600000000000051</v>
      </c>
      <c r="DF230" s="151">
        <f t="shared" si="106"/>
        <v>0.82907143788226534</v>
      </c>
      <c r="DH230" s="152">
        <f t="shared" si="107"/>
        <v>41.600000000000051</v>
      </c>
      <c r="DI230" s="1">
        <f t="shared" si="108"/>
        <v>0.43096175257903774</v>
      </c>
    </row>
    <row r="231" spans="2:113" ht="18" customHeight="1" x14ac:dyDescent="0.25">
      <c r="B231" s="6"/>
      <c r="C231" s="153"/>
      <c r="D231" s="153"/>
      <c r="E231" s="153"/>
      <c r="F231" s="153"/>
      <c r="G231" s="153"/>
      <c r="H231" s="153"/>
      <c r="I231" s="153"/>
      <c r="J231" s="153"/>
      <c r="K231" s="153"/>
      <c r="L231" s="153"/>
      <c r="M231" s="153"/>
      <c r="N231" s="153"/>
      <c r="O231" s="153"/>
      <c r="P231" s="153"/>
      <c r="Q231" s="153"/>
      <c r="R231" s="153"/>
      <c r="S231" s="153"/>
      <c r="T231" s="153"/>
      <c r="U231" s="153"/>
      <c r="V231" s="153"/>
      <c r="W231" s="153"/>
      <c r="X231" s="153"/>
      <c r="Y231" s="153"/>
      <c r="Z231" s="153"/>
      <c r="AA231" s="153"/>
      <c r="AB231" s="153"/>
      <c r="AC231" s="153"/>
      <c r="AD231" s="153"/>
      <c r="AE231" s="153"/>
      <c r="AF231" s="153"/>
      <c r="AG231" s="153"/>
      <c r="AH231" s="153"/>
      <c r="AI231" s="153"/>
      <c r="AJ231" s="153"/>
      <c r="AK231" s="153"/>
      <c r="AL231" s="153"/>
      <c r="AM231" s="153"/>
      <c r="AN231" s="153"/>
      <c r="AO231" s="153"/>
      <c r="AP231" s="8"/>
      <c r="AR231" s="6"/>
      <c r="AS231" s="179"/>
      <c r="AT231" s="179"/>
      <c r="AU231" s="179"/>
      <c r="AV231" s="179"/>
      <c r="AW231" s="179"/>
      <c r="AX231" s="179"/>
      <c r="AY231" s="179"/>
      <c r="AZ231" s="179"/>
      <c r="BA231" s="179"/>
      <c r="BB231" s="179"/>
      <c r="BC231" s="179"/>
      <c r="BD231" s="179"/>
      <c r="BE231" s="179"/>
      <c r="BF231" s="179"/>
      <c r="BG231" s="179"/>
      <c r="BH231" s="179"/>
      <c r="BI231" s="179"/>
      <c r="BJ231" s="179"/>
      <c r="BK231" s="179"/>
      <c r="BL231" s="179"/>
      <c r="BM231" s="179"/>
      <c r="BN231" s="179"/>
      <c r="BO231" s="179"/>
      <c r="BP231" s="179"/>
      <c r="BQ231" s="179"/>
      <c r="BR231" s="179"/>
      <c r="BS231" s="179"/>
      <c r="BT231" s="179"/>
      <c r="BU231" s="179"/>
      <c r="BV231" s="179"/>
      <c r="BW231" s="179"/>
      <c r="BX231" s="179"/>
      <c r="BY231" s="179"/>
      <c r="BZ231" s="179"/>
      <c r="CA231" s="179"/>
      <c r="CB231" s="179"/>
      <c r="CC231" s="179"/>
      <c r="CD231" s="179"/>
      <c r="CE231" s="179"/>
      <c r="CF231" s="8"/>
      <c r="CM231" s="2">
        <f t="shared" si="109"/>
        <v>41.800000000000054</v>
      </c>
      <c r="CN231" s="1" t="str">
        <f t="shared" si="93"/>
        <v>0.0107986736111111+45.1384556944445i</v>
      </c>
      <c r="CO231" s="1" t="str">
        <f t="shared" si="94"/>
        <v>-0.0258341473950026i</v>
      </c>
      <c r="CP231" s="1" t="str">
        <f t="shared" si="95"/>
        <v>10.7986736111111</v>
      </c>
      <c r="CQ231" s="1" t="str">
        <f t="shared" si="96"/>
        <v>-0.620019537480063i</v>
      </c>
      <c r="CR231" s="1" t="str">
        <f t="shared" si="97"/>
        <v>0.0107986736111111+45.1126215470495i</v>
      </c>
      <c r="CS231" s="1" t="str">
        <f t="shared" si="98"/>
        <v>10.2129342564524+2.44454466748376i</v>
      </c>
      <c r="CT231" s="1" t="str">
        <f t="shared" si="99"/>
        <v>10.2129342564524+1.8245251300037i</v>
      </c>
      <c r="CU231" s="1" t="str">
        <f t="shared" si="100"/>
        <v>0.0191834803010191+20.0467369145651i</v>
      </c>
      <c r="CV231" s="1" t="str">
        <f t="shared" si="101"/>
        <v>7.04291072578966+4.9582757129795i</v>
      </c>
      <c r="CW231" s="2">
        <f t="shared" si="102"/>
        <v>41.800000000000054</v>
      </c>
      <c r="CX231" s="14">
        <f t="shared" si="103"/>
        <v>10.37462857535796</v>
      </c>
      <c r="CY231" s="14">
        <f t="shared" si="92"/>
        <v>20.046746093261667</v>
      </c>
      <c r="CZ231" s="14">
        <f t="shared" si="104"/>
        <v>8.6131927609548722</v>
      </c>
      <c r="DE231" s="14">
        <f t="shared" si="105"/>
        <v>41.800000000000054</v>
      </c>
      <c r="DF231" s="151">
        <f t="shared" si="106"/>
        <v>0.83021697580702836</v>
      </c>
      <c r="DH231" s="152">
        <f t="shared" si="107"/>
        <v>41.800000000000054</v>
      </c>
      <c r="DI231" s="1">
        <f t="shared" si="108"/>
        <v>0.42965540247202527</v>
      </c>
    </row>
    <row r="232" spans="2:113" ht="18" customHeight="1" x14ac:dyDescent="0.25">
      <c r="B232" s="6"/>
      <c r="C232" s="153"/>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c r="AE232" s="153"/>
      <c r="AF232" s="153"/>
      <c r="AG232" s="153"/>
      <c r="AH232" s="153"/>
      <c r="AI232" s="153"/>
      <c r="AJ232" s="153"/>
      <c r="AK232" s="153"/>
      <c r="AL232" s="153"/>
      <c r="AM232" s="153"/>
      <c r="AN232" s="153"/>
      <c r="AO232" s="153"/>
      <c r="AP232" s="8"/>
      <c r="AR232" s="6"/>
      <c r="AS232" s="179"/>
      <c r="AT232" s="179"/>
      <c r="AU232" s="179"/>
      <c r="AV232" s="179"/>
      <c r="AW232" s="179"/>
      <c r="AX232" s="179"/>
      <c r="AY232" s="179"/>
      <c r="AZ232" s="179"/>
      <c r="BA232" s="179"/>
      <c r="BB232" s="179"/>
      <c r="BC232" s="179"/>
      <c r="BD232" s="179"/>
      <c r="BE232" s="179"/>
      <c r="BF232" s="179"/>
      <c r="BG232" s="179"/>
      <c r="BH232" s="179"/>
      <c r="BI232" s="179"/>
      <c r="BJ232" s="179"/>
      <c r="BK232" s="179"/>
      <c r="BL232" s="179"/>
      <c r="BM232" s="179"/>
      <c r="BN232" s="179"/>
      <c r="BO232" s="179"/>
      <c r="BP232" s="179"/>
      <c r="BQ232" s="179"/>
      <c r="BR232" s="179"/>
      <c r="BS232" s="179"/>
      <c r="BT232" s="179"/>
      <c r="BU232" s="179"/>
      <c r="BV232" s="179"/>
      <c r="BW232" s="179"/>
      <c r="BX232" s="179"/>
      <c r="BY232" s="179"/>
      <c r="BZ232" s="179"/>
      <c r="CA232" s="179"/>
      <c r="CB232" s="179"/>
      <c r="CC232" s="179"/>
      <c r="CD232" s="179"/>
      <c r="CE232" s="179"/>
      <c r="CF232" s="8"/>
      <c r="CM232" s="2">
        <f t="shared" si="109"/>
        <v>42.000000000000057</v>
      </c>
      <c r="CN232" s="1" t="str">
        <f t="shared" si="93"/>
        <v>0.0107986736111111+45.3544291666667i</v>
      </c>
      <c r="CO232" s="1" t="str">
        <f t="shared" si="94"/>
        <v>-0.0257111276455026i</v>
      </c>
      <c r="CP232" s="1" t="str">
        <f t="shared" si="95"/>
        <v>10.7986736111111</v>
      </c>
      <c r="CQ232" s="1" t="str">
        <f t="shared" si="96"/>
        <v>-0.617067063492063i</v>
      </c>
      <c r="CR232" s="1" t="str">
        <f t="shared" si="97"/>
        <v>0.0107986736111111+45.3287180390212i</v>
      </c>
      <c r="CS232" s="1" t="str">
        <f t="shared" si="98"/>
        <v>10.2182059699543+2.43414787916705i</v>
      </c>
      <c r="CT232" s="1" t="str">
        <f t="shared" si="99"/>
        <v>10.2182059699543+1.81708081567499i</v>
      </c>
      <c r="CU232" s="1" t="str">
        <f t="shared" si="100"/>
        <v>0.0191834803010191+20.1426543160702i</v>
      </c>
      <c r="CV232" s="1" t="str">
        <f t="shared" si="101"/>
        <v>7.06580280356679+4.95179857170458i</v>
      </c>
      <c r="CW232" s="2">
        <f t="shared" si="102"/>
        <v>42.000000000000057</v>
      </c>
      <c r="CX232" s="14">
        <f t="shared" si="103"/>
        <v>10.378512221657967</v>
      </c>
      <c r="CY232" s="14">
        <f t="shared" si="92"/>
        <v>20.142663451058706</v>
      </c>
      <c r="CZ232" s="14">
        <f t="shared" si="104"/>
        <v>8.6282024984134331</v>
      </c>
      <c r="DE232" s="14">
        <f t="shared" si="105"/>
        <v>42.000000000000057</v>
      </c>
      <c r="DF232" s="151">
        <f t="shared" si="106"/>
        <v>0.83135254014617177</v>
      </c>
      <c r="DH232" s="152">
        <f t="shared" si="107"/>
        <v>42.000000000000057</v>
      </c>
      <c r="DI232" s="1">
        <f t="shared" si="108"/>
        <v>0.42835459766170664</v>
      </c>
    </row>
    <row r="233" spans="2:113" ht="18" customHeight="1" x14ac:dyDescent="0.25">
      <c r="B233" s="6"/>
      <c r="C233" s="153"/>
      <c r="D233" s="153"/>
      <c r="E233" s="153"/>
      <c r="F233" s="153"/>
      <c r="G233" s="153"/>
      <c r="H233" s="153"/>
      <c r="I233" s="153"/>
      <c r="J233" s="153"/>
      <c r="K233" s="153"/>
      <c r="L233" s="153"/>
      <c r="M233" s="153"/>
      <c r="N233" s="153"/>
      <c r="O233" s="153"/>
      <c r="P233" s="153"/>
      <c r="Q233" s="153"/>
      <c r="R233" s="153"/>
      <c r="S233" s="153"/>
      <c r="T233" s="153"/>
      <c r="U233" s="153"/>
      <c r="V233" s="153"/>
      <c r="W233" s="153"/>
      <c r="X233" s="153"/>
      <c r="Y233" s="153"/>
      <c r="Z233" s="153"/>
      <c r="AA233" s="153"/>
      <c r="AB233" s="153"/>
      <c r="AC233" s="153"/>
      <c r="AD233" s="153"/>
      <c r="AE233" s="153"/>
      <c r="AF233" s="153"/>
      <c r="AG233" s="153"/>
      <c r="AH233" s="153"/>
      <c r="AI233" s="153"/>
      <c r="AJ233" s="153"/>
      <c r="AK233" s="153"/>
      <c r="AL233" s="153"/>
      <c r="AM233" s="153"/>
      <c r="AN233" s="153"/>
      <c r="AO233" s="153"/>
      <c r="AP233" s="8"/>
      <c r="AR233" s="6"/>
      <c r="AS233" s="179"/>
      <c r="AT233" s="179"/>
      <c r="AU233" s="179"/>
      <c r="AV233" s="179"/>
      <c r="AW233" s="179"/>
      <c r="AX233" s="179"/>
      <c r="AY233" s="179"/>
      <c r="AZ233" s="179"/>
      <c r="BA233" s="179"/>
      <c r="BB233" s="179"/>
      <c r="BC233" s="179"/>
      <c r="BD233" s="179"/>
      <c r="BE233" s="179"/>
      <c r="BF233" s="179"/>
      <c r="BG233" s="179"/>
      <c r="BH233" s="179"/>
      <c r="BI233" s="179"/>
      <c r="BJ233" s="179"/>
      <c r="BK233" s="179"/>
      <c r="BL233" s="179"/>
      <c r="BM233" s="179"/>
      <c r="BN233" s="179"/>
      <c r="BO233" s="179"/>
      <c r="BP233" s="179"/>
      <c r="BQ233" s="179"/>
      <c r="BR233" s="179"/>
      <c r="BS233" s="179"/>
      <c r="BT233" s="179"/>
      <c r="BU233" s="179"/>
      <c r="BV233" s="179"/>
      <c r="BW233" s="179"/>
      <c r="BX233" s="179"/>
      <c r="BY233" s="179"/>
      <c r="BZ233" s="179"/>
      <c r="CA233" s="179"/>
      <c r="CB233" s="179"/>
      <c r="CC233" s="179"/>
      <c r="CD233" s="179"/>
      <c r="CE233" s="179"/>
      <c r="CF233" s="8"/>
      <c r="CM233" s="2">
        <f t="shared" si="109"/>
        <v>42.20000000000006</v>
      </c>
      <c r="CN233" s="1" t="str">
        <f t="shared" si="93"/>
        <v>0.0107986736111111+45.570402638889i</v>
      </c>
      <c r="CO233" s="1" t="str">
        <f t="shared" si="94"/>
        <v>-0.0255892739599789i</v>
      </c>
      <c r="CP233" s="1" t="str">
        <f t="shared" si="95"/>
        <v>10.7986736111111</v>
      </c>
      <c r="CQ233" s="1" t="str">
        <f t="shared" si="96"/>
        <v>-0.614142575039494i</v>
      </c>
      <c r="CR233" s="1" t="str">
        <f t="shared" si="97"/>
        <v>0.0107986736111111+45.544813364929i</v>
      </c>
      <c r="CS233" s="1" t="str">
        <f t="shared" si="98"/>
        <v>10.223408130911+2.42383330479805i</v>
      </c>
      <c r="CT233" s="1" t="str">
        <f t="shared" si="99"/>
        <v>10.223408130911+1.80969072975856i</v>
      </c>
      <c r="CU233" s="1" t="str">
        <f t="shared" si="100"/>
        <v>0.0191834803010191+20.2385717175753i</v>
      </c>
      <c r="CV233" s="1" t="str">
        <f t="shared" si="101"/>
        <v>7.08852491848865+4.94525594471617i</v>
      </c>
      <c r="CW233" s="2">
        <f t="shared" si="102"/>
        <v>42.20000000000006</v>
      </c>
      <c r="CX233" s="14">
        <f t="shared" si="103"/>
        <v>10.382343393885179</v>
      </c>
      <c r="CY233" s="14">
        <f t="shared" si="92"/>
        <v>20.238580809270037</v>
      </c>
      <c r="CZ233" s="14">
        <f t="shared" si="104"/>
        <v>8.6430747930805918</v>
      </c>
      <c r="DE233" s="14">
        <f t="shared" si="105"/>
        <v>42.20000000000006</v>
      </c>
      <c r="DF233" s="151">
        <f t="shared" si="106"/>
        <v>0.83247822434490515</v>
      </c>
      <c r="DH233" s="152">
        <f t="shared" si="107"/>
        <v>42.20000000000006</v>
      </c>
      <c r="DI233" s="1">
        <f t="shared" si="108"/>
        <v>0.42705933160697312</v>
      </c>
    </row>
    <row r="234" spans="2:113" ht="18" customHeight="1" x14ac:dyDescent="0.25">
      <c r="B234" s="6"/>
      <c r="C234" s="153"/>
      <c r="D234" s="153"/>
      <c r="E234" s="153"/>
      <c r="F234" s="153"/>
      <c r="G234" s="153"/>
      <c r="H234" s="153"/>
      <c r="I234" s="153"/>
      <c r="J234" s="153"/>
      <c r="K234" s="153"/>
      <c r="L234" s="153"/>
      <c r="M234" s="153"/>
      <c r="N234" s="153"/>
      <c r="O234" s="153"/>
      <c r="P234" s="153"/>
      <c r="Q234" s="153"/>
      <c r="R234" s="153"/>
      <c r="S234" s="153"/>
      <c r="T234" s="153"/>
      <c r="U234" s="153"/>
      <c r="V234" s="153"/>
      <c r="W234" s="153"/>
      <c r="X234" s="153"/>
      <c r="Y234" s="153"/>
      <c r="Z234" s="153"/>
      <c r="AA234" s="153"/>
      <c r="AB234" s="153"/>
      <c r="AC234" s="153"/>
      <c r="AD234" s="153"/>
      <c r="AE234" s="153"/>
      <c r="AF234" s="153"/>
      <c r="AG234" s="153"/>
      <c r="AH234" s="153"/>
      <c r="AI234" s="153"/>
      <c r="AJ234" s="153"/>
      <c r="AK234" s="153"/>
      <c r="AL234" s="153"/>
      <c r="AM234" s="153"/>
      <c r="AN234" s="153"/>
      <c r="AO234" s="153"/>
      <c r="AP234" s="8"/>
      <c r="AR234" s="6"/>
      <c r="AS234" s="179"/>
      <c r="AT234" s="179"/>
      <c r="AU234" s="179"/>
      <c r="AV234" s="179"/>
      <c r="AW234" s="179"/>
      <c r="AX234" s="179"/>
      <c r="AY234" s="179"/>
      <c r="AZ234" s="179"/>
      <c r="BA234" s="179"/>
      <c r="BB234" s="179"/>
      <c r="BC234" s="179"/>
      <c r="BD234" s="179"/>
      <c r="BE234" s="179"/>
      <c r="BF234" s="179"/>
      <c r="BG234" s="179"/>
      <c r="BH234" s="179"/>
      <c r="BI234" s="179"/>
      <c r="BJ234" s="179"/>
      <c r="BK234" s="179"/>
      <c r="BL234" s="179"/>
      <c r="BM234" s="179"/>
      <c r="BN234" s="179"/>
      <c r="BO234" s="179"/>
      <c r="BP234" s="179"/>
      <c r="BQ234" s="179"/>
      <c r="BR234" s="179"/>
      <c r="BS234" s="179"/>
      <c r="BT234" s="179"/>
      <c r="BU234" s="179"/>
      <c r="BV234" s="179"/>
      <c r="BW234" s="179"/>
      <c r="BX234" s="179"/>
      <c r="BY234" s="179"/>
      <c r="BZ234" s="179"/>
      <c r="CA234" s="179"/>
      <c r="CB234" s="179"/>
      <c r="CC234" s="179"/>
      <c r="CD234" s="179"/>
      <c r="CE234" s="179"/>
      <c r="CF234" s="8"/>
      <c r="CM234" s="2">
        <f t="shared" si="109"/>
        <v>42.400000000000063</v>
      </c>
      <c r="CN234" s="1" t="str">
        <f t="shared" si="93"/>
        <v>0.0107986736111111+45.7863761111112i</v>
      </c>
      <c r="CO234" s="1" t="str">
        <f t="shared" si="94"/>
        <v>-0.0254685698375262i</v>
      </c>
      <c r="CP234" s="1" t="str">
        <f t="shared" si="95"/>
        <v>10.7986736111111</v>
      </c>
      <c r="CQ234" s="1" t="str">
        <f t="shared" si="96"/>
        <v>-0.611245676100628i</v>
      </c>
      <c r="CR234" s="1" t="str">
        <f t="shared" si="97"/>
        <v>0.0107986736111111+45.7609075412737i</v>
      </c>
      <c r="CS234" s="1" t="str">
        <f t="shared" si="98"/>
        <v>10.2285419341113+2.41360006023738i</v>
      </c>
      <c r="CT234" s="1" t="str">
        <f t="shared" si="99"/>
        <v>10.2285419341113+1.80235438413675i</v>
      </c>
      <c r="CU234" s="1" t="str">
        <f t="shared" si="100"/>
        <v>0.0191834803010191+20.3344891190804i</v>
      </c>
      <c r="CV234" s="1" t="str">
        <f t="shared" si="101"/>
        <v>7.11107819230316+4.93864959923055i</v>
      </c>
      <c r="CW234" s="2">
        <f t="shared" si="102"/>
        <v>42.400000000000063</v>
      </c>
      <c r="CX234" s="14">
        <f t="shared" si="103"/>
        <v>10.386123021796454</v>
      </c>
      <c r="CY234" s="14">
        <f t="shared" si="92"/>
        <v>20.334498167889802</v>
      </c>
      <c r="CZ234" s="14">
        <f t="shared" si="104"/>
        <v>8.6578110929396956</v>
      </c>
      <c r="DE234" s="14">
        <f t="shared" si="105"/>
        <v>42.400000000000063</v>
      </c>
      <c r="DF234" s="151">
        <f t="shared" si="106"/>
        <v>0.83359412119135423</v>
      </c>
      <c r="DH234" s="152">
        <f t="shared" si="107"/>
        <v>42.400000000000063</v>
      </c>
      <c r="DI234" s="1">
        <f t="shared" si="108"/>
        <v>0.42576959713769746</v>
      </c>
    </row>
    <row r="235" spans="2:113" ht="18" customHeight="1" x14ac:dyDescent="0.25">
      <c r="B235" s="6"/>
      <c r="C235" s="153"/>
      <c r="D235" s="153"/>
      <c r="E235" s="153"/>
      <c r="F235" s="153"/>
      <c r="G235" s="153"/>
      <c r="H235" s="153"/>
      <c r="I235" s="153"/>
      <c r="J235" s="153"/>
      <c r="K235" s="153"/>
      <c r="L235" s="153"/>
      <c r="M235" s="153"/>
      <c r="N235" s="153"/>
      <c r="O235" s="153"/>
      <c r="P235" s="153"/>
      <c r="Q235" s="153"/>
      <c r="R235" s="153"/>
      <c r="S235" s="153"/>
      <c r="T235" s="153"/>
      <c r="U235" s="153"/>
      <c r="V235" s="153"/>
      <c r="W235" s="153"/>
      <c r="X235" s="153"/>
      <c r="Y235" s="153"/>
      <c r="Z235" s="153"/>
      <c r="AA235" s="153"/>
      <c r="AB235" s="153"/>
      <c r="AC235" s="153"/>
      <c r="AD235" s="153"/>
      <c r="AE235" s="153"/>
      <c r="AF235" s="153"/>
      <c r="AG235" s="153"/>
      <c r="AH235" s="153"/>
      <c r="AI235" s="153"/>
      <c r="AJ235" s="153"/>
      <c r="AK235" s="153"/>
      <c r="AL235" s="153"/>
      <c r="AM235" s="153"/>
      <c r="AN235" s="153"/>
      <c r="AO235" s="153"/>
      <c r="AP235" s="8"/>
      <c r="AR235" s="6"/>
      <c r="AS235" s="179"/>
      <c r="AT235" s="179"/>
      <c r="AU235" s="179"/>
      <c r="AV235" s="179"/>
      <c r="AW235" s="179"/>
      <c r="AX235" s="179"/>
      <c r="AY235" s="179"/>
      <c r="AZ235" s="179"/>
      <c r="BA235" s="179"/>
      <c r="BB235" s="179"/>
      <c r="BC235" s="179"/>
      <c r="BD235" s="179"/>
      <c r="BE235" s="179"/>
      <c r="BF235" s="179"/>
      <c r="BG235" s="179"/>
      <c r="BH235" s="179"/>
      <c r="BI235" s="179"/>
      <c r="BJ235" s="179"/>
      <c r="BK235" s="179"/>
      <c r="BL235" s="179"/>
      <c r="BM235" s="179"/>
      <c r="BN235" s="179"/>
      <c r="BO235" s="179"/>
      <c r="BP235" s="179"/>
      <c r="BQ235" s="179"/>
      <c r="BR235" s="179"/>
      <c r="BS235" s="179"/>
      <c r="BT235" s="179"/>
      <c r="BU235" s="179"/>
      <c r="BV235" s="179"/>
      <c r="BW235" s="179"/>
      <c r="BX235" s="179"/>
      <c r="BY235" s="179"/>
      <c r="BZ235" s="179"/>
      <c r="CA235" s="179"/>
      <c r="CB235" s="179"/>
      <c r="CC235" s="179"/>
      <c r="CD235" s="179"/>
      <c r="CE235" s="179"/>
      <c r="CF235" s="8"/>
      <c r="CM235" s="2">
        <f t="shared" si="109"/>
        <v>42.600000000000065</v>
      </c>
      <c r="CN235" s="1" t="str">
        <f t="shared" si="93"/>
        <v>0.0107986736111111+46.0023495833334i</v>
      </c>
      <c r="CO235" s="1" t="str">
        <f t="shared" si="94"/>
        <v>-0.0253489990871153i</v>
      </c>
      <c r="CP235" s="1" t="str">
        <f t="shared" si="95"/>
        <v>10.7986736111111</v>
      </c>
      <c r="CQ235" s="1" t="str">
        <f t="shared" si="96"/>
        <v>-0.608375978090766i</v>
      </c>
      <c r="CR235" s="1" t="str">
        <f t="shared" si="97"/>
        <v>0.0107986736111111+45.9770005842463i</v>
      </c>
      <c r="CS235" s="1" t="str">
        <f t="shared" si="98"/>
        <v>10.2336085493252+2.40344727212873i</v>
      </c>
      <c r="CT235" s="1" t="str">
        <f t="shared" si="99"/>
        <v>10.2336085493252+1.79507129403796i</v>
      </c>
      <c r="CU235" s="1" t="str">
        <f t="shared" si="100"/>
        <v>0.0191834803010191+20.4304065205854i</v>
      </c>
      <c r="CV235" s="1" t="str">
        <f t="shared" si="101"/>
        <v>7.13346374876652+4.93198127049818i</v>
      </c>
      <c r="CW235" s="2">
        <f t="shared" si="102"/>
        <v>42.600000000000065</v>
      </c>
      <c r="CX235" s="14">
        <f t="shared" si="103"/>
        <v>10.389852014899006</v>
      </c>
      <c r="CY235" s="14">
        <f t="shared" si="92"/>
        <v>20.430415526912245</v>
      </c>
      <c r="CZ235" s="14">
        <f t="shared" si="104"/>
        <v>8.6724128307819228</v>
      </c>
      <c r="DE235" s="14">
        <f t="shared" si="105"/>
        <v>42.600000000000065</v>
      </c>
      <c r="DF235" s="151">
        <f t="shared" si="106"/>
        <v>0.83470032280976847</v>
      </c>
      <c r="DH235" s="152">
        <f t="shared" si="107"/>
        <v>42.600000000000065</v>
      </c>
      <c r="DI235" s="1">
        <f t="shared" si="108"/>
        <v>0.42448538647479278</v>
      </c>
    </row>
    <row r="236" spans="2:113" ht="18" customHeight="1" x14ac:dyDescent="0.25">
      <c r="B236" s="6"/>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8"/>
      <c r="AR236" s="6"/>
      <c r="AS236" s="179"/>
      <c r="AT236" s="179"/>
      <c r="AU236" s="179"/>
      <c r="AV236" s="179"/>
      <c r="AW236" s="179"/>
      <c r="AX236" s="179"/>
      <c r="AY236" s="179"/>
      <c r="AZ236" s="179"/>
      <c r="BA236" s="179"/>
      <c r="BB236" s="179"/>
      <c r="BC236" s="179"/>
      <c r="BD236" s="179"/>
      <c r="BE236" s="179"/>
      <c r="BF236" s="179"/>
      <c r="BG236" s="179"/>
      <c r="BH236" s="179"/>
      <c r="BI236" s="179"/>
      <c r="BJ236" s="179"/>
      <c r="BK236" s="179"/>
      <c r="BL236" s="179"/>
      <c r="BM236" s="179"/>
      <c r="BN236" s="179"/>
      <c r="BO236" s="179"/>
      <c r="BP236" s="179"/>
      <c r="BQ236" s="179"/>
      <c r="BR236" s="179"/>
      <c r="BS236" s="179"/>
      <c r="BT236" s="179"/>
      <c r="BU236" s="179"/>
      <c r="BV236" s="179"/>
      <c r="BW236" s="179"/>
      <c r="BX236" s="179"/>
      <c r="BY236" s="179"/>
      <c r="BZ236" s="179"/>
      <c r="CA236" s="179"/>
      <c r="CB236" s="179"/>
      <c r="CC236" s="179"/>
      <c r="CD236" s="179"/>
      <c r="CE236" s="179"/>
      <c r="CF236" s="8"/>
      <c r="CM236" s="2">
        <f t="shared" si="109"/>
        <v>42.800000000000068</v>
      </c>
      <c r="CN236" s="1" t="str">
        <f t="shared" si="93"/>
        <v>0.0107986736111111+46.2183230555556i</v>
      </c>
      <c r="CO236" s="1" t="str">
        <f t="shared" si="94"/>
        <v>-0.025230545820353i</v>
      </c>
      <c r="CP236" s="1" t="str">
        <f t="shared" si="95"/>
        <v>10.7986736111111</v>
      </c>
      <c r="CQ236" s="1" t="str">
        <f t="shared" si="96"/>
        <v>-0.605533099688473i</v>
      </c>
      <c r="CR236" s="1" t="str">
        <f t="shared" si="97"/>
        <v>0.0107986736111111+46.1930925097353i</v>
      </c>
      <c r="CS236" s="1" t="str">
        <f t="shared" si="98"/>
        <v>10.2386091219155+2.39337407778858i</v>
      </c>
      <c r="CT236" s="1" t="str">
        <f t="shared" si="99"/>
        <v>10.2386091219155+1.78784097810011i</v>
      </c>
      <c r="CU236" s="1" t="str">
        <f t="shared" si="100"/>
        <v>0.0191834803010191+20.5263239220905i</v>
      </c>
      <c r="CV236" s="1" t="str">
        <f t="shared" si="101"/>
        <v>7.15568271326043+4.92525266227742i</v>
      </c>
      <c r="CW236" s="2">
        <f t="shared" si="102"/>
        <v>42.800000000000068</v>
      </c>
      <c r="CX236" s="14">
        <f t="shared" si="103"/>
        <v>10.393531262970505</v>
      </c>
      <c r="CY236" s="14">
        <f t="shared" si="92"/>
        <v>20.526332886331723</v>
      </c>
      <c r="CZ236" s="14">
        <f t="shared" si="104"/>
        <v>8.6868814243159189</v>
      </c>
      <c r="DE236" s="14">
        <f t="shared" si="105"/>
        <v>42.800000000000068</v>
      </c>
      <c r="DF236" s="151">
        <f t="shared" si="106"/>
        <v>0.83579692065439304</v>
      </c>
      <c r="DH236" s="152">
        <f t="shared" si="107"/>
        <v>42.800000000000068</v>
      </c>
      <c r="DI236" s="1">
        <f t="shared" si="108"/>
        <v>0.42320669124977711</v>
      </c>
    </row>
    <row r="237" spans="2:113" ht="18" customHeight="1" x14ac:dyDescent="0.25">
      <c r="B237" s="6"/>
      <c r="C237" s="153"/>
      <c r="D237" s="153"/>
      <c r="E237" s="153"/>
      <c r="F237" s="153"/>
      <c r="G237" s="153"/>
      <c r="H237" s="153"/>
      <c r="I237" s="153"/>
      <c r="J237" s="153"/>
      <c r="K237" s="153"/>
      <c r="L237" s="153"/>
      <c r="M237" s="153"/>
      <c r="N237" s="153"/>
      <c r="O237" s="153"/>
      <c r="P237" s="153"/>
      <c r="Q237" s="153"/>
      <c r="R237" s="153"/>
      <c r="S237" s="153"/>
      <c r="T237" s="153"/>
      <c r="U237" s="153"/>
      <c r="V237" s="153"/>
      <c r="W237" s="153"/>
      <c r="X237" s="153"/>
      <c r="Y237" s="153"/>
      <c r="Z237" s="153"/>
      <c r="AA237" s="153"/>
      <c r="AB237" s="153"/>
      <c r="AC237" s="153"/>
      <c r="AD237" s="153"/>
      <c r="AE237" s="153"/>
      <c r="AF237" s="153"/>
      <c r="AG237" s="153"/>
      <c r="AH237" s="153"/>
      <c r="AI237" s="153"/>
      <c r="AJ237" s="153"/>
      <c r="AK237" s="153"/>
      <c r="AL237" s="153"/>
      <c r="AM237" s="153"/>
      <c r="AN237" s="153"/>
      <c r="AO237" s="153"/>
      <c r="AP237" s="8"/>
      <c r="AR237" s="6"/>
      <c r="AS237" s="179"/>
      <c r="AT237" s="179"/>
      <c r="AU237" s="179"/>
      <c r="AV237" s="179"/>
      <c r="AW237" s="179"/>
      <c r="AX237" s="179"/>
      <c r="AY237" s="179"/>
      <c r="AZ237" s="179"/>
      <c r="BA237" s="179"/>
      <c r="BB237" s="179"/>
      <c r="BC237" s="179"/>
      <c r="BD237" s="179"/>
      <c r="BE237" s="179"/>
      <c r="BF237" s="179"/>
      <c r="BG237" s="179"/>
      <c r="BH237" s="179"/>
      <c r="BI237" s="179"/>
      <c r="BJ237" s="179"/>
      <c r="BK237" s="179"/>
      <c r="BL237" s="179"/>
      <c r="BM237" s="179"/>
      <c r="BN237" s="179"/>
      <c r="BO237" s="179"/>
      <c r="BP237" s="179"/>
      <c r="BQ237" s="179"/>
      <c r="BR237" s="179"/>
      <c r="BS237" s="179"/>
      <c r="BT237" s="179"/>
      <c r="BU237" s="179"/>
      <c r="BV237" s="179"/>
      <c r="BW237" s="179"/>
      <c r="BX237" s="179"/>
      <c r="BY237" s="179"/>
      <c r="BZ237" s="179"/>
      <c r="CA237" s="179"/>
      <c r="CB237" s="179"/>
      <c r="CC237" s="179"/>
      <c r="CD237" s="179"/>
      <c r="CE237" s="179"/>
      <c r="CF237" s="8"/>
      <c r="CM237" s="2">
        <f t="shared" si="109"/>
        <v>43.000000000000071</v>
      </c>
      <c r="CN237" s="1" t="str">
        <f t="shared" si="93"/>
        <v>0.0107986736111111+46.4342965277779i</v>
      </c>
      <c r="CO237" s="1" t="str">
        <f t="shared" si="94"/>
        <v>-0.0251131944444444i</v>
      </c>
      <c r="CP237" s="1" t="str">
        <f t="shared" si="95"/>
        <v>10.7986736111111</v>
      </c>
      <c r="CQ237" s="1" t="str">
        <f t="shared" si="96"/>
        <v>-0.602716666666666i</v>
      </c>
      <c r="CR237" s="1" t="str">
        <f t="shared" si="97"/>
        <v>0.0107986736111111+46.4091833333335i</v>
      </c>
      <c r="CS237" s="1" t="str">
        <f t="shared" si="98"/>
        <v>10.2435447734327+2.38337962509515i</v>
      </c>
      <c r="CT237" s="1" t="str">
        <f t="shared" si="99"/>
        <v>10.2435447734327+1.78066295842848i</v>
      </c>
      <c r="CU237" s="1" t="str">
        <f t="shared" si="100"/>
        <v>0.0191834803010191+20.6222413235956i</v>
      </c>
      <c r="CV237" s="1" t="str">
        <f t="shared" si="101"/>
        <v>7.17773621242207+4.91846544730414i</v>
      </c>
      <c r="CW237" s="2">
        <f t="shared" si="102"/>
        <v>43.000000000000071</v>
      </c>
      <c r="CX237" s="14">
        <f t="shared" si="103"/>
        <v>10.397161636564068</v>
      </c>
      <c r="CY237" s="14">
        <f t="shared" si="92"/>
        <v>20.622250246142688</v>
      </c>
      <c r="CZ237" s="14">
        <f t="shared" si="104"/>
        <v>8.7012182762783183</v>
      </c>
      <c r="DE237" s="14">
        <f t="shared" si="105"/>
        <v>43.000000000000071</v>
      </c>
      <c r="DF237" s="151">
        <f t="shared" si="106"/>
        <v>0.83688400550381459</v>
      </c>
      <c r="DH237" s="152">
        <f t="shared" si="107"/>
        <v>43.000000000000071</v>
      </c>
      <c r="DI237" s="1">
        <f t="shared" si="108"/>
        <v>0.42193350252385209</v>
      </c>
    </row>
    <row r="238" spans="2:113" ht="18" customHeight="1" x14ac:dyDescent="0.25">
      <c r="B238" s="6"/>
      <c r="C238" s="153"/>
      <c r="D238" s="153"/>
      <c r="E238" s="153"/>
      <c r="F238" s="153"/>
      <c r="G238" s="153"/>
      <c r="H238" s="153"/>
      <c r="I238" s="153"/>
      <c r="J238" s="153"/>
      <c r="K238" s="153"/>
      <c r="L238" s="153"/>
      <c r="M238" s="153"/>
      <c r="N238" s="153"/>
      <c r="O238" s="153"/>
      <c r="P238" s="153"/>
      <c r="Q238" s="153"/>
      <c r="R238" s="153"/>
      <c r="S238" s="153"/>
      <c r="T238" s="153"/>
      <c r="U238" s="153"/>
      <c r="V238" s="153"/>
      <c r="W238" s="153"/>
      <c r="X238" s="153"/>
      <c r="Y238" s="153"/>
      <c r="Z238" s="153"/>
      <c r="AA238" s="153"/>
      <c r="AB238" s="153"/>
      <c r="AC238" s="153"/>
      <c r="AD238" s="153"/>
      <c r="AE238" s="153"/>
      <c r="AF238" s="153"/>
      <c r="AG238" s="153"/>
      <c r="AH238" s="153"/>
      <c r="AI238" s="153"/>
      <c r="AJ238" s="153"/>
      <c r="AK238" s="153"/>
      <c r="AL238" s="153"/>
      <c r="AM238" s="153"/>
      <c r="AN238" s="153"/>
      <c r="AO238" s="153"/>
      <c r="AP238" s="8"/>
      <c r="AR238" s="6"/>
      <c r="AS238" s="179"/>
      <c r="AT238" s="179"/>
      <c r="AU238" s="179"/>
      <c r="AV238" s="179"/>
      <c r="AW238" s="179"/>
      <c r="AX238" s="179"/>
      <c r="AY238" s="179"/>
      <c r="AZ238" s="179"/>
      <c r="BA238" s="179"/>
      <c r="BB238" s="179"/>
      <c r="BC238" s="179"/>
      <c r="BD238" s="179"/>
      <c r="BE238" s="179"/>
      <c r="BF238" s="179"/>
      <c r="BG238" s="179"/>
      <c r="BH238" s="179"/>
      <c r="BI238" s="179"/>
      <c r="BJ238" s="179"/>
      <c r="BK238" s="179"/>
      <c r="BL238" s="179"/>
      <c r="BM238" s="179"/>
      <c r="BN238" s="179"/>
      <c r="BO238" s="179"/>
      <c r="BP238" s="179"/>
      <c r="BQ238" s="179"/>
      <c r="BR238" s="179"/>
      <c r="BS238" s="179"/>
      <c r="BT238" s="179"/>
      <c r="BU238" s="179"/>
      <c r="BV238" s="179"/>
      <c r="BW238" s="179"/>
      <c r="BX238" s="179"/>
      <c r="BY238" s="179"/>
      <c r="BZ238" s="179"/>
      <c r="CA238" s="179"/>
      <c r="CB238" s="179"/>
      <c r="CC238" s="179"/>
      <c r="CD238" s="179"/>
      <c r="CE238" s="179"/>
      <c r="CF238" s="8"/>
      <c r="CM238" s="2">
        <f t="shared" si="109"/>
        <v>43.200000000000074</v>
      </c>
      <c r="CN238" s="1" t="str">
        <f t="shared" si="93"/>
        <v>0.0107986736111111+46.6502700000001i</v>
      </c>
      <c r="CO238" s="1" t="str">
        <f t="shared" si="94"/>
        <v>-0.0249969296553498i</v>
      </c>
      <c r="CP238" s="1" t="str">
        <f t="shared" si="95"/>
        <v>10.7986736111111</v>
      </c>
      <c r="CQ238" s="1" t="str">
        <f t="shared" si="96"/>
        <v>-0.599926311728394i</v>
      </c>
      <c r="CR238" s="1" t="str">
        <f t="shared" si="97"/>
        <v>0.0107986736111111+46.6252730703447i</v>
      </c>
      <c r="CS238" s="1" t="str">
        <f t="shared" si="98"/>
        <v>10.2484166021932+2.37346307237654i</v>
      </c>
      <c r="CT238" s="1" t="str">
        <f t="shared" si="99"/>
        <v>10.2484166021932+1.77353676064815i</v>
      </c>
      <c r="CU238" s="1" t="str">
        <f t="shared" si="100"/>
        <v>0.0191834803010191+20.7181587251007i</v>
      </c>
      <c r="CV238" s="1" t="str">
        <f t="shared" si="101"/>
        <v>7.19962537378748+4.91162126775763i</v>
      </c>
      <c r="CW238" s="2">
        <f t="shared" si="102"/>
        <v>43.200000000000074</v>
      </c>
      <c r="CX238" s="14">
        <f t="shared" si="103"/>
        <v>10.400743987498181</v>
      </c>
      <c r="CY238" s="14">
        <f t="shared" si="92"/>
        <v>20.718167606339716</v>
      </c>
      <c r="CZ238" s="14">
        <f t="shared" si="104"/>
        <v>8.715424774546193</v>
      </c>
      <c r="DE238" s="14">
        <f t="shared" si="105"/>
        <v>43.200000000000074</v>
      </c>
      <c r="DF238" s="151">
        <f t="shared" si="106"/>
        <v>0.83796166745592826</v>
      </c>
      <c r="DH238" s="152">
        <f t="shared" si="107"/>
        <v>43.200000000000074</v>
      </c>
      <c r="DI238" s="1">
        <f t="shared" si="108"/>
        <v>0.42066581080651749</v>
      </c>
    </row>
    <row r="239" spans="2:113" ht="18" customHeight="1" x14ac:dyDescent="0.25">
      <c r="B239" s="6"/>
      <c r="C239" s="153"/>
      <c r="D239" s="153"/>
      <c r="E239" s="153"/>
      <c r="F239" s="153"/>
      <c r="G239" s="153"/>
      <c r="H239" s="153"/>
      <c r="I239" s="153"/>
      <c r="J239" s="153"/>
      <c r="K239" s="153"/>
      <c r="L239" s="153"/>
      <c r="M239" s="153"/>
      <c r="N239" s="153"/>
      <c r="O239" s="153"/>
      <c r="P239" s="153"/>
      <c r="Q239" s="153"/>
      <c r="R239" s="153"/>
      <c r="S239" s="153"/>
      <c r="T239" s="153"/>
      <c r="U239" s="153"/>
      <c r="V239" s="153"/>
      <c r="W239" s="153"/>
      <c r="X239" s="153"/>
      <c r="Y239" s="153"/>
      <c r="Z239" s="153"/>
      <c r="AA239" s="153"/>
      <c r="AB239" s="153"/>
      <c r="AC239" s="153"/>
      <c r="AD239" s="153"/>
      <c r="AE239" s="153"/>
      <c r="AF239" s="153"/>
      <c r="AG239" s="153"/>
      <c r="AH239" s="153"/>
      <c r="AI239" s="153"/>
      <c r="AJ239" s="153"/>
      <c r="AK239" s="153"/>
      <c r="AL239" s="153"/>
      <c r="AM239" s="153"/>
      <c r="AN239" s="153"/>
      <c r="AO239" s="153"/>
      <c r="AP239" s="8"/>
      <c r="AR239" s="6"/>
      <c r="AS239" s="179"/>
      <c r="AT239" s="179"/>
      <c r="AU239" s="179"/>
      <c r="AV239" s="179"/>
      <c r="AW239" s="179"/>
      <c r="AX239" s="179"/>
      <c r="AY239" s="179"/>
      <c r="AZ239" s="179"/>
      <c r="BA239" s="179"/>
      <c r="BB239" s="179"/>
      <c r="BC239" s="179"/>
      <c r="BD239" s="179"/>
      <c r="BE239" s="179"/>
      <c r="BF239" s="179"/>
      <c r="BG239" s="179"/>
      <c r="BH239" s="179"/>
      <c r="BI239" s="179"/>
      <c r="BJ239" s="179"/>
      <c r="BK239" s="179"/>
      <c r="BL239" s="179"/>
      <c r="BM239" s="179"/>
      <c r="BN239" s="179"/>
      <c r="BO239" s="179"/>
      <c r="BP239" s="179"/>
      <c r="BQ239" s="179"/>
      <c r="BR239" s="179"/>
      <c r="BS239" s="179"/>
      <c r="BT239" s="179"/>
      <c r="BU239" s="179"/>
      <c r="BV239" s="179"/>
      <c r="BW239" s="179"/>
      <c r="BX239" s="179"/>
      <c r="BY239" s="179"/>
      <c r="BZ239" s="179"/>
      <c r="CA239" s="179"/>
      <c r="CB239" s="179"/>
      <c r="CC239" s="179"/>
      <c r="CD239" s="179"/>
      <c r="CE239" s="179"/>
      <c r="CF239" s="8"/>
      <c r="CM239" s="2">
        <f t="shared" si="109"/>
        <v>43.400000000000077</v>
      </c>
      <c r="CN239" s="1" t="str">
        <f t="shared" si="93"/>
        <v>0.0107986736111111+46.8662434722223i</v>
      </c>
      <c r="CO239" s="1" t="str">
        <f t="shared" si="94"/>
        <v>-0.0248817364311316i</v>
      </c>
      <c r="CP239" s="1" t="str">
        <f t="shared" si="95"/>
        <v>10.7986736111111</v>
      </c>
      <c r="CQ239" s="1" t="str">
        <f t="shared" si="96"/>
        <v>-0.597161674347157i</v>
      </c>
      <c r="CR239" s="1" t="str">
        <f t="shared" si="97"/>
        <v>0.0107986736111111+46.8413617357912i</v>
      </c>
      <c r="CS239" s="1" t="str">
        <f t="shared" si="98"/>
        <v>10.2532256838425+2.36362358829847i</v>
      </c>
      <c r="CT239" s="1" t="str">
        <f t="shared" si="99"/>
        <v>10.2532256838425+1.76646191395131i</v>
      </c>
      <c r="CU239" s="1" t="str">
        <f t="shared" si="100"/>
        <v>0.0191834803010191+20.8140761266058i</v>
      </c>
      <c r="CV239" s="1" t="str">
        <f t="shared" si="101"/>
        <v>7.22135132544716+4.90472173572244i</v>
      </c>
      <c r="CW239" s="2">
        <f t="shared" si="102"/>
        <v>43.400000000000077</v>
      </c>
      <c r="CX239" s="14">
        <f t="shared" si="103"/>
        <v>10.404279149333124</v>
      </c>
      <c r="CY239" s="14">
        <f t="shared" si="92"/>
        <v>20.814084966917463</v>
      </c>
      <c r="CZ239" s="14">
        <f t="shared" si="104"/>
        <v>8.7295022922504355</v>
      </c>
      <c r="DE239" s="14">
        <f t="shared" si="105"/>
        <v>43.400000000000077</v>
      </c>
      <c r="DF239" s="151">
        <f t="shared" si="106"/>
        <v>0.83902999592335814</v>
      </c>
      <c r="DH239" s="152">
        <f t="shared" si="107"/>
        <v>43.400000000000077</v>
      </c>
      <c r="DI239" s="1">
        <f t="shared" si="108"/>
        <v>0.41940360607374305</v>
      </c>
    </row>
    <row r="240" spans="2:113" ht="18" customHeight="1" x14ac:dyDescent="0.25">
      <c r="B240" s="6"/>
      <c r="C240" s="153"/>
      <c r="D240" s="153"/>
      <c r="E240" s="153"/>
      <c r="F240" s="153"/>
      <c r="G240" s="153"/>
      <c r="H240" s="153"/>
      <c r="I240" s="153"/>
      <c r="J240" s="153"/>
      <c r="K240" s="153"/>
      <c r="L240" s="153"/>
      <c r="M240" s="153"/>
      <c r="N240" s="153"/>
      <c r="O240" s="153"/>
      <c r="P240" s="153"/>
      <c r="Q240" s="153"/>
      <c r="R240" s="153"/>
      <c r="S240" s="153"/>
      <c r="T240" s="153"/>
      <c r="U240" s="153"/>
      <c r="V240" s="153"/>
      <c r="W240" s="153"/>
      <c r="X240" s="153"/>
      <c r="Y240" s="153"/>
      <c r="Z240" s="153"/>
      <c r="AA240" s="153"/>
      <c r="AB240" s="153"/>
      <c r="AC240" s="153"/>
      <c r="AD240" s="153"/>
      <c r="AE240" s="153"/>
      <c r="AF240" s="153"/>
      <c r="AG240" s="153"/>
      <c r="AH240" s="153"/>
      <c r="AI240" s="153"/>
      <c r="AJ240" s="153"/>
      <c r="AK240" s="153"/>
      <c r="AL240" s="153"/>
      <c r="AM240" s="153"/>
      <c r="AN240" s="153"/>
      <c r="AO240" s="153"/>
      <c r="AP240" s="8"/>
      <c r="AR240" s="6"/>
      <c r="AS240" s="179"/>
      <c r="AT240" s="179"/>
      <c r="AU240" s="179"/>
      <c r="AV240" s="179"/>
      <c r="AW240" s="179"/>
      <c r="AX240" s="179"/>
      <c r="AY240" s="179"/>
      <c r="AZ240" s="179"/>
      <c r="BA240" s="179"/>
      <c r="BB240" s="179"/>
      <c r="BC240" s="179"/>
      <c r="BD240" s="179"/>
      <c r="BE240" s="179"/>
      <c r="BF240" s="179"/>
      <c r="BG240" s="179"/>
      <c r="BH240" s="179"/>
      <c r="BI240" s="179"/>
      <c r="BJ240" s="179"/>
      <c r="BK240" s="179"/>
      <c r="BL240" s="179"/>
      <c r="BM240" s="179"/>
      <c r="BN240" s="179"/>
      <c r="BO240" s="179"/>
      <c r="BP240" s="179"/>
      <c r="BQ240" s="179"/>
      <c r="BR240" s="179"/>
      <c r="BS240" s="179"/>
      <c r="BT240" s="179"/>
      <c r="BU240" s="179"/>
      <c r="BV240" s="179"/>
      <c r="BW240" s="179"/>
      <c r="BX240" s="179"/>
      <c r="BY240" s="179"/>
      <c r="BZ240" s="179"/>
      <c r="CA240" s="179"/>
      <c r="CB240" s="179"/>
      <c r="CC240" s="179"/>
      <c r="CD240" s="179"/>
      <c r="CE240" s="179"/>
      <c r="CF240" s="8"/>
      <c r="CM240" s="2">
        <f t="shared" si="109"/>
        <v>43.60000000000008</v>
      </c>
      <c r="CN240" s="1" t="str">
        <f t="shared" si="93"/>
        <v>0.0107986736111111+47.0822169444445i</v>
      </c>
      <c r="CO240" s="1" t="str">
        <f t="shared" si="94"/>
        <v>-0.0247676000254842i</v>
      </c>
      <c r="CP240" s="1" t="str">
        <f t="shared" si="95"/>
        <v>10.7986736111111</v>
      </c>
      <c r="CQ240" s="1" t="str">
        <f t="shared" si="96"/>
        <v>-0.59442240061162i</v>
      </c>
      <c r="CR240" s="1" t="str">
        <f t="shared" si="97"/>
        <v>0.0107986736111111+47.057449344419i</v>
      </c>
      <c r="CS240" s="1" t="str">
        <f t="shared" si="98"/>
        <v>10.2579730719013+2.35386035175154i</v>
      </c>
      <c r="CT240" s="1" t="str">
        <f t="shared" si="99"/>
        <v>10.2579730719013+1.75943795113992i</v>
      </c>
      <c r="CU240" s="1" t="str">
        <f t="shared" si="100"/>
        <v>0.0191834803010191+20.9099935281109i</v>
      </c>
      <c r="CV240" s="1" t="str">
        <f t="shared" si="101"/>
        <v>7.24291519571373+4.89776843364576i</v>
      </c>
      <c r="CW240" s="2">
        <f t="shared" si="102"/>
        <v>43.60000000000008</v>
      </c>
      <c r="CX240" s="14">
        <f t="shared" si="103"/>
        <v>10.407767937831993</v>
      </c>
      <c r="CY240" s="14">
        <f t="shared" si="92"/>
        <v>20.910002327870689</v>
      </c>
      <c r="CZ240" s="14">
        <f t="shared" si="104"/>
        <v>8.7434521878899574</v>
      </c>
      <c r="DE240" s="14">
        <f t="shared" si="105"/>
        <v>43.60000000000008</v>
      </c>
      <c r="DF240" s="151">
        <f t="shared" si="106"/>
        <v>0.8400890796294278</v>
      </c>
      <c r="DH240" s="152">
        <f t="shared" si="107"/>
        <v>43.60000000000008</v>
      </c>
      <c r="DI240" s="1">
        <f t="shared" si="108"/>
        <v>0.41814687778565734</v>
      </c>
    </row>
    <row r="241" spans="2:113" ht="18" customHeight="1" x14ac:dyDescent="0.25">
      <c r="B241" s="6"/>
      <c r="C241" s="153"/>
      <c r="D241" s="153"/>
      <c r="E241" s="153"/>
      <c r="F241" s="153"/>
      <c r="G241" s="153"/>
      <c r="H241" s="153"/>
      <c r="I241" s="153"/>
      <c r="J241" s="153"/>
      <c r="K241" s="153"/>
      <c r="L241" s="153"/>
      <c r="M241" s="153"/>
      <c r="N241" s="153"/>
      <c r="O241" s="153"/>
      <c r="P241" s="153"/>
      <c r="Q241" s="153"/>
      <c r="R241" s="153"/>
      <c r="S241" s="153"/>
      <c r="T241" s="153"/>
      <c r="U241" s="153"/>
      <c r="V241" s="153"/>
      <c r="W241" s="153"/>
      <c r="X241" s="153"/>
      <c r="Y241" s="153"/>
      <c r="Z241" s="153"/>
      <c r="AA241" s="153"/>
      <c r="AB241" s="153"/>
      <c r="AC241" s="153"/>
      <c r="AD241" s="153"/>
      <c r="AE241" s="153"/>
      <c r="AF241" s="153"/>
      <c r="AG241" s="153"/>
      <c r="AH241" s="153"/>
      <c r="AI241" s="153"/>
      <c r="AJ241" s="153"/>
      <c r="AK241" s="153"/>
      <c r="AL241" s="153"/>
      <c r="AM241" s="153"/>
      <c r="AN241" s="153"/>
      <c r="AO241" s="153"/>
      <c r="AP241" s="8"/>
      <c r="AR241" s="6"/>
      <c r="AS241" s="179"/>
      <c r="AT241" s="179"/>
      <c r="AU241" s="179"/>
      <c r="AV241" s="179"/>
      <c r="AW241" s="179"/>
      <c r="AX241" s="179"/>
      <c r="AY241" s="179"/>
      <c r="AZ241" s="179"/>
      <c r="BA241" s="179"/>
      <c r="BB241" s="179"/>
      <c r="BC241" s="179"/>
      <c r="BD241" s="179"/>
      <c r="BE241" s="179"/>
      <c r="BF241" s="179"/>
      <c r="BG241" s="179"/>
      <c r="BH241" s="179"/>
      <c r="BI241" s="179"/>
      <c r="BJ241" s="179"/>
      <c r="BK241" s="179"/>
      <c r="BL241" s="179"/>
      <c r="BM241" s="179"/>
      <c r="BN241" s="179"/>
      <c r="BO241" s="179"/>
      <c r="BP241" s="179"/>
      <c r="BQ241" s="179"/>
      <c r="BR241" s="179"/>
      <c r="BS241" s="179"/>
      <c r="BT241" s="179"/>
      <c r="BU241" s="179"/>
      <c r="BV241" s="179"/>
      <c r="BW241" s="179"/>
      <c r="BX241" s="179"/>
      <c r="BY241" s="179"/>
      <c r="BZ241" s="179"/>
      <c r="CA241" s="179"/>
      <c r="CB241" s="179"/>
      <c r="CC241" s="179"/>
      <c r="CD241" s="179"/>
      <c r="CE241" s="179"/>
      <c r="CF241" s="8"/>
      <c r="CM241" s="2">
        <f t="shared" si="109"/>
        <v>43.800000000000082</v>
      </c>
      <c r="CN241" s="1" t="str">
        <f t="shared" si="93"/>
        <v>0.0107986736111111+47.2981904166668i</v>
      </c>
      <c r="CO241" s="1" t="str">
        <f t="shared" si="94"/>
        <v>-0.0246545059614409i</v>
      </c>
      <c r="CP241" s="1" t="str">
        <f t="shared" si="95"/>
        <v>10.7986736111111</v>
      </c>
      <c r="CQ241" s="1" t="str">
        <f t="shared" si="96"/>
        <v>-0.59170814307458i</v>
      </c>
      <c r="CR241" s="1" t="str">
        <f t="shared" si="97"/>
        <v>0.0107986736111111+47.2735359107054i</v>
      </c>
      <c r="CS241" s="1" t="str">
        <f t="shared" si="98"/>
        <v>10.2626597982987+2.34417255173815i</v>
      </c>
      <c r="CT241" s="1" t="str">
        <f t="shared" si="99"/>
        <v>10.2626597982987+1.75246440866357i</v>
      </c>
      <c r="CU241" s="1" t="str">
        <f t="shared" si="100"/>
        <v>0.0191834803010191+21.005910929616i</v>
      </c>
      <c r="CV241" s="1" t="str">
        <f t="shared" si="101"/>
        <v>7.26431811280178+4.89076291479106i</v>
      </c>
      <c r="CW241" s="2">
        <f t="shared" si="102"/>
        <v>43.800000000000082</v>
      </c>
      <c r="CX241" s="14">
        <f t="shared" si="103"/>
        <v>10.411211151410235</v>
      </c>
      <c r="CY241" s="14">
        <f t="shared" si="92"/>
        <v>21.005919689194251</v>
      </c>
      <c r="CZ241" s="14">
        <f t="shared" si="104"/>
        <v>8.7572758054474669</v>
      </c>
      <c r="DE241" s="14">
        <f t="shared" si="105"/>
        <v>43.800000000000082</v>
      </c>
      <c r="DF241" s="151">
        <f t="shared" si="106"/>
        <v>0.84113900660455576</v>
      </c>
      <c r="DH241" s="152">
        <f t="shared" si="107"/>
        <v>43.800000000000082</v>
      </c>
      <c r="DI241" s="1">
        <f t="shared" si="108"/>
        <v>0.41689561490384813</v>
      </c>
    </row>
    <row r="242" spans="2:113" ht="18" customHeight="1" x14ac:dyDescent="0.25">
      <c r="B242" s="6"/>
      <c r="C242" s="153"/>
      <c r="D242" s="153"/>
      <c r="E242" s="153"/>
      <c r="F242" s="153"/>
      <c r="G242" s="153"/>
      <c r="H242" s="153"/>
      <c r="I242" s="153"/>
      <c r="J242" s="153"/>
      <c r="K242" s="153"/>
      <c r="L242" s="153"/>
      <c r="M242" s="153"/>
      <c r="N242" s="153"/>
      <c r="O242" s="153"/>
      <c r="P242" s="153"/>
      <c r="Q242" s="153"/>
      <c r="R242" s="153"/>
      <c r="S242" s="153"/>
      <c r="T242" s="153"/>
      <c r="U242" s="153"/>
      <c r="V242" s="153"/>
      <c r="W242" s="153"/>
      <c r="X242" s="153"/>
      <c r="Y242" s="153"/>
      <c r="Z242" s="153"/>
      <c r="AA242" s="153"/>
      <c r="AB242" s="153"/>
      <c r="AC242" s="153"/>
      <c r="AD242" s="153"/>
      <c r="AE242" s="153"/>
      <c r="AF242" s="153"/>
      <c r="AG242" s="153"/>
      <c r="AH242" s="153"/>
      <c r="AI242" s="153"/>
      <c r="AJ242" s="153"/>
      <c r="AK242" s="153"/>
      <c r="AL242" s="153"/>
      <c r="AM242" s="153"/>
      <c r="AN242" s="153"/>
      <c r="AO242" s="153"/>
      <c r="AP242" s="8"/>
      <c r="AR242" s="6"/>
      <c r="CF242" s="8"/>
      <c r="CM242" s="2">
        <f t="shared" si="109"/>
        <v>44.000000000000085</v>
      </c>
      <c r="CN242" s="1" t="str">
        <f t="shared" si="93"/>
        <v>0.0107986736111111+47.514163888889i</v>
      </c>
      <c r="CO242" s="1" t="str">
        <f t="shared" si="94"/>
        <v>-0.0245424400252525i</v>
      </c>
      <c r="CP242" s="1" t="str">
        <f t="shared" si="95"/>
        <v>10.7986736111111</v>
      </c>
      <c r="CQ242" s="1" t="str">
        <f t="shared" si="96"/>
        <v>-0.58901856060606i</v>
      </c>
      <c r="CR242" s="1" t="str">
        <f t="shared" si="97"/>
        <v>0.0107986736111111+47.4896214488638i</v>
      </c>
      <c r="CS242" s="1" t="str">
        <f t="shared" si="98"/>
        <v>10.2672868738891+2.33455938725934i</v>
      </c>
      <c r="CT242" s="1" t="str">
        <f t="shared" si="99"/>
        <v>10.2672868738891+1.74554082665328i</v>
      </c>
      <c r="CU242" s="1" t="str">
        <f t="shared" si="100"/>
        <v>0.0191834803010191+21.1018283311211i</v>
      </c>
      <c r="CV242" s="1" t="str">
        <f t="shared" si="101"/>
        <v>7.28556120451914+4.88370670368699i</v>
      </c>
      <c r="CW242" s="2">
        <f t="shared" si="102"/>
        <v>44.000000000000085</v>
      </c>
      <c r="CX242" s="14">
        <f t="shared" si="103"/>
        <v>10.414609571570546</v>
      </c>
      <c r="CY242" s="14">
        <f t="shared" si="92"/>
        <v>21.101837050883102</v>
      </c>
      <c r="CZ242" s="14">
        <f t="shared" si="104"/>
        <v>8.7709744745057616</v>
      </c>
      <c r="DE242" s="14">
        <f t="shared" si="105"/>
        <v>44.000000000000085</v>
      </c>
      <c r="DF242" s="151">
        <f t="shared" si="106"/>
        <v>0.84217986418314317</v>
      </c>
      <c r="DH242" s="152">
        <f t="shared" si="107"/>
        <v>44.000000000000085</v>
      </c>
      <c r="DI242" s="1">
        <f t="shared" si="108"/>
        <v>0.41564980590818779</v>
      </c>
    </row>
    <row r="243" spans="2:113" ht="18" customHeight="1" thickBot="1" x14ac:dyDescent="0.3">
      <c r="B243" s="6"/>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1"/>
      <c r="AO243" s="10"/>
      <c r="AP243" s="8"/>
      <c r="AR243" s="6"/>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1"/>
      <c r="CE243" s="10"/>
      <c r="CF243" s="8"/>
      <c r="CM243" s="2">
        <f t="shared" si="109"/>
        <v>44.200000000000088</v>
      </c>
      <c r="CN243" s="1" t="str">
        <f t="shared" si="93"/>
        <v>0.0107986736111111+47.7301373611112i</v>
      </c>
      <c r="CO243" s="1" t="str">
        <f t="shared" si="94"/>
        <v>-0.0244313882604323i</v>
      </c>
      <c r="CP243" s="1" t="str">
        <f t="shared" si="95"/>
        <v>10.7986736111111</v>
      </c>
      <c r="CQ243" s="1" t="str">
        <f t="shared" si="96"/>
        <v>-0.586353318250376i</v>
      </c>
      <c r="CR243" s="1" t="str">
        <f t="shared" si="97"/>
        <v>0.0107986736111111+47.7057059728508i</v>
      </c>
      <c r="CS243" s="1" t="str">
        <f t="shared" si="98"/>
        <v>10.2718552889561+2.32502006720142i</v>
      </c>
      <c r="CT243" s="1" t="str">
        <f t="shared" si="99"/>
        <v>10.2718552889561+1.73866674895104i</v>
      </c>
      <c r="CU243" s="1" t="str">
        <f t="shared" si="100"/>
        <v>0.0191834803010191+21.1977457326262i</v>
      </c>
      <c r="CV243" s="1" t="str">
        <f t="shared" si="101"/>
        <v>7.30664559796916+4.87660129657192i</v>
      </c>
      <c r="CW243" s="2">
        <f t="shared" si="102"/>
        <v>44.200000000000088</v>
      </c>
      <c r="CX243" s="14">
        <f t="shared" si="103"/>
        <v>10.417963963326201</v>
      </c>
      <c r="CY243" s="14">
        <f t="shared" si="92"/>
        <v>21.19775441293228</v>
      </c>
      <c r="CZ243" s="14">
        <f t="shared" si="104"/>
        <v>8.7845495103647195</v>
      </c>
      <c r="DE243" s="14">
        <f t="shared" si="105"/>
        <v>44.200000000000088</v>
      </c>
      <c r="DF243" s="151">
        <f t="shared" si="106"/>
        <v>0.84321173900087154</v>
      </c>
      <c r="DH243" s="152">
        <f t="shared" si="107"/>
        <v>44.200000000000088</v>
      </c>
      <c r="DI243" s="1">
        <f t="shared" si="108"/>
        <v>0.41440943881326664</v>
      </c>
    </row>
    <row r="244" spans="2:113" ht="18" customHeight="1" x14ac:dyDescent="0.25">
      <c r="B244" s="6"/>
      <c r="D244" s="43" t="s">
        <v>84</v>
      </c>
      <c r="AO244" s="29" t="s">
        <v>445</v>
      </c>
      <c r="AP244" s="8"/>
      <c r="AR244" s="6"/>
      <c r="AT244" s="43" t="s">
        <v>84</v>
      </c>
      <c r="CE244" s="29" t="s">
        <v>446</v>
      </c>
      <c r="CF244" s="8"/>
      <c r="CM244" s="2">
        <f t="shared" si="109"/>
        <v>44.400000000000091</v>
      </c>
      <c r="CN244" s="1" t="str">
        <f t="shared" si="93"/>
        <v>0.0107986736111111+47.9461108333334i</v>
      </c>
      <c r="CO244" s="1" t="str">
        <f t="shared" si="94"/>
        <v>-0.0243213369619619i</v>
      </c>
      <c r="CP244" s="1" t="str">
        <f t="shared" si="95"/>
        <v>10.7986736111111</v>
      </c>
      <c r="CQ244" s="1" t="str">
        <f t="shared" si="96"/>
        <v>-0.583712087087086i</v>
      </c>
      <c r="CR244" s="1" t="str">
        <f t="shared" si="97"/>
        <v>0.0107986736111111+47.9217894963714i</v>
      </c>
      <c r="CS244" s="1" t="str">
        <f t="shared" si="98"/>
        <v>10.2763660137022+2.31555381022275i</v>
      </c>
      <c r="CT244" s="1" t="str">
        <f t="shared" si="99"/>
        <v>10.2763660137022+1.73184172313566i</v>
      </c>
      <c r="CU244" s="1" t="str">
        <f t="shared" si="100"/>
        <v>0.0191834803010191+21.2936631341313i</v>
      </c>
      <c r="CV244" s="1" t="str">
        <f t="shared" si="101"/>
        <v>7.32757241926425+4.86944816183415i</v>
      </c>
      <c r="CW244" s="2">
        <f t="shared" si="102"/>
        <v>44.400000000000091</v>
      </c>
      <c r="CX244" s="14">
        <f t="shared" si="103"/>
        <v>10.421275075611771</v>
      </c>
      <c r="CY244" s="14">
        <f t="shared" si="92"/>
        <v>21.293671775336914</v>
      </c>
      <c r="CZ244" s="14">
        <f t="shared" si="104"/>
        <v>8.7980022141593093</v>
      </c>
      <c r="DE244" s="14">
        <f t="shared" si="105"/>
        <v>44.400000000000091</v>
      </c>
      <c r="DF244" s="151">
        <f t="shared" si="106"/>
        <v>0.84423471699242292</v>
      </c>
      <c r="DH244" s="152">
        <f t="shared" si="107"/>
        <v>44.400000000000091</v>
      </c>
      <c r="DI244" s="1">
        <f t="shared" si="108"/>
        <v>0.41317450118440618</v>
      </c>
    </row>
    <row r="245" spans="2:113" ht="18" customHeight="1" x14ac:dyDescent="0.25">
      <c r="B245" s="45"/>
      <c r="C245" s="46"/>
      <c r="D245" s="46"/>
      <c r="E245" s="46"/>
      <c r="F245" s="46"/>
      <c r="G245" s="46"/>
      <c r="H245" s="46"/>
      <c r="I245" s="46"/>
      <c r="J245" s="46"/>
      <c r="K245" s="46"/>
      <c r="L245" s="46"/>
      <c r="M245" s="46"/>
      <c r="N245" s="46"/>
      <c r="O245" s="46"/>
      <c r="P245" s="46"/>
      <c r="Q245" s="46"/>
      <c r="R245" s="46"/>
      <c r="S245" s="46"/>
      <c r="T245" s="46"/>
      <c r="U245" s="46"/>
      <c r="V245" s="46"/>
      <c r="W245" s="46"/>
      <c r="X245" s="46"/>
      <c r="Y245" s="46"/>
      <c r="Z245" s="46"/>
      <c r="AA245" s="46"/>
      <c r="AB245" s="46"/>
      <c r="AC245" s="46"/>
      <c r="AD245" s="46"/>
      <c r="AE245" s="46"/>
      <c r="AF245" s="46"/>
      <c r="AG245" s="46"/>
      <c r="AH245" s="46"/>
      <c r="AI245" s="46"/>
      <c r="AJ245" s="46"/>
      <c r="AK245" s="46"/>
      <c r="AL245" s="46"/>
      <c r="AM245" s="46"/>
      <c r="AN245" s="46"/>
      <c r="AO245" s="46"/>
      <c r="AP245" s="47"/>
      <c r="AR245" s="45"/>
      <c r="AS245" s="46"/>
      <c r="AT245" s="46"/>
      <c r="AU245" s="46"/>
      <c r="AV245" s="46"/>
      <c r="AW245" s="46"/>
      <c r="AX245" s="46"/>
      <c r="AY245" s="46"/>
      <c r="AZ245" s="46"/>
      <c r="BA245" s="46"/>
      <c r="BB245" s="46"/>
      <c r="BC245" s="46"/>
      <c r="BD245" s="46"/>
      <c r="BE245" s="46"/>
      <c r="BF245" s="46"/>
      <c r="BG245" s="46"/>
      <c r="BH245" s="46"/>
      <c r="BI245" s="46"/>
      <c r="BJ245" s="46"/>
      <c r="BK245" s="46"/>
      <c r="BL245" s="46"/>
      <c r="BM245" s="46"/>
      <c r="BN245" s="46"/>
      <c r="BO245" s="46"/>
      <c r="BP245" s="46"/>
      <c r="BQ245" s="46"/>
      <c r="BR245" s="46"/>
      <c r="BS245" s="46"/>
      <c r="BT245" s="46"/>
      <c r="BU245" s="46"/>
      <c r="BV245" s="46"/>
      <c r="BW245" s="46"/>
      <c r="BX245" s="46"/>
      <c r="BY245" s="46"/>
      <c r="BZ245" s="46"/>
      <c r="CA245" s="46"/>
      <c r="CB245" s="46"/>
      <c r="CC245" s="46"/>
      <c r="CD245" s="46"/>
      <c r="CE245" s="46"/>
      <c r="CF245" s="47"/>
      <c r="CM245" s="2">
        <f t="shared" si="109"/>
        <v>44.600000000000094</v>
      </c>
      <c r="CN245" s="1" t="str">
        <f t="shared" si="93"/>
        <v>0.0107986736111111+48.1620843055557i</v>
      </c>
      <c r="CO245" s="1" t="str">
        <f t="shared" si="94"/>
        <v>-0.0242122726706527i</v>
      </c>
      <c r="CP245" s="1" t="str">
        <f t="shared" si="95"/>
        <v>10.7986736111111</v>
      </c>
      <c r="CQ245" s="1" t="str">
        <f t="shared" si="96"/>
        <v>-0.581094544095664i</v>
      </c>
      <c r="CR245" s="1" t="str">
        <f t="shared" si="97"/>
        <v>0.0107986736111111+48.137872032885i</v>
      </c>
      <c r="CS245" s="1" t="str">
        <f t="shared" si="98"/>
        <v>10.2808199987256+2.30615984464051i</v>
      </c>
      <c r="CT245" s="1" t="str">
        <f t="shared" si="99"/>
        <v>10.2808199987256+1.72506530054485i</v>
      </c>
      <c r="CU245" s="1" t="str">
        <f t="shared" si="100"/>
        <v>0.0191834803010191+21.3895805356364i</v>
      </c>
      <c r="CV245" s="1" t="str">
        <f t="shared" si="101"/>
        <v>7.34834279325006+4.86224874044774i</v>
      </c>
      <c r="CW245" s="2">
        <f t="shared" si="102"/>
        <v>44.600000000000094</v>
      </c>
      <c r="CX245" s="14">
        <f t="shared" si="103"/>
        <v>10.42454364168236</v>
      </c>
      <c r="CY245" s="14">
        <f t="shared" si="92"/>
        <v>21.389589138092223</v>
      </c>
      <c r="CZ245" s="14">
        <f t="shared" si="104"/>
        <v>8.8113338729783539</v>
      </c>
      <c r="DE245" s="14">
        <f t="shared" si="105"/>
        <v>44.600000000000094</v>
      </c>
      <c r="DF245" s="151">
        <f t="shared" si="106"/>
        <v>0.84524888338961579</v>
      </c>
      <c r="DH245" s="152">
        <f t="shared" si="107"/>
        <v>44.600000000000094</v>
      </c>
      <c r="DI245" s="1">
        <f t="shared" si="108"/>
        <v>0.41194498015328607</v>
      </c>
    </row>
    <row r="246" spans="2:113" ht="18" customHeight="1" x14ac:dyDescent="0.25">
      <c r="CM246" s="2">
        <f t="shared" si="109"/>
        <v>44.800000000000097</v>
      </c>
      <c r="CN246" s="1" t="str">
        <f t="shared" si="93"/>
        <v>0.0107986736111111+48.3780577777779i</v>
      </c>
      <c r="CO246" s="1" t="str">
        <f t="shared" si="94"/>
        <v>-0.0241041821676587i</v>
      </c>
      <c r="CP246" s="1" t="str">
        <f t="shared" si="95"/>
        <v>10.7986736111111</v>
      </c>
      <c r="CQ246" s="1" t="str">
        <f t="shared" si="96"/>
        <v>-0.578500372023808i</v>
      </c>
      <c r="CR246" s="1" t="str">
        <f t="shared" si="97"/>
        <v>0.0107986736111111+48.3539535956102i</v>
      </c>
      <c r="CS246" s="1" t="str">
        <f t="shared" si="98"/>
        <v>10.2852181754841+2.29683740831772i</v>
      </c>
      <c r="CT246" s="1" t="str">
        <f t="shared" si="99"/>
        <v>10.2852181754841+1.71833703629391i</v>
      </c>
      <c r="CU246" s="1" t="str">
        <f t="shared" si="100"/>
        <v>0.0191834803010191+21.4854979371415i</v>
      </c>
      <c r="CV246" s="1" t="str">
        <f t="shared" si="101"/>
        <v>7.36895784323978+4.85500444640325i</v>
      </c>
      <c r="CW246" s="2">
        <f t="shared" si="102"/>
        <v>44.800000000000097</v>
      </c>
      <c r="CX246" s="14">
        <f t="shared" si="103"/>
        <v>10.42777037950145</v>
      </c>
      <c r="CY246" s="14">
        <f t="shared" si="92"/>
        <v>21.485506501193516</v>
      </c>
      <c r="CZ246" s="14">
        <f t="shared" si="104"/>
        <v>8.8245457599833657</v>
      </c>
      <c r="DE246" s="14">
        <f t="shared" si="105"/>
        <v>44.800000000000097</v>
      </c>
      <c r="DF246" s="151">
        <f t="shared" si="106"/>
        <v>0.84625432271987511</v>
      </c>
      <c r="DH246" s="152">
        <f t="shared" si="107"/>
        <v>44.800000000000097</v>
      </c>
      <c r="DI246" s="1">
        <f t="shared" si="108"/>
        <v>0.41072086243315609</v>
      </c>
    </row>
    <row r="247" spans="2:113" ht="18" customHeight="1" x14ac:dyDescent="0.25">
      <c r="B247" s="3"/>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5"/>
      <c r="AR247" s="3"/>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5"/>
      <c r="CM247" s="2">
        <f t="shared" si="109"/>
        <v>45.000000000000099</v>
      </c>
      <c r="CN247" s="1" t="str">
        <f t="shared" si="93"/>
        <v>0.0107986736111111+48.5940312500001i</v>
      </c>
      <c r="CO247" s="1" t="str">
        <f t="shared" si="94"/>
        <v>-0.0239970524691358i</v>
      </c>
      <c r="CP247" s="1" t="str">
        <f t="shared" si="95"/>
        <v>10.7986736111111</v>
      </c>
      <c r="CQ247" s="1" t="str">
        <f t="shared" si="96"/>
        <v>-0.575929259259258i</v>
      </c>
      <c r="CR247" s="1" t="str">
        <f t="shared" si="97"/>
        <v>0.0107986736111111+48.570034197531i</v>
      </c>
      <c r="CS247" s="1" t="str">
        <f t="shared" si="98"/>
        <v>10.2895614567462+2.28758574855054i</v>
      </c>
      <c r="CT247" s="1" t="str">
        <f t="shared" si="99"/>
        <v>10.2895614567462+1.71165648929128i</v>
      </c>
      <c r="CU247" s="1" t="str">
        <f t="shared" si="100"/>
        <v>0.0191834803010191+21.5814153386466i</v>
      </c>
      <c r="CV247" s="1" t="str">
        <f t="shared" si="101"/>
        <v>7.38941869075882+4.84771666713448i</v>
      </c>
      <c r="CW247" s="2">
        <f t="shared" si="102"/>
        <v>45.000000000000099</v>
      </c>
      <c r="CX247" s="14">
        <f t="shared" si="103"/>
        <v>10.430955992117404</v>
      </c>
      <c r="CY247" s="14">
        <f t="shared" si="92"/>
        <v>21.581423864636175</v>
      </c>
      <c r="CZ247" s="14">
        <f t="shared" si="104"/>
        <v>8.8376391345284748</v>
      </c>
      <c r="DE247" s="14">
        <f t="shared" si="105"/>
        <v>45.000000000000099</v>
      </c>
      <c r="DF247" s="151">
        <f t="shared" si="106"/>
        <v>0.84725111880512294</v>
      </c>
      <c r="DH247" s="152">
        <f t="shared" si="107"/>
        <v>45.000000000000099</v>
      </c>
      <c r="DI247" s="1">
        <f t="shared" si="108"/>
        <v>0.4095021343336871</v>
      </c>
    </row>
    <row r="248" spans="2:113" ht="18" customHeight="1" x14ac:dyDescent="0.25">
      <c r="B248" s="6"/>
      <c r="AN248" s="7"/>
      <c r="AP248" s="8"/>
      <c r="AR248" s="6"/>
      <c r="CD248" s="7"/>
      <c r="CF248" s="8"/>
      <c r="CM248" s="2">
        <f t="shared" si="109"/>
        <v>45.200000000000102</v>
      </c>
      <c r="CN248" s="1" t="str">
        <f t="shared" si="93"/>
        <v>0.0107986736111111+48.8100047222223i</v>
      </c>
      <c r="CO248" s="1" t="str">
        <f t="shared" si="94"/>
        <v>-0.0238908708210422i</v>
      </c>
      <c r="CP248" s="1" t="str">
        <f t="shared" si="95"/>
        <v>10.7986736111111</v>
      </c>
      <c r="CQ248" s="1" t="str">
        <f t="shared" si="96"/>
        <v>-0.573380899705014i</v>
      </c>
      <c r="CR248" s="1" t="str">
        <f t="shared" si="97"/>
        <v>0.0107986736111111+48.7861138514013i</v>
      </c>
      <c r="CS248" s="1" t="str">
        <f t="shared" si="98"/>
        <v>10.2938507370307+2.27840412195587i</v>
      </c>
      <c r="CT248" s="1" t="str">
        <f t="shared" si="99"/>
        <v>10.2938507370307+1.70502322225086i</v>
      </c>
      <c r="CU248" s="1" t="str">
        <f t="shared" si="100"/>
        <v>0.0191834803010191+21.6773327401517i</v>
      </c>
      <c r="CV248" s="1" t="str">
        <f t="shared" si="101"/>
        <v>7.40972645529903+4.84038676394008i</v>
      </c>
      <c r="CW248" s="2">
        <f t="shared" si="102"/>
        <v>45.200000000000102</v>
      </c>
      <c r="CX248" s="14">
        <f t="shared" si="103"/>
        <v>10.434101168029866</v>
      </c>
      <c r="CY248" s="14">
        <f t="shared" si="92"/>
        <v>21.677341228415671</v>
      </c>
      <c r="CZ248" s="14">
        <f t="shared" si="104"/>
        <v>8.8506152422803162</v>
      </c>
      <c r="DE248" s="14">
        <f t="shared" si="105"/>
        <v>45.200000000000102</v>
      </c>
      <c r="DF248" s="151">
        <f t="shared" si="106"/>
        <v>0.84823935476096834</v>
      </c>
      <c r="DH248" s="152">
        <f t="shared" si="107"/>
        <v>45.200000000000102</v>
      </c>
      <c r="DI248" s="1">
        <f t="shared" si="108"/>
        <v>0.40828878177543898</v>
      </c>
    </row>
    <row r="249" spans="2:113" ht="18" customHeight="1" x14ac:dyDescent="0.25">
      <c r="B249" s="6"/>
      <c r="AN249" s="9"/>
      <c r="AP249" s="8"/>
      <c r="AR249" s="6"/>
      <c r="CD249" s="9"/>
      <c r="CF249" s="8"/>
      <c r="CM249" s="2">
        <f t="shared" si="109"/>
        <v>45.400000000000105</v>
      </c>
      <c r="CN249" s="1" t="str">
        <f t="shared" si="93"/>
        <v>0.0107986736111111+49.0259781944446i</v>
      </c>
      <c r="CO249" s="1" t="str">
        <f t="shared" si="94"/>
        <v>-0.0237856246940773i</v>
      </c>
      <c r="CP249" s="1" t="str">
        <f t="shared" si="95"/>
        <v>10.7986736111111</v>
      </c>
      <c r="CQ249" s="1" t="str">
        <f t="shared" si="96"/>
        <v>-0.570854992657855i</v>
      </c>
      <c r="CR249" s="1" t="str">
        <f t="shared" si="97"/>
        <v>0.0107986736111111+49.0021925697505i</v>
      </c>
      <c r="CS249" s="1" t="str">
        <f t="shared" si="98"/>
        <v>10.298086893034+2.26929179435937i</v>
      </c>
      <c r="CT249" s="1" t="str">
        <f t="shared" si="99"/>
        <v>10.298086893034+1.69843680170151i</v>
      </c>
      <c r="CU249" s="1" t="str">
        <f t="shared" si="100"/>
        <v>0.0191834803010191+21.7732501416568i</v>
      </c>
      <c r="CV249" s="1" t="str">
        <f t="shared" si="101"/>
        <v>7.42988225408276+4.83301607240066i</v>
      </c>
      <c r="CW249" s="2">
        <f t="shared" si="102"/>
        <v>45.400000000000105</v>
      </c>
      <c r="CX249" s="14">
        <f t="shared" si="103"/>
        <v>10.437206581545308</v>
      </c>
      <c r="CY249" s="14">
        <f t="shared" si="92"/>
        <v>21.773258592527551</v>
      </c>
      <c r="CZ249" s="14">
        <f t="shared" si="104"/>
        <v>8.8634753153386168</v>
      </c>
      <c r="DE249" s="14">
        <f t="shared" si="105"/>
        <v>45.400000000000105</v>
      </c>
      <c r="DF249" s="151">
        <f t="shared" si="106"/>
        <v>0.84921911299625608</v>
      </c>
      <c r="DH249" s="152">
        <f t="shared" si="107"/>
        <v>45.400000000000105</v>
      </c>
      <c r="DI249" s="1">
        <f t="shared" si="108"/>
        <v>0.40708079030396011</v>
      </c>
    </row>
    <row r="250" spans="2:113" ht="18" customHeight="1" thickBot="1" x14ac:dyDescent="0.3">
      <c r="B250" s="6"/>
      <c r="C250" s="10" t="str">
        <f>"Harmonic Filter Design - C-HP | "&amp; H12 &amp; " | " &amp; AE13</f>
        <v>Harmonic Filter Design - C-HP | Enter Customer PO #  | Stage 1</v>
      </c>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1"/>
      <c r="AO250" s="10"/>
      <c r="AP250" s="8"/>
      <c r="AR250" s="6"/>
      <c r="AS250" s="10" t="str">
        <f>"Harmonic Filter Design - C-HP | "&amp; H12 &amp; " | " &amp; AE13</f>
        <v>Harmonic Filter Design - C-HP | Enter Customer PO #  | Stage 1</v>
      </c>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1"/>
      <c r="CE250" s="10"/>
      <c r="CF250" s="8"/>
      <c r="CM250" s="2">
        <f t="shared" si="109"/>
        <v>45.600000000000108</v>
      </c>
      <c r="CN250" s="1" t="str">
        <f t="shared" si="93"/>
        <v>0.0107986736111111+49.2419516666668i</v>
      </c>
      <c r="CO250" s="1" t="str">
        <f t="shared" si="94"/>
        <v>-0.0236813017787524i</v>
      </c>
      <c r="CP250" s="1" t="str">
        <f t="shared" si="95"/>
        <v>10.7986736111111</v>
      </c>
      <c r="CQ250" s="1" t="str">
        <f t="shared" si="96"/>
        <v>-0.568351242690057i</v>
      </c>
      <c r="CR250" s="1" t="str">
        <f t="shared" si="97"/>
        <v>0.0107986736111111+49.218270364888i</v>
      </c>
      <c r="CS250" s="1" t="str">
        <f t="shared" si="98"/>
        <v>10.3022707840463+2.26024804068398i</v>
      </c>
      <c r="CT250" s="1" t="str">
        <f t="shared" si="99"/>
        <v>10.3022707840463+1.69189679799392i</v>
      </c>
      <c r="CU250" s="1" t="str">
        <f t="shared" si="100"/>
        <v>0.0191834803010191+21.8691675431619i</v>
      </c>
      <c r="CV250" s="1" t="str">
        <f t="shared" si="101"/>
        <v>7.44988720183571+4.82560590279101i</v>
      </c>
      <c r="CW250" s="2">
        <f t="shared" si="102"/>
        <v>45.600000000000108</v>
      </c>
      <c r="CX250" s="14">
        <f t="shared" si="103"/>
        <v>10.440272893122863</v>
      </c>
      <c r="CY250" s="14">
        <f t="shared" si="92"/>
        <v>21.869175956967439</v>
      </c>
      <c r="CZ250" s="14">
        <f t="shared" si="104"/>
        <v>8.8762205723566243</v>
      </c>
      <c r="DE250" s="14">
        <f t="shared" si="105"/>
        <v>45.600000000000108</v>
      </c>
      <c r="DF250" s="151">
        <f t="shared" si="106"/>
        <v>0.85019047521291347</v>
      </c>
      <c r="DH250" s="152">
        <f t="shared" si="107"/>
        <v>45.600000000000108</v>
      </c>
      <c r="DI250" s="1">
        <f t="shared" si="108"/>
        <v>0.40587814510352849</v>
      </c>
    </row>
    <row r="251" spans="2:113" ht="18" customHeight="1" x14ac:dyDescent="0.25">
      <c r="B251" s="6"/>
      <c r="AN251" s="9"/>
      <c r="AP251" s="8"/>
      <c r="AR251" s="6"/>
      <c r="CD251" s="9"/>
      <c r="CF251" s="8"/>
      <c r="CM251" s="2">
        <f t="shared" si="109"/>
        <v>45.800000000000111</v>
      </c>
      <c r="CN251" s="1" t="str">
        <f t="shared" si="93"/>
        <v>0.0107986736111111+49.457925138889i</v>
      </c>
      <c r="CO251" s="1" t="str">
        <f t="shared" si="94"/>
        <v>-0.0235778899805919i</v>
      </c>
      <c r="CP251" s="1" t="str">
        <f t="shared" si="95"/>
        <v>10.7986736111111</v>
      </c>
      <c r="CQ251" s="1" t="str">
        <f t="shared" si="96"/>
        <v>-0.565869359534205i</v>
      </c>
      <c r="CR251" s="1" t="str">
        <f t="shared" si="97"/>
        <v>0.0107986736111111+49.4343472489084i</v>
      </c>
      <c r="CS251" s="1" t="str">
        <f t="shared" si="98"/>
        <v>10.3064032523568+2.25127214483893i</v>
      </c>
      <c r="CT251" s="1" t="str">
        <f t="shared" si="99"/>
        <v>10.3064032523568+1.68540278530472i</v>
      </c>
      <c r="CU251" s="1" t="str">
        <f t="shared" si="100"/>
        <v>0.0191834803010191+21.965084944667i</v>
      </c>
      <c r="CV251" s="1" t="str">
        <f t="shared" si="101"/>
        <v>7.46974241056955+4.81815754048786i</v>
      </c>
      <c r="CW251" s="2">
        <f t="shared" si="102"/>
        <v>45.800000000000111</v>
      </c>
      <c r="CX251" s="14">
        <f t="shared" si="103"/>
        <v>10.443300749710492</v>
      </c>
      <c r="CY251" s="14">
        <f t="shared" si="92"/>
        <v>21.965093321731043</v>
      </c>
      <c r="CZ251" s="14">
        <f t="shared" si="104"/>
        <v>8.8888522186625103</v>
      </c>
      <c r="DE251" s="14">
        <f t="shared" si="105"/>
        <v>45.800000000000111</v>
      </c>
      <c r="DF251" s="151">
        <f t="shared" si="106"/>
        <v>0.85115352240611353</v>
      </c>
      <c r="DH251" s="152">
        <f t="shared" si="107"/>
        <v>45.800000000000111</v>
      </c>
      <c r="DI251" s="1">
        <f t="shared" si="108"/>
        <v>0.4046808310105543</v>
      </c>
    </row>
    <row r="252" spans="2:113" ht="18" customHeight="1" x14ac:dyDescent="0.25">
      <c r="B252" s="6"/>
      <c r="AO252" s="17"/>
      <c r="AP252" s="8"/>
      <c r="AR252" s="6"/>
      <c r="CF252" s="8"/>
      <c r="CM252" s="2">
        <f t="shared" si="109"/>
        <v>46.000000000000114</v>
      </c>
      <c r="CN252" s="1" t="str">
        <f t="shared" si="93"/>
        <v>0.0107986736111111+49.6738986111112i</v>
      </c>
      <c r="CO252" s="1" t="str">
        <f t="shared" si="94"/>
        <v>-0.0234753774154589i</v>
      </c>
      <c r="CP252" s="1" t="str">
        <f t="shared" si="95"/>
        <v>10.7986736111111</v>
      </c>
      <c r="CQ252" s="1" t="str">
        <f t="shared" si="96"/>
        <v>-0.563409057971013i</v>
      </c>
      <c r="CR252" s="1" t="str">
        <f t="shared" si="97"/>
        <v>0.0107986736111111+49.6504232336957i</v>
      </c>
      <c r="CS252" s="1" t="str">
        <f t="shared" si="98"/>
        <v>10.3104851236481+2.24236339960941i</v>
      </c>
      <c r="CT252" s="1" t="str">
        <f t="shared" si="99"/>
        <v>10.3104851236481+1.6789543416384i</v>
      </c>
      <c r="CU252" s="1" t="str">
        <f t="shared" si="100"/>
        <v>0.0191834803010191+22.0610023461721i</v>
      </c>
      <c r="CV252" s="1" t="str">
        <f t="shared" si="101"/>
        <v>7.48944898937246+4.81067224637254i</v>
      </c>
      <c r="CW252" s="2">
        <f t="shared" si="102"/>
        <v>46.000000000000114</v>
      </c>
      <c r="CX252" s="14">
        <f t="shared" si="103"/>
        <v>10.446290785071762</v>
      </c>
      <c r="CY252" s="14">
        <f t="shared" si="92"/>
        <v>22.061010686814136</v>
      </c>
      <c r="CZ252" s="14">
        <f t="shared" si="104"/>
        <v>8.9013714463801126</v>
      </c>
      <c r="DE252" s="14">
        <f t="shared" si="105"/>
        <v>46.000000000000114</v>
      </c>
      <c r="DF252" s="151">
        <f t="shared" si="106"/>
        <v>0.85210833486471638</v>
      </c>
      <c r="DH252" s="152">
        <f t="shared" si="107"/>
        <v>46.000000000000114</v>
      </c>
      <c r="DI252" s="1">
        <f t="shared" si="108"/>
        <v>0.40348883252662993</v>
      </c>
    </row>
    <row r="253" spans="2:113" ht="18" customHeight="1" x14ac:dyDescent="0.25">
      <c r="B253" s="6"/>
      <c r="AP253" s="8"/>
      <c r="AR253" s="6"/>
      <c r="CF253" s="8"/>
      <c r="CM253" s="2">
        <f t="shared" si="109"/>
        <v>46.200000000000117</v>
      </c>
      <c r="CN253" s="1" t="str">
        <f t="shared" si="93"/>
        <v>0.0107986736111111+49.8898720833335i</v>
      </c>
      <c r="CO253" s="1" t="str">
        <f t="shared" si="94"/>
        <v>-0.0233737524050024i</v>
      </c>
      <c r="CP253" s="1" t="str">
        <f t="shared" si="95"/>
        <v>10.7986736111111</v>
      </c>
      <c r="CQ253" s="1" t="str">
        <f t="shared" si="96"/>
        <v>-0.560970057720056i</v>
      </c>
      <c r="CR253" s="1" t="str">
        <f t="shared" si="97"/>
        <v>0.0107986736111111+49.8664983309285i</v>
      </c>
      <c r="CS253" s="1" t="str">
        <f t="shared" si="98"/>
        <v>10.3145172073801+2.23352110654673i</v>
      </c>
      <c r="CT253" s="1" t="str">
        <f t="shared" si="99"/>
        <v>10.3145172073801+1.67255104882667i</v>
      </c>
      <c r="CU253" s="1" t="str">
        <f t="shared" si="100"/>
        <v>0.0191834803010191+22.1569197476772i</v>
      </c>
      <c r="CV253" s="1" t="str">
        <f t="shared" si="101"/>
        <v>7.50900804420897+4.80315125722897i</v>
      </c>
      <c r="CW253" s="2">
        <f t="shared" si="102"/>
        <v>46.200000000000117</v>
      </c>
      <c r="CX253" s="14">
        <f t="shared" si="103"/>
        <v>10.449243620103388</v>
      </c>
      <c r="CY253" s="14">
        <f t="shared" si="92"/>
        <v>22.156928052212571</v>
      </c>
      <c r="CZ253" s="14">
        <f t="shared" si="104"/>
        <v>8.9137794345504897</v>
      </c>
      <c r="DE253" s="14">
        <f t="shared" si="105"/>
        <v>46.200000000000117</v>
      </c>
      <c r="DF253" s="151">
        <f t="shared" si="106"/>
        <v>0.85305499217198799</v>
      </c>
      <c r="DH253" s="152">
        <f t="shared" si="107"/>
        <v>46.200000000000117</v>
      </c>
      <c r="DI253" s="1">
        <f t="shared" si="108"/>
        <v>0.40230213383124575</v>
      </c>
    </row>
    <row r="254" spans="2:113" ht="18" customHeight="1" x14ac:dyDescent="0.25">
      <c r="B254" s="6"/>
      <c r="AP254" s="8"/>
      <c r="AR254" s="6"/>
      <c r="AS254" s="95"/>
      <c r="AT254" s="95"/>
      <c r="AU254" s="95"/>
      <c r="AV254" s="95"/>
      <c r="AW254" s="95"/>
      <c r="AX254" s="95"/>
      <c r="AY254" s="95"/>
      <c r="AZ254" s="95"/>
      <c r="BA254" s="95"/>
      <c r="BB254" s="95"/>
      <c r="BC254" s="95"/>
      <c r="BD254" s="95"/>
      <c r="BE254" s="95"/>
      <c r="BF254" s="95"/>
      <c r="BG254" s="95"/>
      <c r="BH254" s="95"/>
      <c r="BI254" s="95"/>
      <c r="BJ254" s="95"/>
      <c r="BK254" s="95"/>
      <c r="BL254" s="95"/>
      <c r="BM254" s="95"/>
      <c r="BN254" s="95"/>
      <c r="BO254" s="95"/>
      <c r="BP254" s="95"/>
      <c r="BQ254" s="95"/>
      <c r="BR254" s="95"/>
      <c r="BS254" s="95"/>
      <c r="BT254" s="95"/>
      <c r="BU254" s="95"/>
      <c r="BV254" s="95"/>
      <c r="BW254" s="95"/>
      <c r="BX254" s="95"/>
      <c r="BY254" s="95"/>
      <c r="BZ254" s="95"/>
      <c r="CA254" s="95"/>
      <c r="CB254" s="95"/>
      <c r="CC254" s="95"/>
      <c r="CD254" s="95"/>
      <c r="CE254" s="95"/>
      <c r="CF254" s="8"/>
      <c r="CM254" s="2">
        <f t="shared" si="109"/>
        <v>46.400000000000119</v>
      </c>
      <c r="CN254" s="1" t="str">
        <f t="shared" si="93"/>
        <v>0.0107986736111111+50.1058455555557i</v>
      </c>
      <c r="CO254" s="1" t="str">
        <f t="shared" si="94"/>
        <v>-0.0232730034722222i</v>
      </c>
      <c r="CP254" s="1" t="str">
        <f t="shared" si="95"/>
        <v>10.7986736111111</v>
      </c>
      <c r="CQ254" s="1" t="str">
        <f t="shared" si="96"/>
        <v>-0.558552083333332i</v>
      </c>
      <c r="CR254" s="1" t="str">
        <f t="shared" si="97"/>
        <v>0.0107986736111111+50.0825725520835i</v>
      </c>
      <c r="CS254" s="1" t="str">
        <f t="shared" si="98"/>
        <v>10.3185002971638+2.22474457585937i</v>
      </c>
      <c r="CT254" s="1" t="str">
        <f t="shared" si="99"/>
        <v>10.3185002971638+1.66619249252604i</v>
      </c>
      <c r="CU254" s="1" t="str">
        <f t="shared" si="100"/>
        <v>0.0191834803010191+22.2528371491823i</v>
      </c>
      <c r="CV254" s="1" t="str">
        <f t="shared" si="101"/>
        <v>7.52842067772727+4.79559578613678i</v>
      </c>
      <c r="CW254" s="2">
        <f t="shared" si="102"/>
        <v>46.400000000000119</v>
      </c>
      <c r="CX254" s="14">
        <f t="shared" si="103"/>
        <v>10.452159863144056</v>
      </c>
      <c r="CY254" s="14">
        <f t="shared" si="92"/>
        <v>22.252845417922266</v>
      </c>
      <c r="CZ254" s="14">
        <f t="shared" si="104"/>
        <v>8.9260773492528269</v>
      </c>
      <c r="DE254" s="14">
        <f t="shared" si="105"/>
        <v>46.400000000000119</v>
      </c>
      <c r="DF254" s="151">
        <f t="shared" si="106"/>
        <v>0.85399357320658442</v>
      </c>
      <c r="DH254" s="152">
        <f t="shared" si="107"/>
        <v>46.400000000000119</v>
      </c>
      <c r="DI254" s="1">
        <f t="shared" si="108"/>
        <v>0.40112071879418398</v>
      </c>
    </row>
    <row r="255" spans="2:113" ht="18" customHeight="1" x14ac:dyDescent="0.25">
      <c r="B255" s="6"/>
      <c r="AP255" s="8"/>
      <c r="AR255" s="6"/>
      <c r="AS255" s="95"/>
      <c r="AT255" s="95"/>
      <c r="AU255" s="95"/>
      <c r="AV255" s="95"/>
      <c r="AW255" s="95"/>
      <c r="AX255" s="95"/>
      <c r="AY255" s="95"/>
      <c r="AZ255" s="95"/>
      <c r="BA255" s="95"/>
      <c r="BB255" s="95"/>
      <c r="BC255" s="95"/>
      <c r="BD255" s="95"/>
      <c r="BE255" s="95"/>
      <c r="BF255" s="95"/>
      <c r="BG255" s="95"/>
      <c r="BH255" s="95"/>
      <c r="BI255" s="95"/>
      <c r="BJ255" s="95"/>
      <c r="BK255" s="95"/>
      <c r="BL255" s="95"/>
      <c r="BM255" s="95"/>
      <c r="BN255" s="95"/>
      <c r="BO255" s="95"/>
      <c r="BP255" s="95"/>
      <c r="BQ255" s="95"/>
      <c r="BR255" s="95"/>
      <c r="BS255" s="95"/>
      <c r="BT255" s="95"/>
      <c r="BU255" s="95"/>
      <c r="BV255" s="95"/>
      <c r="BW255" s="95"/>
      <c r="BX255" s="95"/>
      <c r="BY255" s="95"/>
      <c r="BZ255" s="95"/>
      <c r="CA255" s="95"/>
      <c r="CB255" s="95"/>
      <c r="CC255" s="95"/>
      <c r="CD255" s="95"/>
      <c r="CE255" s="95"/>
      <c r="CF255" s="8"/>
      <c r="CM255" s="2">
        <f t="shared" si="109"/>
        <v>46.600000000000122</v>
      </c>
      <c r="CN255" s="1" t="str">
        <f t="shared" si="93"/>
        <v>0.0107986736111111+50.3218190277779i</v>
      </c>
      <c r="CO255" s="1" t="str">
        <f t="shared" si="94"/>
        <v>-0.0231731193371483i</v>
      </c>
      <c r="CP255" s="1" t="str">
        <f t="shared" si="95"/>
        <v>10.7986736111111</v>
      </c>
      <c r="CQ255" s="1" t="str">
        <f t="shared" si="96"/>
        <v>-0.556154864091558i</v>
      </c>
      <c r="CR255" s="1" t="str">
        <f t="shared" si="97"/>
        <v>0.0107986736111111+50.2986459084407i</v>
      </c>
      <c r="CS255" s="1" t="str">
        <f t="shared" si="98"/>
        <v>10.3224351711257+2.21603312630451i</v>
      </c>
      <c r="CT255" s="1" t="str">
        <f t="shared" si="99"/>
        <v>10.3224351711257+1.65987826221295i</v>
      </c>
      <c r="CU255" s="1" t="str">
        <f t="shared" si="100"/>
        <v>0.0191834803010191+22.3487545506874i</v>
      </c>
      <c r="CV255" s="1" t="str">
        <f t="shared" si="101"/>
        <v>7.54768798907537+4.78800702285968i</v>
      </c>
      <c r="CW255" s="2">
        <f t="shared" si="102"/>
        <v>46.600000000000122</v>
      </c>
      <c r="CX255" s="14">
        <f t="shared" si="103"/>
        <v>10.455040110275041</v>
      </c>
      <c r="CY255" s="14">
        <f t="shared" si="92"/>
        <v>22.348762783939225</v>
      </c>
      <c r="CZ255" s="14">
        <f t="shared" si="104"/>
        <v>8.9382663437260703</v>
      </c>
      <c r="DE255" s="14">
        <f t="shared" si="105"/>
        <v>46.600000000000122</v>
      </c>
      <c r="DF255" s="151">
        <f t="shared" si="106"/>
        <v>0.85492415614376294</v>
      </c>
      <c r="DH255" s="152">
        <f t="shared" si="107"/>
        <v>46.600000000000122</v>
      </c>
      <c r="DI255" s="1">
        <f t="shared" si="108"/>
        <v>0.3999445709875934</v>
      </c>
    </row>
    <row r="256" spans="2:113" ht="18" customHeight="1" x14ac:dyDescent="0.25">
      <c r="B256" s="6"/>
      <c r="AP256" s="8"/>
      <c r="AR256" s="6"/>
      <c r="AS256" s="95"/>
      <c r="AT256" s="95"/>
      <c r="AU256" s="95"/>
      <c r="AV256" s="95"/>
      <c r="AW256" s="95"/>
      <c r="AX256" s="95"/>
      <c r="AY256" s="95"/>
      <c r="AZ256" s="95"/>
      <c r="BA256" s="95"/>
      <c r="BB256" s="95"/>
      <c r="BC256" s="95"/>
      <c r="BD256" s="95"/>
      <c r="BE256" s="95"/>
      <c r="BF256" s="95"/>
      <c r="BG256" s="95"/>
      <c r="BH256" s="95"/>
      <c r="BI256" s="95"/>
      <c r="BJ256" s="95"/>
      <c r="BK256" s="95"/>
      <c r="BL256" s="95"/>
      <c r="BM256" s="95"/>
      <c r="BN256" s="95"/>
      <c r="BO256" s="95"/>
      <c r="BP256" s="95"/>
      <c r="BQ256" s="95"/>
      <c r="BR256" s="95"/>
      <c r="BS256" s="95"/>
      <c r="BT256" s="95"/>
      <c r="BU256" s="95"/>
      <c r="BV256" s="95"/>
      <c r="BW256" s="95"/>
      <c r="BX256" s="95"/>
      <c r="BY256" s="95"/>
      <c r="BZ256" s="95"/>
      <c r="CA256" s="95"/>
      <c r="CB256" s="95"/>
      <c r="CC256" s="95"/>
      <c r="CD256" s="95"/>
      <c r="CE256" s="95"/>
      <c r="CF256" s="8"/>
      <c r="CM256" s="2">
        <f t="shared" si="109"/>
        <v>46.800000000000125</v>
      </c>
      <c r="CN256" s="1" t="str">
        <f t="shared" si="93"/>
        <v>0.0107986736111111+50.5377925000001i</v>
      </c>
      <c r="CO256" s="1" t="str">
        <f t="shared" si="94"/>
        <v>-0.0230740889126305i</v>
      </c>
      <c r="CP256" s="1" t="str">
        <f t="shared" si="95"/>
        <v>10.7986736111111</v>
      </c>
      <c r="CQ256" s="1" t="str">
        <f t="shared" si="96"/>
        <v>-0.553778133903133i</v>
      </c>
      <c r="CR256" s="1" t="str">
        <f t="shared" si="97"/>
        <v>0.0107986736111111+50.5147184110875i</v>
      </c>
      <c r="CS256" s="1" t="str">
        <f t="shared" si="98"/>
        <v>10.3263225922619+2.20738608508054i</v>
      </c>
      <c r="CT256" s="1" t="str">
        <f t="shared" si="99"/>
        <v>10.3263225922619+1.65360795117741i</v>
      </c>
      <c r="CU256" s="1" t="str">
        <f t="shared" si="100"/>
        <v>0.0191834803010191+22.4446719521925i</v>
      </c>
      <c r="CV256" s="1" t="str">
        <f t="shared" si="101"/>
        <v>7.56681107372438+4.78038613422885i</v>
      </c>
      <c r="CW256" s="2">
        <f t="shared" si="102"/>
        <v>46.800000000000125</v>
      </c>
      <c r="CX256" s="14">
        <f t="shared" si="103"/>
        <v>10.457884945611884</v>
      </c>
      <c r="CY256" s="14">
        <f t="shared" si="92"/>
        <v>22.444680150259497</v>
      </c>
      <c r="CZ256" s="14">
        <f t="shared" si="104"/>
        <v>8.9503475584898577</v>
      </c>
      <c r="DE256" s="14">
        <f t="shared" si="105"/>
        <v>46.800000000000125</v>
      </c>
      <c r="DF256" s="151">
        <f t="shared" si="106"/>
        <v>0.85584681845686505</v>
      </c>
      <c r="DH256" s="152">
        <f t="shared" si="107"/>
        <v>46.800000000000125</v>
      </c>
      <c r="DI256" s="1">
        <f t="shared" si="108"/>
        <v>0.39877367369774613</v>
      </c>
    </row>
    <row r="257" spans="2:113" ht="18" customHeight="1" x14ac:dyDescent="0.25">
      <c r="B257" s="6"/>
      <c r="AP257" s="8"/>
      <c r="AR257" s="6"/>
      <c r="AS257" s="95"/>
      <c r="AT257" s="95"/>
      <c r="AU257" s="95"/>
      <c r="AV257" s="95"/>
      <c r="AW257" s="95"/>
      <c r="AX257" s="95"/>
      <c r="AY257" s="95"/>
      <c r="AZ257" s="95"/>
      <c r="BA257" s="95"/>
      <c r="BB257" s="95"/>
      <c r="BC257" s="95"/>
      <c r="BD257" s="95"/>
      <c r="BE257" s="95"/>
      <c r="BF257" s="95"/>
      <c r="BG257" s="95"/>
      <c r="BH257" s="95"/>
      <c r="BI257" s="95"/>
      <c r="BJ257" s="95"/>
      <c r="BK257" s="95"/>
      <c r="BL257" s="95"/>
      <c r="BM257" s="95"/>
      <c r="BN257" s="95"/>
      <c r="BO257" s="95"/>
      <c r="BP257" s="95"/>
      <c r="BQ257" s="95"/>
      <c r="BR257" s="95"/>
      <c r="BS257" s="95"/>
      <c r="BT257" s="95"/>
      <c r="BU257" s="95"/>
      <c r="BV257" s="95"/>
      <c r="BW257" s="95"/>
      <c r="BX257" s="95"/>
      <c r="BY257" s="95"/>
      <c r="BZ257" s="95"/>
      <c r="CA257" s="95"/>
      <c r="CB257" s="95"/>
      <c r="CC257" s="95"/>
      <c r="CD257" s="95"/>
      <c r="CE257" s="95"/>
      <c r="CF257" s="8"/>
      <c r="CM257" s="2">
        <f t="shared" si="109"/>
        <v>47.000000000000128</v>
      </c>
      <c r="CN257" s="1" t="str">
        <f t="shared" si="93"/>
        <v>0.0107986736111111+50.7537659722224i</v>
      </c>
      <c r="CO257" s="1" t="str">
        <f t="shared" si="94"/>
        <v>-0.0229759013002363i</v>
      </c>
      <c r="CP257" s="1" t="str">
        <f t="shared" si="95"/>
        <v>10.7986736111111</v>
      </c>
      <c r="CQ257" s="1" t="str">
        <f t="shared" si="96"/>
        <v>-0.551421631205672i</v>
      </c>
      <c r="CR257" s="1" t="str">
        <f t="shared" si="97"/>
        <v>0.0107986736111111+50.7307900709222i</v>
      </c>
      <c r="CS257" s="1" t="str">
        <f t="shared" si="98"/>
        <v>10.3301633087838+2.19880278772022i</v>
      </c>
      <c r="CT257" s="1" t="str">
        <f t="shared" si="99"/>
        <v>10.3301633087838+1.64738115651455i</v>
      </c>
      <c r="CU257" s="1" t="str">
        <f t="shared" si="100"/>
        <v>0.0191834803010191+22.5405893536976i</v>
      </c>
      <c r="CV257" s="1" t="str">
        <f t="shared" si="101"/>
        <v>7.58579102329993+4.77273426452173i</v>
      </c>
      <c r="CW257" s="2">
        <f t="shared" si="102"/>
        <v>47.000000000000128</v>
      </c>
      <c r="CX257" s="14">
        <f t="shared" si="103"/>
        <v>10.460694941588837</v>
      </c>
      <c r="CY257" s="14">
        <f t="shared" si="92"/>
        <v>22.540597516879217</v>
      </c>
      <c r="CZ257" s="14">
        <f t="shared" si="104"/>
        <v>8.962322121465931</v>
      </c>
      <c r="DE257" s="14">
        <f t="shared" si="105"/>
        <v>47.000000000000128</v>
      </c>
      <c r="DF257" s="151">
        <f t="shared" si="106"/>
        <v>0.85676163691899765</v>
      </c>
      <c r="DH257" s="152">
        <f t="shared" si="107"/>
        <v>47.000000000000128</v>
      </c>
      <c r="DI257" s="1">
        <f t="shared" si="108"/>
        <v>0.39760800993649847</v>
      </c>
    </row>
    <row r="258" spans="2:113" ht="18" customHeight="1" x14ac:dyDescent="0.25">
      <c r="B258" s="6"/>
      <c r="AP258" s="8"/>
      <c r="AR258" s="6"/>
      <c r="AS258" s="95"/>
      <c r="AT258" s="95"/>
      <c r="AU258" s="95"/>
      <c r="AV258" s="95"/>
      <c r="AW258" s="95"/>
      <c r="AX258" s="95"/>
      <c r="AY258" s="95"/>
      <c r="AZ258" s="95"/>
      <c r="BA258" s="95"/>
      <c r="BB258" s="95"/>
      <c r="BC258" s="95"/>
      <c r="BD258" s="95"/>
      <c r="BE258" s="95"/>
      <c r="BF258" s="95"/>
      <c r="BG258" s="95"/>
      <c r="BH258" s="95"/>
      <c r="BI258" s="95"/>
      <c r="BJ258" s="95"/>
      <c r="BK258" s="95"/>
      <c r="BL258" s="95"/>
      <c r="BM258" s="95"/>
      <c r="BN258" s="95"/>
      <c r="BO258" s="95"/>
      <c r="BP258" s="95"/>
      <c r="BQ258" s="95"/>
      <c r="BR258" s="95"/>
      <c r="BS258" s="95"/>
      <c r="BT258" s="95"/>
      <c r="BU258" s="95"/>
      <c r="BV258" s="95"/>
      <c r="BW258" s="95"/>
      <c r="BX258" s="95"/>
      <c r="BY258" s="95"/>
      <c r="BZ258" s="95"/>
      <c r="CA258" s="95"/>
      <c r="CB258" s="95"/>
      <c r="CC258" s="95"/>
      <c r="CD258" s="95"/>
      <c r="CE258" s="95"/>
      <c r="CF258" s="8"/>
      <c r="CM258" s="2">
        <f t="shared" si="109"/>
        <v>47.200000000000131</v>
      </c>
      <c r="CN258" s="1" t="str">
        <f t="shared" si="93"/>
        <v>0.0107986736111111+50.9697394444446i</v>
      </c>
      <c r="CO258" s="1" t="str">
        <f t="shared" si="94"/>
        <v>-0.0228785457862523i</v>
      </c>
      <c r="CP258" s="1" t="str">
        <f t="shared" si="95"/>
        <v>10.7986736111111</v>
      </c>
      <c r="CQ258" s="1" t="str">
        <f t="shared" si="96"/>
        <v>-0.549085098870055i</v>
      </c>
      <c r="CR258" s="1" t="str">
        <f t="shared" si="97"/>
        <v>0.0107986736111111+50.9468608986583i</v>
      </c>
      <c r="CS258" s="1" t="str">
        <f t="shared" si="98"/>
        <v>10.3339580544543+2.1902825779848i</v>
      </c>
      <c r="CT258" s="1" t="str">
        <f t="shared" si="99"/>
        <v>10.3339580544543+1.64119747911474i</v>
      </c>
      <c r="CU258" s="1" t="str">
        <f t="shared" si="100"/>
        <v>0.0191834803010191+22.6365067552027i</v>
      </c>
      <c r="CV258" s="1" t="str">
        <f t="shared" si="101"/>
        <v>7.60462892542051+4.76505253583581i</v>
      </c>
      <c r="CW258" s="2">
        <f t="shared" si="102"/>
        <v>47.200000000000131</v>
      </c>
      <c r="CX258" s="14">
        <f t="shared" si="103"/>
        <v>10.463470659235085</v>
      </c>
      <c r="CY258" s="14">
        <f t="shared" si="92"/>
        <v>22.636514883794575</v>
      </c>
      <c r="CZ258" s="14">
        <f t="shared" si="104"/>
        <v>8.9741911480989529</v>
      </c>
      <c r="DE258" s="14">
        <f t="shared" si="105"/>
        <v>47.200000000000131</v>
      </c>
      <c r="DF258" s="151">
        <f t="shared" si="106"/>
        <v>0.85766868760493953</v>
      </c>
      <c r="DH258" s="152">
        <f t="shared" si="107"/>
        <v>47.200000000000131</v>
      </c>
      <c r="DI258" s="1">
        <f t="shared" si="108"/>
        <v>0.39644756245244883</v>
      </c>
    </row>
    <row r="259" spans="2:113" ht="18" customHeight="1" x14ac:dyDescent="0.25">
      <c r="B259" s="6"/>
      <c r="AP259" s="8"/>
      <c r="AR259" s="6"/>
      <c r="AS259" s="95"/>
      <c r="AT259" s="95"/>
      <c r="AU259" s="95"/>
      <c r="AV259" s="95"/>
      <c r="AW259" s="95"/>
      <c r="AX259" s="95"/>
      <c r="AY259" s="95"/>
      <c r="AZ259" s="95"/>
      <c r="BA259" s="95"/>
      <c r="BB259" s="95"/>
      <c r="BC259" s="95"/>
      <c r="BD259" s="95"/>
      <c r="BE259" s="95"/>
      <c r="BF259" s="95"/>
      <c r="BG259" s="95"/>
      <c r="BH259" s="95"/>
      <c r="BI259" s="95"/>
      <c r="BJ259" s="95"/>
      <c r="BK259" s="95"/>
      <c r="BL259" s="95"/>
      <c r="BM259" s="95"/>
      <c r="BN259" s="95"/>
      <c r="BO259" s="95"/>
      <c r="BP259" s="95"/>
      <c r="BQ259" s="95"/>
      <c r="BR259" s="95"/>
      <c r="BS259" s="95"/>
      <c r="BT259" s="95"/>
      <c r="BU259" s="95"/>
      <c r="BV259" s="95"/>
      <c r="BW259" s="95"/>
      <c r="BX259" s="95"/>
      <c r="BY259" s="95"/>
      <c r="BZ259" s="95"/>
      <c r="CA259" s="95"/>
      <c r="CB259" s="95"/>
      <c r="CC259" s="95"/>
      <c r="CD259" s="95"/>
      <c r="CE259" s="95"/>
      <c r="CF259" s="8"/>
      <c r="CM259" s="2">
        <f t="shared" si="109"/>
        <v>47.400000000000134</v>
      </c>
      <c r="CN259" s="1" t="str">
        <f t="shared" si="93"/>
        <v>0.0107986736111111+51.1857129166668i</v>
      </c>
      <c r="CO259" s="1" t="str">
        <f t="shared" si="94"/>
        <v>-0.0227820118377871i</v>
      </c>
      <c r="CP259" s="1" t="str">
        <f t="shared" si="95"/>
        <v>10.7986736111111</v>
      </c>
      <c r="CQ259" s="1" t="str">
        <f t="shared" si="96"/>
        <v>-0.54676828410689i</v>
      </c>
      <c r="CR259" s="1" t="str">
        <f t="shared" si="97"/>
        <v>0.0107986736111111+51.162930904829i</v>
      </c>
      <c r="CS259" s="1" t="str">
        <f t="shared" si="98"/>
        <v>10.3377075489154+2.1818248077588i</v>
      </c>
      <c r="CT259" s="1" t="str">
        <f t="shared" si="99"/>
        <v>10.3377075489154+1.63505652365191i</v>
      </c>
      <c r="CU259" s="1" t="str">
        <f t="shared" si="100"/>
        <v>0.0191834803010191+22.7324241567078i</v>
      </c>
      <c r="CV259" s="1" t="str">
        <f t="shared" si="101"/>
        <v>7.6233258635432+4.75734204845742i</v>
      </c>
      <c r="CW259" s="2">
        <f t="shared" si="102"/>
        <v>47.400000000000134</v>
      </c>
      <c r="CX259" s="14">
        <f t="shared" si="103"/>
        <v>10.466212648443522</v>
      </c>
      <c r="CY259" s="14">
        <f t="shared" si="92"/>
        <v>22.732432251001828</v>
      </c>
      <c r="CZ259" s="14">
        <f t="shared" si="104"/>
        <v>8.9859557414772357</v>
      </c>
      <c r="DE259" s="14">
        <f t="shared" si="105"/>
        <v>47.400000000000134</v>
      </c>
      <c r="DF259" s="151">
        <f t="shared" si="106"/>
        <v>0.85856804589323532</v>
      </c>
      <c r="DH259" s="152">
        <f t="shared" si="107"/>
        <v>47.400000000000134</v>
      </c>
      <c r="DI259" s="1">
        <f t="shared" si="108"/>
        <v>0.39529231374179952</v>
      </c>
    </row>
    <row r="260" spans="2:113" ht="18" customHeight="1" x14ac:dyDescent="0.25">
      <c r="B260" s="6"/>
      <c r="AP260" s="8"/>
      <c r="AR260" s="6"/>
      <c r="AS260" s="95"/>
      <c r="AT260" s="95"/>
      <c r="AU260" s="95"/>
      <c r="AV260" s="95"/>
      <c r="AW260" s="95"/>
      <c r="AX260" s="95"/>
      <c r="AY260" s="95"/>
      <c r="AZ260" s="95"/>
      <c r="BA260" s="95"/>
      <c r="BB260" s="95"/>
      <c r="BC260" s="95"/>
      <c r="BD260" s="95"/>
      <c r="BE260" s="95"/>
      <c r="BF260" s="95"/>
      <c r="BG260" s="95"/>
      <c r="BH260" s="95"/>
      <c r="BI260" s="95"/>
      <c r="BJ260" s="95"/>
      <c r="BK260" s="95"/>
      <c r="BL260" s="95"/>
      <c r="BM260" s="95"/>
      <c r="BN260" s="95"/>
      <c r="BO260" s="95"/>
      <c r="BP260" s="95"/>
      <c r="BQ260" s="95"/>
      <c r="BR260" s="95"/>
      <c r="BS260" s="95"/>
      <c r="BT260" s="95"/>
      <c r="BU260" s="95"/>
      <c r="BV260" s="95"/>
      <c r="BW260" s="95"/>
      <c r="BX260" s="95"/>
      <c r="BY260" s="95"/>
      <c r="BZ260" s="95"/>
      <c r="CA260" s="95"/>
      <c r="CB260" s="95"/>
      <c r="CC260" s="95"/>
      <c r="CD260" s="95"/>
      <c r="CE260" s="95"/>
      <c r="CF260" s="8"/>
      <c r="CM260" s="2">
        <f t="shared" si="109"/>
        <v>47.600000000000136</v>
      </c>
      <c r="CN260" s="1" t="str">
        <f t="shared" si="93"/>
        <v>0.0107986736111111+51.401686388889i</v>
      </c>
      <c r="CO260" s="1" t="str">
        <f t="shared" si="94"/>
        <v>-0.0226862890989729i</v>
      </c>
      <c r="CP260" s="1" t="str">
        <f t="shared" si="95"/>
        <v>10.7986736111111</v>
      </c>
      <c r="CQ260" s="1" t="str">
        <f t="shared" si="96"/>
        <v>-0.544470938375349i</v>
      </c>
      <c r="CR260" s="1" t="str">
        <f t="shared" si="97"/>
        <v>0.0107986736111111+51.37900009979i</v>
      </c>
      <c r="CS260" s="1" t="str">
        <f t="shared" si="98"/>
        <v>10.3414124980074+2.17342883694594i</v>
      </c>
      <c r="CT260" s="1" t="str">
        <f t="shared" si="99"/>
        <v>10.3414124980074+1.62895789857059i</v>
      </c>
      <c r="CU260" s="1" t="str">
        <f t="shared" si="100"/>
        <v>0.0191834803010191+22.8283415582129i</v>
      </c>
      <c r="CV260" s="1" t="str">
        <f t="shared" si="101"/>
        <v>7.64188291681627+4.74960388122611i</v>
      </c>
      <c r="CW260" s="2">
        <f t="shared" si="102"/>
        <v>47.600000000000136</v>
      </c>
      <c r="CX260" s="14">
        <f t="shared" si="103"/>
        <v>10.468921448232344</v>
      </c>
      <c r="CY260" s="14">
        <f t="shared" si="92"/>
        <v>22.828349618497299</v>
      </c>
      <c r="CZ260" s="14">
        <f t="shared" si="104"/>
        <v>8.9976169924534162</v>
      </c>
      <c r="DE260" s="14">
        <f t="shared" si="105"/>
        <v>47.600000000000136</v>
      </c>
      <c r="DF260" s="151">
        <f t="shared" si="106"/>
        <v>0.85945978646851451</v>
      </c>
      <c r="DH260" s="152">
        <f t="shared" si="107"/>
        <v>47.600000000000136</v>
      </c>
      <c r="DI260" s="1">
        <f t="shared" si="108"/>
        <v>0.39414224605894677</v>
      </c>
    </row>
    <row r="261" spans="2:113" ht="18" customHeight="1" x14ac:dyDescent="0.25">
      <c r="B261" s="6"/>
      <c r="AP261" s="8"/>
      <c r="AR261" s="6"/>
      <c r="AS261" s="95"/>
      <c r="AT261" s="95"/>
      <c r="AU261" s="95"/>
      <c r="AV261" s="95"/>
      <c r="AW261" s="95"/>
      <c r="AX261" s="95"/>
      <c r="AY261" s="95"/>
      <c r="AZ261" s="95"/>
      <c r="BA261" s="95"/>
      <c r="BB261" s="95"/>
      <c r="BC261" s="95"/>
      <c r="BD261" s="95"/>
      <c r="BE261" s="95"/>
      <c r="BF261" s="95"/>
      <c r="BG261" s="95"/>
      <c r="BH261" s="95"/>
      <c r="BI261" s="95"/>
      <c r="BJ261" s="95"/>
      <c r="BK261" s="95"/>
      <c r="BL261" s="95"/>
      <c r="BM261" s="95"/>
      <c r="BN261" s="95"/>
      <c r="BO261" s="95"/>
      <c r="BP261" s="95"/>
      <c r="BQ261" s="95"/>
      <c r="BR261" s="95"/>
      <c r="BS261" s="95"/>
      <c r="BT261" s="95"/>
      <c r="BU261" s="95"/>
      <c r="BV261" s="95"/>
      <c r="BW261" s="95"/>
      <c r="BX261" s="95"/>
      <c r="BY261" s="95"/>
      <c r="BZ261" s="95"/>
      <c r="CA261" s="95"/>
      <c r="CB261" s="95"/>
      <c r="CC261" s="95"/>
      <c r="CD261" s="95"/>
      <c r="CE261" s="95"/>
      <c r="CF261" s="8"/>
      <c r="CM261" s="2">
        <f t="shared" si="109"/>
        <v>47.800000000000139</v>
      </c>
      <c r="CN261" s="1" t="str">
        <f t="shared" si="93"/>
        <v>0.0107986736111111+51.6176598611113i</v>
      </c>
      <c r="CO261" s="1" t="str">
        <f t="shared" si="94"/>
        <v>-0.0225913673872617i</v>
      </c>
      <c r="CP261" s="1" t="str">
        <f t="shared" si="95"/>
        <v>10.7986736111111</v>
      </c>
      <c r="CQ261" s="1" t="str">
        <f t="shared" si="96"/>
        <v>-0.54219281729428i</v>
      </c>
      <c r="CR261" s="1" t="str">
        <f t="shared" si="97"/>
        <v>0.0107986736111111+51.595068493724i</v>
      </c>
      <c r="CS261" s="1" t="str">
        <f t="shared" si="98"/>
        <v>10.3450735940798+2.16509403336573i</v>
      </c>
      <c r="CT261" s="1" t="str">
        <f t="shared" si="99"/>
        <v>10.3450735940798+1.62290121607145i</v>
      </c>
      <c r="CU261" s="1" t="str">
        <f t="shared" si="100"/>
        <v>0.0191834803010191+22.924258959718i</v>
      </c>
      <c r="CV261" s="1" t="str">
        <f t="shared" si="101"/>
        <v>7.66030115993858+4.74183909189389i</v>
      </c>
      <c r="CW261" s="2">
        <f t="shared" si="102"/>
        <v>47.800000000000139</v>
      </c>
      <c r="CX261" s="14">
        <f t="shared" si="103"/>
        <v>10.471597586999479</v>
      </c>
      <c r="CY261" s="14">
        <f t="shared" si="92"/>
        <v>22.924266986277367</v>
      </c>
      <c r="CZ261" s="14">
        <f t="shared" si="104"/>
        <v>9.0091759797647111</v>
      </c>
      <c r="DE261" s="14">
        <f t="shared" si="105"/>
        <v>47.800000000000139</v>
      </c>
      <c r="DF261" s="151">
        <f t="shared" si="106"/>
        <v>0.86034398332396012</v>
      </c>
      <c r="DH261" s="152">
        <f t="shared" si="107"/>
        <v>47.800000000000139</v>
      </c>
      <c r="DI261" s="1">
        <f t="shared" si="108"/>
        <v>0.39299734142677906</v>
      </c>
    </row>
    <row r="262" spans="2:113" ht="18" customHeight="1" x14ac:dyDescent="0.25">
      <c r="B262" s="6"/>
      <c r="AP262" s="8"/>
      <c r="AR262" s="6"/>
      <c r="AS262" s="95"/>
      <c r="AT262" s="95"/>
      <c r="AU262" s="95"/>
      <c r="AV262" s="95"/>
      <c r="AW262" s="95"/>
      <c r="AX262" s="95"/>
      <c r="AY262" s="95"/>
      <c r="AZ262" s="95"/>
      <c r="BA262" s="95"/>
      <c r="BB262" s="95"/>
      <c r="BC262" s="95"/>
      <c r="BD262" s="95"/>
      <c r="BE262" s="95"/>
      <c r="BF262" s="95"/>
      <c r="BG262" s="95"/>
      <c r="BH262" s="95"/>
      <c r="BI262" s="95"/>
      <c r="BJ262" s="95"/>
      <c r="BK262" s="95"/>
      <c r="BL262" s="95"/>
      <c r="BM262" s="95"/>
      <c r="BN262" s="95"/>
      <c r="BO262" s="95"/>
      <c r="BP262" s="95"/>
      <c r="BQ262" s="95"/>
      <c r="BR262" s="95"/>
      <c r="BS262" s="95"/>
      <c r="BT262" s="95"/>
      <c r="BU262" s="95"/>
      <c r="BV262" s="95"/>
      <c r="BW262" s="95"/>
      <c r="BX262" s="95"/>
      <c r="BY262" s="95"/>
      <c r="BZ262" s="95"/>
      <c r="CA262" s="95"/>
      <c r="CB262" s="95"/>
      <c r="CC262" s="95"/>
      <c r="CD262" s="95"/>
      <c r="CE262" s="95"/>
      <c r="CF262" s="8"/>
      <c r="CM262" s="2">
        <f t="shared" si="109"/>
        <v>48.000000000000142</v>
      </c>
      <c r="CN262" s="1" t="str">
        <f t="shared" si="93"/>
        <v>0.0107986736111111+51.8336333333335i</v>
      </c>
      <c r="CO262" s="1" t="str">
        <f t="shared" si="94"/>
        <v>-0.0224972366898148i</v>
      </c>
      <c r="CP262" s="1" t="str">
        <f t="shared" si="95"/>
        <v>10.7986736111111</v>
      </c>
      <c r="CQ262" s="1" t="str">
        <f t="shared" si="96"/>
        <v>-0.539933680555554i</v>
      </c>
      <c r="CR262" s="1" t="str">
        <f t="shared" si="97"/>
        <v>0.0107986736111111+51.8111360966437i</v>
      </c>
      <c r="CS262" s="1" t="str">
        <f t="shared" si="98"/>
        <v>10.3486915162942+2.15681977265117i</v>
      </c>
      <c r="CT262" s="1" t="str">
        <f t="shared" si="99"/>
        <v>10.3486915162942+1.61688609209562i</v>
      </c>
      <c r="CU262" s="1" t="str">
        <f t="shared" si="100"/>
        <v>0.0191834803010191+23.0201763612231i</v>
      </c>
      <c r="CV262" s="1" t="str">
        <f t="shared" si="101"/>
        <v>7.67858166302526+4.73404871747966i</v>
      </c>
      <c r="CW262" s="2">
        <f t="shared" si="102"/>
        <v>48.000000000000142</v>
      </c>
      <c r="CX262" s="14">
        <f t="shared" si="103"/>
        <v>10.474241582770174</v>
      </c>
      <c r="CY262" s="14">
        <f t="shared" si="92"/>
        <v>23.020184354338479</v>
      </c>
      <c r="CZ262" s="14">
        <f t="shared" si="104"/>
        <v>9.02063377015266</v>
      </c>
      <c r="DE262" s="14">
        <f t="shared" si="105"/>
        <v>48.000000000000142</v>
      </c>
      <c r="DF262" s="151">
        <f t="shared" si="106"/>
        <v>0.86122070976397602</v>
      </c>
      <c r="DH262" s="152">
        <f t="shared" si="107"/>
        <v>48.000000000000142</v>
      </c>
      <c r="DI262" s="1">
        <f t="shared" si="108"/>
        <v>0.39185758164671708</v>
      </c>
    </row>
    <row r="263" spans="2:113" ht="18" customHeight="1" x14ac:dyDescent="0.25">
      <c r="B263" s="6"/>
      <c r="AP263" s="8"/>
      <c r="AR263" s="6"/>
      <c r="AS263" s="95"/>
      <c r="AT263" s="95"/>
      <c r="AU263" s="95"/>
      <c r="AV263" s="95"/>
      <c r="AW263" s="95"/>
      <c r="AX263" s="95"/>
      <c r="AY263" s="95"/>
      <c r="AZ263" s="95"/>
      <c r="BA263" s="95"/>
      <c r="BB263" s="95"/>
      <c r="BC263" s="95"/>
      <c r="BD263" s="95"/>
      <c r="BE263" s="95"/>
      <c r="BF263" s="95"/>
      <c r="BG263" s="95"/>
      <c r="BH263" s="95"/>
      <c r="BI263" s="95"/>
      <c r="BJ263" s="95"/>
      <c r="BK263" s="95"/>
      <c r="BL263" s="95"/>
      <c r="BM263" s="95"/>
      <c r="BN263" s="95"/>
      <c r="BO263" s="95"/>
      <c r="BP263" s="95"/>
      <c r="BQ263" s="95"/>
      <c r="BR263" s="95"/>
      <c r="BS263" s="95"/>
      <c r="BT263" s="95"/>
      <c r="BU263" s="95"/>
      <c r="BV263" s="95"/>
      <c r="BW263" s="95"/>
      <c r="BX263" s="95"/>
      <c r="BY263" s="95"/>
      <c r="BZ263" s="95"/>
      <c r="CA263" s="95"/>
      <c r="CB263" s="95"/>
      <c r="CC263" s="95"/>
      <c r="CD263" s="95"/>
      <c r="CE263" s="95"/>
      <c r="CF263" s="8"/>
      <c r="CM263" s="2">
        <f t="shared" si="109"/>
        <v>48.200000000000145</v>
      </c>
      <c r="CN263" s="1" t="str">
        <f t="shared" si="93"/>
        <v>0.0107986736111111+52.0496068055557i</v>
      </c>
      <c r="CO263" s="1" t="str">
        <f t="shared" si="94"/>
        <v>-0.0224038871599815i</v>
      </c>
      <c r="CP263" s="1" t="str">
        <f t="shared" si="95"/>
        <v>10.7986736111111</v>
      </c>
      <c r="CQ263" s="1" t="str">
        <f t="shared" si="96"/>
        <v>-0.537693291839556i</v>
      </c>
      <c r="CR263" s="1" t="str">
        <f t="shared" si="97"/>
        <v>0.0107986736111111+52.0272029183957i</v>
      </c>
      <c r="CS263" s="1" t="str">
        <f t="shared" si="98"/>
        <v>10.3522669309195+2.14860543814735i</v>
      </c>
      <c r="CT263" s="1" t="str">
        <f t="shared" si="99"/>
        <v>10.3522669309195+1.61091214630779i</v>
      </c>
      <c r="CU263" s="1" t="str">
        <f t="shared" si="100"/>
        <v>0.0191834803010191+23.1160937627282i</v>
      </c>
      <c r="CV263" s="1" t="str">
        <f t="shared" si="101"/>
        <v>7.69672549148001+4.72623377461902i</v>
      </c>
      <c r="CW263" s="2">
        <f t="shared" si="102"/>
        <v>48.200000000000145</v>
      </c>
      <c r="CX263" s="14">
        <f t="shared" si="103"/>
        <v>10.476853943437956</v>
      </c>
      <c r="CY263" s="14">
        <f t="shared" si="92"/>
        <v>23.116101722677133</v>
      </c>
      <c r="CZ263" s="14">
        <f t="shared" si="104"/>
        <v>9.0319914184828463</v>
      </c>
      <c r="DE263" s="14">
        <f t="shared" si="105"/>
        <v>48.200000000000145</v>
      </c>
      <c r="DF263" s="151">
        <f t="shared" si="106"/>
        <v>0.86209003840699039</v>
      </c>
      <c r="DH263" s="152">
        <f t="shared" si="107"/>
        <v>48.200000000000145</v>
      </c>
      <c r="DI263" s="1">
        <f t="shared" si="108"/>
        <v>0.39072294830846682</v>
      </c>
    </row>
    <row r="264" spans="2:113" ht="18" customHeight="1" x14ac:dyDescent="0.25">
      <c r="B264" s="6"/>
      <c r="AP264" s="8"/>
      <c r="AR264" s="6"/>
      <c r="AS264" s="95"/>
      <c r="AT264" s="95"/>
      <c r="AU264" s="95"/>
      <c r="AV264" s="95"/>
      <c r="AW264" s="95"/>
      <c r="AX264" s="95"/>
      <c r="AY264" s="95"/>
      <c r="AZ264" s="95"/>
      <c r="BA264" s="95"/>
      <c r="BB264" s="95"/>
      <c r="BC264" s="95"/>
      <c r="BD264" s="95"/>
      <c r="BE264" s="95"/>
      <c r="BF264" s="95"/>
      <c r="BG264" s="95"/>
      <c r="BH264" s="95"/>
      <c r="BI264" s="95"/>
      <c r="BJ264" s="95"/>
      <c r="BK264" s="95"/>
      <c r="BL264" s="95"/>
      <c r="BM264" s="95"/>
      <c r="BN264" s="95"/>
      <c r="BO264" s="95"/>
      <c r="BP264" s="95"/>
      <c r="BQ264" s="95"/>
      <c r="BR264" s="95"/>
      <c r="BS264" s="95"/>
      <c r="BT264" s="95"/>
      <c r="BU264" s="95"/>
      <c r="BV264" s="95"/>
      <c r="BW264" s="95"/>
      <c r="BX264" s="95"/>
      <c r="BY264" s="95"/>
      <c r="BZ264" s="95"/>
      <c r="CA264" s="95"/>
      <c r="CB264" s="95"/>
      <c r="CC264" s="95"/>
      <c r="CD264" s="95"/>
      <c r="CE264" s="95"/>
      <c r="CF264" s="8"/>
      <c r="CM264" s="2">
        <f t="shared" si="109"/>
        <v>48.400000000000148</v>
      </c>
      <c r="CN264" s="1" t="str">
        <f t="shared" si="93"/>
        <v>0.0107986736111111+52.2655802777779i</v>
      </c>
      <c r="CO264" s="1" t="str">
        <f t="shared" si="94"/>
        <v>-0.0223113091138659i</v>
      </c>
      <c r="CP264" s="1" t="str">
        <f t="shared" si="95"/>
        <v>10.7986736111111</v>
      </c>
      <c r="CQ264" s="1" t="str">
        <f t="shared" si="96"/>
        <v>-0.535471418732781i</v>
      </c>
      <c r="CR264" s="1" t="str">
        <f t="shared" si="97"/>
        <v>0.0107986736111111+52.243268968664i</v>
      </c>
      <c r="CS264" s="1" t="str">
        <f t="shared" si="98"/>
        <v>10.3558004916197+2.14045042081096i</v>
      </c>
      <c r="CT264" s="1" t="str">
        <f t="shared" si="99"/>
        <v>10.3558004916197+1.60497900207818i</v>
      </c>
      <c r="CU264" s="1" t="str">
        <f t="shared" si="100"/>
        <v>0.0191834803010191+23.2120111642333i</v>
      </c>
      <c r="CV264" s="1" t="str">
        <f t="shared" si="101"/>
        <v>7.71473370587345+4.7183952599093i</v>
      </c>
      <c r="CW264" s="2">
        <f t="shared" si="102"/>
        <v>48.400000000000148</v>
      </c>
      <c r="CX264" s="14">
        <f t="shared" si="103"/>
        <v>10.47943516699935</v>
      </c>
      <c r="CY264" s="14">
        <f t="shared" si="92"/>
        <v>23.212019091289889</v>
      </c>
      <c r="CZ264" s="14">
        <f t="shared" si="104"/>
        <v>9.0432499678641225</v>
      </c>
      <c r="DE264" s="14">
        <f t="shared" si="105"/>
        <v>48.400000000000148</v>
      </c>
      <c r="DF264" s="151">
        <f t="shared" si="106"/>
        <v>0.86295204118845126</v>
      </c>
      <c r="DH264" s="152">
        <f t="shared" si="107"/>
        <v>48.400000000000148</v>
      </c>
      <c r="DI264" s="1">
        <f t="shared" si="108"/>
        <v>0.38959342279954973</v>
      </c>
    </row>
    <row r="265" spans="2:113" ht="18" customHeight="1" x14ac:dyDescent="0.25">
      <c r="B265" s="6"/>
      <c r="AP265" s="8"/>
      <c r="AR265" s="6"/>
      <c r="AS265" s="95"/>
      <c r="AT265" s="95"/>
      <c r="AU265" s="95"/>
      <c r="AV265" s="95"/>
      <c r="AW265" s="95"/>
      <c r="AX265" s="95"/>
      <c r="AY265" s="95"/>
      <c r="AZ265" s="95"/>
      <c r="BA265" s="95"/>
      <c r="BB265" s="95"/>
      <c r="BC265" s="95"/>
      <c r="BD265" s="95"/>
      <c r="BE265" s="95"/>
      <c r="BF265" s="95"/>
      <c r="BG265" s="95"/>
      <c r="BH265" s="95"/>
      <c r="BI265" s="95"/>
      <c r="BJ265" s="95"/>
      <c r="BK265" s="95"/>
      <c r="BL265" s="95"/>
      <c r="BM265" s="95"/>
      <c r="BN265" s="95"/>
      <c r="BO265" s="95"/>
      <c r="BP265" s="95"/>
      <c r="BQ265" s="95"/>
      <c r="BR265" s="95"/>
      <c r="BS265" s="95"/>
      <c r="BT265" s="95"/>
      <c r="BU265" s="95"/>
      <c r="BV265" s="95"/>
      <c r="BW265" s="95"/>
      <c r="BX265" s="95"/>
      <c r="BY265" s="95"/>
      <c r="BZ265" s="95"/>
      <c r="CA265" s="95"/>
      <c r="CB265" s="95"/>
      <c r="CC265" s="95"/>
      <c r="CD265" s="95"/>
      <c r="CE265" s="95"/>
      <c r="CF265" s="8"/>
      <c r="CM265" s="2">
        <f t="shared" si="109"/>
        <v>48.600000000000151</v>
      </c>
      <c r="CN265" s="1" t="str">
        <f t="shared" si="93"/>
        <v>0.0107986736111111+52.4815537500002i</v>
      </c>
      <c r="CO265" s="1" t="str">
        <f t="shared" si="94"/>
        <v>-0.0222194930269775i</v>
      </c>
      <c r="CP265" s="1" t="str">
        <f t="shared" si="95"/>
        <v>10.7986736111111</v>
      </c>
      <c r="CQ265" s="1" t="str">
        <f t="shared" si="96"/>
        <v>-0.533267832647461i</v>
      </c>
      <c r="CR265" s="1" t="str">
        <f t="shared" si="97"/>
        <v>0.0107986736111111+52.4593342569732i</v>
      </c>
      <c r="CS265" s="1" t="str">
        <f t="shared" si="98"/>
        <v>10.3592928397343+2.13235411911085i</v>
      </c>
      <c r="CT265" s="1" t="str">
        <f t="shared" si="99"/>
        <v>10.3592928397343+1.59908628646339i</v>
      </c>
      <c r="CU265" s="1" t="str">
        <f t="shared" si="100"/>
        <v>0.0191834803010191+23.3079285657384i</v>
      </c>
      <c r="CV265" s="1" t="str">
        <f t="shared" si="101"/>
        <v>7.73260736182753+4.71053415024977i</v>
      </c>
      <c r="CW265" s="2">
        <f t="shared" si="102"/>
        <v>48.600000000000151</v>
      </c>
      <c r="CX265" s="14">
        <f t="shared" si="103"/>
        <v>10.481985741782214</v>
      </c>
      <c r="CY265" s="14">
        <f t="shared" si="92"/>
        <v>23.307936460173366</v>
      </c>
      <c r="CZ265" s="14">
        <f t="shared" si="104"/>
        <v>9.0544104497674844</v>
      </c>
      <c r="DE265" s="14">
        <f t="shared" si="105"/>
        <v>48.600000000000151</v>
      </c>
      <c r="DF265" s="151">
        <f t="shared" si="106"/>
        <v>0.86380678936394051</v>
      </c>
      <c r="DH265" s="152">
        <f t="shared" si="107"/>
        <v>48.600000000000151</v>
      </c>
      <c r="DI265" s="1">
        <f t="shared" si="108"/>
        <v>0.38846898631454935</v>
      </c>
    </row>
    <row r="266" spans="2:113" ht="18" customHeight="1" x14ac:dyDescent="0.25">
      <c r="B266" s="6"/>
      <c r="AP266" s="8"/>
      <c r="AR266" s="6"/>
      <c r="AS266" s="95"/>
      <c r="AT266" s="95"/>
      <c r="AU266" s="95"/>
      <c r="AV266" s="95"/>
      <c r="AW266" s="95"/>
      <c r="AX266" s="95"/>
      <c r="AY266" s="95"/>
      <c r="AZ266" s="95"/>
      <c r="BA266" s="95"/>
      <c r="BB266" s="95"/>
      <c r="BC266" s="95"/>
      <c r="BD266" s="95"/>
      <c r="BE266" s="95"/>
      <c r="BF266" s="95"/>
      <c r="BG266" s="95"/>
      <c r="BH266" s="95"/>
      <c r="BI266" s="95"/>
      <c r="BJ266" s="95"/>
      <c r="BK266" s="95"/>
      <c r="BL266" s="95"/>
      <c r="BM266" s="95"/>
      <c r="BN266" s="95"/>
      <c r="BO266" s="95"/>
      <c r="BP266" s="95"/>
      <c r="BQ266" s="95"/>
      <c r="BR266" s="95"/>
      <c r="BS266" s="95"/>
      <c r="BT266" s="95"/>
      <c r="BU266" s="95"/>
      <c r="BV266" s="95"/>
      <c r="BW266" s="95"/>
      <c r="BX266" s="95"/>
      <c r="BY266" s="95"/>
      <c r="BZ266" s="95"/>
      <c r="CA266" s="95"/>
      <c r="CB266" s="95"/>
      <c r="CC266" s="95"/>
      <c r="CD266" s="95"/>
      <c r="CE266" s="95"/>
      <c r="CF266" s="8"/>
      <c r="CM266" s="2">
        <f t="shared" si="109"/>
        <v>48.800000000000153</v>
      </c>
      <c r="CN266" s="1" t="str">
        <f t="shared" si="93"/>
        <v>0.0107986736111111+52.6975272222224i</v>
      </c>
      <c r="CO266" s="1" t="str">
        <f t="shared" si="94"/>
        <v>-0.0221284295309653i</v>
      </c>
      <c r="CP266" s="1" t="str">
        <f t="shared" si="95"/>
        <v>10.7986736111111</v>
      </c>
      <c r="CQ266" s="1" t="str">
        <f t="shared" si="96"/>
        <v>-0.531082308743168i</v>
      </c>
      <c r="CR266" s="1" t="str">
        <f t="shared" si="97"/>
        <v>0.0107986736111111+52.6753987926914i</v>
      </c>
      <c r="CS266" s="1" t="str">
        <f t="shared" si="98"/>
        <v>10.362744604551+2.12431593892964i</v>
      </c>
      <c r="CT266" s="1" t="str">
        <f t="shared" si="99"/>
        <v>10.362744604551+1.59323363018647i</v>
      </c>
      <c r="CU266" s="1" t="str">
        <f t="shared" si="100"/>
        <v>0.0191834803010191+23.4038459672435i</v>
      </c>
      <c r="CV266" s="1" t="str">
        <f t="shared" si="101"/>
        <v>7.75034750990523+4.70265140317687i</v>
      </c>
      <c r="CW266" s="2">
        <f t="shared" si="102"/>
        <v>48.800000000000153</v>
      </c>
      <c r="CX266" s="14">
        <f t="shared" si="103"/>
        <v>10.484506146667474</v>
      </c>
      <c r="CY266" s="14">
        <f t="shared" si="92"/>
        <v>23.403853829324234</v>
      </c>
      <c r="CZ266" s="14">
        <f t="shared" si="104"/>
        <v>9.0654738841439286</v>
      </c>
      <c r="DE266" s="14">
        <f t="shared" si="105"/>
        <v>48.800000000000153</v>
      </c>
      <c r="DF266" s="151">
        <f t="shared" si="106"/>
        <v>0.86465435351243602</v>
      </c>
      <c r="DH266" s="152">
        <f t="shared" si="107"/>
        <v>48.800000000000153</v>
      </c>
      <c r="DI266" s="1">
        <f t="shared" si="108"/>
        <v>0.38734961986410926</v>
      </c>
    </row>
    <row r="267" spans="2:113" ht="18" customHeight="1" x14ac:dyDescent="0.25">
      <c r="B267" s="6"/>
      <c r="AP267" s="8"/>
      <c r="AR267" s="6"/>
      <c r="AS267" s="95"/>
      <c r="AT267" s="95"/>
      <c r="AU267" s="95"/>
      <c r="AV267" s="95"/>
      <c r="AW267" s="95"/>
      <c r="AX267" s="95"/>
      <c r="AY267" s="95"/>
      <c r="AZ267" s="95"/>
      <c r="BA267" s="95"/>
      <c r="BB267" s="95"/>
      <c r="BC267" s="95"/>
      <c r="BD267" s="95"/>
      <c r="BE267" s="95"/>
      <c r="BF267" s="95"/>
      <c r="BG267" s="95"/>
      <c r="BH267" s="95"/>
      <c r="BI267" s="95"/>
      <c r="BJ267" s="95"/>
      <c r="BK267" s="95"/>
      <c r="BL267" s="95"/>
      <c r="BM267" s="95"/>
      <c r="BN267" s="95"/>
      <c r="BO267" s="95"/>
      <c r="BP267" s="95"/>
      <c r="BQ267" s="95"/>
      <c r="BR267" s="95"/>
      <c r="BS267" s="95"/>
      <c r="BT267" s="95"/>
      <c r="BU267" s="95"/>
      <c r="BV267" s="95"/>
      <c r="BW267" s="95"/>
      <c r="BX267" s="95"/>
      <c r="BY267" s="95"/>
      <c r="BZ267" s="95"/>
      <c r="CA267" s="95"/>
      <c r="CB267" s="95"/>
      <c r="CC267" s="95"/>
      <c r="CD267" s="95"/>
      <c r="CE267" s="95"/>
      <c r="CF267" s="8"/>
      <c r="CM267" s="2">
        <f t="shared" si="109"/>
        <v>49.000000000000156</v>
      </c>
      <c r="CN267" s="1" t="str">
        <f t="shared" si="93"/>
        <v>0.0107986736111111+52.9135006944446i</v>
      </c>
      <c r="CO267" s="1" t="str">
        <f t="shared" si="94"/>
        <v>-0.0220381094104308i</v>
      </c>
      <c r="CP267" s="1" t="str">
        <f t="shared" si="95"/>
        <v>10.7986736111111</v>
      </c>
      <c r="CQ267" s="1" t="str">
        <f t="shared" si="96"/>
        <v>-0.528914625850339i</v>
      </c>
      <c r="CR267" s="1" t="str">
        <f t="shared" si="97"/>
        <v>0.0107986736111111+52.8914625850342i</v>
      </c>
      <c r="CS267" s="1" t="str">
        <f t="shared" si="98"/>
        <v>10.3661564035727+2.1163352934662i</v>
      </c>
      <c r="CT267" s="1" t="str">
        <f t="shared" si="99"/>
        <v>10.3661564035727+1.58742066761586i</v>
      </c>
      <c r="CU267" s="1" t="str">
        <f t="shared" si="100"/>
        <v>0.0191834803010191+23.4997633687486i</v>
      </c>
      <c r="CV267" s="1" t="str">
        <f t="shared" si="101"/>
        <v>7.76795519550658+4.69474795719538i</v>
      </c>
      <c r="CW267" s="2">
        <f t="shared" si="102"/>
        <v>49.000000000000156</v>
      </c>
      <c r="CX267" s="14">
        <f t="shared" si="103"/>
        <v>10.486996851306159</v>
      </c>
      <c r="CY267" s="14">
        <f t="shared" si="92"/>
        <v>23.499771198739214</v>
      </c>
      <c r="CZ267" s="14">
        <f t="shared" si="104"/>
        <v>9.0764412795427631</v>
      </c>
      <c r="DE267" s="14">
        <f t="shared" si="105"/>
        <v>49.000000000000156</v>
      </c>
      <c r="DF267" s="151">
        <f t="shared" si="106"/>
        <v>0.8654948035397082</v>
      </c>
      <c r="DH267" s="152">
        <f t="shared" si="107"/>
        <v>49.000000000000156</v>
      </c>
      <c r="DI267" s="1">
        <f t="shared" si="108"/>
        <v>0.38623530428371644</v>
      </c>
    </row>
    <row r="268" spans="2:113" ht="18" customHeight="1" x14ac:dyDescent="0.25">
      <c r="B268" s="6"/>
      <c r="AP268" s="8"/>
      <c r="AR268" s="6"/>
      <c r="AS268" s="95"/>
      <c r="AT268" s="95"/>
      <c r="AU268" s="95"/>
      <c r="AV268" s="95"/>
      <c r="AW268" s="95"/>
      <c r="AX268" s="95"/>
      <c r="AY268" s="95"/>
      <c r="AZ268" s="95"/>
      <c r="BA268" s="95"/>
      <c r="BB268" s="95"/>
      <c r="BC268" s="95"/>
      <c r="BD268" s="95"/>
      <c r="BE268" s="95"/>
      <c r="BF268" s="95"/>
      <c r="BG268" s="95"/>
      <c r="BH268" s="95"/>
      <c r="BI268" s="95"/>
      <c r="BJ268" s="95"/>
      <c r="BK268" s="95"/>
      <c r="BL268" s="95"/>
      <c r="BM268" s="95"/>
      <c r="BN268" s="95"/>
      <c r="BO268" s="95"/>
      <c r="BP268" s="95"/>
      <c r="BQ268" s="95"/>
      <c r="BR268" s="95"/>
      <c r="BS268" s="95"/>
      <c r="BT268" s="95"/>
      <c r="BU268" s="95"/>
      <c r="BV268" s="95"/>
      <c r="BW268" s="95"/>
      <c r="BX268" s="95"/>
      <c r="BY268" s="95"/>
      <c r="BZ268" s="95"/>
      <c r="CA268" s="95"/>
      <c r="CB268" s="95"/>
      <c r="CC268" s="95"/>
      <c r="CD268" s="95"/>
      <c r="CE268" s="95"/>
      <c r="CF268" s="8"/>
      <c r="CM268" s="2">
        <f t="shared" si="109"/>
        <v>49.200000000000159</v>
      </c>
      <c r="CN268" s="1" t="str">
        <f t="shared" si="93"/>
        <v>0.0107986736111111+53.1294741666669i</v>
      </c>
      <c r="CO268" s="1" t="str">
        <f t="shared" si="94"/>
        <v>-0.0219485235998193i</v>
      </c>
      <c r="CP268" s="1" t="str">
        <f t="shared" si="95"/>
        <v>10.7986736111111</v>
      </c>
      <c r="CQ268" s="1" t="str">
        <f t="shared" si="96"/>
        <v>-0.526764566395662i</v>
      </c>
      <c r="CR268" s="1" t="str">
        <f t="shared" si="97"/>
        <v>0.0107986736111111+53.1075256430671i</v>
      </c>
      <c r="CS268" s="1" t="str">
        <f t="shared" si="98"/>
        <v>10.3695288427764+2.10841160313929i</v>
      </c>
      <c r="CT268" s="1" t="str">
        <f t="shared" si="99"/>
        <v>10.3695288427764+1.58164703674363i</v>
      </c>
      <c r="CU268" s="1" t="str">
        <f t="shared" si="100"/>
        <v>0.0191834803010191+23.5956807702537i</v>
      </c>
      <c r="CV268" s="1" t="str">
        <f t="shared" si="101"/>
        <v>7.78543145876951+4.68682473210411i</v>
      </c>
      <c r="CW268" s="2">
        <f t="shared" si="102"/>
        <v>49.200000000000159</v>
      </c>
      <c r="CX268" s="14">
        <f t="shared" si="103"/>
        <v>10.48945831632938</v>
      </c>
      <c r="CY268" s="14">
        <f t="shared" si="92"/>
        <v>23.595688568415092</v>
      </c>
      <c r="CZ268" s="14">
        <f t="shared" si="104"/>
        <v>9.0873136332285078</v>
      </c>
      <c r="DE268" s="14">
        <f t="shared" si="105"/>
        <v>49.200000000000159</v>
      </c>
      <c r="DF268" s="151">
        <f t="shared" si="106"/>
        <v>0.86632820868184357</v>
      </c>
      <c r="DH268" s="152">
        <f t="shared" si="107"/>
        <v>49.200000000000159</v>
      </c>
      <c r="DI268" s="1">
        <f t="shared" si="108"/>
        <v>0.38512602024221665</v>
      </c>
    </row>
    <row r="269" spans="2:113" ht="18" customHeight="1" x14ac:dyDescent="0.25">
      <c r="B269" s="6"/>
      <c r="AP269" s="8"/>
      <c r="AR269" s="6"/>
      <c r="AS269" s="95"/>
      <c r="AT269" s="95"/>
      <c r="AU269" s="95"/>
      <c r="AV269" s="95"/>
      <c r="AW269" s="95"/>
      <c r="AX269" s="95"/>
      <c r="AY269" s="95"/>
      <c r="AZ269" s="95"/>
      <c r="BA269" s="95"/>
      <c r="BB269" s="95"/>
      <c r="BC269" s="95"/>
      <c r="BD269" s="95"/>
      <c r="BE269" s="95"/>
      <c r="BF269" s="95"/>
      <c r="BG269" s="95"/>
      <c r="BH269" s="95"/>
      <c r="BI269" s="95"/>
      <c r="BJ269" s="95"/>
      <c r="BK269" s="95"/>
      <c r="BL269" s="95"/>
      <c r="BM269" s="95"/>
      <c r="BN269" s="95"/>
      <c r="BO269" s="95"/>
      <c r="BP269" s="95"/>
      <c r="BQ269" s="95"/>
      <c r="BR269" s="95"/>
      <c r="BS269" s="95"/>
      <c r="BT269" s="95"/>
      <c r="BU269" s="95"/>
      <c r="BV269" s="95"/>
      <c r="BW269" s="95"/>
      <c r="BX269" s="95"/>
      <c r="BY269" s="95"/>
      <c r="BZ269" s="95"/>
      <c r="CA269" s="95"/>
      <c r="CB269" s="95"/>
      <c r="CC269" s="95"/>
      <c r="CD269" s="95"/>
      <c r="CE269" s="95"/>
      <c r="CF269" s="8"/>
      <c r="CM269" s="2">
        <f t="shared" si="109"/>
        <v>49.400000000000162</v>
      </c>
      <c r="CN269" s="1" t="str">
        <f t="shared" si="93"/>
        <v>0.0107986736111111+53.3454476388891i</v>
      </c>
      <c r="CO269" s="1" t="str">
        <f t="shared" si="94"/>
        <v>-0.0218596631803868i</v>
      </c>
      <c r="CP269" s="1" t="str">
        <f t="shared" si="95"/>
        <v>10.7986736111111</v>
      </c>
      <c r="CQ269" s="1" t="str">
        <f t="shared" si="96"/>
        <v>-0.524631916329283i</v>
      </c>
      <c r="CR269" s="1" t="str">
        <f t="shared" si="97"/>
        <v>0.0107986736111111+53.3235879757087i</v>
      </c>
      <c r="CS269" s="1" t="str">
        <f t="shared" si="98"/>
        <v>10.3728625168671+2.10054429549216i</v>
      </c>
      <c r="CT269" s="1" t="str">
        <f t="shared" si="99"/>
        <v>10.3728625168671+1.57591237916288i</v>
      </c>
      <c r="CU269" s="1" t="str">
        <f t="shared" si="100"/>
        <v>0.0191834803010191+23.6915981717588i</v>
      </c>
      <c r="CV269" s="1" t="str">
        <f t="shared" si="101"/>
        <v>7.80277733447642+4.67888262931771i</v>
      </c>
      <c r="CW269" s="2">
        <f t="shared" si="102"/>
        <v>49.400000000000162</v>
      </c>
      <c r="CX269" s="14">
        <f t="shared" si="103"/>
        <v>10.491890993554273</v>
      </c>
      <c r="CY269" s="14">
        <f t="shared" si="92"/>
        <v>23.691605938348697</v>
      </c>
      <c r="CZ269" s="14">
        <f t="shared" si="104"/>
        <v>9.0980919312980095</v>
      </c>
      <c r="DE269" s="14">
        <f t="shared" si="105"/>
        <v>49.400000000000162</v>
      </c>
      <c r="DF269" s="151">
        <f t="shared" si="106"/>
        <v>0.86715463750885691</v>
      </c>
      <c r="DH269" s="152">
        <f t="shared" si="107"/>
        <v>49.400000000000162</v>
      </c>
      <c r="DI269" s="1">
        <f t="shared" si="108"/>
        <v>0.38402174825013663</v>
      </c>
    </row>
    <row r="270" spans="2:113" ht="18" customHeight="1" x14ac:dyDescent="0.25">
      <c r="B270" s="6"/>
      <c r="AP270" s="8"/>
      <c r="AR270" s="6"/>
      <c r="AS270" s="95"/>
      <c r="AT270" s="95"/>
      <c r="AU270" s="95"/>
      <c r="AV270" s="95"/>
      <c r="AW270" s="95"/>
      <c r="AX270" s="95"/>
      <c r="AY270" s="95"/>
      <c r="AZ270" s="95"/>
      <c r="BA270" s="95"/>
      <c r="BB270" s="95"/>
      <c r="BC270" s="95"/>
      <c r="BD270" s="95"/>
      <c r="BE270" s="95"/>
      <c r="BF270" s="95"/>
      <c r="BG270" s="95"/>
      <c r="BH270" s="95"/>
      <c r="BI270" s="95"/>
      <c r="BJ270" s="95"/>
      <c r="BK270" s="95"/>
      <c r="BL270" s="95"/>
      <c r="BM270" s="95"/>
      <c r="BN270" s="95"/>
      <c r="BO270" s="95"/>
      <c r="BP270" s="95"/>
      <c r="BQ270" s="95"/>
      <c r="BR270" s="95"/>
      <c r="BS270" s="95"/>
      <c r="BT270" s="95"/>
      <c r="BU270" s="95"/>
      <c r="BV270" s="95"/>
      <c r="BW270" s="95"/>
      <c r="BX270" s="95"/>
      <c r="BY270" s="95"/>
      <c r="BZ270" s="95"/>
      <c r="CA270" s="95"/>
      <c r="CB270" s="95"/>
      <c r="CC270" s="95"/>
      <c r="CD270" s="95"/>
      <c r="CE270" s="95"/>
      <c r="CF270" s="8"/>
      <c r="CM270" s="2">
        <f t="shared" si="109"/>
        <v>49.600000000000165</v>
      </c>
      <c r="CN270" s="1" t="str">
        <f t="shared" si="93"/>
        <v>0.0107986736111111+53.5614211111113i</v>
      </c>
      <c r="CO270" s="1" t="str">
        <f t="shared" si="94"/>
        <v>-0.0217715193772401i</v>
      </c>
      <c r="CP270" s="1" t="str">
        <f t="shared" si="95"/>
        <v>10.7986736111111</v>
      </c>
      <c r="CQ270" s="1" t="str">
        <f t="shared" si="96"/>
        <v>-0.522516465053762i</v>
      </c>
      <c r="CR270" s="1" t="str">
        <f t="shared" si="97"/>
        <v>0.0107986736111111+53.5396495917341i</v>
      </c>
      <c r="CS270" s="1" t="str">
        <f t="shared" si="98"/>
        <v>10.3761580095236+2.09273280509819i</v>
      </c>
      <c r="CT270" s="1" t="str">
        <f t="shared" si="99"/>
        <v>10.3761580095236+1.57021634004443i</v>
      </c>
      <c r="CU270" s="1" t="str">
        <f t="shared" si="100"/>
        <v>0.0191834803010191+23.7875155732638i</v>
      </c>
      <c r="CV270" s="1" t="str">
        <f t="shared" si="101"/>
        <v>7.81999385196533+4.67092253218322i</v>
      </c>
      <c r="CW270" s="2">
        <f t="shared" si="102"/>
        <v>49.600000000000165</v>
      </c>
      <c r="CX270" s="14">
        <f t="shared" si="103"/>
        <v>10.494295326182852</v>
      </c>
      <c r="CY270" s="14">
        <f t="shared" si="92"/>
        <v>23.787523308536908</v>
      </c>
      <c r="CZ270" s="14">
        <f t="shared" si="104"/>
        <v>9.1087771487962339</v>
      </c>
      <c r="DE270" s="14">
        <f t="shared" si="105"/>
        <v>49.600000000000165</v>
      </c>
      <c r="DF270" s="151">
        <f t="shared" si="106"/>
        <v>0.8679741579284701</v>
      </c>
      <c r="DH270" s="152">
        <f t="shared" si="107"/>
        <v>49.600000000000165</v>
      </c>
      <c r="DI270" s="1">
        <f t="shared" si="108"/>
        <v>0.38292246866773583</v>
      </c>
    </row>
    <row r="271" spans="2:113" ht="18" customHeight="1" x14ac:dyDescent="0.25">
      <c r="B271" s="6"/>
      <c r="AP271" s="8"/>
      <c r="AR271" s="6"/>
      <c r="AS271" s="95"/>
      <c r="AT271" s="95"/>
      <c r="AU271" s="95"/>
      <c r="AV271" s="95"/>
      <c r="AW271" s="95"/>
      <c r="AX271" s="95"/>
      <c r="AY271" s="95"/>
      <c r="AZ271" s="95"/>
      <c r="BA271" s="95"/>
      <c r="BB271" s="95"/>
      <c r="BC271" s="95"/>
      <c r="BD271" s="95"/>
      <c r="BE271" s="95"/>
      <c r="BF271" s="95"/>
      <c r="BG271" s="95"/>
      <c r="BH271" s="95"/>
      <c r="BI271" s="95"/>
      <c r="BJ271" s="95"/>
      <c r="BK271" s="95"/>
      <c r="BL271" s="95"/>
      <c r="BM271" s="95"/>
      <c r="BN271" s="95"/>
      <c r="BO271" s="95"/>
      <c r="BP271" s="95"/>
      <c r="BQ271" s="95"/>
      <c r="BR271" s="95"/>
      <c r="BS271" s="95"/>
      <c r="BT271" s="95"/>
      <c r="BU271" s="95"/>
      <c r="BV271" s="95"/>
      <c r="BW271" s="95"/>
      <c r="BX271" s="95"/>
      <c r="BY271" s="95"/>
      <c r="BZ271" s="95"/>
      <c r="CA271" s="95"/>
      <c r="CB271" s="95"/>
      <c r="CC271" s="95"/>
      <c r="CD271" s="95"/>
      <c r="CE271" s="95"/>
      <c r="CF271" s="8"/>
      <c r="CM271" s="2">
        <f t="shared" si="109"/>
        <v>49.800000000000168</v>
      </c>
      <c r="CN271" s="1" t="str">
        <f t="shared" si="93"/>
        <v>0.0107986736111111+53.7773945833335i</v>
      </c>
      <c r="CO271" s="1" t="str">
        <f t="shared" si="94"/>
        <v>-0.0216840835564479i</v>
      </c>
      <c r="CP271" s="1" t="str">
        <f t="shared" si="95"/>
        <v>10.7986736111111</v>
      </c>
      <c r="CQ271" s="1" t="str">
        <f t="shared" si="96"/>
        <v>-0.520418005354751i</v>
      </c>
      <c r="CR271" s="1" t="str">
        <f t="shared" si="97"/>
        <v>0.0107986736111111+53.7557104997771i</v>
      </c>
      <c r="CS271" s="1" t="str">
        <f t="shared" si="98"/>
        <v>10.3794158936396+2.08497657346763i</v>
      </c>
      <c r="CT271" s="1" t="str">
        <f t="shared" si="99"/>
        <v>10.3794158936396+1.56455856811288i</v>
      </c>
      <c r="CU271" s="1" t="str">
        <f t="shared" si="100"/>
        <v>0.0191834803010191+23.8834329747689i</v>
      </c>
      <c r="CV271" s="1" t="str">
        <f t="shared" si="101"/>
        <v>7.83708203504646+4.66294530629234i</v>
      </c>
      <c r="CW271" s="2">
        <f t="shared" si="102"/>
        <v>49.800000000000168</v>
      </c>
      <c r="CX271" s="14">
        <f t="shared" si="103"/>
        <v>10.496671748997096</v>
      </c>
      <c r="CY271" s="14">
        <f t="shared" si="92"/>
        <v>23.883440678976662</v>
      </c>
      <c r="CZ271" s="14">
        <f t="shared" si="104"/>
        <v>9.119370249832043</v>
      </c>
      <c r="DE271" s="14">
        <f t="shared" si="105"/>
        <v>49.800000000000168</v>
      </c>
      <c r="DF271" s="151">
        <f t="shared" si="106"/>
        <v>0.86878683718992533</v>
      </c>
      <c r="DH271" s="152">
        <f t="shared" si="107"/>
        <v>49.800000000000168</v>
      </c>
      <c r="DI271" s="1">
        <f t="shared" si="108"/>
        <v>0.38182816171287043</v>
      </c>
    </row>
    <row r="272" spans="2:113" ht="18" customHeight="1" x14ac:dyDescent="0.25">
      <c r="B272" s="6"/>
      <c r="AP272" s="8"/>
      <c r="AR272" s="6"/>
      <c r="AS272" s="95"/>
      <c r="AT272" s="95"/>
      <c r="AU272" s="95"/>
      <c r="AV272" s="95"/>
      <c r="AW272" s="95"/>
      <c r="AX272" s="95"/>
      <c r="AY272" s="95"/>
      <c r="AZ272" s="95"/>
      <c r="BA272" s="95"/>
      <c r="BB272" s="95"/>
      <c r="BC272" s="95"/>
      <c r="BD272" s="95"/>
      <c r="BE272" s="95"/>
      <c r="BF272" s="95"/>
      <c r="BG272" s="95"/>
      <c r="BH272" s="95"/>
      <c r="BI272" s="95"/>
      <c r="BJ272" s="95"/>
      <c r="BK272" s="95"/>
      <c r="BL272" s="95"/>
      <c r="BM272" s="95"/>
      <c r="BN272" s="95"/>
      <c r="BO272" s="95"/>
      <c r="BP272" s="95"/>
      <c r="BQ272" s="95"/>
      <c r="BR272" s="95"/>
      <c r="BS272" s="95"/>
      <c r="BT272" s="95"/>
      <c r="BU272" s="95"/>
      <c r="BV272" s="95"/>
      <c r="BW272" s="95"/>
      <c r="BX272" s="95"/>
      <c r="BY272" s="95"/>
      <c r="BZ272" s="95"/>
      <c r="CA272" s="95"/>
      <c r="CB272" s="95"/>
      <c r="CC272" s="95"/>
      <c r="CD272" s="95"/>
      <c r="CE272" s="95"/>
      <c r="CF272" s="8"/>
      <c r="CM272" s="2">
        <f t="shared" si="109"/>
        <v>50.000000000000171</v>
      </c>
      <c r="CN272" s="1" t="str">
        <f t="shared" si="93"/>
        <v>0.0107986736111111+53.9933680555558i</v>
      </c>
      <c r="CO272" s="1" t="str">
        <f t="shared" si="94"/>
        <v>-0.0215973472222222i</v>
      </c>
      <c r="CP272" s="1" t="str">
        <f t="shared" si="95"/>
        <v>10.7986736111111</v>
      </c>
      <c r="CQ272" s="1" t="str">
        <f t="shared" si="96"/>
        <v>-0.518336333333332i</v>
      </c>
      <c r="CR272" s="1" t="str">
        <f t="shared" si="97"/>
        <v>0.0107986736111111+53.9717707083336i</v>
      </c>
      <c r="CS272" s="1" t="str">
        <f t="shared" si="98"/>
        <v>10.3826367315584+2.07727504895534i</v>
      </c>
      <c r="CT272" s="1" t="str">
        <f t="shared" si="99"/>
        <v>10.3826367315584+1.55893871562201i</v>
      </c>
      <c r="CU272" s="1" t="str">
        <f t="shared" si="100"/>
        <v>0.0191834803010191+23.979350376274i</v>
      </c>
      <c r="CV272" s="1" t="str">
        <f t="shared" si="101"/>
        <v>7.85404290192335+4.65495179978941i</v>
      </c>
      <c r="CW272" s="2">
        <f t="shared" si="102"/>
        <v>50.000000000000171</v>
      </c>
      <c r="CX272" s="14">
        <f t="shared" si="103"/>
        <v>10.499020688548571</v>
      </c>
      <c r="CY272" s="14">
        <f t="shared" si="92"/>
        <v>23.979358049664938</v>
      </c>
      <c r="CZ272" s="14">
        <f t="shared" si="104"/>
        <v>9.1298721876932767</v>
      </c>
      <c r="DE272" s="14">
        <f t="shared" si="105"/>
        <v>50.000000000000171</v>
      </c>
      <c r="DF272" s="151">
        <f t="shared" si="106"/>
        <v>0.86959274188795066</v>
      </c>
      <c r="DH272" s="152">
        <f t="shared" si="107"/>
        <v>50.000000000000171</v>
      </c>
      <c r="DI272" s="1">
        <f t="shared" si="108"/>
        <v>0.38073880746865335</v>
      </c>
    </row>
    <row r="273" spans="2:84" ht="18" customHeight="1" x14ac:dyDescent="0.25">
      <c r="B273" s="6"/>
      <c r="AP273" s="8"/>
      <c r="AR273" s="6"/>
      <c r="AS273" s="95"/>
      <c r="AT273" s="95"/>
      <c r="AU273" s="95"/>
      <c r="AV273" s="95"/>
      <c r="AW273" s="95"/>
      <c r="AX273" s="95"/>
      <c r="AY273" s="95"/>
      <c r="AZ273" s="95"/>
      <c r="BA273" s="95"/>
      <c r="BB273" s="95"/>
      <c r="BC273" s="95"/>
      <c r="BD273" s="95"/>
      <c r="BE273" s="95"/>
      <c r="BF273" s="95"/>
      <c r="BG273" s="95"/>
      <c r="BH273" s="95"/>
      <c r="BI273" s="95"/>
      <c r="BJ273" s="95"/>
      <c r="BK273" s="95"/>
      <c r="BL273" s="95"/>
      <c r="BM273" s="95"/>
      <c r="BN273" s="95"/>
      <c r="BO273" s="95"/>
      <c r="BP273" s="95"/>
      <c r="BQ273" s="95"/>
      <c r="BR273" s="95"/>
      <c r="BS273" s="95"/>
      <c r="BT273" s="95"/>
      <c r="BU273" s="95"/>
      <c r="BV273" s="95"/>
      <c r="BW273" s="95"/>
      <c r="BX273" s="95"/>
      <c r="BY273" s="95"/>
      <c r="BZ273" s="95"/>
      <c r="CA273" s="95"/>
      <c r="CB273" s="95"/>
      <c r="CC273" s="95"/>
      <c r="CD273" s="95"/>
      <c r="CE273" s="95"/>
      <c r="CF273" s="8"/>
    </row>
    <row r="274" spans="2:84" ht="18" customHeight="1" x14ac:dyDescent="0.3">
      <c r="B274" s="6"/>
      <c r="C274" s="30" t="s">
        <v>480</v>
      </c>
      <c r="AP274" s="8"/>
      <c r="AR274" s="6"/>
      <c r="AS274" s="309" t="s">
        <v>482</v>
      </c>
      <c r="AT274" s="309"/>
      <c r="AU274" s="309"/>
      <c r="AV274" s="309"/>
      <c r="AW274" s="309"/>
      <c r="AX274" s="309"/>
      <c r="AY274" s="309"/>
      <c r="AZ274" s="309"/>
      <c r="BA274" s="309"/>
      <c r="BB274" s="309"/>
      <c r="BC274" s="309"/>
      <c r="BD274" s="309"/>
      <c r="BE274" s="309"/>
      <c r="BF274" s="309"/>
      <c r="BG274" s="309"/>
      <c r="BH274" s="309"/>
      <c r="BI274" s="309"/>
      <c r="BJ274" s="309"/>
      <c r="BK274" s="309"/>
      <c r="BL274" s="309"/>
      <c r="BM274" s="309"/>
      <c r="BN274" s="309"/>
      <c r="BO274" s="309"/>
      <c r="BP274" s="309"/>
      <c r="BQ274" s="309"/>
      <c r="BR274" s="309"/>
      <c r="BS274" s="309"/>
      <c r="BT274" s="309"/>
      <c r="BU274" s="309"/>
      <c r="BV274" s="309"/>
      <c r="BW274" s="309"/>
      <c r="BX274" s="309"/>
      <c r="BY274" s="309"/>
      <c r="BZ274" s="309"/>
      <c r="CA274" s="309"/>
      <c r="CB274" s="309"/>
      <c r="CC274" s="309"/>
      <c r="CD274" s="309"/>
      <c r="CE274" s="309"/>
      <c r="CF274" s="8"/>
    </row>
    <row r="275" spans="2:84" ht="18" customHeight="1" x14ac:dyDescent="0.25">
      <c r="B275" s="6"/>
      <c r="C275" s="153" t="s">
        <v>481</v>
      </c>
      <c r="D275" s="179"/>
      <c r="E275" s="179"/>
      <c r="F275" s="179"/>
      <c r="G275" s="179"/>
      <c r="H275" s="179"/>
      <c r="I275" s="179"/>
      <c r="J275" s="179"/>
      <c r="K275" s="179"/>
      <c r="L275" s="179"/>
      <c r="M275" s="179"/>
      <c r="N275" s="179"/>
      <c r="O275" s="179"/>
      <c r="P275" s="179"/>
      <c r="Q275" s="179"/>
      <c r="R275" s="179"/>
      <c r="S275" s="179"/>
      <c r="T275" s="179"/>
      <c r="U275" s="179"/>
      <c r="V275" s="179"/>
      <c r="W275" s="179"/>
      <c r="X275" s="179"/>
      <c r="Y275" s="179"/>
      <c r="Z275" s="179"/>
      <c r="AA275" s="179"/>
      <c r="AB275" s="179"/>
      <c r="AC275" s="179"/>
      <c r="AD275" s="179"/>
      <c r="AE275" s="179"/>
      <c r="AF275" s="179"/>
      <c r="AG275" s="179"/>
      <c r="AH275" s="179"/>
      <c r="AI275" s="179"/>
      <c r="AJ275" s="179"/>
      <c r="AK275" s="179"/>
      <c r="AL275" s="179"/>
      <c r="AM275" s="179"/>
      <c r="AN275" s="179"/>
      <c r="AO275" s="179"/>
      <c r="AP275" s="8"/>
      <c r="AR275" s="6"/>
      <c r="AS275" s="309"/>
      <c r="AT275" s="309"/>
      <c r="AU275" s="309"/>
      <c r="AV275" s="309"/>
      <c r="AW275" s="309"/>
      <c r="AX275" s="309"/>
      <c r="AY275" s="309"/>
      <c r="AZ275" s="309"/>
      <c r="BA275" s="309"/>
      <c r="BB275" s="309"/>
      <c r="BC275" s="309"/>
      <c r="BD275" s="309"/>
      <c r="BE275" s="309"/>
      <c r="BF275" s="309"/>
      <c r="BG275" s="309"/>
      <c r="BH275" s="309"/>
      <c r="BI275" s="309"/>
      <c r="BJ275" s="309"/>
      <c r="BK275" s="309"/>
      <c r="BL275" s="309"/>
      <c r="BM275" s="309"/>
      <c r="BN275" s="309"/>
      <c r="BO275" s="309"/>
      <c r="BP275" s="309"/>
      <c r="BQ275" s="309"/>
      <c r="BR275" s="309"/>
      <c r="BS275" s="309"/>
      <c r="BT275" s="309"/>
      <c r="BU275" s="309"/>
      <c r="BV275" s="309"/>
      <c r="BW275" s="309"/>
      <c r="BX275" s="309"/>
      <c r="BY275" s="309"/>
      <c r="BZ275" s="309"/>
      <c r="CA275" s="309"/>
      <c r="CB275" s="309"/>
      <c r="CC275" s="309"/>
      <c r="CD275" s="309"/>
      <c r="CE275" s="309"/>
      <c r="CF275" s="8"/>
    </row>
    <row r="276" spans="2:84" ht="18" customHeight="1" x14ac:dyDescent="0.25">
      <c r="B276" s="6"/>
      <c r="C276" s="179"/>
      <c r="D276" s="179"/>
      <c r="E276" s="179"/>
      <c r="F276" s="179"/>
      <c r="G276" s="179"/>
      <c r="H276" s="179"/>
      <c r="I276" s="179"/>
      <c r="J276" s="179"/>
      <c r="K276" s="179"/>
      <c r="L276" s="179"/>
      <c r="M276" s="179"/>
      <c r="N276" s="179"/>
      <c r="O276" s="179"/>
      <c r="P276" s="179"/>
      <c r="Q276" s="179"/>
      <c r="R276" s="179"/>
      <c r="S276" s="179"/>
      <c r="T276" s="179"/>
      <c r="U276" s="179"/>
      <c r="V276" s="179"/>
      <c r="W276" s="179"/>
      <c r="X276" s="179"/>
      <c r="Y276" s="179"/>
      <c r="Z276" s="179"/>
      <c r="AA276" s="179"/>
      <c r="AB276" s="179"/>
      <c r="AC276" s="179"/>
      <c r="AD276" s="179"/>
      <c r="AE276" s="179"/>
      <c r="AF276" s="179"/>
      <c r="AG276" s="179"/>
      <c r="AH276" s="179"/>
      <c r="AI276" s="179"/>
      <c r="AJ276" s="179"/>
      <c r="AK276" s="179"/>
      <c r="AL276" s="179"/>
      <c r="AM276" s="179"/>
      <c r="AN276" s="179"/>
      <c r="AO276" s="179"/>
      <c r="AP276" s="8"/>
      <c r="AR276" s="6"/>
      <c r="AS276" s="309"/>
      <c r="AT276" s="309"/>
      <c r="AU276" s="309"/>
      <c r="AV276" s="309"/>
      <c r="AW276" s="309"/>
      <c r="AX276" s="309"/>
      <c r="AY276" s="309"/>
      <c r="AZ276" s="309"/>
      <c r="BA276" s="309"/>
      <c r="BB276" s="309"/>
      <c r="BC276" s="309"/>
      <c r="BD276" s="309"/>
      <c r="BE276" s="309"/>
      <c r="BF276" s="309"/>
      <c r="BG276" s="309"/>
      <c r="BH276" s="309"/>
      <c r="BI276" s="309"/>
      <c r="BJ276" s="309"/>
      <c r="BK276" s="309"/>
      <c r="BL276" s="309"/>
      <c r="BM276" s="309"/>
      <c r="BN276" s="309"/>
      <c r="BO276" s="309"/>
      <c r="BP276" s="309"/>
      <c r="BQ276" s="309"/>
      <c r="BR276" s="309"/>
      <c r="BS276" s="309"/>
      <c r="BT276" s="309"/>
      <c r="BU276" s="309"/>
      <c r="BV276" s="309"/>
      <c r="BW276" s="309"/>
      <c r="BX276" s="309"/>
      <c r="BY276" s="309"/>
      <c r="BZ276" s="309"/>
      <c r="CA276" s="309"/>
      <c r="CB276" s="309"/>
      <c r="CC276" s="309"/>
      <c r="CD276" s="309"/>
      <c r="CE276" s="309"/>
      <c r="CF276" s="8"/>
    </row>
    <row r="277" spans="2:84" ht="18" customHeight="1" x14ac:dyDescent="0.25">
      <c r="B277" s="6"/>
      <c r="C277" s="179"/>
      <c r="D277" s="179"/>
      <c r="E277" s="179"/>
      <c r="F277" s="179"/>
      <c r="G277" s="179"/>
      <c r="H277" s="179"/>
      <c r="I277" s="179"/>
      <c r="J277" s="179"/>
      <c r="K277" s="179"/>
      <c r="L277" s="179"/>
      <c r="M277" s="179"/>
      <c r="N277" s="179"/>
      <c r="O277" s="179"/>
      <c r="P277" s="179"/>
      <c r="Q277" s="179"/>
      <c r="R277" s="179"/>
      <c r="S277" s="179"/>
      <c r="T277" s="179"/>
      <c r="U277" s="179"/>
      <c r="V277" s="179"/>
      <c r="W277" s="179"/>
      <c r="X277" s="179"/>
      <c r="Y277" s="179"/>
      <c r="Z277" s="179"/>
      <c r="AA277" s="179"/>
      <c r="AB277" s="179"/>
      <c r="AC277" s="179"/>
      <c r="AD277" s="179"/>
      <c r="AE277" s="179"/>
      <c r="AF277" s="179"/>
      <c r="AG277" s="179"/>
      <c r="AH277" s="179"/>
      <c r="AI277" s="179"/>
      <c r="AJ277" s="179"/>
      <c r="AK277" s="179"/>
      <c r="AL277" s="179"/>
      <c r="AM277" s="179"/>
      <c r="AN277" s="179"/>
      <c r="AO277" s="179"/>
      <c r="AP277" s="8"/>
      <c r="AR277" s="6"/>
      <c r="AS277" s="309"/>
      <c r="AT277" s="309"/>
      <c r="AU277" s="309"/>
      <c r="AV277" s="309"/>
      <c r="AW277" s="309"/>
      <c r="AX277" s="309"/>
      <c r="AY277" s="309"/>
      <c r="AZ277" s="309"/>
      <c r="BA277" s="309"/>
      <c r="BB277" s="309"/>
      <c r="BC277" s="309"/>
      <c r="BD277" s="309"/>
      <c r="BE277" s="309"/>
      <c r="BF277" s="309"/>
      <c r="BG277" s="309"/>
      <c r="BH277" s="309"/>
      <c r="BI277" s="309"/>
      <c r="BJ277" s="309"/>
      <c r="BK277" s="309"/>
      <c r="BL277" s="309"/>
      <c r="BM277" s="309"/>
      <c r="BN277" s="309"/>
      <c r="BO277" s="309"/>
      <c r="BP277" s="309"/>
      <c r="BQ277" s="309"/>
      <c r="BR277" s="309"/>
      <c r="BS277" s="309"/>
      <c r="BT277" s="309"/>
      <c r="BU277" s="309"/>
      <c r="BV277" s="309"/>
      <c r="BW277" s="309"/>
      <c r="BX277" s="309"/>
      <c r="BY277" s="309"/>
      <c r="BZ277" s="309"/>
      <c r="CA277" s="309"/>
      <c r="CB277" s="309"/>
      <c r="CC277" s="309"/>
      <c r="CD277" s="309"/>
      <c r="CE277" s="309"/>
      <c r="CF277" s="8"/>
    </row>
    <row r="278" spans="2:84" ht="18" customHeight="1" x14ac:dyDescent="0.25">
      <c r="B278" s="6"/>
      <c r="C278" s="179"/>
      <c r="D278" s="179"/>
      <c r="E278" s="179"/>
      <c r="F278" s="179"/>
      <c r="G278" s="179"/>
      <c r="H278" s="179"/>
      <c r="I278" s="179"/>
      <c r="J278" s="179"/>
      <c r="K278" s="179"/>
      <c r="L278" s="179"/>
      <c r="M278" s="179"/>
      <c r="N278" s="179"/>
      <c r="O278" s="179"/>
      <c r="P278" s="179"/>
      <c r="Q278" s="179"/>
      <c r="R278" s="179"/>
      <c r="S278" s="179"/>
      <c r="T278" s="179"/>
      <c r="U278" s="179"/>
      <c r="V278" s="179"/>
      <c r="W278" s="179"/>
      <c r="X278" s="179"/>
      <c r="Y278" s="179"/>
      <c r="Z278" s="179"/>
      <c r="AA278" s="179"/>
      <c r="AB278" s="179"/>
      <c r="AC278" s="179"/>
      <c r="AD278" s="179"/>
      <c r="AE278" s="179"/>
      <c r="AF278" s="179"/>
      <c r="AG278" s="179"/>
      <c r="AH278" s="179"/>
      <c r="AI278" s="179"/>
      <c r="AJ278" s="179"/>
      <c r="AK278" s="179"/>
      <c r="AL278" s="179"/>
      <c r="AM278" s="179"/>
      <c r="AN278" s="179"/>
      <c r="AO278" s="179"/>
      <c r="AP278" s="8"/>
      <c r="AR278" s="6"/>
      <c r="AS278" s="309"/>
      <c r="AT278" s="309"/>
      <c r="AU278" s="309"/>
      <c r="AV278" s="309"/>
      <c r="AW278" s="309"/>
      <c r="AX278" s="309"/>
      <c r="AY278" s="309"/>
      <c r="AZ278" s="309"/>
      <c r="BA278" s="309"/>
      <c r="BB278" s="309"/>
      <c r="BC278" s="309"/>
      <c r="BD278" s="309"/>
      <c r="BE278" s="309"/>
      <c r="BF278" s="309"/>
      <c r="BG278" s="309"/>
      <c r="BH278" s="309"/>
      <c r="BI278" s="309"/>
      <c r="BJ278" s="309"/>
      <c r="BK278" s="309"/>
      <c r="BL278" s="309"/>
      <c r="BM278" s="309"/>
      <c r="BN278" s="309"/>
      <c r="BO278" s="309"/>
      <c r="BP278" s="309"/>
      <c r="BQ278" s="309"/>
      <c r="BR278" s="309"/>
      <c r="BS278" s="309"/>
      <c r="BT278" s="309"/>
      <c r="BU278" s="309"/>
      <c r="BV278" s="309"/>
      <c r="BW278" s="309"/>
      <c r="BX278" s="309"/>
      <c r="BY278" s="309"/>
      <c r="BZ278" s="309"/>
      <c r="CA278" s="309"/>
      <c r="CB278" s="309"/>
      <c r="CC278" s="309"/>
      <c r="CD278" s="309"/>
      <c r="CE278" s="309"/>
      <c r="CF278" s="8"/>
    </row>
    <row r="279" spans="2:84" ht="18" customHeight="1" x14ac:dyDescent="0.25">
      <c r="B279" s="6"/>
      <c r="C279" s="179"/>
      <c r="D279" s="179"/>
      <c r="E279" s="179"/>
      <c r="F279" s="179"/>
      <c r="G279" s="179"/>
      <c r="H279" s="179"/>
      <c r="I279" s="179"/>
      <c r="J279" s="179"/>
      <c r="K279" s="179"/>
      <c r="L279" s="179"/>
      <c r="M279" s="179"/>
      <c r="N279" s="179"/>
      <c r="O279" s="179"/>
      <c r="P279" s="179"/>
      <c r="Q279" s="179"/>
      <c r="R279" s="179"/>
      <c r="S279" s="179"/>
      <c r="T279" s="179"/>
      <c r="U279" s="179"/>
      <c r="V279" s="179"/>
      <c r="W279" s="179"/>
      <c r="X279" s="179"/>
      <c r="Y279" s="179"/>
      <c r="Z279" s="179"/>
      <c r="AA279" s="179"/>
      <c r="AB279" s="179"/>
      <c r="AC279" s="179"/>
      <c r="AD279" s="179"/>
      <c r="AE279" s="179"/>
      <c r="AF279" s="179"/>
      <c r="AG279" s="179"/>
      <c r="AH279" s="179"/>
      <c r="AI279" s="179"/>
      <c r="AJ279" s="179"/>
      <c r="AK279" s="179"/>
      <c r="AL279" s="179"/>
      <c r="AM279" s="179"/>
      <c r="AN279" s="179"/>
      <c r="AO279" s="179"/>
      <c r="AP279" s="8"/>
      <c r="AR279" s="6"/>
      <c r="AS279" s="309"/>
      <c r="AT279" s="309"/>
      <c r="AU279" s="309"/>
      <c r="AV279" s="309"/>
      <c r="AW279" s="309"/>
      <c r="AX279" s="309"/>
      <c r="AY279" s="309"/>
      <c r="AZ279" s="309"/>
      <c r="BA279" s="309"/>
      <c r="BB279" s="309"/>
      <c r="BC279" s="309"/>
      <c r="BD279" s="309"/>
      <c r="BE279" s="309"/>
      <c r="BF279" s="309"/>
      <c r="BG279" s="309"/>
      <c r="BH279" s="309"/>
      <c r="BI279" s="309"/>
      <c r="BJ279" s="309"/>
      <c r="BK279" s="309"/>
      <c r="BL279" s="309"/>
      <c r="BM279" s="309"/>
      <c r="BN279" s="309"/>
      <c r="BO279" s="309"/>
      <c r="BP279" s="309"/>
      <c r="BQ279" s="309"/>
      <c r="BR279" s="309"/>
      <c r="BS279" s="309"/>
      <c r="BT279" s="309"/>
      <c r="BU279" s="309"/>
      <c r="BV279" s="309"/>
      <c r="BW279" s="309"/>
      <c r="BX279" s="309"/>
      <c r="BY279" s="309"/>
      <c r="BZ279" s="309"/>
      <c r="CA279" s="309"/>
      <c r="CB279" s="309"/>
      <c r="CC279" s="309"/>
      <c r="CD279" s="309"/>
      <c r="CE279" s="309"/>
      <c r="CF279" s="8"/>
    </row>
    <row r="280" spans="2:84" ht="18" customHeight="1" x14ac:dyDescent="0.25">
      <c r="B280" s="6"/>
      <c r="C280" s="179"/>
      <c r="D280" s="179"/>
      <c r="E280" s="179"/>
      <c r="F280" s="179"/>
      <c r="G280" s="179"/>
      <c r="H280" s="179"/>
      <c r="I280" s="179"/>
      <c r="J280" s="179"/>
      <c r="K280" s="179"/>
      <c r="L280" s="179"/>
      <c r="M280" s="179"/>
      <c r="N280" s="179"/>
      <c r="O280" s="179"/>
      <c r="P280" s="179"/>
      <c r="Q280" s="179"/>
      <c r="R280" s="179"/>
      <c r="S280" s="179"/>
      <c r="T280" s="179"/>
      <c r="U280" s="179"/>
      <c r="V280" s="179"/>
      <c r="W280" s="179"/>
      <c r="X280" s="179"/>
      <c r="Y280" s="179"/>
      <c r="Z280" s="179"/>
      <c r="AA280" s="179"/>
      <c r="AB280" s="179"/>
      <c r="AC280" s="179"/>
      <c r="AD280" s="179"/>
      <c r="AE280" s="179"/>
      <c r="AF280" s="179"/>
      <c r="AG280" s="179"/>
      <c r="AH280" s="179"/>
      <c r="AI280" s="179"/>
      <c r="AJ280" s="179"/>
      <c r="AK280" s="179"/>
      <c r="AL280" s="179"/>
      <c r="AM280" s="179"/>
      <c r="AN280" s="179"/>
      <c r="AO280" s="179"/>
      <c r="AP280" s="8"/>
      <c r="AR280" s="6"/>
      <c r="AS280" s="309"/>
      <c r="AT280" s="309"/>
      <c r="AU280" s="309"/>
      <c r="AV280" s="309"/>
      <c r="AW280" s="309"/>
      <c r="AX280" s="309"/>
      <c r="AY280" s="309"/>
      <c r="AZ280" s="309"/>
      <c r="BA280" s="309"/>
      <c r="BB280" s="309"/>
      <c r="BC280" s="309"/>
      <c r="BD280" s="309"/>
      <c r="BE280" s="309"/>
      <c r="BF280" s="309"/>
      <c r="BG280" s="309"/>
      <c r="BH280" s="309"/>
      <c r="BI280" s="309"/>
      <c r="BJ280" s="309"/>
      <c r="BK280" s="309"/>
      <c r="BL280" s="309"/>
      <c r="BM280" s="309"/>
      <c r="BN280" s="309"/>
      <c r="BO280" s="309"/>
      <c r="BP280" s="309"/>
      <c r="BQ280" s="309"/>
      <c r="BR280" s="309"/>
      <c r="BS280" s="309"/>
      <c r="BT280" s="309"/>
      <c r="BU280" s="309"/>
      <c r="BV280" s="309"/>
      <c r="BW280" s="309"/>
      <c r="BX280" s="309"/>
      <c r="BY280" s="309"/>
      <c r="BZ280" s="309"/>
      <c r="CA280" s="309"/>
      <c r="CB280" s="309"/>
      <c r="CC280" s="309"/>
      <c r="CD280" s="309"/>
      <c r="CE280" s="309"/>
      <c r="CF280" s="8"/>
    </row>
    <row r="281" spans="2:84" ht="18" customHeight="1" x14ac:dyDescent="0.25">
      <c r="B281" s="6"/>
      <c r="C281" s="179"/>
      <c r="D281" s="179"/>
      <c r="E281" s="179"/>
      <c r="F281" s="179"/>
      <c r="G281" s="179"/>
      <c r="H281" s="179"/>
      <c r="I281" s="179"/>
      <c r="J281" s="179"/>
      <c r="K281" s="179"/>
      <c r="L281" s="179"/>
      <c r="M281" s="179"/>
      <c r="N281" s="179"/>
      <c r="O281" s="179"/>
      <c r="P281" s="179"/>
      <c r="Q281" s="179"/>
      <c r="R281" s="179"/>
      <c r="S281" s="179"/>
      <c r="T281" s="179"/>
      <c r="U281" s="179"/>
      <c r="V281" s="179"/>
      <c r="W281" s="179"/>
      <c r="X281" s="179"/>
      <c r="Y281" s="179"/>
      <c r="Z281" s="179"/>
      <c r="AA281" s="179"/>
      <c r="AB281" s="179"/>
      <c r="AC281" s="179"/>
      <c r="AD281" s="179"/>
      <c r="AE281" s="179"/>
      <c r="AF281" s="179"/>
      <c r="AG281" s="179"/>
      <c r="AH281" s="179"/>
      <c r="AI281" s="179"/>
      <c r="AJ281" s="179"/>
      <c r="AK281" s="179"/>
      <c r="AL281" s="179"/>
      <c r="AM281" s="179"/>
      <c r="AN281" s="179"/>
      <c r="AO281" s="179"/>
      <c r="AP281" s="8"/>
      <c r="AR281" s="6"/>
      <c r="AS281" s="309"/>
      <c r="AT281" s="309"/>
      <c r="AU281" s="309"/>
      <c r="AV281" s="309"/>
      <c r="AW281" s="309"/>
      <c r="AX281" s="309"/>
      <c r="AY281" s="309"/>
      <c r="AZ281" s="309"/>
      <c r="BA281" s="309"/>
      <c r="BB281" s="309"/>
      <c r="BC281" s="309"/>
      <c r="BD281" s="309"/>
      <c r="BE281" s="309"/>
      <c r="BF281" s="309"/>
      <c r="BG281" s="309"/>
      <c r="BH281" s="309"/>
      <c r="BI281" s="309"/>
      <c r="BJ281" s="309"/>
      <c r="BK281" s="309"/>
      <c r="BL281" s="309"/>
      <c r="BM281" s="309"/>
      <c r="BN281" s="309"/>
      <c r="BO281" s="309"/>
      <c r="BP281" s="309"/>
      <c r="BQ281" s="309"/>
      <c r="BR281" s="309"/>
      <c r="BS281" s="309"/>
      <c r="BT281" s="309"/>
      <c r="BU281" s="309"/>
      <c r="BV281" s="309"/>
      <c r="BW281" s="309"/>
      <c r="BX281" s="309"/>
      <c r="BY281" s="309"/>
      <c r="BZ281" s="309"/>
      <c r="CA281" s="309"/>
      <c r="CB281" s="309"/>
      <c r="CC281" s="309"/>
      <c r="CD281" s="309"/>
      <c r="CE281" s="309"/>
      <c r="CF281" s="8"/>
    </row>
    <row r="282" spans="2:84" ht="18" customHeight="1" x14ac:dyDescent="0.25">
      <c r="B282" s="6"/>
      <c r="C282" s="179"/>
      <c r="D282" s="179"/>
      <c r="E282" s="179"/>
      <c r="F282" s="179"/>
      <c r="G282" s="179"/>
      <c r="H282" s="179"/>
      <c r="I282" s="179"/>
      <c r="J282" s="179"/>
      <c r="K282" s="179"/>
      <c r="L282" s="179"/>
      <c r="M282" s="179"/>
      <c r="N282" s="179"/>
      <c r="O282" s="179"/>
      <c r="P282" s="179"/>
      <c r="Q282" s="179"/>
      <c r="R282" s="179"/>
      <c r="S282" s="179"/>
      <c r="T282" s="179"/>
      <c r="U282" s="179"/>
      <c r="V282" s="179"/>
      <c r="W282" s="179"/>
      <c r="X282" s="179"/>
      <c r="Y282" s="179"/>
      <c r="Z282" s="179"/>
      <c r="AA282" s="179"/>
      <c r="AB282" s="179"/>
      <c r="AC282" s="179"/>
      <c r="AD282" s="179"/>
      <c r="AE282" s="179"/>
      <c r="AF282" s="179"/>
      <c r="AG282" s="179"/>
      <c r="AH282" s="179"/>
      <c r="AI282" s="179"/>
      <c r="AJ282" s="179"/>
      <c r="AK282" s="179"/>
      <c r="AL282" s="179"/>
      <c r="AM282" s="179"/>
      <c r="AN282" s="179"/>
      <c r="AO282" s="179"/>
      <c r="AP282" s="8"/>
      <c r="AR282" s="6"/>
      <c r="AS282" s="309"/>
      <c r="AT282" s="309"/>
      <c r="AU282" s="309"/>
      <c r="AV282" s="309"/>
      <c r="AW282" s="309"/>
      <c r="AX282" s="309"/>
      <c r="AY282" s="309"/>
      <c r="AZ282" s="309"/>
      <c r="BA282" s="309"/>
      <c r="BB282" s="309"/>
      <c r="BC282" s="309"/>
      <c r="BD282" s="309"/>
      <c r="BE282" s="309"/>
      <c r="BF282" s="309"/>
      <c r="BG282" s="309"/>
      <c r="BH282" s="309"/>
      <c r="BI282" s="309"/>
      <c r="BJ282" s="309"/>
      <c r="BK282" s="309"/>
      <c r="BL282" s="309"/>
      <c r="BM282" s="309"/>
      <c r="BN282" s="309"/>
      <c r="BO282" s="309"/>
      <c r="BP282" s="309"/>
      <c r="BQ282" s="309"/>
      <c r="BR282" s="309"/>
      <c r="BS282" s="309"/>
      <c r="BT282" s="309"/>
      <c r="BU282" s="309"/>
      <c r="BV282" s="309"/>
      <c r="BW282" s="309"/>
      <c r="BX282" s="309"/>
      <c r="BY282" s="309"/>
      <c r="BZ282" s="309"/>
      <c r="CA282" s="309"/>
      <c r="CB282" s="309"/>
      <c r="CC282" s="309"/>
      <c r="CD282" s="309"/>
      <c r="CE282" s="309"/>
      <c r="CF282" s="8"/>
    </row>
    <row r="283" spans="2:84" ht="18" customHeight="1" x14ac:dyDescent="0.25">
      <c r="B283" s="6"/>
      <c r="C283" s="179"/>
      <c r="D283" s="179"/>
      <c r="E283" s="179"/>
      <c r="F283" s="179"/>
      <c r="G283" s="179"/>
      <c r="H283" s="179"/>
      <c r="I283" s="179"/>
      <c r="J283" s="179"/>
      <c r="K283" s="179"/>
      <c r="L283" s="179"/>
      <c r="M283" s="179"/>
      <c r="N283" s="179"/>
      <c r="O283" s="179"/>
      <c r="P283" s="179"/>
      <c r="Q283" s="179"/>
      <c r="R283" s="179"/>
      <c r="S283" s="179"/>
      <c r="T283" s="179"/>
      <c r="U283" s="179"/>
      <c r="V283" s="179"/>
      <c r="W283" s="179"/>
      <c r="X283" s="179"/>
      <c r="Y283" s="179"/>
      <c r="Z283" s="179"/>
      <c r="AA283" s="179"/>
      <c r="AB283" s="179"/>
      <c r="AC283" s="179"/>
      <c r="AD283" s="179"/>
      <c r="AE283" s="179"/>
      <c r="AF283" s="179"/>
      <c r="AG283" s="179"/>
      <c r="AH283" s="179"/>
      <c r="AI283" s="179"/>
      <c r="AJ283" s="179"/>
      <c r="AK283" s="179"/>
      <c r="AL283" s="179"/>
      <c r="AM283" s="179"/>
      <c r="AN283" s="179"/>
      <c r="AO283" s="179"/>
      <c r="AP283" s="8"/>
      <c r="AR283" s="6"/>
      <c r="AS283" s="309"/>
      <c r="AT283" s="309"/>
      <c r="AU283" s="309"/>
      <c r="AV283" s="309"/>
      <c r="AW283" s="309"/>
      <c r="AX283" s="309"/>
      <c r="AY283" s="309"/>
      <c r="AZ283" s="309"/>
      <c r="BA283" s="309"/>
      <c r="BB283" s="309"/>
      <c r="BC283" s="309"/>
      <c r="BD283" s="309"/>
      <c r="BE283" s="309"/>
      <c r="BF283" s="309"/>
      <c r="BG283" s="309"/>
      <c r="BH283" s="309"/>
      <c r="BI283" s="309"/>
      <c r="BJ283" s="309"/>
      <c r="BK283" s="309"/>
      <c r="BL283" s="309"/>
      <c r="BM283" s="309"/>
      <c r="BN283" s="309"/>
      <c r="BO283" s="309"/>
      <c r="BP283" s="309"/>
      <c r="BQ283" s="309"/>
      <c r="BR283" s="309"/>
      <c r="BS283" s="309"/>
      <c r="BT283" s="309"/>
      <c r="BU283" s="309"/>
      <c r="BV283" s="309"/>
      <c r="BW283" s="309"/>
      <c r="BX283" s="309"/>
      <c r="BY283" s="309"/>
      <c r="BZ283" s="309"/>
      <c r="CA283" s="309"/>
      <c r="CB283" s="309"/>
      <c r="CC283" s="309"/>
      <c r="CD283" s="309"/>
      <c r="CE283" s="309"/>
      <c r="CF283" s="8"/>
    </row>
    <row r="284" spans="2:84" ht="18" customHeight="1" x14ac:dyDescent="0.25">
      <c r="B284" s="6"/>
      <c r="C284" s="179"/>
      <c r="D284" s="179"/>
      <c r="E284" s="179"/>
      <c r="F284" s="179"/>
      <c r="G284" s="179"/>
      <c r="H284" s="179"/>
      <c r="I284" s="179"/>
      <c r="J284" s="179"/>
      <c r="K284" s="179"/>
      <c r="L284" s="179"/>
      <c r="M284" s="179"/>
      <c r="N284" s="179"/>
      <c r="O284" s="179"/>
      <c r="P284" s="179"/>
      <c r="Q284" s="179"/>
      <c r="R284" s="179"/>
      <c r="S284" s="179"/>
      <c r="T284" s="179"/>
      <c r="U284" s="179"/>
      <c r="V284" s="179"/>
      <c r="W284" s="179"/>
      <c r="X284" s="179"/>
      <c r="Y284" s="179"/>
      <c r="Z284" s="179"/>
      <c r="AA284" s="179"/>
      <c r="AB284" s="179"/>
      <c r="AC284" s="179"/>
      <c r="AD284" s="179"/>
      <c r="AE284" s="179"/>
      <c r="AF284" s="179"/>
      <c r="AG284" s="179"/>
      <c r="AH284" s="179"/>
      <c r="AI284" s="179"/>
      <c r="AJ284" s="179"/>
      <c r="AK284" s="179"/>
      <c r="AL284" s="179"/>
      <c r="AM284" s="179"/>
      <c r="AN284" s="179"/>
      <c r="AO284" s="179"/>
      <c r="AP284" s="8"/>
      <c r="AR284" s="6"/>
      <c r="AS284" s="309"/>
      <c r="AT284" s="309"/>
      <c r="AU284" s="309"/>
      <c r="AV284" s="309"/>
      <c r="AW284" s="309"/>
      <c r="AX284" s="309"/>
      <c r="AY284" s="309"/>
      <c r="AZ284" s="309"/>
      <c r="BA284" s="309"/>
      <c r="BB284" s="309"/>
      <c r="BC284" s="309"/>
      <c r="BD284" s="309"/>
      <c r="BE284" s="309"/>
      <c r="BF284" s="309"/>
      <c r="BG284" s="309"/>
      <c r="BH284" s="309"/>
      <c r="BI284" s="309"/>
      <c r="BJ284" s="309"/>
      <c r="BK284" s="309"/>
      <c r="BL284" s="309"/>
      <c r="BM284" s="309"/>
      <c r="BN284" s="309"/>
      <c r="BO284" s="309"/>
      <c r="BP284" s="309"/>
      <c r="BQ284" s="309"/>
      <c r="BR284" s="309"/>
      <c r="BS284" s="309"/>
      <c r="BT284" s="309"/>
      <c r="BU284" s="309"/>
      <c r="BV284" s="309"/>
      <c r="BW284" s="309"/>
      <c r="BX284" s="309"/>
      <c r="BY284" s="309"/>
      <c r="BZ284" s="309"/>
      <c r="CA284" s="309"/>
      <c r="CB284" s="309"/>
      <c r="CC284" s="309"/>
      <c r="CD284" s="309"/>
      <c r="CE284" s="309"/>
      <c r="CF284" s="8"/>
    </row>
    <row r="285" spans="2:84" ht="18" customHeight="1" x14ac:dyDescent="0.25">
      <c r="B285" s="6"/>
      <c r="C285" s="179"/>
      <c r="D285" s="179"/>
      <c r="E285" s="179"/>
      <c r="F285" s="179"/>
      <c r="G285" s="179"/>
      <c r="H285" s="179"/>
      <c r="I285" s="179"/>
      <c r="J285" s="179"/>
      <c r="K285" s="179"/>
      <c r="L285" s="179"/>
      <c r="M285" s="179"/>
      <c r="N285" s="179"/>
      <c r="O285" s="179"/>
      <c r="P285" s="179"/>
      <c r="Q285" s="179"/>
      <c r="R285" s="179"/>
      <c r="S285" s="179"/>
      <c r="T285" s="179"/>
      <c r="U285" s="179"/>
      <c r="V285" s="179"/>
      <c r="W285" s="179"/>
      <c r="X285" s="179"/>
      <c r="Y285" s="179"/>
      <c r="Z285" s="179"/>
      <c r="AA285" s="179"/>
      <c r="AB285" s="179"/>
      <c r="AC285" s="179"/>
      <c r="AD285" s="179"/>
      <c r="AE285" s="179"/>
      <c r="AF285" s="179"/>
      <c r="AG285" s="179"/>
      <c r="AH285" s="179"/>
      <c r="AI285" s="179"/>
      <c r="AJ285" s="179"/>
      <c r="AK285" s="179"/>
      <c r="AL285" s="179"/>
      <c r="AM285" s="179"/>
      <c r="AN285" s="179"/>
      <c r="AO285" s="179"/>
      <c r="AP285" s="8"/>
      <c r="AR285" s="6"/>
      <c r="AS285" s="309"/>
      <c r="AT285" s="309"/>
      <c r="AU285" s="309"/>
      <c r="AV285" s="309"/>
      <c r="AW285" s="309"/>
      <c r="AX285" s="309"/>
      <c r="AY285" s="309"/>
      <c r="AZ285" s="309"/>
      <c r="BA285" s="309"/>
      <c r="BB285" s="309"/>
      <c r="BC285" s="309"/>
      <c r="BD285" s="309"/>
      <c r="BE285" s="309"/>
      <c r="BF285" s="309"/>
      <c r="BG285" s="309"/>
      <c r="BH285" s="309"/>
      <c r="BI285" s="309"/>
      <c r="BJ285" s="309"/>
      <c r="BK285" s="309"/>
      <c r="BL285" s="309"/>
      <c r="BM285" s="309"/>
      <c r="BN285" s="309"/>
      <c r="BO285" s="309"/>
      <c r="BP285" s="309"/>
      <c r="BQ285" s="309"/>
      <c r="BR285" s="309"/>
      <c r="BS285" s="309"/>
      <c r="BT285" s="309"/>
      <c r="BU285" s="309"/>
      <c r="BV285" s="309"/>
      <c r="BW285" s="309"/>
      <c r="BX285" s="309"/>
      <c r="BY285" s="309"/>
      <c r="BZ285" s="309"/>
      <c r="CA285" s="309"/>
      <c r="CB285" s="309"/>
      <c r="CC285" s="309"/>
      <c r="CD285" s="309"/>
      <c r="CE285" s="309"/>
      <c r="CF285" s="8"/>
    </row>
    <row r="286" spans="2:84" ht="18" customHeight="1" x14ac:dyDescent="0.25">
      <c r="B286" s="6"/>
      <c r="C286" s="179"/>
      <c r="D286" s="179"/>
      <c r="E286" s="179"/>
      <c r="F286" s="179"/>
      <c r="G286" s="179"/>
      <c r="H286" s="179"/>
      <c r="I286" s="179"/>
      <c r="J286" s="179"/>
      <c r="K286" s="179"/>
      <c r="L286" s="179"/>
      <c r="M286" s="179"/>
      <c r="N286" s="179"/>
      <c r="O286" s="179"/>
      <c r="P286" s="179"/>
      <c r="Q286" s="179"/>
      <c r="R286" s="179"/>
      <c r="S286" s="179"/>
      <c r="T286" s="179"/>
      <c r="U286" s="179"/>
      <c r="V286" s="179"/>
      <c r="W286" s="179"/>
      <c r="X286" s="179"/>
      <c r="Y286" s="179"/>
      <c r="Z286" s="179"/>
      <c r="AA286" s="179"/>
      <c r="AB286" s="179"/>
      <c r="AC286" s="179"/>
      <c r="AD286" s="179"/>
      <c r="AE286" s="179"/>
      <c r="AF286" s="179"/>
      <c r="AG286" s="179"/>
      <c r="AH286" s="179"/>
      <c r="AI286" s="179"/>
      <c r="AJ286" s="179"/>
      <c r="AK286" s="179"/>
      <c r="AL286" s="179"/>
      <c r="AM286" s="179"/>
      <c r="AN286" s="179"/>
      <c r="AO286" s="179"/>
      <c r="AP286" s="8"/>
      <c r="AR286" s="6"/>
      <c r="AS286" s="309"/>
      <c r="AT286" s="309"/>
      <c r="AU286" s="309"/>
      <c r="AV286" s="309"/>
      <c r="AW286" s="309"/>
      <c r="AX286" s="309"/>
      <c r="AY286" s="309"/>
      <c r="AZ286" s="309"/>
      <c r="BA286" s="309"/>
      <c r="BB286" s="309"/>
      <c r="BC286" s="309"/>
      <c r="BD286" s="309"/>
      <c r="BE286" s="309"/>
      <c r="BF286" s="309"/>
      <c r="BG286" s="309"/>
      <c r="BH286" s="309"/>
      <c r="BI286" s="309"/>
      <c r="BJ286" s="309"/>
      <c r="BK286" s="309"/>
      <c r="BL286" s="309"/>
      <c r="BM286" s="309"/>
      <c r="BN286" s="309"/>
      <c r="BO286" s="309"/>
      <c r="BP286" s="309"/>
      <c r="BQ286" s="309"/>
      <c r="BR286" s="309"/>
      <c r="BS286" s="309"/>
      <c r="BT286" s="309"/>
      <c r="BU286" s="309"/>
      <c r="BV286" s="309"/>
      <c r="BW286" s="309"/>
      <c r="BX286" s="309"/>
      <c r="BY286" s="309"/>
      <c r="BZ286" s="309"/>
      <c r="CA286" s="309"/>
      <c r="CB286" s="309"/>
      <c r="CC286" s="309"/>
      <c r="CD286" s="309"/>
      <c r="CE286" s="309"/>
      <c r="CF286" s="8"/>
    </row>
    <row r="287" spans="2:84" ht="18" customHeight="1" x14ac:dyDescent="0.25">
      <c r="B287" s="6"/>
      <c r="C287" s="179"/>
      <c r="D287" s="179"/>
      <c r="E287" s="179"/>
      <c r="F287" s="179"/>
      <c r="G287" s="179"/>
      <c r="H287" s="179"/>
      <c r="I287" s="179"/>
      <c r="J287" s="179"/>
      <c r="K287" s="179"/>
      <c r="L287" s="179"/>
      <c r="M287" s="179"/>
      <c r="N287" s="179"/>
      <c r="O287" s="179"/>
      <c r="P287" s="179"/>
      <c r="Q287" s="179"/>
      <c r="R287" s="179"/>
      <c r="S287" s="179"/>
      <c r="T287" s="179"/>
      <c r="U287" s="179"/>
      <c r="V287" s="179"/>
      <c r="W287" s="179"/>
      <c r="X287" s="179"/>
      <c r="Y287" s="179"/>
      <c r="Z287" s="179"/>
      <c r="AA287" s="179"/>
      <c r="AB287" s="179"/>
      <c r="AC287" s="179"/>
      <c r="AD287" s="179"/>
      <c r="AE287" s="179"/>
      <c r="AF287" s="179"/>
      <c r="AG287" s="179"/>
      <c r="AH287" s="179"/>
      <c r="AI287" s="179"/>
      <c r="AJ287" s="179"/>
      <c r="AK287" s="179"/>
      <c r="AL287" s="179"/>
      <c r="AM287" s="179"/>
      <c r="AN287" s="179"/>
      <c r="AO287" s="179"/>
      <c r="AP287" s="8"/>
      <c r="AR287" s="6"/>
      <c r="AS287" s="309"/>
      <c r="AT287" s="309"/>
      <c r="AU287" s="309"/>
      <c r="AV287" s="309"/>
      <c r="AW287" s="309"/>
      <c r="AX287" s="309"/>
      <c r="AY287" s="309"/>
      <c r="AZ287" s="309"/>
      <c r="BA287" s="309"/>
      <c r="BB287" s="309"/>
      <c r="BC287" s="309"/>
      <c r="BD287" s="309"/>
      <c r="BE287" s="309"/>
      <c r="BF287" s="309"/>
      <c r="BG287" s="309"/>
      <c r="BH287" s="309"/>
      <c r="BI287" s="309"/>
      <c r="BJ287" s="309"/>
      <c r="BK287" s="309"/>
      <c r="BL287" s="309"/>
      <c r="BM287" s="309"/>
      <c r="BN287" s="309"/>
      <c r="BO287" s="309"/>
      <c r="BP287" s="309"/>
      <c r="BQ287" s="309"/>
      <c r="BR287" s="309"/>
      <c r="BS287" s="309"/>
      <c r="BT287" s="309"/>
      <c r="BU287" s="309"/>
      <c r="BV287" s="309"/>
      <c r="BW287" s="309"/>
      <c r="BX287" s="309"/>
      <c r="BY287" s="309"/>
      <c r="BZ287" s="309"/>
      <c r="CA287" s="309"/>
      <c r="CB287" s="309"/>
      <c r="CC287" s="309"/>
      <c r="CD287" s="309"/>
      <c r="CE287" s="309"/>
      <c r="CF287" s="8"/>
    </row>
    <row r="288" spans="2:84" ht="18" customHeight="1" x14ac:dyDescent="0.25">
      <c r="B288" s="6"/>
      <c r="C288" s="179"/>
      <c r="D288" s="179"/>
      <c r="E288" s="179"/>
      <c r="F288" s="179"/>
      <c r="G288" s="179"/>
      <c r="H288" s="179"/>
      <c r="I288" s="179"/>
      <c r="J288" s="179"/>
      <c r="K288" s="179"/>
      <c r="L288" s="179"/>
      <c r="M288" s="179"/>
      <c r="N288" s="179"/>
      <c r="O288" s="179"/>
      <c r="P288" s="179"/>
      <c r="Q288" s="179"/>
      <c r="R288" s="179"/>
      <c r="S288" s="179"/>
      <c r="T288" s="179"/>
      <c r="U288" s="179"/>
      <c r="V288" s="179"/>
      <c r="W288" s="179"/>
      <c r="X288" s="179"/>
      <c r="Y288" s="179"/>
      <c r="Z288" s="179"/>
      <c r="AA288" s="179"/>
      <c r="AB288" s="179"/>
      <c r="AC288" s="179"/>
      <c r="AD288" s="179"/>
      <c r="AE288" s="179"/>
      <c r="AF288" s="179"/>
      <c r="AG288" s="179"/>
      <c r="AH288" s="179"/>
      <c r="AI288" s="179"/>
      <c r="AJ288" s="179"/>
      <c r="AK288" s="179"/>
      <c r="AL288" s="179"/>
      <c r="AM288" s="179"/>
      <c r="AN288" s="179"/>
      <c r="AO288" s="179"/>
      <c r="AP288" s="8"/>
      <c r="AR288" s="6"/>
      <c r="AS288" s="309"/>
      <c r="AT288" s="309"/>
      <c r="AU288" s="309"/>
      <c r="AV288" s="309"/>
      <c r="AW288" s="309"/>
      <c r="AX288" s="309"/>
      <c r="AY288" s="309"/>
      <c r="AZ288" s="309"/>
      <c r="BA288" s="309"/>
      <c r="BB288" s="309"/>
      <c r="BC288" s="309"/>
      <c r="BD288" s="309"/>
      <c r="BE288" s="309"/>
      <c r="BF288" s="309"/>
      <c r="BG288" s="309"/>
      <c r="BH288" s="309"/>
      <c r="BI288" s="309"/>
      <c r="BJ288" s="309"/>
      <c r="BK288" s="309"/>
      <c r="BL288" s="309"/>
      <c r="BM288" s="309"/>
      <c r="BN288" s="309"/>
      <c r="BO288" s="309"/>
      <c r="BP288" s="309"/>
      <c r="BQ288" s="309"/>
      <c r="BR288" s="309"/>
      <c r="BS288" s="309"/>
      <c r="BT288" s="309"/>
      <c r="BU288" s="309"/>
      <c r="BV288" s="309"/>
      <c r="BW288" s="309"/>
      <c r="BX288" s="309"/>
      <c r="BY288" s="309"/>
      <c r="BZ288" s="309"/>
      <c r="CA288" s="309"/>
      <c r="CB288" s="309"/>
      <c r="CC288" s="309"/>
      <c r="CD288" s="309"/>
      <c r="CE288" s="309"/>
      <c r="CF288" s="8"/>
    </row>
    <row r="289" spans="2:84" ht="18" customHeight="1" x14ac:dyDescent="0.25">
      <c r="B289" s="6"/>
      <c r="C289" s="179"/>
      <c r="D289" s="179"/>
      <c r="E289" s="179"/>
      <c r="F289" s="179"/>
      <c r="G289" s="179"/>
      <c r="H289" s="179"/>
      <c r="I289" s="179"/>
      <c r="J289" s="179"/>
      <c r="K289" s="179"/>
      <c r="L289" s="179"/>
      <c r="M289" s="179"/>
      <c r="N289" s="179"/>
      <c r="O289" s="179"/>
      <c r="P289" s="179"/>
      <c r="Q289" s="179"/>
      <c r="R289" s="179"/>
      <c r="S289" s="179"/>
      <c r="T289" s="179"/>
      <c r="U289" s="179"/>
      <c r="V289" s="179"/>
      <c r="W289" s="179"/>
      <c r="X289" s="179"/>
      <c r="Y289" s="179"/>
      <c r="Z289" s="179"/>
      <c r="AA289" s="179"/>
      <c r="AB289" s="179"/>
      <c r="AC289" s="179"/>
      <c r="AD289" s="179"/>
      <c r="AE289" s="179"/>
      <c r="AF289" s="179"/>
      <c r="AG289" s="179"/>
      <c r="AH289" s="179"/>
      <c r="AI289" s="179"/>
      <c r="AJ289" s="179"/>
      <c r="AK289" s="179"/>
      <c r="AL289" s="179"/>
      <c r="AM289" s="179"/>
      <c r="AN289" s="179"/>
      <c r="AO289" s="179"/>
      <c r="AP289" s="8"/>
      <c r="AR289" s="6"/>
      <c r="AS289" s="309"/>
      <c r="AT289" s="309"/>
      <c r="AU289" s="309"/>
      <c r="AV289" s="309"/>
      <c r="AW289" s="309"/>
      <c r="AX289" s="309"/>
      <c r="AY289" s="309"/>
      <c r="AZ289" s="309"/>
      <c r="BA289" s="309"/>
      <c r="BB289" s="309"/>
      <c r="BC289" s="309"/>
      <c r="BD289" s="309"/>
      <c r="BE289" s="309"/>
      <c r="BF289" s="309"/>
      <c r="BG289" s="309"/>
      <c r="BH289" s="309"/>
      <c r="BI289" s="309"/>
      <c r="BJ289" s="309"/>
      <c r="BK289" s="309"/>
      <c r="BL289" s="309"/>
      <c r="BM289" s="309"/>
      <c r="BN289" s="309"/>
      <c r="BO289" s="309"/>
      <c r="BP289" s="309"/>
      <c r="BQ289" s="309"/>
      <c r="BR289" s="309"/>
      <c r="BS289" s="309"/>
      <c r="BT289" s="309"/>
      <c r="BU289" s="309"/>
      <c r="BV289" s="309"/>
      <c r="BW289" s="309"/>
      <c r="BX289" s="309"/>
      <c r="BY289" s="309"/>
      <c r="BZ289" s="309"/>
      <c r="CA289" s="309"/>
      <c r="CB289" s="309"/>
      <c r="CC289" s="309"/>
      <c r="CD289" s="309"/>
      <c r="CE289" s="309"/>
      <c r="CF289" s="8"/>
    </row>
    <row r="290" spans="2:84" ht="18" customHeight="1" x14ac:dyDescent="0.25">
      <c r="B290" s="6"/>
      <c r="C290" s="179"/>
      <c r="D290" s="179"/>
      <c r="E290" s="179"/>
      <c r="F290" s="179"/>
      <c r="G290" s="179"/>
      <c r="H290" s="179"/>
      <c r="I290" s="179"/>
      <c r="J290" s="179"/>
      <c r="K290" s="179"/>
      <c r="L290" s="179"/>
      <c r="M290" s="179"/>
      <c r="N290" s="179"/>
      <c r="O290" s="179"/>
      <c r="P290" s="179"/>
      <c r="Q290" s="179"/>
      <c r="R290" s="179"/>
      <c r="S290" s="179"/>
      <c r="T290" s="179"/>
      <c r="U290" s="179"/>
      <c r="V290" s="179"/>
      <c r="W290" s="179"/>
      <c r="X290" s="179"/>
      <c r="Y290" s="179"/>
      <c r="Z290" s="179"/>
      <c r="AA290" s="179"/>
      <c r="AB290" s="179"/>
      <c r="AC290" s="179"/>
      <c r="AD290" s="179"/>
      <c r="AE290" s="179"/>
      <c r="AF290" s="179"/>
      <c r="AG290" s="179"/>
      <c r="AH290" s="179"/>
      <c r="AI290" s="179"/>
      <c r="AJ290" s="179"/>
      <c r="AK290" s="179"/>
      <c r="AL290" s="179"/>
      <c r="AM290" s="179"/>
      <c r="AN290" s="179"/>
      <c r="AO290" s="179"/>
      <c r="AP290" s="8"/>
      <c r="AR290" s="6"/>
      <c r="AS290" s="309"/>
      <c r="AT290" s="309"/>
      <c r="AU290" s="309"/>
      <c r="AV290" s="309"/>
      <c r="AW290" s="309"/>
      <c r="AX290" s="309"/>
      <c r="AY290" s="309"/>
      <c r="AZ290" s="309"/>
      <c r="BA290" s="309"/>
      <c r="BB290" s="309"/>
      <c r="BC290" s="309"/>
      <c r="BD290" s="309"/>
      <c r="BE290" s="309"/>
      <c r="BF290" s="309"/>
      <c r="BG290" s="309"/>
      <c r="BH290" s="309"/>
      <c r="BI290" s="309"/>
      <c r="BJ290" s="309"/>
      <c r="BK290" s="309"/>
      <c r="BL290" s="309"/>
      <c r="BM290" s="309"/>
      <c r="BN290" s="309"/>
      <c r="BO290" s="309"/>
      <c r="BP290" s="309"/>
      <c r="BQ290" s="309"/>
      <c r="BR290" s="309"/>
      <c r="BS290" s="309"/>
      <c r="BT290" s="309"/>
      <c r="BU290" s="309"/>
      <c r="BV290" s="309"/>
      <c r="BW290" s="309"/>
      <c r="BX290" s="309"/>
      <c r="BY290" s="309"/>
      <c r="BZ290" s="309"/>
      <c r="CA290" s="309"/>
      <c r="CB290" s="309"/>
      <c r="CC290" s="309"/>
      <c r="CD290" s="309"/>
      <c r="CE290" s="309"/>
      <c r="CF290" s="8"/>
    </row>
    <row r="291" spans="2:84" ht="18" customHeight="1" x14ac:dyDescent="0.25">
      <c r="B291" s="6"/>
      <c r="C291" s="179"/>
      <c r="D291" s="179"/>
      <c r="E291" s="179"/>
      <c r="F291" s="179"/>
      <c r="G291" s="179"/>
      <c r="H291" s="179"/>
      <c r="I291" s="179"/>
      <c r="J291" s="179"/>
      <c r="K291" s="179"/>
      <c r="L291" s="179"/>
      <c r="M291" s="179"/>
      <c r="N291" s="179"/>
      <c r="O291" s="179"/>
      <c r="P291" s="179"/>
      <c r="Q291" s="179"/>
      <c r="R291" s="179"/>
      <c r="S291" s="179"/>
      <c r="T291" s="179"/>
      <c r="U291" s="179"/>
      <c r="V291" s="179"/>
      <c r="W291" s="179"/>
      <c r="X291" s="179"/>
      <c r="Y291" s="179"/>
      <c r="Z291" s="179"/>
      <c r="AA291" s="179"/>
      <c r="AB291" s="179"/>
      <c r="AC291" s="179"/>
      <c r="AD291" s="179"/>
      <c r="AE291" s="179"/>
      <c r="AF291" s="179"/>
      <c r="AG291" s="179"/>
      <c r="AH291" s="179"/>
      <c r="AI291" s="179"/>
      <c r="AJ291" s="179"/>
      <c r="AK291" s="179"/>
      <c r="AL291" s="179"/>
      <c r="AM291" s="179"/>
      <c r="AN291" s="179"/>
      <c r="AO291" s="179"/>
      <c r="AP291" s="8"/>
      <c r="AR291" s="6"/>
      <c r="AS291" s="309"/>
      <c r="AT291" s="309"/>
      <c r="AU291" s="309"/>
      <c r="AV291" s="309"/>
      <c r="AW291" s="309"/>
      <c r="AX291" s="309"/>
      <c r="AY291" s="309"/>
      <c r="AZ291" s="309"/>
      <c r="BA291" s="309"/>
      <c r="BB291" s="309"/>
      <c r="BC291" s="309"/>
      <c r="BD291" s="309"/>
      <c r="BE291" s="309"/>
      <c r="BF291" s="309"/>
      <c r="BG291" s="309"/>
      <c r="BH291" s="309"/>
      <c r="BI291" s="309"/>
      <c r="BJ291" s="309"/>
      <c r="BK291" s="309"/>
      <c r="BL291" s="309"/>
      <c r="BM291" s="309"/>
      <c r="BN291" s="309"/>
      <c r="BO291" s="309"/>
      <c r="BP291" s="309"/>
      <c r="BQ291" s="309"/>
      <c r="BR291" s="309"/>
      <c r="BS291" s="309"/>
      <c r="BT291" s="309"/>
      <c r="BU291" s="309"/>
      <c r="BV291" s="309"/>
      <c r="BW291" s="309"/>
      <c r="BX291" s="309"/>
      <c r="BY291" s="309"/>
      <c r="BZ291" s="309"/>
      <c r="CA291" s="309"/>
      <c r="CB291" s="309"/>
      <c r="CC291" s="309"/>
      <c r="CD291" s="309"/>
      <c r="CE291" s="309"/>
      <c r="CF291" s="8"/>
    </row>
    <row r="292" spans="2:84" ht="18" customHeight="1" thickBot="1" x14ac:dyDescent="0.3">
      <c r="B292" s="6"/>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1"/>
      <c r="AO292" s="10"/>
      <c r="AP292" s="8"/>
      <c r="AR292" s="6"/>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1"/>
      <c r="CE292" s="10"/>
      <c r="CF292" s="8"/>
    </row>
    <row r="293" spans="2:84" ht="18" customHeight="1" x14ac:dyDescent="0.25">
      <c r="B293" s="6"/>
      <c r="D293" s="43" t="s">
        <v>84</v>
      </c>
      <c r="AO293" s="29" t="s">
        <v>473</v>
      </c>
      <c r="AP293" s="8"/>
      <c r="AR293" s="6"/>
      <c r="AT293" s="43" t="s">
        <v>84</v>
      </c>
      <c r="CE293" s="29" t="s">
        <v>474</v>
      </c>
      <c r="CF293" s="8"/>
    </row>
    <row r="294" spans="2:84" ht="18" customHeight="1" x14ac:dyDescent="0.25">
      <c r="B294" s="45"/>
      <c r="C294" s="46"/>
      <c r="D294" s="46"/>
      <c r="E294" s="46"/>
      <c r="F294" s="46"/>
      <c r="G294" s="46"/>
      <c r="H294" s="46"/>
      <c r="I294" s="46"/>
      <c r="J294" s="46"/>
      <c r="K294" s="46"/>
      <c r="L294" s="46"/>
      <c r="M294" s="46"/>
      <c r="N294" s="46"/>
      <c r="O294" s="46"/>
      <c r="P294" s="46"/>
      <c r="Q294" s="46"/>
      <c r="R294" s="46"/>
      <c r="S294" s="46"/>
      <c r="T294" s="46"/>
      <c r="U294" s="46"/>
      <c r="V294" s="46"/>
      <c r="W294" s="46"/>
      <c r="X294" s="46"/>
      <c r="Y294" s="46"/>
      <c r="Z294" s="46"/>
      <c r="AA294" s="46"/>
      <c r="AB294" s="46"/>
      <c r="AC294" s="46"/>
      <c r="AD294" s="46"/>
      <c r="AE294" s="46"/>
      <c r="AF294" s="46"/>
      <c r="AG294" s="46"/>
      <c r="AH294" s="46"/>
      <c r="AI294" s="46"/>
      <c r="AJ294" s="46"/>
      <c r="AK294" s="46"/>
      <c r="AL294" s="46"/>
      <c r="AM294" s="46"/>
      <c r="AN294" s="46"/>
      <c r="AO294" s="46"/>
      <c r="AP294" s="47"/>
      <c r="AR294" s="45"/>
      <c r="AS294" s="46"/>
      <c r="AT294" s="46"/>
      <c r="AU294" s="46"/>
      <c r="AV294" s="46"/>
      <c r="AW294" s="46"/>
      <c r="AX294" s="46"/>
      <c r="AY294" s="46"/>
      <c r="AZ294" s="46"/>
      <c r="BA294" s="46"/>
      <c r="BB294" s="46"/>
      <c r="BC294" s="46"/>
      <c r="BD294" s="46"/>
      <c r="BE294" s="46"/>
      <c r="BF294" s="46"/>
      <c r="BG294" s="46"/>
      <c r="BH294" s="46"/>
      <c r="BI294" s="46"/>
      <c r="BJ294" s="46"/>
      <c r="BK294" s="46"/>
      <c r="BL294" s="46"/>
      <c r="BM294" s="46"/>
      <c r="BN294" s="46"/>
      <c r="BO294" s="46"/>
      <c r="BP294" s="46"/>
      <c r="BQ294" s="46"/>
      <c r="BR294" s="46"/>
      <c r="BS294" s="46"/>
      <c r="BT294" s="46"/>
      <c r="BU294" s="46"/>
      <c r="BV294" s="46"/>
      <c r="BW294" s="46"/>
      <c r="BX294" s="46"/>
      <c r="BY294" s="46"/>
      <c r="BZ294" s="46"/>
      <c r="CA294" s="46"/>
      <c r="CB294" s="46"/>
      <c r="CC294" s="46"/>
      <c r="CD294" s="46"/>
      <c r="CE294" s="46"/>
      <c r="CF294" s="47"/>
    </row>
    <row r="295" spans="2:84" ht="18" customHeight="1" x14ac:dyDescent="0.25"/>
    <row r="296" spans="2:84" ht="18" customHeight="1" x14ac:dyDescent="0.25"/>
    <row r="304" spans="2:84" ht="21.75" customHeight="1" x14ac:dyDescent="0.25"/>
    <row r="305" ht="18.75" customHeight="1" x14ac:dyDescent="0.25"/>
  </sheetData>
  <sheetProtection algorithmName="SHA-512" hashValue="pVkU2EEy5ojmiy2CE2SpWcAll/foBbpkRcG1ZilIzsWdlG7iB5Gfe9WcUs7eCLfyC8lzMOesBaAFjIDvpQKpMw==" saltValue="9gYqlpOu2yWEmMXlNbUaVQ==" spinCount="100000" sheet="1" objects="1" scenarios="1"/>
  <mergeCells count="456">
    <mergeCell ref="BF10:BT10"/>
    <mergeCell ref="H11:W11"/>
    <mergeCell ref="AE11:AN11"/>
    <mergeCell ref="BF11:BL12"/>
    <mergeCell ref="BN11:BT12"/>
    <mergeCell ref="H12:W12"/>
    <mergeCell ref="AE12:AN12"/>
    <mergeCell ref="AT12:BD12"/>
    <mergeCell ref="DE3:DE4"/>
    <mergeCell ref="DC3:DC4"/>
    <mergeCell ref="CS4:CS5"/>
    <mergeCell ref="CT4:CT5"/>
    <mergeCell ref="CU4:CU5"/>
    <mergeCell ref="CV4:CV5"/>
    <mergeCell ref="CW4:CW5"/>
    <mergeCell ref="CX4:CX5"/>
    <mergeCell ref="CZ4:CZ5"/>
    <mergeCell ref="DA4:DA5"/>
    <mergeCell ref="D16:AO16"/>
    <mergeCell ref="BF16:BL16"/>
    <mergeCell ref="BN16:BT16"/>
    <mergeCell ref="BV16:BZ16"/>
    <mergeCell ref="S17:U17"/>
    <mergeCell ref="CL4:CL5"/>
    <mergeCell ref="CN4:CN5"/>
    <mergeCell ref="CO4:CO5"/>
    <mergeCell ref="CP4:CP5"/>
    <mergeCell ref="AK17:AM17"/>
    <mergeCell ref="BF14:BL14"/>
    <mergeCell ref="BN14:BT14"/>
    <mergeCell ref="BV14:BZ14"/>
    <mergeCell ref="BF15:BL15"/>
    <mergeCell ref="BN15:BT15"/>
    <mergeCell ref="BV15:BZ15"/>
    <mergeCell ref="BV12:BZ12"/>
    <mergeCell ref="H13:W13"/>
    <mergeCell ref="AE13:AN13"/>
    <mergeCell ref="BF13:BL13"/>
    <mergeCell ref="BN13:BT13"/>
    <mergeCell ref="BV13:BZ13"/>
    <mergeCell ref="C7:AO8"/>
    <mergeCell ref="AS9:CE9"/>
    <mergeCell ref="CA18:CC18"/>
    <mergeCell ref="E19:R19"/>
    <mergeCell ref="S19:U19"/>
    <mergeCell ref="AK19:AM19"/>
    <mergeCell ref="AS19:BI19"/>
    <mergeCell ref="BJ19:BL19"/>
    <mergeCell ref="C21:R21"/>
    <mergeCell ref="S21:U21"/>
    <mergeCell ref="AK21:AM21"/>
    <mergeCell ref="AS21:BI21"/>
    <mergeCell ref="BJ21:BL21"/>
    <mergeCell ref="BM21:BO21"/>
    <mergeCell ref="CA19:CC19"/>
    <mergeCell ref="E20:R20"/>
    <mergeCell ref="S20:U20"/>
    <mergeCell ref="AK20:AM20"/>
    <mergeCell ref="AS20:BI20"/>
    <mergeCell ref="BJ20:BL20"/>
    <mergeCell ref="BM20:BO20"/>
    <mergeCell ref="E18:R18"/>
    <mergeCell ref="S18:U18"/>
    <mergeCell ref="AS18:BI18"/>
    <mergeCell ref="BJ18:BL18"/>
    <mergeCell ref="AS22:BI22"/>
    <mergeCell ref="BJ22:BL22"/>
    <mergeCell ref="BM22:BO22"/>
    <mergeCell ref="C23:AO23"/>
    <mergeCell ref="AS23:BI23"/>
    <mergeCell ref="BJ23:BL23"/>
    <mergeCell ref="BM23:BO23"/>
    <mergeCell ref="BJ24:BL24"/>
    <mergeCell ref="BM24:BO24"/>
    <mergeCell ref="AH24:AI24"/>
    <mergeCell ref="AJ24:AK24"/>
    <mergeCell ref="AL24:AM24"/>
    <mergeCell ref="AN24:AO24"/>
    <mergeCell ref="AS24:BI24"/>
    <mergeCell ref="AF24:AG24"/>
    <mergeCell ref="T24:U24"/>
    <mergeCell ref="V24:W24"/>
    <mergeCell ref="X24:Y24"/>
    <mergeCell ref="Z24:AA24"/>
    <mergeCell ref="AB24:AC24"/>
    <mergeCell ref="AD24:AE24"/>
    <mergeCell ref="C24:I24"/>
    <mergeCell ref="J24:K24"/>
    <mergeCell ref="L24:M24"/>
    <mergeCell ref="N24:O24"/>
    <mergeCell ref="P24:Q24"/>
    <mergeCell ref="R24:S24"/>
    <mergeCell ref="AJ25:AK25"/>
    <mergeCell ref="AL25:AM25"/>
    <mergeCell ref="AN25:AO25"/>
    <mergeCell ref="AS26:CE26"/>
    <mergeCell ref="C27:AO27"/>
    <mergeCell ref="BF27:BT27"/>
    <mergeCell ref="X25:Y25"/>
    <mergeCell ref="Z25:AA25"/>
    <mergeCell ref="AB25:AC25"/>
    <mergeCell ref="AD25:AE25"/>
    <mergeCell ref="AF25:AG25"/>
    <mergeCell ref="AH25:AI25"/>
    <mergeCell ref="C25:I25"/>
    <mergeCell ref="J25:K25"/>
    <mergeCell ref="L25:M25"/>
    <mergeCell ref="N25:O25"/>
    <mergeCell ref="P25:Q25"/>
    <mergeCell ref="R25:S25"/>
    <mergeCell ref="T25:U25"/>
    <mergeCell ref="V25:W25"/>
    <mergeCell ref="BV29:BZ29"/>
    <mergeCell ref="AJ30:AL30"/>
    <mergeCell ref="BF30:BL30"/>
    <mergeCell ref="BN30:BT30"/>
    <mergeCell ref="BV30:BZ30"/>
    <mergeCell ref="B28:R28"/>
    <mergeCell ref="S28:U28"/>
    <mergeCell ref="AJ28:AL28"/>
    <mergeCell ref="BF28:BL29"/>
    <mergeCell ref="BN28:BT29"/>
    <mergeCell ref="B29:R29"/>
    <mergeCell ref="S29:U29"/>
    <mergeCell ref="AJ29:AL29"/>
    <mergeCell ref="AT29:BD29"/>
    <mergeCell ref="BV33:BZ33"/>
    <mergeCell ref="C34:R34"/>
    <mergeCell ref="S34:U34"/>
    <mergeCell ref="AJ34:AL34"/>
    <mergeCell ref="AM34:AN34"/>
    <mergeCell ref="AJ31:AL31"/>
    <mergeCell ref="BF31:BL31"/>
    <mergeCell ref="BN31:BT31"/>
    <mergeCell ref="BV31:BZ31"/>
    <mergeCell ref="BF32:BL32"/>
    <mergeCell ref="BN32:BT32"/>
    <mergeCell ref="BV32:BZ32"/>
    <mergeCell ref="B35:R35"/>
    <mergeCell ref="S35:U35"/>
    <mergeCell ref="AJ35:AL35"/>
    <mergeCell ref="AM35:AN35"/>
    <mergeCell ref="AS35:BI35"/>
    <mergeCell ref="BJ35:BL35"/>
    <mergeCell ref="C32:AO32"/>
    <mergeCell ref="BF33:BL33"/>
    <mergeCell ref="BN33:BT33"/>
    <mergeCell ref="AJ36:AL36"/>
    <mergeCell ref="AS36:BI36"/>
    <mergeCell ref="BJ36:BL36"/>
    <mergeCell ref="CA36:CC36"/>
    <mergeCell ref="AJ37:AL37"/>
    <mergeCell ref="AS37:BI37"/>
    <mergeCell ref="BJ37:BL37"/>
    <mergeCell ref="BM37:BO37"/>
    <mergeCell ref="CA37:CC37"/>
    <mergeCell ref="C38:AO38"/>
    <mergeCell ref="AS38:BI38"/>
    <mergeCell ref="BJ38:BL38"/>
    <mergeCell ref="BM38:BO38"/>
    <mergeCell ref="C39:R39"/>
    <mergeCell ref="S39:U39"/>
    <mergeCell ref="W39:AI39"/>
    <mergeCell ref="AJ39:AL39"/>
    <mergeCell ref="AS39:BI39"/>
    <mergeCell ref="BJ39:BL39"/>
    <mergeCell ref="BM41:BO41"/>
    <mergeCell ref="C43:AO43"/>
    <mergeCell ref="S44:U44"/>
    <mergeCell ref="BM39:BO39"/>
    <mergeCell ref="S40:U40"/>
    <mergeCell ref="V40:AI40"/>
    <mergeCell ref="AJ40:AL40"/>
    <mergeCell ref="AS40:BI40"/>
    <mergeCell ref="BJ40:BL40"/>
    <mergeCell ref="BM40:BO40"/>
    <mergeCell ref="O45:Q45"/>
    <mergeCell ref="AJ45:AL45"/>
    <mergeCell ref="O46:Q46"/>
    <mergeCell ref="AJ46:AL46"/>
    <mergeCell ref="AS54:BG54"/>
    <mergeCell ref="C56:AO56"/>
    <mergeCell ref="S41:U41"/>
    <mergeCell ref="AS41:BI41"/>
    <mergeCell ref="BJ41:BL41"/>
    <mergeCell ref="AJ65:AN65"/>
    <mergeCell ref="C62:G62"/>
    <mergeCell ref="I62:L62"/>
    <mergeCell ref="N62:Q62"/>
    <mergeCell ref="S62:V62"/>
    <mergeCell ref="X62:AB62"/>
    <mergeCell ref="AD62:AH62"/>
    <mergeCell ref="AJ62:AN62"/>
    <mergeCell ref="C64:G64"/>
    <mergeCell ref="I64:L64"/>
    <mergeCell ref="N64:Q64"/>
    <mergeCell ref="S64:V64"/>
    <mergeCell ref="X64:AB64"/>
    <mergeCell ref="C63:G63"/>
    <mergeCell ref="I63:L63"/>
    <mergeCell ref="N63:Q63"/>
    <mergeCell ref="S63:V63"/>
    <mergeCell ref="X63:AB63"/>
    <mergeCell ref="AD63:AH63"/>
    <mergeCell ref="AJ63:AN63"/>
    <mergeCell ref="AJ64:AN64"/>
    <mergeCell ref="AS59:CE59"/>
    <mergeCell ref="X57:AB60"/>
    <mergeCell ref="I58:L60"/>
    <mergeCell ref="N58:Q60"/>
    <mergeCell ref="S58:V60"/>
    <mergeCell ref="C61:G61"/>
    <mergeCell ref="I61:L61"/>
    <mergeCell ref="N61:Q61"/>
    <mergeCell ref="S61:V61"/>
    <mergeCell ref="X61:AB61"/>
    <mergeCell ref="AD61:AH61"/>
    <mergeCell ref="AJ61:AN61"/>
    <mergeCell ref="C59:G60"/>
    <mergeCell ref="AD59:AH60"/>
    <mergeCell ref="AJ59:AN60"/>
    <mergeCell ref="AS58:CE58"/>
    <mergeCell ref="N67:Q67"/>
    <mergeCell ref="S67:V67"/>
    <mergeCell ref="X67:AB67"/>
    <mergeCell ref="C66:G66"/>
    <mergeCell ref="I66:L66"/>
    <mergeCell ref="N66:Q66"/>
    <mergeCell ref="S66:V66"/>
    <mergeCell ref="X66:AB66"/>
    <mergeCell ref="AD64:AH64"/>
    <mergeCell ref="C65:G65"/>
    <mergeCell ref="I65:L65"/>
    <mergeCell ref="N65:Q65"/>
    <mergeCell ref="S65:V65"/>
    <mergeCell ref="X65:AB65"/>
    <mergeCell ref="AD65:AH65"/>
    <mergeCell ref="I70:L70"/>
    <mergeCell ref="N70:Q70"/>
    <mergeCell ref="S70:V70"/>
    <mergeCell ref="X70:AB70"/>
    <mergeCell ref="AD67:AH67"/>
    <mergeCell ref="AJ67:AN67"/>
    <mergeCell ref="AJ66:AN66"/>
    <mergeCell ref="AD66:AH66"/>
    <mergeCell ref="C69:G69"/>
    <mergeCell ref="I69:L69"/>
    <mergeCell ref="N69:Q69"/>
    <mergeCell ref="S69:V69"/>
    <mergeCell ref="X69:AB69"/>
    <mergeCell ref="C68:G68"/>
    <mergeCell ref="I68:L68"/>
    <mergeCell ref="N68:Q68"/>
    <mergeCell ref="S68:V68"/>
    <mergeCell ref="X68:AB68"/>
    <mergeCell ref="AD69:AH69"/>
    <mergeCell ref="AJ69:AN69"/>
    <mergeCell ref="AJ68:AN68"/>
    <mergeCell ref="AD68:AH68"/>
    <mergeCell ref="C67:G67"/>
    <mergeCell ref="I67:L67"/>
    <mergeCell ref="AD71:AH71"/>
    <mergeCell ref="AJ71:AN71"/>
    <mergeCell ref="AJ70:AN70"/>
    <mergeCell ref="AD70:AH70"/>
    <mergeCell ref="C73:G73"/>
    <mergeCell ref="I73:L73"/>
    <mergeCell ref="N73:Q73"/>
    <mergeCell ref="S73:V73"/>
    <mergeCell ref="X73:AB73"/>
    <mergeCell ref="C72:G72"/>
    <mergeCell ref="I72:L72"/>
    <mergeCell ref="N72:Q72"/>
    <mergeCell ref="S72:V72"/>
    <mergeCell ref="X72:AB72"/>
    <mergeCell ref="AD73:AH73"/>
    <mergeCell ref="AJ73:AN73"/>
    <mergeCell ref="AJ72:AN72"/>
    <mergeCell ref="AD72:AH72"/>
    <mergeCell ref="C71:G71"/>
    <mergeCell ref="I71:L71"/>
    <mergeCell ref="N71:Q71"/>
    <mergeCell ref="S71:V71"/>
    <mergeCell ref="X71:AB71"/>
    <mergeCell ref="C70:G70"/>
    <mergeCell ref="AD75:AH75"/>
    <mergeCell ref="AJ75:AN75"/>
    <mergeCell ref="AJ74:AN74"/>
    <mergeCell ref="AD74:AH74"/>
    <mergeCell ref="D106:AN106"/>
    <mergeCell ref="AS107:CE107"/>
    <mergeCell ref="X108:AO108"/>
    <mergeCell ref="AT108:BG108"/>
    <mergeCell ref="BH108:BK108"/>
    <mergeCell ref="C76:G76"/>
    <mergeCell ref="BP95:BR95"/>
    <mergeCell ref="BW95:BX95"/>
    <mergeCell ref="C75:G75"/>
    <mergeCell ref="I75:L75"/>
    <mergeCell ref="N75:Q75"/>
    <mergeCell ref="S75:V75"/>
    <mergeCell ref="X75:AB75"/>
    <mergeCell ref="C74:G74"/>
    <mergeCell ref="I74:L74"/>
    <mergeCell ref="N74:Q74"/>
    <mergeCell ref="S74:V74"/>
    <mergeCell ref="X74:AB74"/>
    <mergeCell ref="AT109:BG109"/>
    <mergeCell ref="BH109:BK109"/>
    <mergeCell ref="AJ76:AN76"/>
    <mergeCell ref="I77:L77"/>
    <mergeCell ref="N77:Q77"/>
    <mergeCell ref="S77:V77"/>
    <mergeCell ref="X77:AB77"/>
    <mergeCell ref="AD77:AH77"/>
    <mergeCell ref="AJ77:AN77"/>
    <mergeCell ref="I76:L76"/>
    <mergeCell ref="N76:Q76"/>
    <mergeCell ref="S76:V76"/>
    <mergeCell ref="X76:AB76"/>
    <mergeCell ref="AD76:AH76"/>
    <mergeCell ref="BK95:BO95"/>
    <mergeCell ref="H110:O110"/>
    <mergeCell ref="AT110:BG110"/>
    <mergeCell ref="BH110:BK110"/>
    <mergeCell ref="AT111:BG111"/>
    <mergeCell ref="BH111:BK111"/>
    <mergeCell ref="D112:K112"/>
    <mergeCell ref="M112:AO112"/>
    <mergeCell ref="AT112:BG112"/>
    <mergeCell ref="BH112:BK112"/>
    <mergeCell ref="D113:G113"/>
    <mergeCell ref="H113:K113"/>
    <mergeCell ref="W113:Y113"/>
    <mergeCell ref="AT113:BG113"/>
    <mergeCell ref="BH113:BK113"/>
    <mergeCell ref="D114:G114"/>
    <mergeCell ref="H114:K114"/>
    <mergeCell ref="W114:Y114"/>
    <mergeCell ref="AT114:BG114"/>
    <mergeCell ref="BH114:BK114"/>
    <mergeCell ref="AS116:CE116"/>
    <mergeCell ref="D117:G117"/>
    <mergeCell ref="H117:K117"/>
    <mergeCell ref="W117:Y117"/>
    <mergeCell ref="AT117:BG117"/>
    <mergeCell ref="BH117:BK117"/>
    <mergeCell ref="D115:G115"/>
    <mergeCell ref="H115:K115"/>
    <mergeCell ref="W115:Y115"/>
    <mergeCell ref="D116:G116"/>
    <mergeCell ref="H116:K116"/>
    <mergeCell ref="W116:Y116"/>
    <mergeCell ref="D118:G118"/>
    <mergeCell ref="H118:K118"/>
    <mergeCell ref="W118:Y118"/>
    <mergeCell ref="AT118:BG118"/>
    <mergeCell ref="BH118:BK118"/>
    <mergeCell ref="D119:G119"/>
    <mergeCell ref="H119:K119"/>
    <mergeCell ref="W119:Y119"/>
    <mergeCell ref="AT119:BG119"/>
    <mergeCell ref="BH119:BK119"/>
    <mergeCell ref="AT121:BG121"/>
    <mergeCell ref="BH121:BK121"/>
    <mergeCell ref="D122:G122"/>
    <mergeCell ref="H122:K122"/>
    <mergeCell ref="W122:Y122"/>
    <mergeCell ref="D123:G123"/>
    <mergeCell ref="H123:K123"/>
    <mergeCell ref="W123:Y123"/>
    <mergeCell ref="D120:G120"/>
    <mergeCell ref="H120:K120"/>
    <mergeCell ref="W120:Y120"/>
    <mergeCell ref="D121:G121"/>
    <mergeCell ref="H121:K121"/>
    <mergeCell ref="W121:AN121"/>
    <mergeCell ref="D126:G126"/>
    <mergeCell ref="H126:K126"/>
    <mergeCell ref="W126:AE126"/>
    <mergeCell ref="D127:G127"/>
    <mergeCell ref="H127:K127"/>
    <mergeCell ref="W127:AE127"/>
    <mergeCell ref="D124:G124"/>
    <mergeCell ref="H124:K124"/>
    <mergeCell ref="W124:AE124"/>
    <mergeCell ref="D125:G125"/>
    <mergeCell ref="H125:K125"/>
    <mergeCell ref="W125:AE125"/>
    <mergeCell ref="C131:AO131"/>
    <mergeCell ref="C132:AO135"/>
    <mergeCell ref="C136:AO136"/>
    <mergeCell ref="C137:AO139"/>
    <mergeCell ref="C141:AO141"/>
    <mergeCell ref="C142:AO145"/>
    <mergeCell ref="D128:G128"/>
    <mergeCell ref="H128:K128"/>
    <mergeCell ref="D129:G129"/>
    <mergeCell ref="H129:K129"/>
    <mergeCell ref="D130:G130"/>
    <mergeCell ref="H130:K130"/>
    <mergeCell ref="AU160:BA160"/>
    <mergeCell ref="AU161:BA161"/>
    <mergeCell ref="AU162:BA162"/>
    <mergeCell ref="AU163:BA163"/>
    <mergeCell ref="AU164:BA164"/>
    <mergeCell ref="AU165:BA165"/>
    <mergeCell ref="AS154:CE154"/>
    <mergeCell ref="AU155:BA155"/>
    <mergeCell ref="AU156:BA156"/>
    <mergeCell ref="AU157:BA157"/>
    <mergeCell ref="AU158:BA158"/>
    <mergeCell ref="AU159:BA159"/>
    <mergeCell ref="DC27:DC28"/>
    <mergeCell ref="CZ25:CZ26"/>
    <mergeCell ref="DE26:DF26"/>
    <mergeCell ref="DH26:DI26"/>
    <mergeCell ref="C203:AO203"/>
    <mergeCell ref="C207:AO242"/>
    <mergeCell ref="AS225:CE241"/>
    <mergeCell ref="C275:AO291"/>
    <mergeCell ref="AS274:CE291"/>
    <mergeCell ref="J36:U36"/>
    <mergeCell ref="J30:U30"/>
    <mergeCell ref="AU173:BA173"/>
    <mergeCell ref="AU174:BA174"/>
    <mergeCell ref="AU175:BA175"/>
    <mergeCell ref="AU176:BA176"/>
    <mergeCell ref="C186:L188"/>
    <mergeCell ref="AT166:BA166"/>
    <mergeCell ref="AU167:BA167"/>
    <mergeCell ref="AU168:BA168"/>
    <mergeCell ref="AU169:BA169"/>
    <mergeCell ref="C170:AN171"/>
    <mergeCell ref="AU172:BA172"/>
    <mergeCell ref="AS182:CE182"/>
    <mergeCell ref="AS183:CE187"/>
    <mergeCell ref="DK3:DK4"/>
    <mergeCell ref="DJ3:DJ4"/>
    <mergeCell ref="CY2:CY4"/>
    <mergeCell ref="DP4:DP5"/>
    <mergeCell ref="DQ4:DQ5"/>
    <mergeCell ref="DR4:DR5"/>
    <mergeCell ref="DO2:DR3"/>
    <mergeCell ref="CN25:CN26"/>
    <mergeCell ref="CO25:CO26"/>
    <mergeCell ref="CP25:CP26"/>
    <mergeCell ref="CQ25:CQ26"/>
    <mergeCell ref="CR25:CR26"/>
    <mergeCell ref="CS25:CS26"/>
    <mergeCell ref="CT25:CT26"/>
    <mergeCell ref="CX25:CX26"/>
    <mergeCell ref="CY25:CY26"/>
    <mergeCell ref="CQ4:CQ5"/>
    <mergeCell ref="CR4:CR5"/>
    <mergeCell ref="DG3:DG4"/>
  </mergeCells>
  <conditionalFormatting sqref="BF13 BF30">
    <cfRule type="cellIs" dxfId="24" priority="7" operator="greaterThan">
      <formula>$BV$13</formula>
    </cfRule>
  </conditionalFormatting>
  <conditionalFormatting sqref="BF13 BN13">
    <cfRule type="cellIs" dxfId="23" priority="8" operator="lessThan">
      <formula>$BV$13</formula>
    </cfRule>
    <cfRule type="cellIs" dxfId="22" priority="9" operator="greaterThan">
      <formula>$BV$13</formula>
    </cfRule>
    <cfRule type="cellIs" dxfId="21" priority="10" operator="lessThan">
      <formula>0.855</formula>
    </cfRule>
    <cfRule type="cellIs" dxfId="20" priority="11" operator="lessThan">
      <formula>$BV$13</formula>
    </cfRule>
    <cfRule type="cellIs" dxfId="19" priority="12" operator="greaterThan">
      <formula>$BV$13</formula>
    </cfRule>
  </conditionalFormatting>
  <conditionalFormatting sqref="BF14 BF31">
    <cfRule type="cellIs" dxfId="18" priority="13" operator="greaterThan">
      <formula>$BV$14</formula>
    </cfRule>
  </conditionalFormatting>
  <conditionalFormatting sqref="BF14 BN14">
    <cfRule type="cellIs" dxfId="17" priority="14" operator="lessThan">
      <formula>$BV$14</formula>
    </cfRule>
    <cfRule type="cellIs" dxfId="16" priority="15" operator="greaterThan">
      <formula>$BV$14</formula>
    </cfRule>
    <cfRule type="cellIs" dxfId="15" priority="16" operator="lessThan">
      <formula>0.927</formula>
    </cfRule>
  </conditionalFormatting>
  <conditionalFormatting sqref="BF15 BF32">
    <cfRule type="cellIs" dxfId="14" priority="1" operator="greaterThan">
      <formula>$BV$15</formula>
    </cfRule>
  </conditionalFormatting>
  <conditionalFormatting sqref="BF16 BF33">
    <cfRule type="cellIs" dxfId="13" priority="4" operator="greaterThan">
      <formula>$BV$16</formula>
    </cfRule>
  </conditionalFormatting>
  <conditionalFormatting sqref="BF30 BN30">
    <cfRule type="cellIs" dxfId="12" priority="18" operator="greaterThan">
      <formula>$BV$30</formula>
    </cfRule>
    <cfRule type="cellIs" dxfId="11" priority="19" operator="lessThan">
      <formula>"116.0%$F$68"</formula>
    </cfRule>
  </conditionalFormatting>
  <conditionalFormatting sqref="BF30">
    <cfRule type="cellIs" dxfId="10" priority="17" operator="greaterThan">
      <formula>$BV$13</formula>
    </cfRule>
  </conditionalFormatting>
  <conditionalFormatting sqref="BF31 BN31">
    <cfRule type="cellIs" dxfId="9" priority="20" operator="greaterThan">
      <formula>$BV$31</formula>
    </cfRule>
    <cfRule type="cellIs" dxfId="8" priority="21" operator="lessThan">
      <formula>$BV$31</formula>
    </cfRule>
  </conditionalFormatting>
  <conditionalFormatting sqref="BF32 BN32">
    <cfRule type="cellIs" dxfId="7" priority="22" operator="greaterThan">
      <formula>$BV$32</formula>
    </cfRule>
    <cfRule type="cellIs" dxfId="6" priority="23" operator="lessThan">
      <formula>$BV$32</formula>
    </cfRule>
  </conditionalFormatting>
  <conditionalFormatting sqref="BF33 BN33">
    <cfRule type="cellIs" dxfId="5" priority="24" operator="greaterThan">
      <formula>$BV$33</formula>
    </cfRule>
    <cfRule type="cellIs" dxfId="4" priority="25" operator="lessThan">
      <formula>$BV$33</formula>
    </cfRule>
  </conditionalFormatting>
  <conditionalFormatting sqref="BN15 BF15">
    <cfRule type="cellIs" dxfId="3" priority="3" operator="lessThan">
      <formula>$BV$15</formula>
    </cfRule>
  </conditionalFormatting>
  <conditionalFormatting sqref="BN15">
    <cfRule type="cellIs" dxfId="2" priority="2" operator="greaterThan">
      <formula>$BV$15</formula>
    </cfRule>
  </conditionalFormatting>
  <conditionalFormatting sqref="BN16 BF16">
    <cfRule type="cellIs" dxfId="1" priority="6" operator="lessThan">
      <formula>$BV$16</formula>
    </cfRule>
  </conditionalFormatting>
  <conditionalFormatting sqref="BN16">
    <cfRule type="cellIs" dxfId="0" priority="5" operator="greaterThan">
      <formula>$BV$16</formula>
    </cfRule>
  </conditionalFormatting>
  <dataValidations disablePrompts="1" count="2">
    <dataValidation allowBlank="1" showErrorMessage="1" sqref="S17:U17" xr:uid="{93827615-75B0-457F-BD34-453410625666}"/>
    <dataValidation type="list" allowBlank="1" showInputMessage="1" showErrorMessage="1" sqref="D36:J36 J30:U30 V36:Z36" xr:uid="{952D0B62-135E-4D7A-8713-B1013F84676C}">
      <formula1>$CI$2:$CI$4</formula1>
    </dataValidation>
  </dataValidations>
  <printOptions horizontalCentered="1" verticalCentered="1"/>
  <pageMargins left="0.2" right="0.2" top="0.205416666666667" bottom="0.3" header="0" footer="0"/>
  <pageSetup scale="90" orientation="portrait" r:id="rId1"/>
  <headerFooter>
    <oddHeader xml:space="preserve">&amp;L
&amp;R       </oddHeader>
  </headerFooter>
  <rowBreaks count="2" manualBreakCount="2">
    <brk id="63" max="16383" man="1"/>
    <brk id="140"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03BFD-ED11-4231-A603-ADB28876D4E0}">
  <sheetPr codeName="Sheet4">
    <pageSetUpPr fitToPage="1"/>
  </sheetPr>
  <dimension ref="B1:AP405"/>
  <sheetViews>
    <sheetView workbookViewId="0">
      <selection activeCell="AI48" sqref="AI48"/>
    </sheetView>
  </sheetViews>
  <sheetFormatPr defaultRowHeight="15" x14ac:dyDescent="0.25"/>
  <cols>
    <col min="1" max="240" width="2.7109375" style="1" customWidth="1"/>
    <col min="241" max="16384" width="9.140625" style="1"/>
  </cols>
  <sheetData>
    <row r="1" spans="2:42" ht="18" customHeight="1" x14ac:dyDescent="0.25"/>
    <row r="2" spans="2:42"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row>
    <row r="3" spans="2:42" ht="18" customHeight="1" x14ac:dyDescent="0.25">
      <c r="B3" s="6"/>
      <c r="AO3" s="7" t="s">
        <v>280</v>
      </c>
      <c r="AP3" s="8"/>
    </row>
    <row r="4" spans="2:42" ht="18" customHeight="1" x14ac:dyDescent="0.25">
      <c r="B4" s="6"/>
      <c r="AO4" s="9" t="s">
        <v>1</v>
      </c>
      <c r="AP4" s="8"/>
    </row>
    <row r="5" spans="2:42" ht="18" customHeight="1" x14ac:dyDescent="0.25">
      <c r="B5" s="6"/>
      <c r="AO5" s="9" t="s">
        <v>4</v>
      </c>
      <c r="AP5" s="8"/>
    </row>
    <row r="6" spans="2:42"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row>
    <row r="7" spans="2:42" ht="18" customHeight="1" x14ac:dyDescent="0.25">
      <c r="B7" s="6"/>
      <c r="C7" s="262" t="s">
        <v>236</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row>
    <row r="8" spans="2:42"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row>
    <row r="9" spans="2:42" ht="18" customHeight="1" x14ac:dyDescent="0.25">
      <c r="B9" s="20"/>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row>
    <row r="10" spans="2:42" ht="18" customHeight="1" x14ac:dyDescent="0.25">
      <c r="B10" s="6"/>
      <c r="AP10" s="8"/>
    </row>
    <row r="11" spans="2:42" ht="18" customHeight="1" x14ac:dyDescent="0.25">
      <c r="B11" s="6"/>
      <c r="C11" s="16" t="s">
        <v>237</v>
      </c>
      <c r="AP11" s="8"/>
    </row>
    <row r="12" spans="2:42" ht="18" customHeight="1" x14ac:dyDescent="0.25">
      <c r="B12" s="6"/>
      <c r="AP12" s="8"/>
    </row>
    <row r="13" spans="2:42" ht="18" customHeight="1" x14ac:dyDescent="0.25">
      <c r="B13" s="6"/>
      <c r="C13" s="153" t="s">
        <v>238</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8"/>
    </row>
    <row r="14" spans="2:42" ht="18" customHeight="1" x14ac:dyDescent="0.25">
      <c r="B14" s="6"/>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8"/>
    </row>
    <row r="15" spans="2:42" ht="18" customHeight="1" x14ac:dyDescent="0.25">
      <c r="B15" s="6"/>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8"/>
    </row>
    <row r="16" spans="2:42" ht="18" customHeight="1" x14ac:dyDescent="0.25">
      <c r="B16" s="6"/>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8"/>
    </row>
    <row r="17" spans="2:42" ht="18" customHeight="1" x14ac:dyDescent="0.25">
      <c r="B17" s="6"/>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8"/>
    </row>
    <row r="18" spans="2:42" ht="18" customHeight="1" x14ac:dyDescent="0.25">
      <c r="B18" s="6"/>
      <c r="AP18" s="8"/>
    </row>
    <row r="19" spans="2:42" ht="18" customHeight="1" x14ac:dyDescent="0.25">
      <c r="B19" s="6"/>
      <c r="C19" s="16" t="s">
        <v>239</v>
      </c>
      <c r="AP19" s="8"/>
    </row>
    <row r="20" spans="2:42" ht="18" customHeight="1" x14ac:dyDescent="0.25">
      <c r="B20" s="6"/>
      <c r="AP20" s="8"/>
    </row>
    <row r="21" spans="2:42" ht="18" customHeight="1" x14ac:dyDescent="0.25">
      <c r="B21" s="6"/>
      <c r="C21" s="389" t="s">
        <v>240</v>
      </c>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89"/>
      <c r="AG21" s="389"/>
      <c r="AH21" s="389"/>
      <c r="AI21" s="389"/>
      <c r="AJ21" s="389"/>
      <c r="AK21" s="389"/>
      <c r="AL21" s="389"/>
      <c r="AM21" s="389"/>
      <c r="AN21" s="389"/>
      <c r="AO21" s="389"/>
      <c r="AP21" s="8"/>
    </row>
    <row r="22" spans="2:42" ht="18" customHeight="1" x14ac:dyDescent="0.25">
      <c r="B22" s="6"/>
      <c r="AP22" s="8"/>
    </row>
    <row r="23" spans="2:42" ht="18" customHeight="1" x14ac:dyDescent="0.25">
      <c r="B23" s="6"/>
      <c r="T23" s="29" t="s">
        <v>241</v>
      </c>
      <c r="U23" s="390">
        <v>98.26</v>
      </c>
      <c r="V23" s="390"/>
      <c r="W23" s="390"/>
      <c r="Y23" s="1" t="s">
        <v>242</v>
      </c>
      <c r="AP23" s="8"/>
    </row>
    <row r="24" spans="2:42" ht="18" customHeight="1" x14ac:dyDescent="0.25">
      <c r="B24" s="6"/>
      <c r="G24" s="177" t="s">
        <v>243</v>
      </c>
      <c r="H24" s="177"/>
      <c r="I24" s="177"/>
      <c r="J24" s="177"/>
      <c r="K24" s="177"/>
      <c r="L24" s="177"/>
      <c r="M24" s="177"/>
      <c r="N24" s="177"/>
      <c r="O24" s="177"/>
      <c r="P24" s="177"/>
      <c r="Q24" s="177"/>
      <c r="R24" s="177"/>
      <c r="S24" s="177"/>
      <c r="T24" s="177"/>
      <c r="U24" s="391">
        <v>2.86</v>
      </c>
      <c r="V24" s="392"/>
      <c r="W24" s="393"/>
      <c r="Y24" s="1" t="s">
        <v>74</v>
      </c>
      <c r="AP24" s="8"/>
    </row>
    <row r="25" spans="2:42" ht="18" customHeight="1" x14ac:dyDescent="0.25">
      <c r="B25" s="6"/>
      <c r="T25" s="32" t="s">
        <v>31</v>
      </c>
      <c r="U25" s="390">
        <v>12.47</v>
      </c>
      <c r="V25" s="390"/>
      <c r="W25" s="390"/>
      <c r="Y25" s="1" t="s">
        <v>32</v>
      </c>
      <c r="AP25" s="8"/>
    </row>
    <row r="26" spans="2:42" ht="18" customHeight="1" x14ac:dyDescent="0.25">
      <c r="B26" s="6"/>
      <c r="G26" s="177" t="s">
        <v>48</v>
      </c>
      <c r="H26" s="177"/>
      <c r="I26" s="177"/>
      <c r="J26" s="177"/>
      <c r="K26" s="177"/>
      <c r="L26" s="177"/>
      <c r="M26" s="177"/>
      <c r="N26" s="177"/>
      <c r="O26" s="177"/>
      <c r="P26" s="177"/>
      <c r="Q26" s="177"/>
      <c r="R26" s="177"/>
      <c r="S26" s="177"/>
      <c r="T26" s="272"/>
      <c r="U26" s="390">
        <v>60</v>
      </c>
      <c r="V26" s="390"/>
      <c r="W26" s="390"/>
      <c r="Y26" s="1" t="s">
        <v>44</v>
      </c>
      <c r="AP26" s="8"/>
    </row>
    <row r="27" spans="2:42" ht="18" customHeight="1" x14ac:dyDescent="0.35">
      <c r="B27" s="6"/>
      <c r="T27" s="63" t="s">
        <v>244</v>
      </c>
      <c r="U27" s="396">
        <f>2*3.1415*U26*U24/1000</f>
        <v>1.0781628000000001</v>
      </c>
      <c r="V27" s="396"/>
      <c r="W27" s="396"/>
      <c r="Y27" s="1" t="s">
        <v>34</v>
      </c>
      <c r="AP27" s="8"/>
    </row>
    <row r="28" spans="2:42" ht="18" customHeight="1" x14ac:dyDescent="0.25">
      <c r="B28" s="6"/>
      <c r="T28" s="63" t="s">
        <v>283</v>
      </c>
      <c r="U28" s="196">
        <f>1/(2*3.1415*U26*(U23*0.000001))</f>
        <v>26.996342546310363</v>
      </c>
      <c r="V28" s="196"/>
      <c r="W28" s="196"/>
      <c r="Y28" s="1" t="s">
        <v>245</v>
      </c>
      <c r="AP28" s="8"/>
    </row>
    <row r="29" spans="2:42" ht="18" customHeight="1" x14ac:dyDescent="0.25">
      <c r="B29" s="6"/>
      <c r="T29" s="63" t="s">
        <v>246</v>
      </c>
      <c r="U29" s="196">
        <f>SQRT(U28/U27)</f>
        <v>5.0039192583066585</v>
      </c>
      <c r="V29" s="196"/>
      <c r="W29" s="196"/>
      <c r="AP29" s="8"/>
    </row>
    <row r="30" spans="2:42" ht="18" customHeight="1" x14ac:dyDescent="0.35">
      <c r="B30" s="6"/>
      <c r="T30" s="63" t="s">
        <v>247</v>
      </c>
      <c r="U30" s="394">
        <f>U25*U25/(U28-U27)</f>
        <v>5.9996844501449491</v>
      </c>
      <c r="V30" s="394"/>
      <c r="W30" s="394"/>
      <c r="Y30" s="1" t="s">
        <v>248</v>
      </c>
      <c r="AP30" s="8"/>
    </row>
    <row r="31" spans="2:42" ht="18" customHeight="1" x14ac:dyDescent="0.25">
      <c r="B31" s="6"/>
      <c r="AP31" s="8"/>
    </row>
    <row r="32" spans="2:42" ht="18" customHeight="1" x14ac:dyDescent="0.25">
      <c r="B32" s="6"/>
      <c r="X32" s="34"/>
      <c r="AP32" s="8"/>
    </row>
    <row r="33" spans="2:42" ht="18" customHeight="1" x14ac:dyDescent="0.25">
      <c r="B33" s="6"/>
      <c r="AP33" s="8"/>
    </row>
    <row r="34" spans="2:42" ht="18" customHeight="1" x14ac:dyDescent="0.25">
      <c r="B34" s="6"/>
      <c r="AP34" s="8"/>
    </row>
    <row r="35" spans="2:42" ht="18" customHeight="1" x14ac:dyDescent="0.25">
      <c r="B35" s="6"/>
      <c r="AI35" s="395" t="s">
        <v>249</v>
      </c>
      <c r="AJ35" s="162"/>
      <c r="AK35" s="162"/>
      <c r="AL35" s="162"/>
      <c r="AM35" s="162"/>
      <c r="AP35" s="8"/>
    </row>
    <row r="36" spans="2:42" ht="18" customHeight="1" x14ac:dyDescent="0.25">
      <c r="B36" s="6"/>
      <c r="AI36" s="162"/>
      <c r="AJ36" s="162"/>
      <c r="AK36" s="162"/>
      <c r="AL36" s="162"/>
      <c r="AM36" s="162"/>
      <c r="AP36" s="8"/>
    </row>
    <row r="37" spans="2:42" ht="18" customHeight="1" x14ac:dyDescent="0.25">
      <c r="B37" s="6"/>
      <c r="AP37" s="8"/>
    </row>
    <row r="38" spans="2:42" ht="18" customHeight="1" x14ac:dyDescent="0.25">
      <c r="B38" s="6"/>
      <c r="AP38" s="8"/>
    </row>
    <row r="39" spans="2:42" ht="18" customHeight="1" x14ac:dyDescent="0.25">
      <c r="B39" s="6"/>
      <c r="AP39" s="8"/>
    </row>
    <row r="40" spans="2:42" ht="18" customHeight="1" x14ac:dyDescent="0.25">
      <c r="B40" s="6"/>
      <c r="C40" s="215" t="s">
        <v>265</v>
      </c>
      <c r="D40" s="288"/>
      <c r="E40" s="288"/>
      <c r="F40" s="288"/>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8"/>
    </row>
    <row r="41" spans="2:42" ht="18" customHeight="1" x14ac:dyDescent="0.25">
      <c r="B41" s="6"/>
      <c r="C41" s="289" t="s">
        <v>266</v>
      </c>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8"/>
    </row>
    <row r="42" spans="2:42" ht="18" customHeight="1" x14ac:dyDescent="0.25">
      <c r="B42" s="6"/>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8"/>
    </row>
    <row r="43" spans="2:42" ht="18" customHeight="1" x14ac:dyDescent="0.25">
      <c r="B43" s="6"/>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8"/>
    </row>
    <row r="44" spans="2:42" ht="18" customHeight="1" x14ac:dyDescent="0.25">
      <c r="B44" s="6"/>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8"/>
    </row>
    <row r="45" spans="2:42" ht="18" customHeight="1" x14ac:dyDescent="0.25">
      <c r="B45" s="6"/>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8"/>
    </row>
    <row r="46" spans="2:42" ht="18" customHeight="1" x14ac:dyDescent="0.25">
      <c r="B46" s="6"/>
      <c r="AP46" s="42"/>
    </row>
    <row r="47" spans="2:42"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row>
    <row r="48" spans="2:42" ht="18" customHeight="1" x14ac:dyDescent="0.25">
      <c r="B48" s="6"/>
      <c r="D48" s="43" t="s">
        <v>84</v>
      </c>
      <c r="AO48" s="44" t="s">
        <v>85</v>
      </c>
      <c r="AP48" s="8"/>
    </row>
    <row r="49" spans="2:42"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row>
    <row r="50" spans="2:42" ht="18" customHeight="1" x14ac:dyDescent="0.25"/>
    <row r="51" spans="2:42" ht="15" customHeight="1" x14ac:dyDescent="0.25"/>
    <row r="52" spans="2:42" ht="15" customHeight="1" x14ac:dyDescent="0.25"/>
    <row r="53" spans="2:42" ht="15" customHeight="1" x14ac:dyDescent="0.25"/>
    <row r="54" spans="2:42" ht="15" customHeight="1" x14ac:dyDescent="0.25"/>
    <row r="55" spans="2:42" ht="15" customHeight="1" x14ac:dyDescent="0.25"/>
    <row r="56" spans="2:42" ht="15" customHeight="1" x14ac:dyDescent="0.25"/>
    <row r="57" spans="2:42" ht="15" customHeight="1" x14ac:dyDescent="0.25"/>
    <row r="58" spans="2:42" ht="15" customHeight="1" x14ac:dyDescent="0.25"/>
    <row r="59" spans="2:42" ht="15" customHeight="1" x14ac:dyDescent="0.25"/>
    <row r="60" spans="2:42" ht="15" customHeight="1" x14ac:dyDescent="0.25"/>
    <row r="61" spans="2:42" ht="15" customHeight="1" x14ac:dyDescent="0.25"/>
    <row r="62" spans="2:42" ht="15" customHeight="1" x14ac:dyDescent="0.25"/>
    <row r="63" spans="2:42" ht="15" customHeight="1" x14ac:dyDescent="0.25"/>
    <row r="64" spans="2:4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sheetData>
  <sheetProtection algorithmName="SHA-512" hashValue="YbM8S8Bvro4VsYr2gbcVQq6Es0Mxq+LQ58vLJNCa+BvsiFTPEPPPDR4lMKj6xJvP2OSYWsEt+QGmvzlr2E8QRA==" saltValue="6T37AbMJZ6oMir7z/fObkQ==" spinCount="100000" sheet="1" objects="1" scenarios="1"/>
  <mergeCells count="16">
    <mergeCell ref="C40:AO40"/>
    <mergeCell ref="C41:AO45"/>
    <mergeCell ref="C7:AO8"/>
    <mergeCell ref="C13:AO16"/>
    <mergeCell ref="C21:AO21"/>
    <mergeCell ref="U23:W23"/>
    <mergeCell ref="G24:T24"/>
    <mergeCell ref="U24:W24"/>
    <mergeCell ref="U30:W30"/>
    <mergeCell ref="AI35:AM36"/>
    <mergeCell ref="U25:W25"/>
    <mergeCell ref="G26:T26"/>
    <mergeCell ref="U26:W26"/>
    <mergeCell ref="U27:W27"/>
    <mergeCell ref="U28:W28"/>
    <mergeCell ref="U29:W29"/>
  </mergeCells>
  <dataValidations count="1">
    <dataValidation type="list" allowBlank="1" showInputMessage="1" showErrorMessage="1" sqref="G32" xr:uid="{A417D0D5-E9D7-417A-A845-5D7B1AD7DDE0}">
      <formula1>pbsrange1</formula1>
    </dataValidation>
  </dataValidations>
  <printOptions horizontalCentered="1" verticalCentered="1"/>
  <pageMargins left="0.2" right="0.2" top="0.2" bottom="0.2" header="0" footer="0"/>
  <pageSetup scale="9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C0A35B-3832-4F2B-B0B3-D1BC45627354}">
  <sheetPr codeName="Sheet5">
    <pageSetUpPr fitToPage="1"/>
  </sheetPr>
  <dimension ref="B1:AP405"/>
  <sheetViews>
    <sheetView workbookViewId="0"/>
  </sheetViews>
  <sheetFormatPr defaultRowHeight="15" x14ac:dyDescent="0.25"/>
  <cols>
    <col min="1" max="240" width="2.7109375" style="1" customWidth="1"/>
    <col min="241" max="16384" width="9.140625" style="1"/>
  </cols>
  <sheetData>
    <row r="1" spans="2:42" ht="18" customHeight="1" x14ac:dyDescent="0.25"/>
    <row r="2" spans="2:42"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row>
    <row r="3" spans="2:42" ht="18" customHeight="1" x14ac:dyDescent="0.25">
      <c r="B3" s="6"/>
      <c r="AO3" s="7" t="s">
        <v>280</v>
      </c>
      <c r="AP3" s="8"/>
    </row>
    <row r="4" spans="2:42" ht="18" customHeight="1" x14ac:dyDescent="0.25">
      <c r="B4" s="6"/>
      <c r="AO4" s="9" t="s">
        <v>1</v>
      </c>
      <c r="AP4" s="8"/>
    </row>
    <row r="5" spans="2:42" ht="18" customHeight="1" x14ac:dyDescent="0.25">
      <c r="B5" s="6"/>
      <c r="AO5" s="9" t="s">
        <v>4</v>
      </c>
      <c r="AP5" s="8"/>
    </row>
    <row r="6" spans="2:42"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row>
    <row r="7" spans="2:42" ht="18" customHeight="1" x14ac:dyDescent="0.25">
      <c r="B7" s="6"/>
      <c r="C7" s="262" t="s">
        <v>297</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row>
    <row r="8" spans="2:42"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row>
    <row r="9" spans="2:42" ht="18" customHeight="1" x14ac:dyDescent="0.25">
      <c r="B9" s="20"/>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row>
    <row r="10" spans="2:42" ht="18" customHeight="1" x14ac:dyDescent="0.25">
      <c r="B10" s="6"/>
      <c r="AP10" s="8"/>
    </row>
    <row r="11" spans="2:42" ht="18" customHeight="1" x14ac:dyDescent="0.25">
      <c r="B11" s="6"/>
      <c r="C11" s="16" t="s">
        <v>237</v>
      </c>
      <c r="AP11" s="8"/>
    </row>
    <row r="12" spans="2:42" ht="18" customHeight="1" x14ac:dyDescent="0.25">
      <c r="B12" s="6"/>
      <c r="AP12" s="8"/>
    </row>
    <row r="13" spans="2:42" ht="18" customHeight="1" x14ac:dyDescent="0.25">
      <c r="B13" s="6"/>
      <c r="C13" s="153" t="s">
        <v>250</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8"/>
    </row>
    <row r="14" spans="2:42" ht="18" customHeight="1" x14ac:dyDescent="0.25">
      <c r="B14" s="6"/>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8"/>
    </row>
    <row r="15" spans="2:42" ht="18" customHeight="1" x14ac:dyDescent="0.25">
      <c r="B15" s="6"/>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8"/>
    </row>
    <row r="16" spans="2:42" ht="18" customHeight="1" x14ac:dyDescent="0.25">
      <c r="B16" s="6"/>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8"/>
    </row>
    <row r="17" spans="2:42" ht="18" customHeight="1" x14ac:dyDescent="0.25">
      <c r="B17" s="6"/>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8"/>
    </row>
    <row r="18" spans="2:42" ht="18" customHeight="1" x14ac:dyDescent="0.25">
      <c r="B18" s="6"/>
      <c r="AP18" s="8"/>
    </row>
    <row r="19" spans="2:42" ht="18" customHeight="1" x14ac:dyDescent="0.25">
      <c r="B19" s="6"/>
      <c r="C19" s="16" t="s">
        <v>239</v>
      </c>
      <c r="AP19" s="8"/>
    </row>
    <row r="20" spans="2:42" ht="18" customHeight="1" x14ac:dyDescent="0.25">
      <c r="B20" s="6"/>
      <c r="AP20" s="8"/>
    </row>
    <row r="21" spans="2:42" ht="18" customHeight="1" x14ac:dyDescent="0.25">
      <c r="B21" s="6"/>
      <c r="C21" s="389" t="s">
        <v>240</v>
      </c>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89"/>
      <c r="AG21" s="389"/>
      <c r="AH21" s="389"/>
      <c r="AI21" s="389"/>
      <c r="AJ21" s="389"/>
      <c r="AK21" s="389"/>
      <c r="AL21" s="389"/>
      <c r="AM21" s="389"/>
      <c r="AN21" s="389"/>
      <c r="AO21" s="389"/>
      <c r="AP21" s="8"/>
    </row>
    <row r="22" spans="2:42" ht="18" customHeight="1" x14ac:dyDescent="0.25">
      <c r="B22" s="6"/>
      <c r="AP22" s="8"/>
    </row>
    <row r="23" spans="2:42" ht="18" customHeight="1" x14ac:dyDescent="0.25">
      <c r="B23" s="6"/>
      <c r="T23" s="29" t="s">
        <v>241</v>
      </c>
      <c r="U23" s="156">
        <v>98.26</v>
      </c>
      <c r="V23" s="156"/>
      <c r="W23" s="156"/>
      <c r="Y23" s="1" t="s">
        <v>242</v>
      </c>
      <c r="AP23" s="8"/>
    </row>
    <row r="24" spans="2:42" ht="18" customHeight="1" x14ac:dyDescent="0.25">
      <c r="B24" s="6"/>
      <c r="G24" s="177" t="s">
        <v>243</v>
      </c>
      <c r="H24" s="177"/>
      <c r="I24" s="177"/>
      <c r="J24" s="177"/>
      <c r="K24" s="177"/>
      <c r="L24" s="177"/>
      <c r="M24" s="177"/>
      <c r="N24" s="177"/>
      <c r="O24" s="177"/>
      <c r="P24" s="177"/>
      <c r="Q24" s="177"/>
      <c r="R24" s="177"/>
      <c r="S24" s="177"/>
      <c r="T24" s="177"/>
      <c r="U24" s="400">
        <v>2.86</v>
      </c>
      <c r="V24" s="401"/>
      <c r="W24" s="402"/>
      <c r="Y24" s="1" t="s">
        <v>74</v>
      </c>
      <c r="AP24" s="8"/>
    </row>
    <row r="25" spans="2:42" ht="18" customHeight="1" x14ac:dyDescent="0.25">
      <c r="B25" s="6"/>
      <c r="T25" s="29" t="s">
        <v>251</v>
      </c>
      <c r="U25" s="397">
        <v>16.2</v>
      </c>
      <c r="V25" s="398"/>
      <c r="W25" s="399"/>
      <c r="Y25" s="1" t="s">
        <v>34</v>
      </c>
      <c r="AP25" s="8"/>
    </row>
    <row r="26" spans="2:42" ht="18" customHeight="1" x14ac:dyDescent="0.25">
      <c r="B26" s="6"/>
      <c r="T26" s="32" t="s">
        <v>31</v>
      </c>
      <c r="U26" s="156">
        <v>12.47</v>
      </c>
      <c r="V26" s="156"/>
      <c r="W26" s="156"/>
      <c r="Y26" s="1" t="s">
        <v>32</v>
      </c>
      <c r="AP26" s="8"/>
    </row>
    <row r="27" spans="2:42" ht="18" customHeight="1" x14ac:dyDescent="0.25">
      <c r="B27" s="6"/>
      <c r="G27" s="177" t="s">
        <v>48</v>
      </c>
      <c r="H27" s="177"/>
      <c r="I27" s="177"/>
      <c r="J27" s="177"/>
      <c r="K27" s="177"/>
      <c r="L27" s="177"/>
      <c r="M27" s="177"/>
      <c r="N27" s="177"/>
      <c r="O27" s="177"/>
      <c r="P27" s="177"/>
      <c r="Q27" s="177"/>
      <c r="R27" s="177"/>
      <c r="S27" s="177"/>
      <c r="T27" s="272"/>
      <c r="U27" s="156">
        <v>60</v>
      </c>
      <c r="V27" s="156"/>
      <c r="W27" s="156"/>
      <c r="Y27" s="1" t="s">
        <v>44</v>
      </c>
      <c r="AP27" s="8"/>
    </row>
    <row r="28" spans="2:42" ht="18" customHeight="1" x14ac:dyDescent="0.35">
      <c r="B28" s="6"/>
      <c r="T28" s="63" t="s">
        <v>244</v>
      </c>
      <c r="U28" s="396">
        <f>2*3.1415*U27*U24/1000</f>
        <v>1.0781628000000001</v>
      </c>
      <c r="V28" s="396"/>
      <c r="W28" s="396"/>
      <c r="Y28" s="1" t="s">
        <v>34</v>
      </c>
      <c r="AP28" s="8"/>
    </row>
    <row r="29" spans="2:42" ht="18" customHeight="1" x14ac:dyDescent="0.25">
      <c r="B29" s="6"/>
      <c r="T29" s="63" t="s">
        <v>283</v>
      </c>
      <c r="U29" s="196">
        <f>1/(2*3.1415*U27*(U23*0.000001))</f>
        <v>26.996342546310363</v>
      </c>
      <c r="V29" s="196"/>
      <c r="W29" s="196"/>
      <c r="Y29" s="1" t="s">
        <v>245</v>
      </c>
      <c r="AP29" s="8"/>
    </row>
    <row r="30" spans="2:42" ht="18" customHeight="1" x14ac:dyDescent="0.25">
      <c r="B30" s="6"/>
      <c r="T30" s="63" t="s">
        <v>246</v>
      </c>
      <c r="U30" s="196">
        <f>SQRT(U29/U28)</f>
        <v>5.0039192583066585</v>
      </c>
      <c r="V30" s="196"/>
      <c r="W30" s="196"/>
      <c r="AP30" s="8"/>
    </row>
    <row r="31" spans="2:42" ht="18" customHeight="1" x14ac:dyDescent="0.25">
      <c r="B31" s="6"/>
      <c r="T31" s="63" t="s">
        <v>252</v>
      </c>
      <c r="U31" s="403">
        <f>U25/(U28*U30)</f>
        <v>3.0027583123717232</v>
      </c>
      <c r="V31" s="403"/>
      <c r="W31" s="403"/>
      <c r="AP31" s="8"/>
    </row>
    <row r="32" spans="2:42" ht="18" customHeight="1" x14ac:dyDescent="0.35">
      <c r="B32" s="6"/>
      <c r="T32" s="63" t="s">
        <v>247</v>
      </c>
      <c r="U32" s="394">
        <f>U26*U26/(U29-U28)</f>
        <v>5.9996844501449491</v>
      </c>
      <c r="V32" s="394"/>
      <c r="W32" s="394"/>
      <c r="X32" s="34"/>
      <c r="Y32" s="1" t="s">
        <v>248</v>
      </c>
      <c r="AP32" s="8"/>
    </row>
    <row r="33" spans="2:42" ht="18" customHeight="1" x14ac:dyDescent="0.25">
      <c r="B33" s="6"/>
      <c r="AP33" s="8"/>
    </row>
    <row r="34" spans="2:42" ht="18" customHeight="1" x14ac:dyDescent="0.25">
      <c r="B34" s="6"/>
      <c r="AP34" s="8"/>
    </row>
    <row r="35" spans="2:42" ht="18" customHeight="1" x14ac:dyDescent="0.25">
      <c r="B35" s="6"/>
      <c r="AI35" s="395" t="s">
        <v>253</v>
      </c>
      <c r="AJ35" s="395"/>
      <c r="AK35" s="395"/>
      <c r="AL35" s="395"/>
      <c r="AM35" s="395"/>
      <c r="AN35" s="395"/>
      <c r="AO35" s="395"/>
      <c r="AP35" s="8"/>
    </row>
    <row r="36" spans="2:42" ht="18" customHeight="1" x14ac:dyDescent="0.25">
      <c r="B36" s="6"/>
      <c r="AI36" s="395"/>
      <c r="AJ36" s="395"/>
      <c r="AK36" s="395"/>
      <c r="AL36" s="395"/>
      <c r="AM36" s="395"/>
      <c r="AN36" s="395"/>
      <c r="AO36" s="395"/>
      <c r="AP36" s="8"/>
    </row>
    <row r="37" spans="2:42" ht="18" customHeight="1" x14ac:dyDescent="0.25">
      <c r="B37" s="6"/>
      <c r="AP37" s="8"/>
    </row>
    <row r="38" spans="2:42" ht="18" customHeight="1" x14ac:dyDescent="0.25">
      <c r="B38" s="6"/>
      <c r="AP38" s="8"/>
    </row>
    <row r="39" spans="2:42" ht="18" customHeight="1" x14ac:dyDescent="0.25">
      <c r="B39" s="6"/>
      <c r="AP39" s="8"/>
    </row>
    <row r="40" spans="2:42" ht="18" customHeight="1" x14ac:dyDescent="0.25">
      <c r="B40" s="6"/>
      <c r="C40" s="215" t="s">
        <v>265</v>
      </c>
      <c r="D40" s="288"/>
      <c r="E40" s="288"/>
      <c r="F40" s="288"/>
      <c r="G40" s="288"/>
      <c r="H40" s="288"/>
      <c r="I40" s="288"/>
      <c r="J40" s="288"/>
      <c r="K40" s="288"/>
      <c r="L40" s="288"/>
      <c r="M40" s="288"/>
      <c r="N40" s="288"/>
      <c r="O40" s="288"/>
      <c r="P40" s="288"/>
      <c r="Q40" s="288"/>
      <c r="R40" s="288"/>
      <c r="S40" s="288"/>
      <c r="T40" s="288"/>
      <c r="U40" s="288"/>
      <c r="V40" s="288"/>
      <c r="W40" s="288"/>
      <c r="X40" s="288"/>
      <c r="Y40" s="288"/>
      <c r="Z40" s="288"/>
      <c r="AA40" s="288"/>
      <c r="AB40" s="288"/>
      <c r="AC40" s="288"/>
      <c r="AD40" s="288"/>
      <c r="AE40" s="288"/>
      <c r="AF40" s="288"/>
      <c r="AG40" s="288"/>
      <c r="AH40" s="288"/>
      <c r="AI40" s="288"/>
      <c r="AJ40" s="288"/>
      <c r="AK40" s="288"/>
      <c r="AL40" s="288"/>
      <c r="AM40" s="288"/>
      <c r="AN40" s="288"/>
      <c r="AO40" s="288"/>
      <c r="AP40" s="8"/>
    </row>
    <row r="41" spans="2:42" ht="18" customHeight="1" x14ac:dyDescent="0.25">
      <c r="B41" s="6"/>
      <c r="C41" s="289" t="s">
        <v>266</v>
      </c>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8"/>
    </row>
    <row r="42" spans="2:42" ht="18" customHeight="1" x14ac:dyDescent="0.25">
      <c r="B42" s="6"/>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8"/>
    </row>
    <row r="43" spans="2:42" ht="18" customHeight="1" x14ac:dyDescent="0.25">
      <c r="B43" s="6"/>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8"/>
    </row>
    <row r="44" spans="2:42" ht="18" customHeight="1" x14ac:dyDescent="0.25">
      <c r="B44" s="6"/>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89"/>
      <c r="AP44" s="8"/>
    </row>
    <row r="45" spans="2:42" ht="18" customHeight="1" x14ac:dyDescent="0.25">
      <c r="B45" s="6"/>
      <c r="C45" s="289"/>
      <c r="D45" s="289"/>
      <c r="E45" s="289"/>
      <c r="F45" s="289"/>
      <c r="G45" s="289"/>
      <c r="H45" s="289"/>
      <c r="I45" s="289"/>
      <c r="J45" s="289"/>
      <c r="K45" s="289"/>
      <c r="L45" s="289"/>
      <c r="M45" s="289"/>
      <c r="N45" s="289"/>
      <c r="O45" s="289"/>
      <c r="P45" s="289"/>
      <c r="Q45" s="289"/>
      <c r="R45" s="289"/>
      <c r="S45" s="289"/>
      <c r="T45" s="289"/>
      <c r="U45" s="289"/>
      <c r="V45" s="289"/>
      <c r="W45" s="289"/>
      <c r="X45" s="289"/>
      <c r="Y45" s="289"/>
      <c r="Z45" s="289"/>
      <c r="AA45" s="289"/>
      <c r="AB45" s="289"/>
      <c r="AC45" s="289"/>
      <c r="AD45" s="289"/>
      <c r="AE45" s="289"/>
      <c r="AF45" s="289"/>
      <c r="AG45" s="289"/>
      <c r="AH45" s="289"/>
      <c r="AI45" s="289"/>
      <c r="AJ45" s="289"/>
      <c r="AK45" s="289"/>
      <c r="AL45" s="289"/>
      <c r="AM45" s="289"/>
      <c r="AN45" s="289"/>
      <c r="AO45" s="289"/>
      <c r="AP45" s="8"/>
    </row>
    <row r="46" spans="2:42" ht="18" customHeight="1" x14ac:dyDescent="0.25">
      <c r="B46" s="6"/>
      <c r="AP46" s="42"/>
    </row>
    <row r="47" spans="2:42"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row>
    <row r="48" spans="2:42" ht="18" customHeight="1" x14ac:dyDescent="0.25">
      <c r="B48" s="6"/>
      <c r="D48" s="43" t="s">
        <v>84</v>
      </c>
      <c r="AO48" s="44" t="s">
        <v>85</v>
      </c>
      <c r="AP48" s="8"/>
    </row>
    <row r="49" spans="2:42"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row>
    <row r="50" spans="2:42" ht="18" customHeight="1" x14ac:dyDescent="0.25"/>
    <row r="51" spans="2:42" ht="18" customHeight="1" x14ac:dyDescent="0.25"/>
    <row r="52" spans="2:42" ht="18" customHeight="1" x14ac:dyDescent="0.25"/>
    <row r="53" spans="2:42" ht="15" customHeight="1" x14ac:dyDescent="0.25"/>
    <row r="54" spans="2:42" ht="15" customHeight="1" x14ac:dyDescent="0.25"/>
    <row r="55" spans="2:42" ht="15" customHeight="1" x14ac:dyDescent="0.25"/>
    <row r="56" spans="2:42" ht="15" customHeight="1" x14ac:dyDescent="0.25"/>
    <row r="57" spans="2:42" ht="15" customHeight="1" x14ac:dyDescent="0.25"/>
    <row r="58" spans="2:42" ht="15" customHeight="1" x14ac:dyDescent="0.25"/>
    <row r="59" spans="2:42" ht="15" customHeight="1" x14ac:dyDescent="0.25"/>
    <row r="60" spans="2:42" ht="15" customHeight="1" x14ac:dyDescent="0.25"/>
    <row r="61" spans="2:42" ht="15" customHeight="1" x14ac:dyDescent="0.25"/>
    <row r="62" spans="2:42" ht="15" customHeight="1" x14ac:dyDescent="0.25"/>
    <row r="63" spans="2:42" ht="15" customHeight="1" x14ac:dyDescent="0.25"/>
    <row r="64" spans="2:4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sheetData>
  <sheetProtection algorithmName="SHA-512" hashValue="VO/3kuzoBaYNoSoFFIUwejx1WzsOJLmp4HVZ0xjC7bjSYFqNNK6rTNgmerkcpslTayfd8qhaLZmzTnh0wiyIXw==" saltValue="C5d+DhjFcSG1ADEhmHwzhA==" spinCount="100000" sheet="1" objects="1" scenarios="1"/>
  <mergeCells count="18">
    <mergeCell ref="C40:AO40"/>
    <mergeCell ref="C41:AO45"/>
    <mergeCell ref="G27:T27"/>
    <mergeCell ref="U27:W27"/>
    <mergeCell ref="U28:W28"/>
    <mergeCell ref="U29:W29"/>
    <mergeCell ref="U30:W30"/>
    <mergeCell ref="U31:W31"/>
    <mergeCell ref="U32:W32"/>
    <mergeCell ref="AI35:AO36"/>
    <mergeCell ref="U25:W25"/>
    <mergeCell ref="U26:W26"/>
    <mergeCell ref="C7:AO8"/>
    <mergeCell ref="C13:AO16"/>
    <mergeCell ref="C21:AO21"/>
    <mergeCell ref="U23:W23"/>
    <mergeCell ref="G24:T24"/>
    <mergeCell ref="U24:W24"/>
  </mergeCells>
  <dataValidations disablePrompts="1" count="1">
    <dataValidation type="list" allowBlank="1" showInputMessage="1" showErrorMessage="1" sqref="G32" xr:uid="{869E9AAD-DB6D-4FD7-BEDD-FC9BC85D3874}">
      <formula1>pbsrange1</formula1>
    </dataValidation>
  </dataValidations>
  <printOptions horizontalCentered="1" verticalCentered="1"/>
  <pageMargins left="0.2" right="0.2" top="0.2" bottom="0.2" header="0" footer="0"/>
  <pageSetup scale="9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3E228F-B764-4AA1-850B-46C183E2657E}">
  <sheetPr codeName="Sheet6">
    <pageSetUpPr fitToPage="1"/>
  </sheetPr>
  <dimension ref="B1:AP405"/>
  <sheetViews>
    <sheetView workbookViewId="0"/>
  </sheetViews>
  <sheetFormatPr defaultRowHeight="15" x14ac:dyDescent="0.25"/>
  <cols>
    <col min="1" max="240" width="2.7109375" style="1" customWidth="1"/>
    <col min="241" max="16384" width="9.140625" style="1"/>
  </cols>
  <sheetData>
    <row r="1" spans="2:42" ht="18" customHeight="1" x14ac:dyDescent="0.25"/>
    <row r="2" spans="2:42" ht="18" customHeight="1" x14ac:dyDescent="0.25">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5"/>
    </row>
    <row r="3" spans="2:42" ht="18" customHeight="1" x14ac:dyDescent="0.25">
      <c r="B3" s="6"/>
      <c r="AO3" s="7" t="s">
        <v>280</v>
      </c>
      <c r="AP3" s="8"/>
    </row>
    <row r="4" spans="2:42" ht="18" customHeight="1" x14ac:dyDescent="0.25">
      <c r="B4" s="6"/>
      <c r="AO4" s="9" t="s">
        <v>1</v>
      </c>
      <c r="AP4" s="8"/>
    </row>
    <row r="5" spans="2:42" ht="18" customHeight="1" x14ac:dyDescent="0.25">
      <c r="B5" s="6"/>
      <c r="AO5" s="9" t="s">
        <v>4</v>
      </c>
      <c r="AP5" s="8"/>
    </row>
    <row r="6" spans="2:42" ht="18" customHeight="1" thickBot="1" x14ac:dyDescent="0.3">
      <c r="B6" s="6"/>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G6" s="10"/>
      <c r="AH6" s="10"/>
      <c r="AI6" s="10"/>
      <c r="AJ6" s="10"/>
      <c r="AK6" s="10"/>
      <c r="AL6" s="10"/>
      <c r="AM6" s="10"/>
      <c r="AN6" s="10"/>
      <c r="AO6" s="11" t="s">
        <v>5</v>
      </c>
      <c r="AP6" s="8"/>
    </row>
    <row r="7" spans="2:42" ht="18" customHeight="1" x14ac:dyDescent="0.25">
      <c r="B7" s="6"/>
      <c r="C7" s="262" t="s">
        <v>296</v>
      </c>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2"/>
      <c r="AL7" s="262"/>
      <c r="AM7" s="262"/>
      <c r="AN7" s="262"/>
      <c r="AO7" s="262"/>
      <c r="AP7" s="8"/>
    </row>
    <row r="8" spans="2:42" ht="18" customHeight="1" x14ac:dyDescent="0.25">
      <c r="B8" s="6"/>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c r="AM8" s="162"/>
      <c r="AN8" s="162"/>
      <c r="AO8" s="162"/>
      <c r="AP8" s="8"/>
    </row>
    <row r="9" spans="2:42" ht="18" customHeight="1" x14ac:dyDescent="0.25">
      <c r="B9" s="20"/>
      <c r="D9" s="21"/>
      <c r="E9" s="22"/>
      <c r="F9" s="22"/>
      <c r="G9" s="22"/>
      <c r="H9" s="22"/>
      <c r="I9" s="23"/>
      <c r="J9" s="24"/>
      <c r="K9" s="24"/>
      <c r="L9" s="24"/>
      <c r="M9" s="24"/>
      <c r="N9" s="24"/>
      <c r="O9" s="24"/>
      <c r="P9" s="24"/>
      <c r="Q9" s="24"/>
      <c r="R9" s="24"/>
      <c r="S9" s="24"/>
      <c r="T9" s="24"/>
      <c r="U9" s="24"/>
      <c r="V9" s="24"/>
      <c r="W9" s="24"/>
      <c r="X9" s="24"/>
      <c r="Y9" s="24"/>
      <c r="Z9" s="24"/>
      <c r="AA9" s="24"/>
      <c r="AB9" s="24"/>
      <c r="AC9" s="24" t="s">
        <v>3</v>
      </c>
      <c r="AD9" s="24"/>
      <c r="AE9" s="24"/>
      <c r="AG9" s="25"/>
      <c r="AH9" s="25"/>
      <c r="AI9" s="25"/>
      <c r="AJ9" s="25"/>
      <c r="AK9" s="25"/>
      <c r="AL9" s="25"/>
      <c r="AM9" s="25"/>
      <c r="AN9" s="26" t="str">
        <f ca="1">"" &amp; TEXT(TODAY(), "mmmm d, yyyy")</f>
        <v>July 18, 2026</v>
      </c>
      <c r="AO9" s="25"/>
      <c r="AP9" s="8"/>
    </row>
    <row r="10" spans="2:42" ht="18" customHeight="1" x14ac:dyDescent="0.25">
      <c r="B10" s="6"/>
      <c r="AP10" s="8"/>
    </row>
    <row r="11" spans="2:42" ht="18" customHeight="1" x14ac:dyDescent="0.25">
      <c r="B11" s="6"/>
      <c r="C11" s="16" t="s">
        <v>237</v>
      </c>
      <c r="AP11" s="8"/>
    </row>
    <row r="12" spans="2:42" ht="18" customHeight="1" x14ac:dyDescent="0.25">
      <c r="B12" s="6"/>
      <c r="AP12" s="8"/>
    </row>
    <row r="13" spans="2:42" ht="18" customHeight="1" x14ac:dyDescent="0.25">
      <c r="B13" s="6"/>
      <c r="C13" s="153" t="s">
        <v>254</v>
      </c>
      <c r="D13" s="153"/>
      <c r="E13" s="153"/>
      <c r="F13" s="153"/>
      <c r="G13" s="153"/>
      <c r="H13" s="153"/>
      <c r="I13" s="153"/>
      <c r="J13" s="153"/>
      <c r="K13" s="153"/>
      <c r="L13" s="153"/>
      <c r="M13" s="153"/>
      <c r="N13" s="153"/>
      <c r="O13" s="153"/>
      <c r="P13" s="153"/>
      <c r="Q13" s="153"/>
      <c r="R13" s="153"/>
      <c r="S13" s="153"/>
      <c r="T13" s="153"/>
      <c r="U13" s="153"/>
      <c r="V13" s="153"/>
      <c r="W13" s="153"/>
      <c r="X13" s="153"/>
      <c r="Y13" s="153"/>
      <c r="Z13" s="153"/>
      <c r="AA13" s="153"/>
      <c r="AB13" s="153"/>
      <c r="AC13" s="153"/>
      <c r="AD13" s="153"/>
      <c r="AE13" s="153"/>
      <c r="AF13" s="153"/>
      <c r="AG13" s="153"/>
      <c r="AH13" s="153"/>
      <c r="AI13" s="153"/>
      <c r="AJ13" s="153"/>
      <c r="AK13" s="153"/>
      <c r="AL13" s="153"/>
      <c r="AM13" s="153"/>
      <c r="AN13" s="153"/>
      <c r="AO13" s="153"/>
      <c r="AP13" s="8"/>
    </row>
    <row r="14" spans="2:42" ht="18" customHeight="1" x14ac:dyDescent="0.25">
      <c r="B14" s="6"/>
      <c r="C14" s="153"/>
      <c r="D14" s="153"/>
      <c r="E14" s="153"/>
      <c r="F14" s="153"/>
      <c r="G14" s="153"/>
      <c r="H14" s="153"/>
      <c r="I14" s="153"/>
      <c r="J14" s="153"/>
      <c r="K14" s="153"/>
      <c r="L14" s="153"/>
      <c r="M14" s="153"/>
      <c r="N14" s="153"/>
      <c r="O14" s="153"/>
      <c r="P14" s="153"/>
      <c r="Q14" s="153"/>
      <c r="R14" s="153"/>
      <c r="S14" s="153"/>
      <c r="T14" s="153"/>
      <c r="U14" s="153"/>
      <c r="V14" s="153"/>
      <c r="W14" s="153"/>
      <c r="X14" s="153"/>
      <c r="Y14" s="153"/>
      <c r="Z14" s="153"/>
      <c r="AA14" s="153"/>
      <c r="AB14" s="153"/>
      <c r="AC14" s="153"/>
      <c r="AD14" s="153"/>
      <c r="AE14" s="153"/>
      <c r="AF14" s="153"/>
      <c r="AG14" s="153"/>
      <c r="AH14" s="153"/>
      <c r="AI14" s="153"/>
      <c r="AJ14" s="153"/>
      <c r="AK14" s="153"/>
      <c r="AL14" s="153"/>
      <c r="AM14" s="153"/>
      <c r="AN14" s="153"/>
      <c r="AO14" s="153"/>
      <c r="AP14" s="8"/>
    </row>
    <row r="15" spans="2:42" ht="18" customHeight="1" x14ac:dyDescent="0.25">
      <c r="B15" s="6"/>
      <c r="C15" s="153"/>
      <c r="D15" s="153"/>
      <c r="E15" s="153"/>
      <c r="F15" s="153"/>
      <c r="G15" s="153"/>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8"/>
    </row>
    <row r="16" spans="2:42" ht="18" customHeight="1" x14ac:dyDescent="0.25">
      <c r="B16" s="6"/>
      <c r="C16" s="153"/>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3"/>
      <c r="AI16" s="153"/>
      <c r="AJ16" s="153"/>
      <c r="AK16" s="153"/>
      <c r="AL16" s="153"/>
      <c r="AM16" s="153"/>
      <c r="AN16" s="153"/>
      <c r="AO16" s="153"/>
      <c r="AP16" s="8"/>
    </row>
    <row r="17" spans="2:42" ht="18" customHeight="1" x14ac:dyDescent="0.25">
      <c r="B17" s="6"/>
      <c r="C17" s="62"/>
      <c r="D17" s="62"/>
      <c r="E17" s="62"/>
      <c r="F17" s="62"/>
      <c r="G17" s="62"/>
      <c r="H17" s="62"/>
      <c r="I17" s="62"/>
      <c r="J17" s="62"/>
      <c r="K17" s="62"/>
      <c r="L17" s="62"/>
      <c r="M17" s="62"/>
      <c r="N17" s="62"/>
      <c r="O17" s="62"/>
      <c r="P17" s="62"/>
      <c r="Q17" s="62"/>
      <c r="R17" s="62"/>
      <c r="S17" s="62"/>
      <c r="T17" s="62"/>
      <c r="U17" s="62"/>
      <c r="V17" s="62"/>
      <c r="W17" s="62"/>
      <c r="X17" s="62"/>
      <c r="Y17" s="62"/>
      <c r="Z17" s="62"/>
      <c r="AA17" s="62"/>
      <c r="AB17" s="62"/>
      <c r="AC17" s="62"/>
      <c r="AD17" s="62"/>
      <c r="AE17" s="62"/>
      <c r="AF17" s="62"/>
      <c r="AG17" s="62"/>
      <c r="AH17" s="62"/>
      <c r="AI17" s="62"/>
      <c r="AJ17" s="62"/>
      <c r="AK17" s="62"/>
      <c r="AL17" s="62"/>
      <c r="AM17" s="62"/>
      <c r="AN17" s="62"/>
      <c r="AO17" s="62"/>
      <c r="AP17" s="8"/>
    </row>
    <row r="18" spans="2:42" ht="18" customHeight="1" x14ac:dyDescent="0.25">
      <c r="B18" s="6"/>
      <c r="AP18" s="8"/>
    </row>
    <row r="19" spans="2:42" ht="18" customHeight="1" x14ac:dyDescent="0.25">
      <c r="B19" s="6"/>
      <c r="C19" s="16" t="s">
        <v>239</v>
      </c>
      <c r="AP19" s="8"/>
    </row>
    <row r="20" spans="2:42" ht="18" customHeight="1" x14ac:dyDescent="0.25">
      <c r="B20" s="6"/>
      <c r="AP20" s="8"/>
    </row>
    <row r="21" spans="2:42" ht="18" customHeight="1" x14ac:dyDescent="0.25">
      <c r="B21" s="6"/>
      <c r="C21" s="389" t="s">
        <v>255</v>
      </c>
      <c r="D21" s="389"/>
      <c r="E21" s="389"/>
      <c r="F21" s="389"/>
      <c r="G21" s="389"/>
      <c r="H21" s="389"/>
      <c r="I21" s="389"/>
      <c r="J21" s="389"/>
      <c r="K21" s="389"/>
      <c r="L21" s="389"/>
      <c r="M21" s="389"/>
      <c r="N21" s="389"/>
      <c r="O21" s="389"/>
      <c r="P21" s="389"/>
      <c r="Q21" s="389"/>
      <c r="R21" s="389"/>
      <c r="S21" s="389"/>
      <c r="T21" s="389"/>
      <c r="U21" s="389"/>
      <c r="V21" s="389"/>
      <c r="W21" s="389"/>
      <c r="X21" s="389"/>
      <c r="Y21" s="389"/>
      <c r="Z21" s="389"/>
      <c r="AA21" s="389"/>
      <c r="AB21" s="389"/>
      <c r="AC21" s="389"/>
      <c r="AD21" s="389"/>
      <c r="AE21" s="389"/>
      <c r="AF21" s="389"/>
      <c r="AG21" s="389"/>
      <c r="AH21" s="389"/>
      <c r="AI21" s="389"/>
      <c r="AJ21" s="389"/>
      <c r="AK21" s="389"/>
      <c r="AL21" s="389"/>
      <c r="AM21" s="389"/>
      <c r="AN21" s="389"/>
      <c r="AO21" s="389"/>
      <c r="AP21" s="8"/>
    </row>
    <row r="22" spans="2:42" ht="18" customHeight="1" x14ac:dyDescent="0.25">
      <c r="B22" s="6"/>
      <c r="AP22" s="8"/>
    </row>
    <row r="23" spans="2:42" ht="18" customHeight="1" x14ac:dyDescent="0.35">
      <c r="B23" s="6"/>
      <c r="T23" s="29" t="s">
        <v>256</v>
      </c>
      <c r="U23" s="156">
        <v>85.29</v>
      </c>
      <c r="V23" s="156"/>
      <c r="W23" s="156"/>
      <c r="Y23" s="1" t="s">
        <v>242</v>
      </c>
      <c r="AP23" s="8"/>
    </row>
    <row r="24" spans="2:42" ht="18" customHeight="1" x14ac:dyDescent="0.25">
      <c r="B24" s="6"/>
      <c r="T24" s="29" t="s">
        <v>281</v>
      </c>
      <c r="U24" s="156">
        <v>2047.06</v>
      </c>
      <c r="V24" s="156"/>
      <c r="W24" s="156"/>
      <c r="Y24" s="1" t="s">
        <v>242</v>
      </c>
      <c r="AP24" s="8"/>
    </row>
    <row r="25" spans="2:42" ht="18" customHeight="1" x14ac:dyDescent="0.25">
      <c r="B25" s="6"/>
      <c r="T25" s="29" t="s">
        <v>251</v>
      </c>
      <c r="U25" s="397">
        <v>19.440000000000001</v>
      </c>
      <c r="V25" s="398"/>
      <c r="W25" s="399"/>
      <c r="Y25" s="1" t="s">
        <v>34</v>
      </c>
      <c r="AP25" s="8"/>
    </row>
    <row r="26" spans="2:42" ht="18" customHeight="1" x14ac:dyDescent="0.25">
      <c r="B26" s="6"/>
      <c r="G26" s="177" t="s">
        <v>243</v>
      </c>
      <c r="H26" s="177"/>
      <c r="I26" s="177"/>
      <c r="J26" s="177"/>
      <c r="K26" s="177"/>
      <c r="L26" s="177"/>
      <c r="M26" s="177"/>
      <c r="N26" s="177"/>
      <c r="O26" s="177"/>
      <c r="P26" s="177"/>
      <c r="Q26" s="177"/>
      <c r="R26" s="177"/>
      <c r="S26" s="177"/>
      <c r="T26" s="177"/>
      <c r="U26" s="197">
        <v>3.44</v>
      </c>
      <c r="V26" s="197"/>
      <c r="W26" s="197"/>
      <c r="Y26" s="1" t="s">
        <v>74</v>
      </c>
      <c r="AP26" s="8"/>
    </row>
    <row r="27" spans="2:42" ht="18" customHeight="1" x14ac:dyDescent="0.25">
      <c r="B27" s="6"/>
      <c r="T27" s="32" t="s">
        <v>31</v>
      </c>
      <c r="U27" s="156">
        <v>12.47</v>
      </c>
      <c r="V27" s="156"/>
      <c r="W27" s="156"/>
      <c r="Y27" s="1" t="s">
        <v>32</v>
      </c>
      <c r="AP27" s="8"/>
    </row>
    <row r="28" spans="2:42" ht="18" customHeight="1" x14ac:dyDescent="0.25">
      <c r="B28" s="6"/>
      <c r="G28" s="177" t="s">
        <v>48</v>
      </c>
      <c r="H28" s="177"/>
      <c r="I28" s="177"/>
      <c r="J28" s="177"/>
      <c r="K28" s="177"/>
      <c r="L28" s="177"/>
      <c r="M28" s="177"/>
      <c r="N28" s="177"/>
      <c r="O28" s="177"/>
      <c r="P28" s="177"/>
      <c r="Q28" s="177"/>
      <c r="R28" s="177"/>
      <c r="S28" s="177"/>
      <c r="T28" s="272"/>
      <c r="U28" s="156">
        <v>60</v>
      </c>
      <c r="V28" s="156"/>
      <c r="W28" s="156"/>
      <c r="Y28" s="1" t="s">
        <v>44</v>
      </c>
      <c r="AP28" s="8"/>
    </row>
    <row r="29" spans="2:42" ht="18" customHeight="1" x14ac:dyDescent="0.35">
      <c r="B29" s="6"/>
      <c r="T29" s="63" t="s">
        <v>244</v>
      </c>
      <c r="U29" s="196">
        <f>2*3.1415*U28*U26/1000</f>
        <v>1.2968112000000001</v>
      </c>
      <c r="V29" s="196"/>
      <c r="W29" s="196"/>
      <c r="Y29" s="1" t="s">
        <v>34</v>
      </c>
      <c r="AP29" s="8"/>
    </row>
    <row r="30" spans="2:42" ht="18" customHeight="1" x14ac:dyDescent="0.25">
      <c r="B30" s="6"/>
      <c r="T30" s="63" t="s">
        <v>284</v>
      </c>
      <c r="U30" s="196">
        <f>1/(2*3.1415*U28*(U23/(1000*1000)))</f>
        <v>31.101660436164337</v>
      </c>
      <c r="V30" s="196"/>
      <c r="W30" s="196"/>
      <c r="Y30" s="1" t="s">
        <v>245</v>
      </c>
      <c r="AP30" s="8"/>
    </row>
    <row r="31" spans="2:42" ht="18" customHeight="1" x14ac:dyDescent="0.35">
      <c r="B31" s="6"/>
      <c r="T31" s="63" t="s">
        <v>257</v>
      </c>
      <c r="U31" s="196">
        <f>1/(2*3.1415*U28*(U24/(1000*1000)))</f>
        <v>1.2958392126271123</v>
      </c>
      <c r="V31" s="196"/>
      <c r="W31" s="196"/>
      <c r="Y31" s="1" t="s">
        <v>245</v>
      </c>
      <c r="AP31" s="8"/>
    </row>
    <row r="32" spans="2:42" ht="18" customHeight="1" x14ac:dyDescent="0.25">
      <c r="B32" s="6"/>
      <c r="T32" s="63" t="s">
        <v>246</v>
      </c>
      <c r="U32" s="403">
        <f>SQRT((U30+U31)/U29)</f>
        <v>4.9982430476918349</v>
      </c>
      <c r="V32" s="403"/>
      <c r="W32" s="403"/>
      <c r="AP32" s="8"/>
    </row>
    <row r="33" spans="2:42" ht="18" customHeight="1" x14ac:dyDescent="0.25">
      <c r="B33" s="6"/>
      <c r="T33" s="63" t="s">
        <v>252</v>
      </c>
      <c r="U33" s="403">
        <f>U25/(U29*U32)</f>
        <v>2.9991772791254263</v>
      </c>
      <c r="V33" s="403"/>
      <c r="W33" s="403"/>
      <c r="AP33" s="8"/>
    </row>
    <row r="34" spans="2:42" ht="18" customHeight="1" x14ac:dyDescent="0.35">
      <c r="B34" s="6"/>
      <c r="T34" s="63" t="s">
        <v>247</v>
      </c>
      <c r="U34" s="394">
        <f>U27*U27/(U30+U31-U29)</f>
        <v>4.9999182576308101</v>
      </c>
      <c r="V34" s="394"/>
      <c r="W34" s="394"/>
      <c r="X34" s="34"/>
      <c r="Y34" s="1" t="s">
        <v>248</v>
      </c>
      <c r="AP34" s="8"/>
    </row>
    <row r="35" spans="2:42" ht="18" customHeight="1" x14ac:dyDescent="0.25">
      <c r="B35" s="6"/>
      <c r="AI35" s="395" t="s">
        <v>258</v>
      </c>
      <c r="AJ35" s="395"/>
      <c r="AK35" s="395"/>
      <c r="AL35" s="395"/>
      <c r="AM35" s="395"/>
      <c r="AN35" s="395"/>
      <c r="AO35" s="395"/>
      <c r="AP35" s="8"/>
    </row>
    <row r="36" spans="2:42" ht="18" customHeight="1" x14ac:dyDescent="0.25">
      <c r="B36" s="6"/>
      <c r="AI36" s="395"/>
      <c r="AJ36" s="395"/>
      <c r="AK36" s="395"/>
      <c r="AL36" s="395"/>
      <c r="AM36" s="395"/>
      <c r="AN36" s="395"/>
      <c r="AO36" s="395"/>
      <c r="AP36" s="8"/>
    </row>
    <row r="37" spans="2:42" ht="18" customHeight="1" x14ac:dyDescent="0.25">
      <c r="B37" s="6"/>
      <c r="AP37" s="8"/>
    </row>
    <row r="38" spans="2:42" ht="18" customHeight="1" x14ac:dyDescent="0.25">
      <c r="B38" s="6"/>
      <c r="C38" s="215" t="s">
        <v>265</v>
      </c>
      <c r="D38" s="288"/>
      <c r="E38" s="288"/>
      <c r="F38" s="288"/>
      <c r="G38" s="288"/>
      <c r="H38" s="288"/>
      <c r="I38" s="288"/>
      <c r="J38" s="288"/>
      <c r="K38" s="288"/>
      <c r="L38" s="288"/>
      <c r="M38" s="288"/>
      <c r="N38" s="288"/>
      <c r="O38" s="288"/>
      <c r="P38" s="288"/>
      <c r="Q38" s="288"/>
      <c r="R38" s="288"/>
      <c r="S38" s="288"/>
      <c r="T38" s="288"/>
      <c r="U38" s="288"/>
      <c r="V38" s="288"/>
      <c r="W38" s="288"/>
      <c r="X38" s="288"/>
      <c r="Y38" s="288"/>
      <c r="Z38" s="288"/>
      <c r="AA38" s="288"/>
      <c r="AB38" s="288"/>
      <c r="AC38" s="288"/>
      <c r="AD38" s="288"/>
      <c r="AE38" s="288"/>
      <c r="AF38" s="288"/>
      <c r="AG38" s="288"/>
      <c r="AH38" s="288"/>
      <c r="AI38" s="288"/>
      <c r="AJ38" s="288"/>
      <c r="AK38" s="288"/>
      <c r="AL38" s="288"/>
      <c r="AM38" s="288"/>
      <c r="AN38" s="288"/>
      <c r="AO38" s="288"/>
      <c r="AP38" s="8"/>
    </row>
    <row r="39" spans="2:42" ht="18" customHeight="1" x14ac:dyDescent="0.25">
      <c r="B39" s="6"/>
      <c r="C39" s="289" t="s">
        <v>266</v>
      </c>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289"/>
      <c r="AN39" s="289"/>
      <c r="AO39" s="289"/>
      <c r="AP39" s="8"/>
    </row>
    <row r="40" spans="2:42" ht="18" customHeight="1" x14ac:dyDescent="0.25">
      <c r="B40" s="6"/>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289"/>
      <c r="AN40" s="289"/>
      <c r="AO40" s="289"/>
      <c r="AP40" s="8"/>
    </row>
    <row r="41" spans="2:42" ht="18" customHeight="1" x14ac:dyDescent="0.25">
      <c r="B41" s="6"/>
      <c r="C41" s="289"/>
      <c r="D41" s="289"/>
      <c r="E41" s="289"/>
      <c r="F41" s="289"/>
      <c r="G41" s="289"/>
      <c r="H41" s="289"/>
      <c r="I41" s="289"/>
      <c r="J41" s="289"/>
      <c r="K41" s="289"/>
      <c r="L41" s="289"/>
      <c r="M41" s="289"/>
      <c r="N41" s="289"/>
      <c r="O41" s="289"/>
      <c r="P41" s="289"/>
      <c r="Q41" s="289"/>
      <c r="R41" s="289"/>
      <c r="S41" s="289"/>
      <c r="T41" s="289"/>
      <c r="U41" s="289"/>
      <c r="V41" s="289"/>
      <c r="W41" s="289"/>
      <c r="X41" s="289"/>
      <c r="Y41" s="289"/>
      <c r="Z41" s="289"/>
      <c r="AA41" s="289"/>
      <c r="AB41" s="289"/>
      <c r="AC41" s="289"/>
      <c r="AD41" s="289"/>
      <c r="AE41" s="289"/>
      <c r="AF41" s="289"/>
      <c r="AG41" s="289"/>
      <c r="AH41" s="289"/>
      <c r="AI41" s="289"/>
      <c r="AJ41" s="289"/>
      <c r="AK41" s="289"/>
      <c r="AL41" s="289"/>
      <c r="AM41" s="289"/>
      <c r="AN41" s="289"/>
      <c r="AO41" s="289"/>
      <c r="AP41" s="8"/>
    </row>
    <row r="42" spans="2:42" ht="18" customHeight="1" x14ac:dyDescent="0.25">
      <c r="B42" s="6"/>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8"/>
    </row>
    <row r="43" spans="2:42" ht="18" customHeight="1" x14ac:dyDescent="0.25">
      <c r="B43" s="6"/>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8"/>
    </row>
    <row r="44" spans="2:42" ht="18" customHeight="1" x14ac:dyDescent="0.25">
      <c r="B44" s="6"/>
      <c r="AP44" s="8"/>
    </row>
    <row r="45" spans="2:42" ht="18" customHeight="1" x14ac:dyDescent="0.25">
      <c r="B45" s="6"/>
      <c r="AP45" s="8"/>
    </row>
    <row r="46" spans="2:42" ht="18" customHeight="1" x14ac:dyDescent="0.25">
      <c r="B46" s="6"/>
      <c r="AP46" s="42"/>
    </row>
    <row r="47" spans="2:42" ht="18" customHeight="1" thickBot="1" x14ac:dyDescent="0.3">
      <c r="B47" s="6"/>
      <c r="C47" s="10"/>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1"/>
      <c r="AO47" s="11"/>
      <c r="AP47" s="8"/>
    </row>
    <row r="48" spans="2:42" ht="18" customHeight="1" x14ac:dyDescent="0.25">
      <c r="B48" s="6"/>
      <c r="D48" s="43" t="s">
        <v>84</v>
      </c>
      <c r="AO48" s="44" t="s">
        <v>85</v>
      </c>
      <c r="AP48" s="8"/>
    </row>
    <row r="49" spans="2:42" ht="18" customHeight="1" x14ac:dyDescent="0.25">
      <c r="B49" s="45"/>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7"/>
    </row>
    <row r="50" spans="2:42" ht="18" customHeight="1" x14ac:dyDescent="0.25"/>
    <row r="51" spans="2:42" ht="15" customHeight="1" x14ac:dyDescent="0.25"/>
    <row r="52" spans="2:42" ht="15" customHeight="1" x14ac:dyDescent="0.25"/>
    <row r="53" spans="2:42" ht="15" customHeight="1" x14ac:dyDescent="0.25"/>
    <row r="54" spans="2:42" ht="15" customHeight="1" x14ac:dyDescent="0.25"/>
    <row r="55" spans="2:42" ht="15" customHeight="1" x14ac:dyDescent="0.25"/>
    <row r="56" spans="2:42" ht="15" customHeight="1" x14ac:dyDescent="0.25"/>
    <row r="57" spans="2:42" ht="15" customHeight="1" x14ac:dyDescent="0.25"/>
    <row r="58" spans="2:42" ht="15" customHeight="1" x14ac:dyDescent="0.25"/>
    <row r="59" spans="2:42" ht="15" customHeight="1" x14ac:dyDescent="0.25"/>
    <row r="60" spans="2:42" ht="15" customHeight="1" x14ac:dyDescent="0.25"/>
    <row r="61" spans="2:42" ht="15" customHeight="1" x14ac:dyDescent="0.25"/>
    <row r="62" spans="2:42" ht="15" customHeight="1" x14ac:dyDescent="0.25"/>
    <row r="63" spans="2:42" ht="15" customHeight="1" x14ac:dyDescent="0.25"/>
    <row r="64" spans="2:42"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sheetData>
  <sheetProtection algorithmName="SHA-512" hashValue="10cYycMT2P9IOQTylHi0YsV9XYw29vpByOPBQLV65hN6SXaD7BKkaxi0xrds/pzHcAo/utS35Jj5zmWpvfG44w==" saltValue="ipq5nFV8LyiYvGh4XmeYmA==" spinCount="100000" sheet="1" objects="1" scenarios="1"/>
  <mergeCells count="20">
    <mergeCell ref="U29:W29"/>
    <mergeCell ref="U30:W30"/>
    <mergeCell ref="U31:W31"/>
    <mergeCell ref="G26:T26"/>
    <mergeCell ref="U26:W26"/>
    <mergeCell ref="U27:W27"/>
    <mergeCell ref="G28:T28"/>
    <mergeCell ref="U28:W28"/>
    <mergeCell ref="U25:W25"/>
    <mergeCell ref="C7:AO8"/>
    <mergeCell ref="C13:AO16"/>
    <mergeCell ref="C21:AO21"/>
    <mergeCell ref="U23:W23"/>
    <mergeCell ref="U24:W24"/>
    <mergeCell ref="U32:W32"/>
    <mergeCell ref="U33:W33"/>
    <mergeCell ref="U34:W34"/>
    <mergeCell ref="C38:AO38"/>
    <mergeCell ref="C39:AO43"/>
    <mergeCell ref="AI35:AO36"/>
  </mergeCells>
  <dataValidations disablePrompts="1" count="1">
    <dataValidation type="list" allowBlank="1" showInputMessage="1" showErrorMessage="1" sqref="G34" xr:uid="{5C701C5D-B71A-43D0-B62D-14D5D30BABE2}">
      <formula1>pbsrange1</formula1>
    </dataValidation>
  </dataValidations>
  <printOptions horizontalCentered="1" verticalCentered="1"/>
  <pageMargins left="0.2" right="0.2" top="0.2" bottom="0.2" header="0" footer="0"/>
  <pageSetup scale="9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39AD2BD9EF5744A93D330800BBA098" ma:contentTypeVersion="12" ma:contentTypeDescription="Create a new document." ma:contentTypeScope="" ma:versionID="53c6a75c1dc2e3e96ac04e6d146483af">
  <xsd:schema xmlns:xsd="http://www.w3.org/2001/XMLSchema" xmlns:xs="http://www.w3.org/2001/XMLSchema" xmlns:p="http://schemas.microsoft.com/office/2006/metadata/properties" xmlns:ns2="f06edbc9-4a38-4633-ac57-12812ade00da" xmlns:ns3="5733c3ee-3ed4-4876-80d1-ffc06c69238d" targetNamespace="http://schemas.microsoft.com/office/2006/metadata/properties" ma:root="true" ma:fieldsID="3e06dbbfe3e4aaeee4bddc3101a9e35d" ns2:_="" ns3:_="">
    <xsd:import namespace="f06edbc9-4a38-4633-ac57-12812ade00da"/>
    <xsd:import namespace="5733c3ee-3ed4-4876-80d1-ffc06c69238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06edbc9-4a38-4633-ac57-12812ade00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a1eb04f-e05f-4397-87ae-cd0659b49bd5"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733c3ee-3ed4-4876-80d1-ffc06c69238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74d54e4-43ca-4912-830a-8b9c716c240c}" ma:internalName="TaxCatchAll" ma:showField="CatchAllData" ma:web="5733c3ee-3ed4-4876-80d1-ffc06c6923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733c3ee-3ed4-4876-80d1-ffc06c69238d" xsi:nil="true"/>
    <lcf76f155ced4ddcb4097134ff3c332f xmlns="f06edbc9-4a38-4633-ac57-12812ade00d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C87E717-A7E8-4ABD-9C11-022981B96B1E}">
  <ds:schemaRefs>
    <ds:schemaRef ds:uri="http://schemas.microsoft.com/sharepoint/v3/contenttype/forms"/>
  </ds:schemaRefs>
</ds:datastoreItem>
</file>

<file path=customXml/itemProps2.xml><?xml version="1.0" encoding="utf-8"?>
<ds:datastoreItem xmlns:ds="http://schemas.openxmlformats.org/officeDocument/2006/customXml" ds:itemID="{17F9491A-2391-468E-8987-CE8F384581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06edbc9-4a38-4633-ac57-12812ade00da"/>
    <ds:schemaRef ds:uri="5733c3ee-3ed4-4876-80d1-ffc06c6923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5F7DEC-7FDB-4C8E-98E0-55B2BDFD9AE7}">
  <ds:schemaRefs>
    <ds:schemaRef ds:uri="5733c3ee-3ed4-4876-80d1-ffc06c69238d"/>
    <ds:schemaRef ds:uri="http://schemas.microsoft.com/office/infopath/2007/PartnerControls"/>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purl.org/dc/elements/1.1/"/>
    <ds:schemaRef ds:uri="http://schemas.openxmlformats.org/package/2006/metadata/core-properties"/>
    <ds:schemaRef ds:uri="f06edbc9-4a38-4633-ac57-12812ade00d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Overview and Purpose</vt:lpstr>
      <vt:lpstr>5-Branch HP Filter Design</vt:lpstr>
      <vt:lpstr>4-Branch H-Filter Configuration</vt:lpstr>
      <vt:lpstr>Notch Filter Design</vt:lpstr>
      <vt:lpstr>HP Filter Design</vt:lpstr>
      <vt:lpstr>C-HP Filter Design</vt:lpstr>
      <vt:lpstr>Notch Reverse Calculator</vt:lpstr>
      <vt:lpstr>High-Pass Reverse Calculator</vt:lpstr>
      <vt:lpstr>C-High-Pass Reverse Calculator</vt:lpstr>
      <vt:lpstr>'4-Branch H-Filter Configuration'!Print_Area</vt:lpstr>
      <vt:lpstr>'5-Branch HP Filter Design'!Print_Area</vt:lpstr>
      <vt:lpstr>'C-High-Pass Reverse Calculator'!Print_Area</vt:lpstr>
      <vt:lpstr>'C-HP Filter Design'!Print_Area</vt:lpstr>
      <vt:lpstr>'High-Pass Reverse Calculator'!Print_Area</vt:lpstr>
      <vt:lpstr>'HP Filter Design'!Print_Area</vt:lpstr>
      <vt:lpstr>'Notch Filter Design'!Print_Area</vt:lpstr>
      <vt:lpstr>'Notch Reverse Calculator'!Print_Area</vt:lpstr>
      <vt:lpstr>'Overview and Purpose'!Print_Area</vt:lpstr>
    </vt:vector>
  </TitlesOfParts>
  <Company>VarStec Power Solutions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Medium-Voltage Harmonic Filter Design Tool</dc:title>
  <dc:subject>Medium-voltage harmonic filter design</dc:subject>
  <dc:creator>Paul Steciuk;Paul B. Steciuk;VarStec Power Solutions</dc:creator>
  <cp:keywords>IEEE 519-2022, IEEE 1531-2020, IEEE 1036-2020, C-HP, Notch, HP C-High-Pass, High-Pass, Filter, Capacitor, Reactor, Resistor, Duty Rating, Voltage Stress, Current Stress, Peak Voltage Distortion</cp:keywords>
  <dc:description>VarStec's Harmonic Filter Design Tool is an engineering tool developed to support the design, evaluation, and comparision of medium-voltage harmonic filter systems used in industrial, utility, renewable, and mine power systems. The workbook provides consistent, standards based methodology for designing C-HP, HP, and Notch Harmonic Filter Banks.
</dc:description>
  <cp:lastModifiedBy>Paul Steciuk</cp:lastModifiedBy>
  <cp:lastPrinted>2026-06-06T18:10:59Z</cp:lastPrinted>
  <dcterms:created xsi:type="dcterms:W3CDTF">2025-12-26T20:30:57Z</dcterms:created>
  <dcterms:modified xsi:type="dcterms:W3CDTF">2026-07-18T15:23:17Z</dcterms:modified>
  <cp:category>Professinal Engineering Analysis Tool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0x010100D339AD2BD9EF5744A93D330800BBA098</vt:lpwstr>
  </property>
  <property fmtid="{D5CDD505-2E9C-101B-9397-08002B2CF9AE}" pid="3" name="MediaServiceImageTags">
    <vt:lpwstr/>
  </property>
</Properties>
</file>